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showInkAnnotation="0" codeName="ThisWorkbook" hidePivotFieldList="1"/>
  <mc:AlternateContent xmlns:mc="http://schemas.openxmlformats.org/markup-compatibility/2006">
    <mc:Choice Requires="x15">
      <x15ac:absPath xmlns:x15ac="http://schemas.microsoft.com/office/spreadsheetml/2010/11/ac" url="F:\ARCHIVED K DRIVE PDFS\MISC folder for posting PDFs online\"/>
    </mc:Choice>
  </mc:AlternateContent>
  <xr:revisionPtr revIDLastSave="0" documentId="8_{F03D7902-C650-4A33-80D7-A0BE8F13D75A}" xr6:coauthVersionLast="36" xr6:coauthVersionMax="36" xr10:uidLastSave="{00000000-0000-0000-0000-000000000000}"/>
  <bookViews>
    <workbookView xWindow="0" yWindow="0" windowWidth="14380" windowHeight="4070" tabRatio="758" firstSheet="81" activeTab="87" xr2:uid="{00000000-000D-0000-FFFF-FFFF00000000}"/>
  </bookViews>
  <sheets>
    <sheet name="ALPINE MEADOW" sheetId="180" r:id="rId1"/>
    <sheet name="ALPINE VALLEY &amp; GVH" sheetId="103" r:id="rId2"/>
    <sheet name="AVALON BOUNTIFUL" sheetId="118" r:id="rId3"/>
    <sheet name="AVALON VALLEY" sheetId="60" r:id="rId4"/>
    <sheet name="BELLA TERRA C C" sheetId="106" r:id="rId5"/>
    <sheet name="BELLA TERRA St. G." sheetId="104" r:id="rId6"/>
    <sheet name="BENNION dba Ava. West" sheetId="54" r:id="rId7"/>
    <sheet name="BROOKDALE" sheetId="181" r:id="rId8"/>
    <sheet name="CANYON RIM" sheetId="94" r:id="rId9"/>
    <sheet name="CANYONLANDS" sheetId="145" r:id="rId10"/>
    <sheet name="Cascades at Orch Pk" sheetId="33" r:id="rId11"/>
    <sheet name="CASCADES at RIVERWALK" sheetId="177" r:id="rId12"/>
    <sheet name="CENTRAL UT VH -PAYSON" sheetId="164" r:id="rId13"/>
    <sheet name="CITY CREEK -BV" sheetId="19" r:id="rId14"/>
    <sheet name="COPPER RIDGE -BV" sheetId="15" r:id="rId15"/>
    <sheet name="CORAL DESERT" sheetId="178" r:id="rId16"/>
    <sheet name="COUNTRY LIFE" sheetId="150" r:id="rId17"/>
    <sheet name="CRESTWOOD" sheetId="68" r:id="rId18"/>
    <sheet name="DRAPER -BV" sheetId="66" r:id="rId19"/>
    <sheet name="EMERY COUNTY" sheetId="63" r:id="rId20"/>
    <sheet name="FAIRVIEW" sheetId="62" r:id="rId21"/>
    <sheet name="FOUR CORNERS -BV" sheetId="58" r:id="rId22"/>
    <sheet name="GARFIELD CO. NH" sheetId="136" r:id="rId23"/>
    <sheet name="HARRISON POINTE En &amp; H. P. BV" sheetId="174" r:id="rId24"/>
    <sheet name="HERITAGE CARE" sheetId="53" r:id="rId25"/>
    <sheet name="HERITAGE HILLS" sheetId="98" r:id="rId26"/>
    <sheet name="HERITAGE PARK " sheetId="49" r:id="rId27"/>
    <sheet name="HIGHLAND" sheetId="83" r:id="rId28"/>
    <sheet name="HILLSIDE, &amp;GVH" sheetId="47" r:id="rId29"/>
    <sheet name="HOLLADAY -BV En" sheetId="46" r:id="rId30"/>
    <sheet name="HURRICANE -BV En" sheetId="102" r:id="rId31"/>
    <sheet name="IRON COUNTY-StoneH CedCity" sheetId="45" r:id="rId32"/>
    <sheet name="LIFE CARE BOUNTIFUL" sheetId="43" r:id="rId33"/>
    <sheet name="LIFE CARE OF SLC" sheetId="175" r:id="rId34"/>
    <sheet name="Little Cottonwood -BV" sheetId="57" r:id="rId35"/>
    <sheet name="LOMOND PEAK -BV" sheetId="84" r:id="rId36"/>
    <sheet name="MEADOW BROOK -BV" sheetId="167" r:id="rId37"/>
    <sheet name="MIDTOWN" sheetId="39" r:id="rId38"/>
    <sheet name="MILLARD COUNTY" sheetId="135" r:id="rId39"/>
    <sheet name="MILLCREEK -BV" sheetId="38" r:id="rId40"/>
    <sheet name="Mission at Bear River -GVH" sheetId="133" r:id="rId41"/>
    <sheet name="MISSION at Comm Rehab -GVH" sheetId="152" r:id="rId42"/>
    <sheet name="MTN VIEW" sheetId="120" r:id="rId43"/>
    <sheet name="MT OGDEN -BV" sheetId="37" r:id="rId44"/>
    <sheet name="MT. OLYMPUS -BV" sheetId="90" r:id="rId45"/>
    <sheet name="NORTH CANYON" sheetId="24" r:id="rId46"/>
    <sheet name="OGDEN VA, George E. Wahlen" sheetId="141" r:id="rId47"/>
    <sheet name="OREM -BV" sheetId="32" r:id="rId48"/>
    <sheet name="PARAMOUNT -BV" sheetId="79" r:id="rId49"/>
    <sheet name="PARKDALE -BV" sheetId="31" r:id="rId50"/>
    <sheet name="PARKWAY" sheetId="64" r:id="rId51"/>
    <sheet name="PINE CREEK -BV" sheetId="113" r:id="rId52"/>
    <sheet name="PINNACLE -BV" sheetId="72" r:id="rId53"/>
    <sheet name="PIONEER" sheetId="28" r:id="rId54"/>
    <sheet name="PROVO -BV" sheetId="65" r:id="rId55"/>
    <sheet name="RED CLIFFS -BV" sheetId="119" r:id="rId56"/>
    <sheet name="RICHFIELD" sheetId="25" r:id="rId57"/>
    <sheet name="RMC CLEARFIELD -BVH" sheetId="155" r:id="rId58"/>
    <sheet name="RMC Cottage on Vine -BVH" sheetId="156" r:id="rId59"/>
    <sheet name="RMC HUNTER HOLLOW -BVH" sheetId="20" r:id="rId60"/>
    <sheet name="RMC Logan -BVH" sheetId="42" r:id="rId61"/>
    <sheet name="RMC Mountain View -BVH" sheetId="157" r:id="rId62"/>
    <sheet name="RMC RIVERTON &amp; BVH" sheetId="159" r:id="rId63"/>
    <sheet name="RMC Willow Springs -BVH" sheetId="158" r:id="rId64"/>
    <sheet name="SANDY HLTH &amp; REHAB -BV" sheetId="16" r:id="rId65"/>
    <sheet name="SEASONS" sheetId="27" r:id="rId66"/>
    <sheet name="SOUTH DAVIS -BV" sheetId="111" r:id="rId67"/>
    <sheet name="So Odgen -BV" sheetId="71" r:id="rId68"/>
    <sheet name="Southern UT VH-IVINS" sheetId="165" r:id="rId69"/>
    <sheet name="SPANISH FORK -BV" sheetId="55" r:id="rId70"/>
    <sheet name="SPRING CREEK -BV" sheetId="21" r:id="rId71"/>
    <sheet name="ST GEORGE, St. Geo. BV" sheetId="14" r:id="rId72"/>
    <sheet name="ST. JOSEPH VILLA -BV" sheetId="85" r:id="rId73"/>
    <sheet name="STONEHENGE of AM FORK" sheetId="149" r:id="rId74"/>
    <sheet name="STONEHENGE, OGDEN" sheetId="172" r:id="rId75"/>
    <sheet name="STONEHENGE, OREM" sheetId="176" r:id="rId76"/>
    <sheet name="STONEHENGE, RICHFIELD" sheetId="143" r:id="rId77"/>
    <sheet name="STONEHENGE SPRINGVILLE" sheetId="10" r:id="rId78"/>
    <sheet name="SUNSHINE TERRACE" sheetId="87" r:id="rId79"/>
    <sheet name="UINTAH BASIN REHAB" sheetId="86" r:id="rId80"/>
    <sheet name="UINTAH CARE" sheetId="89" r:id="rId81"/>
    <sheet name="Utah Valley R&amp;H" sheetId="69" r:id="rId82"/>
    <sheet name="VA Salt Lake (W.E.C. SLVH)" sheetId="142" r:id="rId83"/>
    <sheet name="WASHINGTON TERRACE" sheetId="92" r:id="rId84"/>
    <sheet name="WILLOW GLEN" sheetId="1" r:id="rId85"/>
    <sheet name="WILLOW WOOD" sheetId="50" r:id="rId86"/>
    <sheet name="WOODLAND" sheetId="95" r:id="rId87"/>
    <sheet name="SUMMARY" sheetId="97" r:id="rId88"/>
  </sheets>
  <externalReferences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</externalReferences>
  <definedNames>
    <definedName name="_xlnm.Print_Area" localSheetId="33">'LIFE CARE OF SLC'!$A$1:$J$216</definedName>
    <definedName name="_xlnm.Print_Area" localSheetId="34">'Little Cottonwood -BV'!$A$1:$J$216</definedName>
    <definedName name="_xlnm.Print_Area" localSheetId="35">'LOMOND PEAK -BV'!$A$1:$H$228</definedName>
    <definedName name="_xlnm.Print_Area" localSheetId="48">'PARAMOUNT -BV'!$A$1:$H$228</definedName>
    <definedName name="_xlnm.Print_Area" localSheetId="87">SUMMARY!$A$1:$Q$242</definedName>
    <definedName name="_xlnm.Print_Titles" localSheetId="4">'BELLA TERRA C C'!$1:$9</definedName>
    <definedName name="_xlnm.Print_Titles" localSheetId="5">'BELLA TERRA St. G.'!$1:$9</definedName>
    <definedName name="_xlnm.Print_Titles" localSheetId="17">CRESTWOOD!$7:$9</definedName>
    <definedName name="_xlnm.Print_Titles" localSheetId="20">FAIRVIEW!$7:$9</definedName>
    <definedName name="_xlnm.Print_Titles" localSheetId="21">'FOUR CORNERS -BV'!$1:$9</definedName>
    <definedName name="_xlnm.Print_Titles" localSheetId="24">'HERITAGE CARE'!$1:$9</definedName>
    <definedName name="_xlnm.Print_Titles" localSheetId="25">'HERITAGE HILLS'!$1:$9</definedName>
    <definedName name="_xlnm.Print_Titles" localSheetId="26">'HERITAGE PARK '!$1:$9</definedName>
    <definedName name="_xlnm.Print_Titles" localSheetId="27">HIGHLAND!$1:$9</definedName>
    <definedName name="_xlnm.Print_Titles" localSheetId="28">'HILLSIDE, &amp;GVH'!$1:$9</definedName>
    <definedName name="_xlnm.Print_Titles" localSheetId="29">'HOLLADAY -BV En'!$1:$9</definedName>
    <definedName name="_xlnm.Print_Titles" localSheetId="33">'LIFE CARE OF SLC'!$1:$9</definedName>
    <definedName name="_xlnm.Print_Titles" localSheetId="34">'Little Cottonwood -BV'!$1:$9</definedName>
    <definedName name="_xlnm.Print_Titles" localSheetId="35">'LOMOND PEAK -BV'!$1:$9</definedName>
    <definedName name="_xlnm.Print_Titles" localSheetId="37">MIDTOWN!$1:$9</definedName>
    <definedName name="_xlnm.Print_Titles" localSheetId="39">'MILLCREEK -BV'!$1:$9</definedName>
    <definedName name="_xlnm.Print_Titles" localSheetId="48">'PARAMOUNT -BV'!$1:$9</definedName>
    <definedName name="_xlnm.Print_Titles" localSheetId="51">'PINE CREEK -BV'!$1:$9</definedName>
    <definedName name="_xlnm.Print_Titles" localSheetId="54">'PROVO -BV'!$7:$9</definedName>
    <definedName name="_xlnm.Print_Titles" localSheetId="60">'RMC Logan -BVH'!$1:$9</definedName>
    <definedName name="_xlnm.Print_Titles" localSheetId="69">'SPANISH FORK -BV'!$1:$9</definedName>
    <definedName name="_xlnm.Print_Titles" localSheetId="87">SUMMARY!$1:$12</definedName>
    <definedName name="_xlnm.Print_Titles" localSheetId="83">'WASHINGTON TERRACE'!$1:$9</definedName>
    <definedName name="_xlnm.Print_Titles" localSheetId="85">'WILLOW WOOD'!$1:$9</definedName>
    <definedName name="_xlnm.Print_Titles" localSheetId="86">WOODLAND!$1:$9</definedName>
    <definedName name="Z_00D6F160_3E2B_11D5_8BE5_C1A1C12816BD_.wvu.PrintArea" localSheetId="33" hidden="1">'LIFE CARE OF SLC'!$A$1:$J$216</definedName>
    <definedName name="Z_00D6F160_3E2B_11D5_8BE5_C1A1C12816BD_.wvu.PrintArea" localSheetId="34" hidden="1">'Little Cottonwood -BV'!$A$1:$J$216</definedName>
    <definedName name="Z_00D6F160_3E2B_11D5_8BE5_C1A1C12816BD_.wvu.PrintTitles" localSheetId="1" hidden="1">'ALPINE VALLEY &amp; GVH'!#REF!</definedName>
    <definedName name="Z_00D6F160_3E2B_11D5_8BE5_C1A1C12816BD_.wvu.PrintTitles" localSheetId="3" hidden="1">'AVALON VALLEY'!#REF!</definedName>
    <definedName name="Z_00D6F160_3E2B_11D5_8BE5_C1A1C12816BD_.wvu.PrintTitles" localSheetId="4" hidden="1">'BELLA TERRA C C'!$1:$9</definedName>
    <definedName name="Z_00D6F160_3E2B_11D5_8BE5_C1A1C12816BD_.wvu.PrintTitles" localSheetId="5" hidden="1">'BELLA TERRA St. G.'!$1:$9</definedName>
    <definedName name="Z_00D6F160_3E2B_11D5_8BE5_C1A1C12816BD_.wvu.PrintTitles" localSheetId="6" hidden="1">'BENNION dba Ava. West'!#REF!</definedName>
    <definedName name="Z_00D6F160_3E2B_11D5_8BE5_C1A1C12816BD_.wvu.PrintTitles" localSheetId="7" hidden="1">BROOKDALE!#REF!</definedName>
    <definedName name="Z_00D6F160_3E2B_11D5_8BE5_C1A1C12816BD_.wvu.PrintTitles" localSheetId="8" hidden="1">'CANYON RIM'!#REF!</definedName>
    <definedName name="Z_00D6F160_3E2B_11D5_8BE5_C1A1C12816BD_.wvu.PrintTitles" localSheetId="9" hidden="1">CANYONLANDS!#REF!</definedName>
    <definedName name="Z_00D6F160_3E2B_11D5_8BE5_C1A1C12816BD_.wvu.PrintTitles" localSheetId="11" hidden="1">'CASCADES at RIVERWALK'!#REF!</definedName>
    <definedName name="Z_00D6F160_3E2B_11D5_8BE5_C1A1C12816BD_.wvu.PrintTitles" localSheetId="12" hidden="1">'CENTRAL UT VH -PAYSON'!#REF!</definedName>
    <definedName name="Z_00D6F160_3E2B_11D5_8BE5_C1A1C12816BD_.wvu.PrintTitles" localSheetId="17" hidden="1">CRESTWOOD!$7:$9</definedName>
    <definedName name="Z_00D6F160_3E2B_11D5_8BE5_C1A1C12816BD_.wvu.PrintTitles" localSheetId="18" hidden="1">'DRAPER -BV'!#REF!</definedName>
    <definedName name="Z_00D6F160_3E2B_11D5_8BE5_C1A1C12816BD_.wvu.PrintTitles" localSheetId="19" hidden="1">'EMERY COUNTY'!#REF!</definedName>
    <definedName name="Z_00D6F160_3E2B_11D5_8BE5_C1A1C12816BD_.wvu.PrintTitles" localSheetId="20" hidden="1">FAIRVIEW!$7:$9</definedName>
    <definedName name="Z_00D6F160_3E2B_11D5_8BE5_C1A1C12816BD_.wvu.PrintTitles" localSheetId="21" hidden="1">'FOUR CORNERS -BV'!$1:$9</definedName>
    <definedName name="Z_00D6F160_3E2B_11D5_8BE5_C1A1C12816BD_.wvu.PrintTitles" localSheetId="24" hidden="1">'HERITAGE CARE'!$1:$9</definedName>
    <definedName name="Z_00D6F160_3E2B_11D5_8BE5_C1A1C12816BD_.wvu.PrintTitles" localSheetId="25" hidden="1">'HERITAGE HILLS'!$1:$9</definedName>
    <definedName name="Z_00D6F160_3E2B_11D5_8BE5_C1A1C12816BD_.wvu.PrintTitles" localSheetId="26" hidden="1">'HERITAGE PARK '!$1:$9</definedName>
    <definedName name="Z_00D6F160_3E2B_11D5_8BE5_C1A1C12816BD_.wvu.PrintTitles" localSheetId="27" hidden="1">HIGHLAND!$1:$9</definedName>
    <definedName name="Z_00D6F160_3E2B_11D5_8BE5_C1A1C12816BD_.wvu.PrintTitles" localSheetId="28" hidden="1">'HILLSIDE, &amp;GVH'!$1:$9</definedName>
    <definedName name="Z_00D6F160_3E2B_11D5_8BE5_C1A1C12816BD_.wvu.PrintTitles" localSheetId="29" hidden="1">'HOLLADAY -BV En'!$1:$9</definedName>
    <definedName name="Z_00D6F160_3E2B_11D5_8BE5_C1A1C12816BD_.wvu.PrintTitles" localSheetId="30" hidden="1">'HURRICANE -BV En'!#REF!</definedName>
    <definedName name="Z_00D6F160_3E2B_11D5_8BE5_C1A1C12816BD_.wvu.PrintTitles" localSheetId="31" hidden="1">'IRON COUNTY-StoneH CedCity'!#REF!</definedName>
    <definedName name="Z_00D6F160_3E2B_11D5_8BE5_C1A1C12816BD_.wvu.PrintTitles" localSheetId="32" hidden="1">'LIFE CARE BOUNTIFUL'!#REF!</definedName>
    <definedName name="Z_00D6F160_3E2B_11D5_8BE5_C1A1C12816BD_.wvu.PrintTitles" localSheetId="33" hidden="1">'LIFE CARE OF SLC'!$1:$9</definedName>
    <definedName name="Z_00D6F160_3E2B_11D5_8BE5_C1A1C12816BD_.wvu.PrintTitles" localSheetId="34" hidden="1">'Little Cottonwood -BV'!$1:$9</definedName>
    <definedName name="Z_00D6F160_3E2B_11D5_8BE5_C1A1C12816BD_.wvu.PrintTitles" localSheetId="35" hidden="1">'LOMOND PEAK -BV'!$1:$9</definedName>
    <definedName name="Z_00D6F160_3E2B_11D5_8BE5_C1A1C12816BD_.wvu.PrintTitles" localSheetId="37" hidden="1">MIDTOWN!$1:$9</definedName>
    <definedName name="Z_00D6F160_3E2B_11D5_8BE5_C1A1C12816BD_.wvu.PrintTitles" localSheetId="39" hidden="1">'MILLCREEK -BV'!$1:$9</definedName>
    <definedName name="Z_00D6F160_3E2B_11D5_8BE5_C1A1C12816BD_.wvu.PrintTitles" localSheetId="48" hidden="1">'PARAMOUNT -BV'!$1:$9</definedName>
    <definedName name="Z_00D6F160_3E2B_11D5_8BE5_C1A1C12816BD_.wvu.PrintTitles" localSheetId="50" hidden="1">PARKWAY!#REF!</definedName>
    <definedName name="Z_00D6F160_3E2B_11D5_8BE5_C1A1C12816BD_.wvu.PrintTitles" localSheetId="51" hidden="1">'PINE CREEK -BV'!$1:$9</definedName>
    <definedName name="Z_00D6F160_3E2B_11D5_8BE5_C1A1C12816BD_.wvu.PrintTitles" localSheetId="54" hidden="1">'PROVO -BV'!$7:$9</definedName>
    <definedName name="Z_00D6F160_3E2B_11D5_8BE5_C1A1C12816BD_.wvu.PrintTitles" localSheetId="57" hidden="1">'RMC CLEARFIELD -BVH'!#REF!</definedName>
    <definedName name="Z_00D6F160_3E2B_11D5_8BE5_C1A1C12816BD_.wvu.PrintTitles" localSheetId="58" hidden="1">'RMC Cottage on Vine -BVH'!#REF!</definedName>
    <definedName name="Z_00D6F160_3E2B_11D5_8BE5_C1A1C12816BD_.wvu.PrintTitles" localSheetId="60" hidden="1">'RMC Logan -BVH'!$1:$9</definedName>
    <definedName name="Z_00D6F160_3E2B_11D5_8BE5_C1A1C12816BD_.wvu.PrintTitles" localSheetId="61" hidden="1">'RMC Mountain View -BVH'!#REF!</definedName>
    <definedName name="Z_00D6F160_3E2B_11D5_8BE5_C1A1C12816BD_.wvu.PrintTitles" localSheetId="63" hidden="1">'RMC Willow Springs -BVH'!#REF!</definedName>
    <definedName name="Z_00D6F160_3E2B_11D5_8BE5_C1A1C12816BD_.wvu.PrintTitles" localSheetId="67" hidden="1">'So Odgen -BV'!#REF!</definedName>
    <definedName name="Z_00D6F160_3E2B_11D5_8BE5_C1A1C12816BD_.wvu.PrintTitles" localSheetId="69" hidden="1">'SPANISH FORK -BV'!$1:$9</definedName>
    <definedName name="Z_00D6F160_3E2B_11D5_8BE5_C1A1C12816BD_.wvu.PrintTitles" localSheetId="70" hidden="1">'SPRING CREEK -BV'!#REF!</definedName>
    <definedName name="Z_00D6F160_3E2B_11D5_8BE5_C1A1C12816BD_.wvu.PrintTitles" localSheetId="87" hidden="1">SUMMARY!$1:$12</definedName>
    <definedName name="Z_00D6F160_3E2B_11D5_8BE5_C1A1C12816BD_.wvu.PrintTitles" localSheetId="81" hidden="1">'Utah Valley R&amp;H'!#REF!</definedName>
    <definedName name="Z_00D6F160_3E2B_11D5_8BE5_C1A1C12816BD_.wvu.PrintTitles" localSheetId="83" hidden="1">'WASHINGTON TERRACE'!$1:$9</definedName>
    <definedName name="Z_00D6F160_3E2B_11D5_8BE5_C1A1C12816BD_.wvu.PrintTitles" localSheetId="85" hidden="1">'WILLOW WOOD'!$1:$9</definedName>
    <definedName name="Z_00D6F160_3E2B_11D5_8BE5_C1A1C12816BD_.wvu.PrintTitles" localSheetId="86" hidden="1">WOODLAND!$1:$9</definedName>
    <definedName name="Z_8B6AA640_12E9_11D5_ABB1_E7A21A3D4A14_.wvu.PrintArea" localSheetId="33" hidden="1">'LIFE CARE OF SLC'!$A$1:$J$216</definedName>
    <definedName name="Z_8B6AA640_12E9_11D5_ABB1_E7A21A3D4A14_.wvu.PrintArea" localSheetId="34" hidden="1">'Little Cottonwood -BV'!$A$1:$J$216</definedName>
  </definedNames>
  <calcPr calcId="191029"/>
  <customWorkbookViews>
    <customWorkbookView name="abingham - Personal View" guid="{8B6AA640-12E9-11D5-ABB1-E7A21A3D4A14}" mergeInterval="0" personalView="1" maximized="1" windowWidth="796" windowHeight="464" tabRatio="773" activeSheetId="10"/>
    <customWorkbookView name="37356 - Personal View" guid="{00D6F160-3E2B-11D5-8BE5-C1A1C12816BD}" mergeInterval="0" personalView="1" maximized="1" windowWidth="1020" windowHeight="553" tabRatio="773" activeSheetId="97"/>
  </customWorkbookViews>
</workbook>
</file>

<file path=xl/calcChain.xml><?xml version="1.0" encoding="utf-8"?>
<calcChain xmlns="http://schemas.openxmlformats.org/spreadsheetml/2006/main">
  <c r="F130" i="32" l="1"/>
  <c r="F11" i="102" l="1"/>
  <c r="F206" i="66" l="1"/>
  <c r="F42" i="159" l="1"/>
  <c r="F185" i="159"/>
  <c r="F26" i="159"/>
  <c r="F99" i="20" l="1"/>
  <c r="F124" i="14" l="1"/>
  <c r="F74" i="86" l="1"/>
  <c r="F86" i="86"/>
  <c r="F90" i="86"/>
  <c r="F56" i="72"/>
  <c r="F89" i="72"/>
  <c r="F150" i="159" l="1"/>
  <c r="F186" i="159"/>
  <c r="F28" i="159"/>
  <c r="F160" i="159"/>
  <c r="F60" i="159"/>
  <c r="F39" i="159"/>
  <c r="F38" i="159"/>
  <c r="F65" i="159"/>
  <c r="F31" i="159"/>
  <c r="F86" i="159"/>
  <c r="F152" i="159"/>
  <c r="F20" i="159"/>
  <c r="F150" i="155"/>
  <c r="F89" i="155"/>
  <c r="F56" i="42"/>
  <c r="F35" i="42"/>
  <c r="F34" i="42"/>
  <c r="F160" i="20"/>
  <c r="F150" i="20"/>
  <c r="F89" i="20"/>
  <c r="F55" i="20"/>
  <c r="F151" i="84" l="1"/>
  <c r="F11" i="85" l="1"/>
  <c r="F89" i="86" l="1"/>
  <c r="F160" i="49" l="1"/>
  <c r="F145" i="49"/>
  <c r="F11" i="49"/>
  <c r="F11" i="15" l="1"/>
  <c r="F56" i="65" l="1"/>
  <c r="F11" i="65"/>
  <c r="F151" i="177"/>
  <c r="F60" i="177"/>
  <c r="F194" i="177"/>
  <c r="F186" i="14"/>
  <c r="F55" i="14"/>
  <c r="F54" i="14"/>
  <c r="F33" i="14"/>
  <c r="F82" i="14"/>
  <c r="F27" i="14"/>
  <c r="F36" i="14"/>
  <c r="F11" i="14"/>
  <c r="F36" i="84"/>
  <c r="F74" i="84"/>
  <c r="F87" i="84"/>
  <c r="F11" i="79" l="1"/>
  <c r="F35" i="72"/>
  <c r="F11" i="72"/>
  <c r="F11" i="46" l="1"/>
  <c r="F35" i="86" l="1"/>
  <c r="F150" i="86"/>
  <c r="F38" i="86"/>
  <c r="F35" i="95"/>
  <c r="F205" i="104" l="1"/>
  <c r="F160" i="104"/>
  <c r="F78" i="104"/>
  <c r="F56" i="102" l="1"/>
  <c r="F36" i="38"/>
  <c r="F73" i="38"/>
  <c r="F86" i="38"/>
  <c r="F35" i="38"/>
  <c r="F138" i="37" l="1"/>
  <c r="F27" i="37"/>
  <c r="F11" i="37"/>
  <c r="F55" i="32"/>
  <c r="F11" i="32"/>
  <c r="F149" i="49"/>
  <c r="F99" i="49"/>
  <c r="F92" i="49"/>
  <c r="F84" i="49"/>
  <c r="F56" i="49"/>
  <c r="F36" i="49"/>
  <c r="F202" i="49"/>
  <c r="F205" i="49"/>
  <c r="F91" i="49"/>
  <c r="F201" i="49"/>
  <c r="F142" i="49"/>
  <c r="F141" i="49"/>
  <c r="F140" i="49"/>
  <c r="F133" i="49"/>
  <c r="F130" i="49"/>
  <c r="F127" i="49"/>
  <c r="F124" i="49"/>
  <c r="F83" i="49"/>
  <c r="F28" i="49"/>
  <c r="F60" i="49"/>
  <c r="F11" i="174"/>
  <c r="F11" i="152"/>
  <c r="F11" i="68"/>
  <c r="F38" i="89"/>
  <c r="F74" i="89"/>
  <c r="F20" i="111"/>
  <c r="F36" i="111"/>
  <c r="F60" i="103" l="1"/>
  <c r="F86" i="103"/>
  <c r="F20" i="103"/>
  <c r="F66" i="103"/>
  <c r="F150" i="133"/>
  <c r="F60" i="133"/>
  <c r="F11" i="19"/>
  <c r="F11" i="66"/>
  <c r="F55" i="178" l="1"/>
  <c r="F35" i="178"/>
  <c r="F151" i="145" l="1"/>
  <c r="F60" i="66"/>
  <c r="F36" i="181"/>
  <c r="F74" i="180" l="1"/>
  <c r="D36" i="149" l="1"/>
  <c r="F60" i="28" l="1"/>
  <c r="F60" i="141" l="1"/>
  <c r="F60" i="24" l="1"/>
  <c r="C232" i="120" l="1"/>
  <c r="F60" i="98" l="1"/>
  <c r="F60" i="94" l="1"/>
  <c r="F60" i="68" l="1"/>
  <c r="F60" i="54" l="1"/>
  <c r="F31" i="174" l="1"/>
  <c r="F130" i="174"/>
  <c r="F124" i="174"/>
  <c r="F130" i="14" l="1"/>
  <c r="F31" i="14"/>
  <c r="F58" i="47" l="1"/>
  <c r="D31" i="68" l="1"/>
  <c r="D64" i="68"/>
  <c r="F58" i="103" l="1"/>
  <c r="G244" i="158" l="1"/>
  <c r="G243" i="158"/>
  <c r="G242" i="158"/>
  <c r="G241" i="158"/>
  <c r="G244" i="86" l="1"/>
  <c r="G243" i="86"/>
  <c r="G242" i="86"/>
  <c r="G241" i="86"/>
  <c r="C238" i="86"/>
  <c r="C237" i="86"/>
  <c r="C236" i="86"/>
  <c r="C235" i="86"/>
  <c r="C233" i="86"/>
  <c r="C232" i="86"/>
  <c r="C231" i="86"/>
  <c r="D228" i="86"/>
  <c r="C227" i="86"/>
  <c r="C226" i="86"/>
  <c r="C225" i="86"/>
  <c r="C224" i="86"/>
  <c r="C223" i="86"/>
  <c r="C222" i="86"/>
  <c r="C221" i="86"/>
  <c r="C220" i="86"/>
  <c r="C219" i="86"/>
  <c r="C211" i="86"/>
  <c r="D205" i="86"/>
  <c r="C205" i="86"/>
  <c r="D204" i="86"/>
  <c r="C204" i="86"/>
  <c r="D203" i="86"/>
  <c r="C203" i="86"/>
  <c r="D202" i="86"/>
  <c r="C202" i="86"/>
  <c r="D201" i="86"/>
  <c r="C201" i="86"/>
  <c r="D200" i="86"/>
  <c r="C200" i="86"/>
  <c r="D196" i="86"/>
  <c r="C196" i="86"/>
  <c r="D195" i="86"/>
  <c r="C195" i="86"/>
  <c r="D194" i="86"/>
  <c r="C194" i="86"/>
  <c r="D193" i="86"/>
  <c r="C193" i="86"/>
  <c r="D192" i="86"/>
  <c r="C192" i="86"/>
  <c r="D191" i="86"/>
  <c r="C191" i="86"/>
  <c r="D190" i="86"/>
  <c r="C190" i="86"/>
  <c r="D189" i="86"/>
  <c r="C189" i="86"/>
  <c r="D188" i="86"/>
  <c r="C188" i="86"/>
  <c r="D187" i="86"/>
  <c r="C187" i="86"/>
  <c r="D186" i="86"/>
  <c r="C186" i="86"/>
  <c r="D185" i="86"/>
  <c r="C185" i="86"/>
  <c r="D184" i="86"/>
  <c r="C184" i="86"/>
  <c r="D183" i="86"/>
  <c r="C183" i="86"/>
  <c r="D182" i="86"/>
  <c r="C182" i="86"/>
  <c r="D181" i="86"/>
  <c r="C181" i="86"/>
  <c r="D180" i="86"/>
  <c r="C180" i="86"/>
  <c r="D179" i="86"/>
  <c r="C179" i="86"/>
  <c r="D178" i="86"/>
  <c r="C178" i="86"/>
  <c r="D177" i="86"/>
  <c r="C177" i="86"/>
  <c r="D176" i="86"/>
  <c r="C176" i="86"/>
  <c r="D175" i="86"/>
  <c r="C175" i="86"/>
  <c r="D174" i="86"/>
  <c r="C174" i="86"/>
  <c r="D173" i="86"/>
  <c r="C173" i="86"/>
  <c r="D172" i="86"/>
  <c r="C172" i="86"/>
  <c r="D171" i="86"/>
  <c r="C171" i="86"/>
  <c r="D170" i="86"/>
  <c r="C170" i="86"/>
  <c r="D169" i="86"/>
  <c r="C169" i="86"/>
  <c r="D168" i="86"/>
  <c r="C168" i="86"/>
  <c r="D167" i="86"/>
  <c r="C167" i="86"/>
  <c r="D166" i="86"/>
  <c r="C166" i="86"/>
  <c r="D165" i="86"/>
  <c r="C165" i="86"/>
  <c r="D164" i="86"/>
  <c r="C164" i="86"/>
  <c r="D160" i="86"/>
  <c r="C160" i="86"/>
  <c r="D159" i="86"/>
  <c r="C159" i="86"/>
  <c r="D158" i="86"/>
  <c r="C158" i="86"/>
  <c r="D157" i="86"/>
  <c r="C157" i="86"/>
  <c r="D156" i="86"/>
  <c r="C156" i="86"/>
  <c r="D155" i="86"/>
  <c r="C155" i="86"/>
  <c r="D153" i="86"/>
  <c r="C153" i="86"/>
  <c r="D152" i="86"/>
  <c r="C152" i="86"/>
  <c r="D151" i="86"/>
  <c r="C151" i="86"/>
  <c r="D150" i="86"/>
  <c r="C150" i="86"/>
  <c r="D149" i="86"/>
  <c r="C149" i="86"/>
  <c r="D148" i="86"/>
  <c r="C148" i="86"/>
  <c r="D147" i="86"/>
  <c r="C147" i="86"/>
  <c r="D146" i="86"/>
  <c r="C146" i="86"/>
  <c r="D145" i="86"/>
  <c r="C145" i="86"/>
  <c r="D143" i="86"/>
  <c r="C143" i="86"/>
  <c r="D142" i="86"/>
  <c r="C142" i="86"/>
  <c r="D141" i="86"/>
  <c r="C141" i="86"/>
  <c r="D140" i="86"/>
  <c r="C140" i="86"/>
  <c r="D138" i="86"/>
  <c r="C138" i="86"/>
  <c r="D137" i="86"/>
  <c r="C137" i="86"/>
  <c r="D136" i="86"/>
  <c r="C136" i="86"/>
  <c r="D135" i="86"/>
  <c r="C135" i="86"/>
  <c r="D133" i="86"/>
  <c r="C133" i="86"/>
  <c r="D132" i="86"/>
  <c r="C132" i="86"/>
  <c r="D131" i="86"/>
  <c r="C131" i="86"/>
  <c r="D130" i="86"/>
  <c r="C130" i="86"/>
  <c r="D129" i="86"/>
  <c r="C129" i="86"/>
  <c r="D127" i="86"/>
  <c r="C127" i="86"/>
  <c r="D126" i="86"/>
  <c r="C126" i="86"/>
  <c r="D125" i="86"/>
  <c r="C125" i="86"/>
  <c r="D124" i="86"/>
  <c r="C124" i="86"/>
  <c r="D123" i="86"/>
  <c r="C123" i="86"/>
  <c r="D118" i="86"/>
  <c r="C118" i="86"/>
  <c r="D117" i="86"/>
  <c r="C117" i="86"/>
  <c r="D116" i="86"/>
  <c r="C116" i="86"/>
  <c r="D115" i="86"/>
  <c r="C115" i="86"/>
  <c r="D114" i="86"/>
  <c r="C114" i="86"/>
  <c r="D110" i="86"/>
  <c r="C110" i="86"/>
  <c r="D109" i="86"/>
  <c r="C109" i="86"/>
  <c r="D108" i="86"/>
  <c r="C108" i="86"/>
  <c r="D107" i="86"/>
  <c r="C107" i="86"/>
  <c r="D106" i="86"/>
  <c r="C106" i="86"/>
  <c r="D105" i="86"/>
  <c r="C105" i="86"/>
  <c r="D101" i="86"/>
  <c r="C101" i="86"/>
  <c r="D100" i="86"/>
  <c r="C100" i="86"/>
  <c r="D99" i="86"/>
  <c r="C99" i="86"/>
  <c r="D98" i="86"/>
  <c r="C98" i="86"/>
  <c r="D97" i="86"/>
  <c r="C97" i="86"/>
  <c r="D96" i="86"/>
  <c r="C96" i="86"/>
  <c r="D92" i="86"/>
  <c r="C92" i="86"/>
  <c r="D91" i="86"/>
  <c r="C91" i="86"/>
  <c r="D90" i="86"/>
  <c r="C90" i="86"/>
  <c r="D89" i="86"/>
  <c r="C89" i="86"/>
  <c r="D88" i="86"/>
  <c r="C88" i="86"/>
  <c r="D87" i="86"/>
  <c r="C87" i="86"/>
  <c r="D86" i="86"/>
  <c r="C86" i="86"/>
  <c r="D85" i="86"/>
  <c r="C85" i="86"/>
  <c r="D84" i="86"/>
  <c r="C84" i="86"/>
  <c r="D83" i="86"/>
  <c r="C83" i="86"/>
  <c r="D82" i="86"/>
  <c r="C82" i="86"/>
  <c r="D78" i="86"/>
  <c r="C78" i="86"/>
  <c r="D77" i="86"/>
  <c r="C77" i="86"/>
  <c r="D76" i="86"/>
  <c r="C76" i="86"/>
  <c r="D75" i="86"/>
  <c r="C75" i="86"/>
  <c r="D74" i="86"/>
  <c r="C74" i="86"/>
  <c r="D73" i="86"/>
  <c r="C73" i="86"/>
  <c r="D72" i="86"/>
  <c r="C72" i="86"/>
  <c r="D71" i="86"/>
  <c r="C71" i="86"/>
  <c r="D70" i="86"/>
  <c r="C70" i="86"/>
  <c r="D69" i="86"/>
  <c r="C69" i="86"/>
  <c r="D68" i="86"/>
  <c r="C68" i="86"/>
  <c r="D67" i="86"/>
  <c r="C67" i="86"/>
  <c r="D66" i="86"/>
  <c r="C66" i="86"/>
  <c r="D65" i="86"/>
  <c r="C65" i="86"/>
  <c r="D64" i="86"/>
  <c r="C64" i="86"/>
  <c r="D60" i="86"/>
  <c r="C60" i="86"/>
  <c r="D59" i="86"/>
  <c r="C59" i="86"/>
  <c r="D58" i="86"/>
  <c r="C58" i="86"/>
  <c r="D57" i="86"/>
  <c r="C57" i="86"/>
  <c r="D56" i="86"/>
  <c r="C56" i="86"/>
  <c r="D55" i="86"/>
  <c r="C55" i="86"/>
  <c r="D54" i="86"/>
  <c r="C54" i="86"/>
  <c r="D53" i="86"/>
  <c r="C53" i="86"/>
  <c r="D52" i="86"/>
  <c r="C52" i="86"/>
  <c r="D51" i="86"/>
  <c r="C51" i="86"/>
  <c r="D50" i="86"/>
  <c r="C50" i="86"/>
  <c r="D49" i="86"/>
  <c r="C49" i="86"/>
  <c r="D48" i="86"/>
  <c r="C48" i="86"/>
  <c r="D47" i="86"/>
  <c r="C47" i="86"/>
  <c r="D46" i="86"/>
  <c r="C46" i="86"/>
  <c r="D45" i="86"/>
  <c r="C45" i="86"/>
  <c r="D44" i="86"/>
  <c r="C44" i="86"/>
  <c r="D43" i="86"/>
  <c r="C43" i="86"/>
  <c r="D42" i="86"/>
  <c r="C42" i="86"/>
  <c r="D41" i="86"/>
  <c r="C41" i="86"/>
  <c r="D40" i="86"/>
  <c r="C40" i="86"/>
  <c r="D39" i="86"/>
  <c r="C39" i="86"/>
  <c r="D38" i="86"/>
  <c r="C38" i="86"/>
  <c r="D37" i="86"/>
  <c r="C37" i="86"/>
  <c r="D36" i="86"/>
  <c r="C36" i="86"/>
  <c r="D35" i="86"/>
  <c r="C35" i="86"/>
  <c r="D34" i="86"/>
  <c r="C34" i="86"/>
  <c r="D33" i="86"/>
  <c r="C33" i="86"/>
  <c r="D32" i="86"/>
  <c r="C32" i="86"/>
  <c r="D31" i="86"/>
  <c r="C31" i="86"/>
  <c r="D30" i="86"/>
  <c r="C30" i="86"/>
  <c r="D29" i="86"/>
  <c r="C29" i="86"/>
  <c r="D28" i="86"/>
  <c r="C28" i="86"/>
  <c r="D27" i="86"/>
  <c r="C27" i="86"/>
  <c r="D26" i="86"/>
  <c r="C26" i="86"/>
  <c r="D25" i="86"/>
  <c r="C25" i="86"/>
  <c r="D20" i="86"/>
  <c r="C20" i="86"/>
  <c r="D19" i="86"/>
  <c r="C19" i="86"/>
  <c r="D18" i="86"/>
  <c r="C18" i="86"/>
  <c r="D17" i="86"/>
  <c r="C17" i="86"/>
  <c r="D16" i="86"/>
  <c r="C16" i="86"/>
  <c r="D15" i="86"/>
  <c r="C15" i="86"/>
  <c r="D14" i="86"/>
  <c r="C14" i="86"/>
  <c r="D13" i="86"/>
  <c r="C13" i="86"/>
  <c r="D12" i="86"/>
  <c r="C12" i="86"/>
  <c r="D11" i="86"/>
  <c r="C11" i="86"/>
  <c r="D102" i="86" l="1"/>
  <c r="D119" i="86"/>
  <c r="D21" i="86"/>
  <c r="D93" i="86"/>
  <c r="C119" i="86"/>
  <c r="C79" i="86"/>
  <c r="D79" i="86"/>
  <c r="C161" i="86"/>
  <c r="C111" i="86"/>
  <c r="D161" i="86"/>
  <c r="C228" i="86"/>
  <c r="C197" i="86"/>
  <c r="C206" i="86"/>
  <c r="D111" i="86"/>
  <c r="C21" i="86"/>
  <c r="C93" i="86"/>
  <c r="C102" i="86"/>
  <c r="D197" i="86"/>
  <c r="D206" i="86"/>
  <c r="C61" i="86"/>
  <c r="D61" i="86"/>
  <c r="D208" i="86" l="1"/>
  <c r="D215" i="86" s="1"/>
  <c r="C208" i="86"/>
  <c r="C212" i="86" s="1"/>
  <c r="C215" i="86" l="1"/>
  <c r="G244" i="180"/>
  <c r="G243" i="180"/>
  <c r="G242" i="180"/>
  <c r="G241" i="180"/>
  <c r="C238" i="180"/>
  <c r="C237" i="180"/>
  <c r="C236" i="180"/>
  <c r="C235" i="180"/>
  <c r="C233" i="180"/>
  <c r="C232" i="180"/>
  <c r="C231" i="180"/>
  <c r="D228" i="180"/>
  <c r="C227" i="180"/>
  <c r="C226" i="180"/>
  <c r="C225" i="180"/>
  <c r="C224" i="180"/>
  <c r="C223" i="180"/>
  <c r="C222" i="180"/>
  <c r="C221" i="180"/>
  <c r="C220" i="180"/>
  <c r="C219" i="180"/>
  <c r="C211" i="180"/>
  <c r="D205" i="180"/>
  <c r="C205" i="180"/>
  <c r="D204" i="180"/>
  <c r="C204" i="180"/>
  <c r="D203" i="180"/>
  <c r="C203" i="180"/>
  <c r="D202" i="180"/>
  <c r="C202" i="180"/>
  <c r="D201" i="180"/>
  <c r="C201" i="180"/>
  <c r="D200" i="180"/>
  <c r="C200" i="180"/>
  <c r="D196" i="180"/>
  <c r="C196" i="180"/>
  <c r="D195" i="180"/>
  <c r="C195" i="180"/>
  <c r="D194" i="180"/>
  <c r="C194" i="180"/>
  <c r="D193" i="180"/>
  <c r="C193" i="180"/>
  <c r="D192" i="180"/>
  <c r="C192" i="180"/>
  <c r="D191" i="180"/>
  <c r="C191" i="180"/>
  <c r="D190" i="180"/>
  <c r="C190" i="180"/>
  <c r="D189" i="180"/>
  <c r="C189" i="180"/>
  <c r="D188" i="180"/>
  <c r="C188" i="180"/>
  <c r="D187" i="180"/>
  <c r="C187" i="180"/>
  <c r="D186" i="180"/>
  <c r="C186" i="180"/>
  <c r="D185" i="180"/>
  <c r="C185" i="180"/>
  <c r="D184" i="180"/>
  <c r="C184" i="180"/>
  <c r="D183" i="180"/>
  <c r="C183" i="180"/>
  <c r="D182" i="180"/>
  <c r="C182" i="180"/>
  <c r="D181" i="180"/>
  <c r="C181" i="180"/>
  <c r="D180" i="180"/>
  <c r="C180" i="180"/>
  <c r="D179" i="180"/>
  <c r="C179" i="180"/>
  <c r="D178" i="180"/>
  <c r="C178" i="180"/>
  <c r="D177" i="180"/>
  <c r="C177" i="180"/>
  <c r="D176" i="180"/>
  <c r="C176" i="180"/>
  <c r="D175" i="180"/>
  <c r="C175" i="180"/>
  <c r="D174" i="180"/>
  <c r="C174" i="180"/>
  <c r="D173" i="180"/>
  <c r="C173" i="180"/>
  <c r="D172" i="180"/>
  <c r="C172" i="180"/>
  <c r="D171" i="180"/>
  <c r="C171" i="180"/>
  <c r="D170" i="180"/>
  <c r="C170" i="180"/>
  <c r="D169" i="180"/>
  <c r="C169" i="180"/>
  <c r="D168" i="180"/>
  <c r="C168" i="180"/>
  <c r="D167" i="180"/>
  <c r="C167" i="180"/>
  <c r="D166" i="180"/>
  <c r="C166" i="180"/>
  <c r="D165" i="180"/>
  <c r="C165" i="180"/>
  <c r="D164" i="180"/>
  <c r="C164" i="180"/>
  <c r="D160" i="180"/>
  <c r="C160" i="180"/>
  <c r="D159" i="180"/>
  <c r="C159" i="180"/>
  <c r="D158" i="180"/>
  <c r="C158" i="180"/>
  <c r="D157" i="180"/>
  <c r="C157" i="180"/>
  <c r="D156" i="180"/>
  <c r="C156" i="180"/>
  <c r="D155" i="180"/>
  <c r="C155" i="180"/>
  <c r="D153" i="180"/>
  <c r="C153" i="180"/>
  <c r="D152" i="180"/>
  <c r="C152" i="180"/>
  <c r="D151" i="180"/>
  <c r="C151" i="180"/>
  <c r="D150" i="180"/>
  <c r="C150" i="180"/>
  <c r="D149" i="180"/>
  <c r="C149" i="180"/>
  <c r="D148" i="180"/>
  <c r="C148" i="180"/>
  <c r="D147" i="180"/>
  <c r="C147" i="180"/>
  <c r="D146" i="180"/>
  <c r="C146" i="180"/>
  <c r="D145" i="180"/>
  <c r="C145" i="180"/>
  <c r="D143" i="180"/>
  <c r="C143" i="180"/>
  <c r="D142" i="180"/>
  <c r="C142" i="180"/>
  <c r="D141" i="180"/>
  <c r="C141" i="180"/>
  <c r="D140" i="180"/>
  <c r="C140" i="180"/>
  <c r="D138" i="180"/>
  <c r="C138" i="180"/>
  <c r="D137" i="180"/>
  <c r="C137" i="180"/>
  <c r="D136" i="180"/>
  <c r="C136" i="180"/>
  <c r="D135" i="180"/>
  <c r="C135" i="180"/>
  <c r="D133" i="180"/>
  <c r="C133" i="180"/>
  <c r="D132" i="180"/>
  <c r="C132" i="180"/>
  <c r="D131" i="180"/>
  <c r="C131" i="180"/>
  <c r="D130" i="180"/>
  <c r="C130" i="180"/>
  <c r="D129" i="180"/>
  <c r="C129" i="180"/>
  <c r="D127" i="180"/>
  <c r="C127" i="180"/>
  <c r="D126" i="180"/>
  <c r="C126" i="180"/>
  <c r="D125" i="180"/>
  <c r="C125" i="180"/>
  <c r="D124" i="180"/>
  <c r="C124" i="180"/>
  <c r="D123" i="180"/>
  <c r="C123" i="180"/>
  <c r="D118" i="180"/>
  <c r="C118" i="180"/>
  <c r="D117" i="180"/>
  <c r="C117" i="180"/>
  <c r="D116" i="180"/>
  <c r="C116" i="180"/>
  <c r="D115" i="180"/>
  <c r="C115" i="180"/>
  <c r="D114" i="180"/>
  <c r="C114" i="180"/>
  <c r="D110" i="180"/>
  <c r="C110" i="180"/>
  <c r="D109" i="180"/>
  <c r="C109" i="180"/>
  <c r="D108" i="180"/>
  <c r="C108" i="180"/>
  <c r="D107" i="180"/>
  <c r="C107" i="180"/>
  <c r="D106" i="180"/>
  <c r="C106" i="180"/>
  <c r="D105" i="180"/>
  <c r="C105" i="180"/>
  <c r="D101" i="180"/>
  <c r="C101" i="180"/>
  <c r="D100" i="180"/>
  <c r="C100" i="180"/>
  <c r="D99" i="180"/>
  <c r="C99" i="180"/>
  <c r="D98" i="180"/>
  <c r="C98" i="180"/>
  <c r="D97" i="180"/>
  <c r="C97" i="180"/>
  <c r="D96" i="180"/>
  <c r="C96" i="180"/>
  <c r="D92" i="180"/>
  <c r="C92" i="180"/>
  <c r="D91" i="180"/>
  <c r="C91" i="180"/>
  <c r="D90" i="180"/>
  <c r="C90" i="180"/>
  <c r="D89" i="180"/>
  <c r="C89" i="180"/>
  <c r="D88" i="180"/>
  <c r="C88" i="180"/>
  <c r="D87" i="180"/>
  <c r="C87" i="180"/>
  <c r="D86" i="180"/>
  <c r="C86" i="180"/>
  <c r="D85" i="180"/>
  <c r="C85" i="180"/>
  <c r="D84" i="180"/>
  <c r="C84" i="180"/>
  <c r="D83" i="180"/>
  <c r="C83" i="180"/>
  <c r="D82" i="180"/>
  <c r="C82" i="180"/>
  <c r="D78" i="180"/>
  <c r="C78" i="180"/>
  <c r="D77" i="180"/>
  <c r="C77" i="180"/>
  <c r="D76" i="180"/>
  <c r="C76" i="180"/>
  <c r="D75" i="180"/>
  <c r="C75" i="180"/>
  <c r="D74" i="180"/>
  <c r="C74" i="180"/>
  <c r="D73" i="180"/>
  <c r="C73" i="180"/>
  <c r="D72" i="180"/>
  <c r="C72" i="180"/>
  <c r="D71" i="180"/>
  <c r="C71" i="180"/>
  <c r="D70" i="180"/>
  <c r="C70" i="180"/>
  <c r="D69" i="180"/>
  <c r="C69" i="180"/>
  <c r="D68" i="180"/>
  <c r="C68" i="180"/>
  <c r="D67" i="180"/>
  <c r="C67" i="180"/>
  <c r="D66" i="180"/>
  <c r="C66" i="180"/>
  <c r="D65" i="180"/>
  <c r="C65" i="180"/>
  <c r="D64" i="180"/>
  <c r="C64" i="180"/>
  <c r="D60" i="180"/>
  <c r="C60" i="180"/>
  <c r="D59" i="180"/>
  <c r="C59" i="180"/>
  <c r="D58" i="180"/>
  <c r="C58" i="180"/>
  <c r="D57" i="180"/>
  <c r="C57" i="180"/>
  <c r="D56" i="180"/>
  <c r="C56" i="180"/>
  <c r="D55" i="180"/>
  <c r="C55" i="180"/>
  <c r="D54" i="180"/>
  <c r="C54" i="180"/>
  <c r="D53" i="180"/>
  <c r="C53" i="180"/>
  <c r="D52" i="180"/>
  <c r="C52" i="180"/>
  <c r="D51" i="180"/>
  <c r="C51" i="180"/>
  <c r="D50" i="180"/>
  <c r="C50" i="180"/>
  <c r="D49" i="180"/>
  <c r="C49" i="180"/>
  <c r="D48" i="180"/>
  <c r="C48" i="180"/>
  <c r="D47" i="180"/>
  <c r="C47" i="180"/>
  <c r="D46" i="180"/>
  <c r="C46" i="180"/>
  <c r="D45" i="180"/>
  <c r="C45" i="180"/>
  <c r="D44" i="180"/>
  <c r="C44" i="180"/>
  <c r="D43" i="180"/>
  <c r="C43" i="180"/>
  <c r="D42" i="180"/>
  <c r="C42" i="180"/>
  <c r="D41" i="180"/>
  <c r="C41" i="180"/>
  <c r="D40" i="180"/>
  <c r="C40" i="180"/>
  <c r="D39" i="180"/>
  <c r="C39" i="180"/>
  <c r="D38" i="180"/>
  <c r="C38" i="180"/>
  <c r="D37" i="180"/>
  <c r="C37" i="180"/>
  <c r="D36" i="180"/>
  <c r="C36" i="180"/>
  <c r="D35" i="180"/>
  <c r="C35" i="180"/>
  <c r="D34" i="180"/>
  <c r="C34" i="180"/>
  <c r="D33" i="180"/>
  <c r="C33" i="180"/>
  <c r="D32" i="180"/>
  <c r="C32" i="180"/>
  <c r="D31" i="180"/>
  <c r="C31" i="180"/>
  <c r="D30" i="180"/>
  <c r="C30" i="180"/>
  <c r="D29" i="180"/>
  <c r="C29" i="180"/>
  <c r="D28" i="180"/>
  <c r="C28" i="180"/>
  <c r="D27" i="180"/>
  <c r="C27" i="180"/>
  <c r="D26" i="180"/>
  <c r="C26" i="180"/>
  <c r="D25" i="180"/>
  <c r="C25" i="180"/>
  <c r="D20" i="180"/>
  <c r="C20" i="180"/>
  <c r="D19" i="180"/>
  <c r="C19" i="180"/>
  <c r="D18" i="180"/>
  <c r="C18" i="180"/>
  <c r="D17" i="180"/>
  <c r="C17" i="180"/>
  <c r="D16" i="180"/>
  <c r="C16" i="180"/>
  <c r="D15" i="180"/>
  <c r="C15" i="180"/>
  <c r="D14" i="180"/>
  <c r="C14" i="180"/>
  <c r="D13" i="180"/>
  <c r="C13" i="180"/>
  <c r="D12" i="180"/>
  <c r="C12" i="180"/>
  <c r="D11" i="180"/>
  <c r="C11" i="180"/>
  <c r="D93" i="180" l="1"/>
  <c r="D119" i="180"/>
  <c r="D102" i="180"/>
  <c r="D79" i="180"/>
  <c r="C79" i="180"/>
  <c r="C119" i="180"/>
  <c r="D61" i="180"/>
  <c r="C111" i="180"/>
  <c r="C161" i="180"/>
  <c r="D161" i="180"/>
  <c r="C228" i="180"/>
  <c r="D111" i="180"/>
  <c r="C21" i="180"/>
  <c r="C197" i="180"/>
  <c r="C206" i="180"/>
  <c r="D21" i="180"/>
  <c r="C93" i="180"/>
  <c r="C102" i="180"/>
  <c r="D197" i="180"/>
  <c r="D206" i="180"/>
  <c r="C61" i="180"/>
  <c r="D208" i="180" l="1"/>
  <c r="D215" i="180" s="1"/>
  <c r="C208" i="180"/>
  <c r="C212" i="180" s="1"/>
  <c r="C215" i="180" l="1"/>
  <c r="K200" i="103"/>
  <c r="J200" i="103"/>
  <c r="K137" i="103"/>
  <c r="K136" i="103"/>
  <c r="K135" i="103"/>
  <c r="J137" i="103"/>
  <c r="J136" i="103"/>
  <c r="J135" i="103"/>
  <c r="K127" i="103"/>
  <c r="K124" i="103"/>
  <c r="J127" i="103"/>
  <c r="J124" i="103"/>
  <c r="K114" i="103"/>
  <c r="J114" i="103"/>
  <c r="K105" i="103"/>
  <c r="J105" i="103"/>
  <c r="K96" i="103"/>
  <c r="J96" i="103"/>
  <c r="K82" i="103"/>
  <c r="J82" i="103"/>
  <c r="K27" i="103"/>
  <c r="K25" i="103"/>
  <c r="J27" i="103"/>
  <c r="J25" i="103"/>
  <c r="C238" i="103" l="1"/>
  <c r="C237" i="103"/>
  <c r="C236" i="103"/>
  <c r="C235" i="103"/>
  <c r="C233" i="103"/>
  <c r="C232" i="103"/>
  <c r="C231" i="103"/>
  <c r="D228" i="103"/>
  <c r="C227" i="103"/>
  <c r="C226" i="103"/>
  <c r="C225" i="103"/>
  <c r="C224" i="103"/>
  <c r="C223" i="103"/>
  <c r="C222" i="103"/>
  <c r="C221" i="103"/>
  <c r="C220" i="103"/>
  <c r="C219" i="103"/>
  <c r="C211" i="103"/>
  <c r="D205" i="103"/>
  <c r="C205" i="103"/>
  <c r="D204" i="103"/>
  <c r="C204" i="103"/>
  <c r="D203" i="103"/>
  <c r="C203" i="103"/>
  <c r="D202" i="103"/>
  <c r="C202" i="103"/>
  <c r="D201" i="103"/>
  <c r="C201" i="103"/>
  <c r="D200" i="103"/>
  <c r="C200" i="103"/>
  <c r="D196" i="103"/>
  <c r="C196" i="103"/>
  <c r="D195" i="103"/>
  <c r="C195" i="103"/>
  <c r="D194" i="103"/>
  <c r="C194" i="103"/>
  <c r="D193" i="103"/>
  <c r="C193" i="103"/>
  <c r="D192" i="103"/>
  <c r="C192" i="103"/>
  <c r="D191" i="103"/>
  <c r="C191" i="103"/>
  <c r="D190" i="103"/>
  <c r="C190" i="103"/>
  <c r="D189" i="103"/>
  <c r="C189" i="103"/>
  <c r="D188" i="103"/>
  <c r="C188" i="103"/>
  <c r="D187" i="103"/>
  <c r="C187" i="103"/>
  <c r="D186" i="103"/>
  <c r="C186" i="103"/>
  <c r="D185" i="103"/>
  <c r="C185" i="103"/>
  <c r="D184" i="103"/>
  <c r="C184" i="103"/>
  <c r="D183" i="103"/>
  <c r="C183" i="103"/>
  <c r="D182" i="103"/>
  <c r="C182" i="103"/>
  <c r="D181" i="103"/>
  <c r="C181" i="103"/>
  <c r="D180" i="103"/>
  <c r="C180" i="103"/>
  <c r="D179" i="103"/>
  <c r="C179" i="103"/>
  <c r="D178" i="103"/>
  <c r="C178" i="103"/>
  <c r="D177" i="103"/>
  <c r="C177" i="103"/>
  <c r="D176" i="103"/>
  <c r="C176" i="103"/>
  <c r="D175" i="103"/>
  <c r="C175" i="103"/>
  <c r="D174" i="103"/>
  <c r="C174" i="103"/>
  <c r="D173" i="103"/>
  <c r="C173" i="103"/>
  <c r="D172" i="103"/>
  <c r="C172" i="103"/>
  <c r="D171" i="103"/>
  <c r="C171" i="103"/>
  <c r="D170" i="103"/>
  <c r="C170" i="103"/>
  <c r="D169" i="103"/>
  <c r="C169" i="103"/>
  <c r="D168" i="103"/>
  <c r="C168" i="103"/>
  <c r="D167" i="103"/>
  <c r="C167" i="103"/>
  <c r="D166" i="103"/>
  <c r="C166" i="103"/>
  <c r="D165" i="103"/>
  <c r="C165" i="103"/>
  <c r="D164" i="103"/>
  <c r="C164" i="103"/>
  <c r="D160" i="103"/>
  <c r="C160" i="103"/>
  <c r="D159" i="103"/>
  <c r="C159" i="103"/>
  <c r="D158" i="103"/>
  <c r="C158" i="103"/>
  <c r="D157" i="103"/>
  <c r="C157" i="103"/>
  <c r="D156" i="103"/>
  <c r="C156" i="103"/>
  <c r="D155" i="103"/>
  <c r="C155" i="103"/>
  <c r="D153" i="103"/>
  <c r="C153" i="103"/>
  <c r="D152" i="103"/>
  <c r="C152" i="103"/>
  <c r="D151" i="103"/>
  <c r="C151" i="103"/>
  <c r="D150" i="103"/>
  <c r="C150" i="103"/>
  <c r="D149" i="103"/>
  <c r="C149" i="103"/>
  <c r="D148" i="103"/>
  <c r="C148" i="103"/>
  <c r="D147" i="103"/>
  <c r="C147" i="103"/>
  <c r="D146" i="103"/>
  <c r="C146" i="103"/>
  <c r="D145" i="103"/>
  <c r="C145" i="103"/>
  <c r="D143" i="103"/>
  <c r="C143" i="103"/>
  <c r="D142" i="103"/>
  <c r="C142" i="103"/>
  <c r="D141" i="103"/>
  <c r="C141" i="103"/>
  <c r="D140" i="103"/>
  <c r="C140" i="103"/>
  <c r="D138" i="103"/>
  <c r="C138" i="103"/>
  <c r="D137" i="103"/>
  <c r="C137" i="103"/>
  <c r="D136" i="103"/>
  <c r="C136" i="103"/>
  <c r="D135" i="103"/>
  <c r="C135" i="103"/>
  <c r="D133" i="103"/>
  <c r="C133" i="103"/>
  <c r="D132" i="103"/>
  <c r="C132" i="103"/>
  <c r="D131" i="103"/>
  <c r="C131" i="103"/>
  <c r="D130" i="103"/>
  <c r="C130" i="103"/>
  <c r="D129" i="103"/>
  <c r="C129" i="103"/>
  <c r="D127" i="103"/>
  <c r="C127" i="103"/>
  <c r="D126" i="103"/>
  <c r="C126" i="103"/>
  <c r="D125" i="103"/>
  <c r="C125" i="103"/>
  <c r="D124" i="103"/>
  <c r="C124" i="103"/>
  <c r="D123" i="103"/>
  <c r="C123" i="103"/>
  <c r="D118" i="103"/>
  <c r="C118" i="103"/>
  <c r="D117" i="103"/>
  <c r="C117" i="103"/>
  <c r="D116" i="103"/>
  <c r="C116" i="103"/>
  <c r="D115" i="103"/>
  <c r="C115" i="103"/>
  <c r="D114" i="103"/>
  <c r="C114" i="103"/>
  <c r="D110" i="103"/>
  <c r="C110" i="103"/>
  <c r="D109" i="103"/>
  <c r="C109" i="103"/>
  <c r="D108" i="103"/>
  <c r="C108" i="103"/>
  <c r="D107" i="103"/>
  <c r="C107" i="103"/>
  <c r="D106" i="103"/>
  <c r="C106" i="103"/>
  <c r="D105" i="103"/>
  <c r="C105" i="103"/>
  <c r="D101" i="103"/>
  <c r="C101" i="103"/>
  <c r="D100" i="103"/>
  <c r="C100" i="103"/>
  <c r="D99" i="103"/>
  <c r="C99" i="103"/>
  <c r="D98" i="103"/>
  <c r="C98" i="103"/>
  <c r="D97" i="103"/>
  <c r="C97" i="103"/>
  <c r="D96" i="103"/>
  <c r="C96" i="103"/>
  <c r="D92" i="103"/>
  <c r="C92" i="103"/>
  <c r="D91" i="103"/>
  <c r="C91" i="103"/>
  <c r="D90" i="103"/>
  <c r="C90" i="103"/>
  <c r="D89" i="103"/>
  <c r="C89" i="103"/>
  <c r="D88" i="103"/>
  <c r="C88" i="103"/>
  <c r="D87" i="103"/>
  <c r="C87" i="103"/>
  <c r="D86" i="103"/>
  <c r="C86" i="103"/>
  <c r="D85" i="103"/>
  <c r="C85" i="103"/>
  <c r="D84" i="103"/>
  <c r="C84" i="103"/>
  <c r="D83" i="103"/>
  <c r="C83" i="103"/>
  <c r="D82" i="103"/>
  <c r="C82" i="103"/>
  <c r="D78" i="103"/>
  <c r="C78" i="103"/>
  <c r="D77" i="103"/>
  <c r="C77" i="103"/>
  <c r="D76" i="103"/>
  <c r="C76" i="103"/>
  <c r="D75" i="103"/>
  <c r="C75" i="103"/>
  <c r="D74" i="103"/>
  <c r="C74" i="103"/>
  <c r="D73" i="103"/>
  <c r="C73" i="103"/>
  <c r="D72" i="103"/>
  <c r="C72" i="103"/>
  <c r="D71" i="103"/>
  <c r="C71" i="103"/>
  <c r="D70" i="103"/>
  <c r="C70" i="103"/>
  <c r="D69" i="103"/>
  <c r="C69" i="103"/>
  <c r="D68" i="103"/>
  <c r="C68" i="103"/>
  <c r="D67" i="103"/>
  <c r="C67" i="103"/>
  <c r="D66" i="103"/>
  <c r="C66" i="103"/>
  <c r="D65" i="103"/>
  <c r="C65" i="103"/>
  <c r="D64" i="103"/>
  <c r="C64" i="103"/>
  <c r="D60" i="103"/>
  <c r="C60" i="103"/>
  <c r="D59" i="103"/>
  <c r="C59" i="103"/>
  <c r="D58" i="103"/>
  <c r="C58" i="103"/>
  <c r="D57" i="103"/>
  <c r="C57" i="103"/>
  <c r="D56" i="103"/>
  <c r="C56" i="103"/>
  <c r="D55" i="103"/>
  <c r="C55" i="103"/>
  <c r="D54" i="103"/>
  <c r="C54" i="103"/>
  <c r="D53" i="103"/>
  <c r="C53" i="103"/>
  <c r="D52" i="103"/>
  <c r="C52" i="103"/>
  <c r="D51" i="103"/>
  <c r="C51" i="103"/>
  <c r="D50" i="103"/>
  <c r="C50" i="103"/>
  <c r="D49" i="103"/>
  <c r="C49" i="103"/>
  <c r="D48" i="103"/>
  <c r="C48" i="103"/>
  <c r="D47" i="103"/>
  <c r="C47" i="103"/>
  <c r="D46" i="103"/>
  <c r="C46" i="103"/>
  <c r="D45" i="103"/>
  <c r="C45" i="103"/>
  <c r="D44" i="103"/>
  <c r="C44" i="103"/>
  <c r="D43" i="103"/>
  <c r="C43" i="103"/>
  <c r="D42" i="103"/>
  <c r="C42" i="103"/>
  <c r="D41" i="103"/>
  <c r="C41" i="103"/>
  <c r="D40" i="103"/>
  <c r="C40" i="103"/>
  <c r="D39" i="103"/>
  <c r="C39" i="103"/>
  <c r="D38" i="103"/>
  <c r="C38" i="103"/>
  <c r="D37" i="103"/>
  <c r="C37" i="103"/>
  <c r="D36" i="103"/>
  <c r="C36" i="103"/>
  <c r="D35" i="103"/>
  <c r="C35" i="103"/>
  <c r="D34" i="103"/>
  <c r="C34" i="103"/>
  <c r="D33" i="103"/>
  <c r="C33" i="103"/>
  <c r="D32" i="103"/>
  <c r="C32" i="103"/>
  <c r="D31" i="103"/>
  <c r="C31" i="103"/>
  <c r="D30" i="103"/>
  <c r="C30" i="103"/>
  <c r="D29" i="103"/>
  <c r="C29" i="103"/>
  <c r="D28" i="103"/>
  <c r="C28" i="103"/>
  <c r="D27" i="103"/>
  <c r="C27" i="103"/>
  <c r="D26" i="103"/>
  <c r="C26" i="103"/>
  <c r="D25" i="103"/>
  <c r="C25" i="103"/>
  <c r="D20" i="103"/>
  <c r="C20" i="103"/>
  <c r="D19" i="103"/>
  <c r="C19" i="103"/>
  <c r="D18" i="103"/>
  <c r="C18" i="103"/>
  <c r="D17" i="103"/>
  <c r="C17" i="103"/>
  <c r="D16" i="103"/>
  <c r="C16" i="103"/>
  <c r="D15" i="103"/>
  <c r="C15" i="103"/>
  <c r="D14" i="103"/>
  <c r="C14" i="103"/>
  <c r="D13" i="103"/>
  <c r="C13" i="103"/>
  <c r="D12" i="103"/>
  <c r="C12" i="103"/>
  <c r="D11" i="103"/>
  <c r="C11" i="103"/>
  <c r="D79" i="103" l="1"/>
  <c r="D161" i="103"/>
  <c r="D197" i="103"/>
  <c r="C161" i="103"/>
  <c r="C228" i="103"/>
  <c r="C79" i="103"/>
  <c r="C197" i="103"/>
  <c r="C206" i="103"/>
  <c r="C111" i="103"/>
  <c r="D119" i="103"/>
  <c r="D206" i="103"/>
  <c r="C93" i="103"/>
  <c r="C119" i="103"/>
  <c r="C21" i="103"/>
  <c r="C102" i="103"/>
  <c r="D111" i="103"/>
  <c r="D21" i="103"/>
  <c r="D93" i="103"/>
  <c r="D102" i="103"/>
  <c r="C61" i="103"/>
  <c r="D61" i="103"/>
  <c r="D208" i="103" l="1"/>
  <c r="D215" i="103" s="1"/>
  <c r="C208" i="103"/>
  <c r="C212" i="103" s="1"/>
  <c r="C215" i="103" l="1"/>
  <c r="G244" i="118"/>
  <c r="G243" i="118"/>
  <c r="G242" i="118"/>
  <c r="G241" i="118"/>
  <c r="C238" i="118"/>
  <c r="C237" i="118"/>
  <c r="C236" i="118"/>
  <c r="C235" i="118"/>
  <c r="C233" i="118"/>
  <c r="C232" i="118"/>
  <c r="C231" i="118"/>
  <c r="D228" i="118"/>
  <c r="C227" i="118"/>
  <c r="C226" i="118"/>
  <c r="C225" i="118"/>
  <c r="C224" i="118"/>
  <c r="C223" i="118"/>
  <c r="C222" i="118"/>
  <c r="C221" i="118"/>
  <c r="C220" i="118"/>
  <c r="C219" i="118"/>
  <c r="C211" i="118"/>
  <c r="D205" i="118"/>
  <c r="C205" i="118"/>
  <c r="D204" i="118"/>
  <c r="C204" i="118"/>
  <c r="D203" i="118"/>
  <c r="C203" i="118"/>
  <c r="D202" i="118"/>
  <c r="C202" i="118"/>
  <c r="D201" i="118"/>
  <c r="C201" i="118"/>
  <c r="D200" i="118"/>
  <c r="C200" i="118"/>
  <c r="D196" i="118"/>
  <c r="C196" i="118"/>
  <c r="D195" i="118"/>
  <c r="C195" i="118"/>
  <c r="D194" i="118"/>
  <c r="C194" i="118"/>
  <c r="D193" i="118"/>
  <c r="C193" i="118"/>
  <c r="D192" i="118"/>
  <c r="C192" i="118"/>
  <c r="D191" i="118"/>
  <c r="C191" i="118"/>
  <c r="D190" i="118"/>
  <c r="C190" i="118"/>
  <c r="D189" i="118"/>
  <c r="C189" i="118"/>
  <c r="D188" i="118"/>
  <c r="C188" i="118"/>
  <c r="D187" i="118"/>
  <c r="C187" i="118"/>
  <c r="D186" i="118"/>
  <c r="C186" i="118"/>
  <c r="D185" i="118"/>
  <c r="C185" i="118"/>
  <c r="D184" i="118"/>
  <c r="C184" i="118"/>
  <c r="D183" i="118"/>
  <c r="C183" i="118"/>
  <c r="D182" i="118"/>
  <c r="C182" i="118"/>
  <c r="D181" i="118"/>
  <c r="C181" i="118"/>
  <c r="D180" i="118"/>
  <c r="C180" i="118"/>
  <c r="D179" i="118"/>
  <c r="C179" i="118"/>
  <c r="D178" i="118"/>
  <c r="C178" i="118"/>
  <c r="D177" i="118"/>
  <c r="C177" i="118"/>
  <c r="D176" i="118"/>
  <c r="C176" i="118"/>
  <c r="D175" i="118"/>
  <c r="C175" i="118"/>
  <c r="D174" i="118"/>
  <c r="C174" i="118"/>
  <c r="D173" i="118"/>
  <c r="C173" i="118"/>
  <c r="D172" i="118"/>
  <c r="C172" i="118"/>
  <c r="D171" i="118"/>
  <c r="C171" i="118"/>
  <c r="D170" i="118"/>
  <c r="C170" i="118"/>
  <c r="D169" i="118"/>
  <c r="C169" i="118"/>
  <c r="D168" i="118"/>
  <c r="C168" i="118"/>
  <c r="D167" i="118"/>
  <c r="C167" i="118"/>
  <c r="D166" i="118"/>
  <c r="C166" i="118"/>
  <c r="D165" i="118"/>
  <c r="C165" i="118"/>
  <c r="D164" i="118"/>
  <c r="C164" i="118"/>
  <c r="D160" i="118"/>
  <c r="C160" i="118"/>
  <c r="D159" i="118"/>
  <c r="C159" i="118"/>
  <c r="D158" i="118"/>
  <c r="C158" i="118"/>
  <c r="D157" i="118"/>
  <c r="C157" i="118"/>
  <c r="D156" i="118"/>
  <c r="C156" i="118"/>
  <c r="D155" i="118"/>
  <c r="C155" i="118"/>
  <c r="D153" i="118"/>
  <c r="C153" i="118"/>
  <c r="D152" i="118"/>
  <c r="C152" i="118"/>
  <c r="D151" i="118"/>
  <c r="C151" i="118"/>
  <c r="D150" i="118"/>
  <c r="C150" i="118"/>
  <c r="D149" i="118"/>
  <c r="C149" i="118"/>
  <c r="D148" i="118"/>
  <c r="C148" i="118"/>
  <c r="D147" i="118"/>
  <c r="C147" i="118"/>
  <c r="D146" i="118"/>
  <c r="C146" i="118"/>
  <c r="D145" i="118"/>
  <c r="C145" i="118"/>
  <c r="D143" i="118"/>
  <c r="C143" i="118"/>
  <c r="D142" i="118"/>
  <c r="C142" i="118"/>
  <c r="D141" i="118"/>
  <c r="C141" i="118"/>
  <c r="D140" i="118"/>
  <c r="C140" i="118"/>
  <c r="D138" i="118"/>
  <c r="C138" i="118"/>
  <c r="D137" i="118"/>
  <c r="C137" i="118"/>
  <c r="D136" i="118"/>
  <c r="C136" i="118"/>
  <c r="D135" i="118"/>
  <c r="C135" i="118"/>
  <c r="D133" i="118"/>
  <c r="C133" i="118"/>
  <c r="D132" i="118"/>
  <c r="C132" i="118"/>
  <c r="D131" i="118"/>
  <c r="C131" i="118"/>
  <c r="D130" i="118"/>
  <c r="C130" i="118"/>
  <c r="D129" i="118"/>
  <c r="C129" i="118"/>
  <c r="D127" i="118"/>
  <c r="C127" i="118"/>
  <c r="D126" i="118"/>
  <c r="C126" i="118"/>
  <c r="D125" i="118"/>
  <c r="C125" i="118"/>
  <c r="D124" i="118"/>
  <c r="C124" i="118"/>
  <c r="D123" i="118"/>
  <c r="C123" i="118"/>
  <c r="D118" i="118"/>
  <c r="C118" i="118"/>
  <c r="D117" i="118"/>
  <c r="C117" i="118"/>
  <c r="D116" i="118"/>
  <c r="C116" i="118"/>
  <c r="D115" i="118"/>
  <c r="C115" i="118"/>
  <c r="D114" i="118"/>
  <c r="C114" i="118"/>
  <c r="D110" i="118"/>
  <c r="C110" i="118"/>
  <c r="D109" i="118"/>
  <c r="C109" i="118"/>
  <c r="D108" i="118"/>
  <c r="C108" i="118"/>
  <c r="D107" i="118"/>
  <c r="C107" i="118"/>
  <c r="D106" i="118"/>
  <c r="C106" i="118"/>
  <c r="D105" i="118"/>
  <c r="C105" i="118"/>
  <c r="D101" i="118"/>
  <c r="C101" i="118"/>
  <c r="D100" i="118"/>
  <c r="C100" i="118"/>
  <c r="D99" i="118"/>
  <c r="C99" i="118"/>
  <c r="D98" i="118"/>
  <c r="C98" i="118"/>
  <c r="D97" i="118"/>
  <c r="C97" i="118"/>
  <c r="D96" i="118"/>
  <c r="C96" i="118"/>
  <c r="D92" i="118"/>
  <c r="C92" i="118"/>
  <c r="D91" i="118"/>
  <c r="C91" i="118"/>
  <c r="D90" i="118"/>
  <c r="C90" i="118"/>
  <c r="D89" i="118"/>
  <c r="C89" i="118"/>
  <c r="D88" i="118"/>
  <c r="C88" i="118"/>
  <c r="D87" i="118"/>
  <c r="C87" i="118"/>
  <c r="D86" i="118"/>
  <c r="C86" i="118"/>
  <c r="D85" i="118"/>
  <c r="C85" i="118"/>
  <c r="D84" i="118"/>
  <c r="C84" i="118"/>
  <c r="D83" i="118"/>
  <c r="C83" i="118"/>
  <c r="D82" i="118"/>
  <c r="C82" i="118"/>
  <c r="D78" i="118"/>
  <c r="C78" i="118"/>
  <c r="D77" i="118"/>
  <c r="C77" i="118"/>
  <c r="D76" i="118"/>
  <c r="C76" i="118"/>
  <c r="D75" i="118"/>
  <c r="C75" i="118"/>
  <c r="D74" i="118"/>
  <c r="C74" i="118"/>
  <c r="D73" i="118"/>
  <c r="C73" i="118"/>
  <c r="D72" i="118"/>
  <c r="C72" i="118"/>
  <c r="D71" i="118"/>
  <c r="C71" i="118"/>
  <c r="D70" i="118"/>
  <c r="C70" i="118"/>
  <c r="D69" i="118"/>
  <c r="C69" i="118"/>
  <c r="D68" i="118"/>
  <c r="C68" i="118"/>
  <c r="D67" i="118"/>
  <c r="C67" i="118"/>
  <c r="D66" i="118"/>
  <c r="C66" i="118"/>
  <c r="D65" i="118"/>
  <c r="C65" i="118"/>
  <c r="D64" i="118"/>
  <c r="C64" i="118"/>
  <c r="D60" i="118"/>
  <c r="C60" i="118"/>
  <c r="D59" i="118"/>
  <c r="C59" i="118"/>
  <c r="D58" i="118"/>
  <c r="C58" i="118"/>
  <c r="D57" i="118"/>
  <c r="C57" i="118"/>
  <c r="D56" i="118"/>
  <c r="C56" i="118"/>
  <c r="D55" i="118"/>
  <c r="C55" i="118"/>
  <c r="D54" i="118"/>
  <c r="C54" i="118"/>
  <c r="D53" i="118"/>
  <c r="C53" i="118"/>
  <c r="D52" i="118"/>
  <c r="C52" i="118"/>
  <c r="D51" i="118"/>
  <c r="C51" i="118"/>
  <c r="D50" i="118"/>
  <c r="C50" i="118"/>
  <c r="D49" i="118"/>
  <c r="C49" i="118"/>
  <c r="D48" i="118"/>
  <c r="C48" i="118"/>
  <c r="D47" i="118"/>
  <c r="C47" i="118"/>
  <c r="D46" i="118"/>
  <c r="C46" i="118"/>
  <c r="D45" i="118"/>
  <c r="C45" i="118"/>
  <c r="D44" i="118"/>
  <c r="C44" i="118"/>
  <c r="D43" i="118"/>
  <c r="C43" i="118"/>
  <c r="D42" i="118"/>
  <c r="C42" i="118"/>
  <c r="D41" i="118"/>
  <c r="C41" i="118"/>
  <c r="D40" i="118"/>
  <c r="C40" i="118"/>
  <c r="D39" i="118"/>
  <c r="C39" i="118"/>
  <c r="D38" i="118"/>
  <c r="C38" i="118"/>
  <c r="D37" i="118"/>
  <c r="C37" i="118"/>
  <c r="D36" i="118"/>
  <c r="C36" i="118"/>
  <c r="D35" i="118"/>
  <c r="C35" i="118"/>
  <c r="D34" i="118"/>
  <c r="C34" i="118"/>
  <c r="D33" i="118"/>
  <c r="C33" i="118"/>
  <c r="D32" i="118"/>
  <c r="C32" i="118"/>
  <c r="D31" i="118"/>
  <c r="C31" i="118"/>
  <c r="D30" i="118"/>
  <c r="C30" i="118"/>
  <c r="D29" i="118"/>
  <c r="C29" i="118"/>
  <c r="D28" i="118"/>
  <c r="C28" i="118"/>
  <c r="D27" i="118"/>
  <c r="C27" i="118"/>
  <c r="D26" i="118"/>
  <c r="C26" i="118"/>
  <c r="D25" i="118"/>
  <c r="C25" i="118"/>
  <c r="D20" i="118"/>
  <c r="C20" i="118"/>
  <c r="D19" i="118"/>
  <c r="C19" i="118"/>
  <c r="D18" i="118"/>
  <c r="C18" i="118"/>
  <c r="D17" i="118"/>
  <c r="C17" i="118"/>
  <c r="D16" i="118"/>
  <c r="C16" i="118"/>
  <c r="D15" i="118"/>
  <c r="C15" i="118"/>
  <c r="D14" i="118"/>
  <c r="C14" i="118"/>
  <c r="D13" i="118"/>
  <c r="C13" i="118"/>
  <c r="D12" i="118"/>
  <c r="C12" i="118"/>
  <c r="D11" i="118"/>
  <c r="C11" i="118"/>
  <c r="D79" i="118" l="1"/>
  <c r="C79" i="118"/>
  <c r="D93" i="118"/>
  <c r="D102" i="118"/>
  <c r="C119" i="118"/>
  <c r="D119" i="118"/>
  <c r="C111" i="118"/>
  <c r="D161" i="118"/>
  <c r="D111" i="118"/>
  <c r="C228" i="118"/>
  <c r="C21" i="118"/>
  <c r="C197" i="118"/>
  <c r="C206" i="118"/>
  <c r="C61" i="118"/>
  <c r="C161" i="118"/>
  <c r="D21" i="118"/>
  <c r="C93" i="118"/>
  <c r="C102" i="118"/>
  <c r="D197" i="118"/>
  <c r="D206" i="118"/>
  <c r="D61" i="118"/>
  <c r="C208" i="118" l="1"/>
  <c r="C212" i="118" s="1"/>
  <c r="D208" i="118"/>
  <c r="D215" i="118" s="1"/>
  <c r="C215" i="118" l="1"/>
  <c r="G244" i="60"/>
  <c r="G243" i="60"/>
  <c r="G242" i="60"/>
  <c r="G241" i="60"/>
  <c r="C238" i="60"/>
  <c r="C237" i="60"/>
  <c r="C236" i="60"/>
  <c r="C235" i="60"/>
  <c r="C233" i="60"/>
  <c r="C232" i="60"/>
  <c r="C231" i="60"/>
  <c r="D228" i="60"/>
  <c r="C227" i="60"/>
  <c r="C226" i="60"/>
  <c r="C225" i="60"/>
  <c r="C224" i="60"/>
  <c r="C223" i="60"/>
  <c r="C222" i="60"/>
  <c r="C221" i="60"/>
  <c r="C220" i="60"/>
  <c r="C219" i="60"/>
  <c r="C211" i="60"/>
  <c r="D205" i="60"/>
  <c r="C205" i="60"/>
  <c r="D204" i="60"/>
  <c r="C204" i="60"/>
  <c r="D203" i="60"/>
  <c r="C203" i="60"/>
  <c r="D202" i="60"/>
  <c r="C202" i="60"/>
  <c r="D201" i="60"/>
  <c r="C201" i="60"/>
  <c r="D200" i="60"/>
  <c r="C200" i="60"/>
  <c r="D196" i="60"/>
  <c r="C196" i="60"/>
  <c r="D195" i="60"/>
  <c r="C195" i="60"/>
  <c r="D194" i="60"/>
  <c r="C194" i="60"/>
  <c r="D193" i="60"/>
  <c r="C193" i="60"/>
  <c r="D192" i="60"/>
  <c r="C192" i="60"/>
  <c r="D191" i="60"/>
  <c r="C191" i="60"/>
  <c r="D190" i="60"/>
  <c r="C190" i="60"/>
  <c r="D189" i="60"/>
  <c r="C189" i="60"/>
  <c r="D188" i="60"/>
  <c r="C188" i="60"/>
  <c r="D187" i="60"/>
  <c r="C187" i="60"/>
  <c r="D186" i="60"/>
  <c r="C186" i="60"/>
  <c r="D185" i="60"/>
  <c r="C185" i="60"/>
  <c r="D184" i="60"/>
  <c r="C184" i="60"/>
  <c r="D183" i="60"/>
  <c r="C183" i="60"/>
  <c r="D182" i="60"/>
  <c r="C182" i="60"/>
  <c r="D181" i="60"/>
  <c r="C181" i="60"/>
  <c r="D180" i="60"/>
  <c r="C180" i="60"/>
  <c r="D179" i="60"/>
  <c r="C179" i="60"/>
  <c r="D178" i="60"/>
  <c r="C178" i="60"/>
  <c r="D177" i="60"/>
  <c r="C177" i="60"/>
  <c r="D176" i="60"/>
  <c r="C176" i="60"/>
  <c r="D175" i="60"/>
  <c r="C175" i="60"/>
  <c r="D174" i="60"/>
  <c r="C174" i="60"/>
  <c r="D173" i="60"/>
  <c r="C173" i="60"/>
  <c r="D172" i="60"/>
  <c r="C172" i="60"/>
  <c r="D171" i="60"/>
  <c r="C171" i="60"/>
  <c r="D170" i="60"/>
  <c r="C170" i="60"/>
  <c r="D169" i="60"/>
  <c r="C169" i="60"/>
  <c r="D168" i="60"/>
  <c r="C168" i="60"/>
  <c r="D167" i="60"/>
  <c r="C167" i="60"/>
  <c r="D166" i="60"/>
  <c r="C166" i="60"/>
  <c r="D165" i="60"/>
  <c r="C165" i="60"/>
  <c r="D164" i="60"/>
  <c r="C164" i="60"/>
  <c r="D160" i="60"/>
  <c r="C160" i="60"/>
  <c r="D159" i="60"/>
  <c r="C159" i="60"/>
  <c r="D158" i="60"/>
  <c r="C158" i="60"/>
  <c r="D157" i="60"/>
  <c r="C157" i="60"/>
  <c r="D156" i="60"/>
  <c r="C156" i="60"/>
  <c r="D155" i="60"/>
  <c r="C155" i="60"/>
  <c r="D153" i="60"/>
  <c r="C153" i="60"/>
  <c r="D152" i="60"/>
  <c r="C152" i="60"/>
  <c r="D151" i="60"/>
  <c r="C151" i="60"/>
  <c r="D150" i="60"/>
  <c r="C150" i="60"/>
  <c r="D149" i="60"/>
  <c r="C149" i="60"/>
  <c r="D148" i="60"/>
  <c r="C148" i="60"/>
  <c r="D147" i="60"/>
  <c r="C147" i="60"/>
  <c r="D146" i="60"/>
  <c r="C146" i="60"/>
  <c r="D145" i="60"/>
  <c r="C145" i="60"/>
  <c r="D143" i="60"/>
  <c r="C143" i="60"/>
  <c r="D142" i="60"/>
  <c r="C142" i="60"/>
  <c r="D141" i="60"/>
  <c r="C141" i="60"/>
  <c r="D140" i="60"/>
  <c r="C140" i="60"/>
  <c r="D138" i="60"/>
  <c r="C138" i="60"/>
  <c r="D137" i="60"/>
  <c r="C137" i="60"/>
  <c r="D136" i="60"/>
  <c r="C136" i="60"/>
  <c r="D135" i="60"/>
  <c r="C135" i="60"/>
  <c r="D133" i="60"/>
  <c r="C133" i="60"/>
  <c r="D132" i="60"/>
  <c r="C132" i="60"/>
  <c r="D131" i="60"/>
  <c r="C131" i="60"/>
  <c r="D130" i="60"/>
  <c r="C130" i="60"/>
  <c r="D129" i="60"/>
  <c r="C129" i="60"/>
  <c r="D127" i="60"/>
  <c r="C127" i="60"/>
  <c r="D126" i="60"/>
  <c r="C126" i="60"/>
  <c r="D125" i="60"/>
  <c r="C125" i="60"/>
  <c r="D124" i="60"/>
  <c r="C124" i="60"/>
  <c r="D123" i="60"/>
  <c r="C123" i="60"/>
  <c r="D118" i="60"/>
  <c r="C118" i="60"/>
  <c r="D117" i="60"/>
  <c r="C117" i="60"/>
  <c r="D116" i="60"/>
  <c r="C116" i="60"/>
  <c r="D115" i="60"/>
  <c r="C115" i="60"/>
  <c r="D114" i="60"/>
  <c r="C114" i="60"/>
  <c r="D110" i="60"/>
  <c r="C110" i="60"/>
  <c r="D109" i="60"/>
  <c r="C109" i="60"/>
  <c r="D108" i="60"/>
  <c r="C108" i="60"/>
  <c r="D107" i="60"/>
  <c r="C107" i="60"/>
  <c r="D106" i="60"/>
  <c r="C106" i="60"/>
  <c r="D105" i="60"/>
  <c r="C105" i="60"/>
  <c r="D101" i="60"/>
  <c r="C101" i="60"/>
  <c r="D100" i="60"/>
  <c r="C100" i="60"/>
  <c r="D99" i="60"/>
  <c r="C99" i="60"/>
  <c r="D98" i="60"/>
  <c r="C98" i="60"/>
  <c r="D97" i="60"/>
  <c r="C97" i="60"/>
  <c r="D96" i="60"/>
  <c r="C96" i="60"/>
  <c r="D92" i="60"/>
  <c r="C92" i="60"/>
  <c r="D91" i="60"/>
  <c r="C91" i="60"/>
  <c r="D90" i="60"/>
  <c r="C90" i="60"/>
  <c r="D89" i="60"/>
  <c r="C89" i="60"/>
  <c r="D88" i="60"/>
  <c r="C88" i="60"/>
  <c r="D87" i="60"/>
  <c r="C87" i="60"/>
  <c r="D86" i="60"/>
  <c r="C86" i="60"/>
  <c r="D85" i="60"/>
  <c r="C85" i="60"/>
  <c r="D84" i="60"/>
  <c r="C84" i="60"/>
  <c r="D83" i="60"/>
  <c r="C83" i="60"/>
  <c r="D82" i="60"/>
  <c r="C82" i="60"/>
  <c r="D78" i="60"/>
  <c r="C78" i="60"/>
  <c r="D77" i="60"/>
  <c r="C77" i="60"/>
  <c r="D76" i="60"/>
  <c r="C76" i="60"/>
  <c r="D75" i="60"/>
  <c r="C75" i="60"/>
  <c r="D74" i="60"/>
  <c r="C74" i="60"/>
  <c r="D73" i="60"/>
  <c r="C73" i="60"/>
  <c r="D72" i="60"/>
  <c r="C72" i="60"/>
  <c r="D71" i="60"/>
  <c r="C71" i="60"/>
  <c r="D70" i="60"/>
  <c r="C70" i="60"/>
  <c r="D69" i="60"/>
  <c r="C69" i="60"/>
  <c r="D68" i="60"/>
  <c r="C68" i="60"/>
  <c r="D67" i="60"/>
  <c r="C67" i="60"/>
  <c r="D66" i="60"/>
  <c r="C66" i="60"/>
  <c r="D65" i="60"/>
  <c r="C65" i="60"/>
  <c r="D64" i="60"/>
  <c r="C64" i="60"/>
  <c r="D60" i="60"/>
  <c r="C60" i="60"/>
  <c r="D59" i="60"/>
  <c r="C59" i="60"/>
  <c r="D58" i="60"/>
  <c r="C58" i="60"/>
  <c r="D57" i="60"/>
  <c r="C57" i="60"/>
  <c r="D56" i="60"/>
  <c r="C56" i="60"/>
  <c r="D55" i="60"/>
  <c r="C55" i="60"/>
  <c r="D54" i="60"/>
  <c r="C54" i="60"/>
  <c r="D53" i="60"/>
  <c r="C53" i="60"/>
  <c r="D52" i="60"/>
  <c r="C52" i="60"/>
  <c r="D51" i="60"/>
  <c r="C51" i="60"/>
  <c r="D50" i="60"/>
  <c r="C50" i="60"/>
  <c r="D49" i="60"/>
  <c r="C49" i="60"/>
  <c r="D48" i="60"/>
  <c r="C48" i="60"/>
  <c r="D47" i="60"/>
  <c r="C47" i="60"/>
  <c r="D46" i="60"/>
  <c r="C46" i="60"/>
  <c r="D45" i="60"/>
  <c r="C45" i="60"/>
  <c r="D44" i="60"/>
  <c r="C44" i="60"/>
  <c r="D43" i="60"/>
  <c r="C43" i="60"/>
  <c r="D42" i="60"/>
  <c r="C42" i="60"/>
  <c r="D41" i="60"/>
  <c r="C41" i="60"/>
  <c r="D40" i="60"/>
  <c r="C40" i="60"/>
  <c r="D39" i="60"/>
  <c r="C39" i="60"/>
  <c r="D38" i="60"/>
  <c r="C38" i="60"/>
  <c r="D37" i="60"/>
  <c r="C37" i="60"/>
  <c r="D36" i="60"/>
  <c r="C36" i="60"/>
  <c r="D35" i="60"/>
  <c r="C35" i="60"/>
  <c r="D34" i="60"/>
  <c r="C34" i="60"/>
  <c r="D33" i="60"/>
  <c r="C33" i="60"/>
  <c r="D32" i="60"/>
  <c r="C32" i="60"/>
  <c r="D31" i="60"/>
  <c r="C31" i="60"/>
  <c r="D30" i="60"/>
  <c r="C30" i="60"/>
  <c r="D29" i="60"/>
  <c r="C29" i="60"/>
  <c r="D28" i="60"/>
  <c r="C28" i="60"/>
  <c r="D27" i="60"/>
  <c r="C27" i="60"/>
  <c r="D26" i="60"/>
  <c r="C26" i="60"/>
  <c r="D25" i="60"/>
  <c r="C25" i="60"/>
  <c r="D20" i="60"/>
  <c r="C20" i="60"/>
  <c r="D19" i="60"/>
  <c r="C19" i="60"/>
  <c r="D18" i="60"/>
  <c r="C18" i="60"/>
  <c r="D17" i="60"/>
  <c r="C17" i="60"/>
  <c r="D16" i="60"/>
  <c r="C16" i="60"/>
  <c r="D15" i="60"/>
  <c r="C15" i="60"/>
  <c r="D14" i="60"/>
  <c r="C14" i="60"/>
  <c r="D13" i="60"/>
  <c r="C13" i="60"/>
  <c r="D12" i="60"/>
  <c r="C12" i="60"/>
  <c r="D11" i="60"/>
  <c r="C11" i="60"/>
  <c r="C93" i="60" l="1"/>
  <c r="D111" i="60"/>
  <c r="C21" i="60"/>
  <c r="C102" i="60"/>
  <c r="D206" i="60"/>
  <c r="D21" i="60"/>
  <c r="D102" i="60"/>
  <c r="C206" i="60"/>
  <c r="D93" i="60"/>
  <c r="C161" i="60"/>
  <c r="C79" i="60"/>
  <c r="D161" i="60"/>
  <c r="D79" i="60"/>
  <c r="C119" i="60"/>
  <c r="C197" i="60"/>
  <c r="C228" i="60"/>
  <c r="C111" i="60"/>
  <c r="D119" i="60"/>
  <c r="D197" i="60"/>
  <c r="C61" i="60"/>
  <c r="D61" i="60"/>
  <c r="D208" i="60" l="1"/>
  <c r="D215" i="60" s="1"/>
  <c r="C208" i="60"/>
  <c r="C212" i="60" s="1"/>
  <c r="G244" i="106"/>
  <c r="G243" i="106"/>
  <c r="G242" i="106"/>
  <c r="G241" i="106"/>
  <c r="C238" i="106"/>
  <c r="C237" i="106"/>
  <c r="C236" i="106"/>
  <c r="C235" i="106"/>
  <c r="C233" i="106"/>
  <c r="C232" i="106"/>
  <c r="C231" i="106"/>
  <c r="D228" i="106"/>
  <c r="C227" i="106"/>
  <c r="C226" i="106"/>
  <c r="C225" i="106"/>
  <c r="C224" i="106"/>
  <c r="C223" i="106"/>
  <c r="C222" i="106"/>
  <c r="C221" i="106"/>
  <c r="C220" i="106"/>
  <c r="C219" i="106"/>
  <c r="C211" i="106"/>
  <c r="D205" i="106"/>
  <c r="C205" i="106"/>
  <c r="D204" i="106"/>
  <c r="C204" i="106"/>
  <c r="D203" i="106"/>
  <c r="C203" i="106"/>
  <c r="D202" i="106"/>
  <c r="C202" i="106"/>
  <c r="D201" i="106"/>
  <c r="C201" i="106"/>
  <c r="D200" i="106"/>
  <c r="C200" i="106"/>
  <c r="D196" i="106"/>
  <c r="C196" i="106"/>
  <c r="D195" i="106"/>
  <c r="C195" i="106"/>
  <c r="D194" i="106"/>
  <c r="C194" i="106"/>
  <c r="D193" i="106"/>
  <c r="C193" i="106"/>
  <c r="D192" i="106"/>
  <c r="C192" i="106"/>
  <c r="D191" i="106"/>
  <c r="C191" i="106"/>
  <c r="D190" i="106"/>
  <c r="C190" i="106"/>
  <c r="D189" i="106"/>
  <c r="C189" i="106"/>
  <c r="D188" i="106"/>
  <c r="C188" i="106"/>
  <c r="D187" i="106"/>
  <c r="C187" i="106"/>
  <c r="D186" i="106"/>
  <c r="C186" i="106"/>
  <c r="D185" i="106"/>
  <c r="C185" i="106"/>
  <c r="D184" i="106"/>
  <c r="C184" i="106"/>
  <c r="D183" i="106"/>
  <c r="C183" i="106"/>
  <c r="D182" i="106"/>
  <c r="C182" i="106"/>
  <c r="D181" i="106"/>
  <c r="C181" i="106"/>
  <c r="D180" i="106"/>
  <c r="C180" i="106"/>
  <c r="D179" i="106"/>
  <c r="C179" i="106"/>
  <c r="D178" i="106"/>
  <c r="C178" i="106"/>
  <c r="D177" i="106"/>
  <c r="C177" i="106"/>
  <c r="D176" i="106"/>
  <c r="C176" i="106"/>
  <c r="D175" i="106"/>
  <c r="C175" i="106"/>
  <c r="D174" i="106"/>
  <c r="C174" i="106"/>
  <c r="D173" i="106"/>
  <c r="C173" i="106"/>
  <c r="D172" i="106"/>
  <c r="C172" i="106"/>
  <c r="D171" i="106"/>
  <c r="C171" i="106"/>
  <c r="D170" i="106"/>
  <c r="C170" i="106"/>
  <c r="D169" i="106"/>
  <c r="C169" i="106"/>
  <c r="D168" i="106"/>
  <c r="C168" i="106"/>
  <c r="D167" i="106"/>
  <c r="C167" i="106"/>
  <c r="D166" i="106"/>
  <c r="C166" i="106"/>
  <c r="D165" i="106"/>
  <c r="C165" i="106"/>
  <c r="D164" i="106"/>
  <c r="C164" i="106"/>
  <c r="D160" i="106"/>
  <c r="C160" i="106"/>
  <c r="D159" i="106"/>
  <c r="C159" i="106"/>
  <c r="D158" i="106"/>
  <c r="C158" i="106"/>
  <c r="D157" i="106"/>
  <c r="C157" i="106"/>
  <c r="D156" i="106"/>
  <c r="C156" i="106"/>
  <c r="D155" i="106"/>
  <c r="C155" i="106"/>
  <c r="D153" i="106"/>
  <c r="C153" i="106"/>
  <c r="D152" i="106"/>
  <c r="C152" i="106"/>
  <c r="D151" i="106"/>
  <c r="C151" i="106"/>
  <c r="D150" i="106"/>
  <c r="C150" i="106"/>
  <c r="D149" i="106"/>
  <c r="C149" i="106"/>
  <c r="D148" i="106"/>
  <c r="C148" i="106"/>
  <c r="D147" i="106"/>
  <c r="C147" i="106"/>
  <c r="D146" i="106"/>
  <c r="C146" i="106"/>
  <c r="D145" i="106"/>
  <c r="C145" i="106"/>
  <c r="D143" i="106"/>
  <c r="C143" i="106"/>
  <c r="D142" i="106"/>
  <c r="C142" i="106"/>
  <c r="D141" i="106"/>
  <c r="C141" i="106"/>
  <c r="D140" i="106"/>
  <c r="C140" i="106"/>
  <c r="D138" i="106"/>
  <c r="C138" i="106"/>
  <c r="D137" i="106"/>
  <c r="C137" i="106"/>
  <c r="D136" i="106"/>
  <c r="C136" i="106"/>
  <c r="D135" i="106"/>
  <c r="C135" i="106"/>
  <c r="D133" i="106"/>
  <c r="C133" i="106"/>
  <c r="D132" i="106"/>
  <c r="C132" i="106"/>
  <c r="D131" i="106"/>
  <c r="C131" i="106"/>
  <c r="D130" i="106"/>
  <c r="C130" i="106"/>
  <c r="D129" i="106"/>
  <c r="C129" i="106"/>
  <c r="D127" i="106"/>
  <c r="C127" i="106"/>
  <c r="D126" i="106"/>
  <c r="C126" i="106"/>
  <c r="D125" i="106"/>
  <c r="C125" i="106"/>
  <c r="D124" i="106"/>
  <c r="C124" i="106"/>
  <c r="D123" i="106"/>
  <c r="C123" i="106"/>
  <c r="D118" i="106"/>
  <c r="C118" i="106"/>
  <c r="D117" i="106"/>
  <c r="C117" i="106"/>
  <c r="D116" i="106"/>
  <c r="C116" i="106"/>
  <c r="D115" i="106"/>
  <c r="C115" i="106"/>
  <c r="D114" i="106"/>
  <c r="C114" i="106"/>
  <c r="D110" i="106"/>
  <c r="C110" i="106"/>
  <c r="D109" i="106"/>
  <c r="C109" i="106"/>
  <c r="D108" i="106"/>
  <c r="C108" i="106"/>
  <c r="D107" i="106"/>
  <c r="C107" i="106"/>
  <c r="D106" i="106"/>
  <c r="C106" i="106"/>
  <c r="D105" i="106"/>
  <c r="C105" i="106"/>
  <c r="D101" i="106"/>
  <c r="C101" i="106"/>
  <c r="D100" i="106"/>
  <c r="C100" i="106"/>
  <c r="D99" i="106"/>
  <c r="C99" i="106"/>
  <c r="D98" i="106"/>
  <c r="C98" i="106"/>
  <c r="D97" i="106"/>
  <c r="C97" i="106"/>
  <c r="D96" i="106"/>
  <c r="C96" i="106"/>
  <c r="D92" i="106"/>
  <c r="C92" i="106"/>
  <c r="D91" i="106"/>
  <c r="C91" i="106"/>
  <c r="D90" i="106"/>
  <c r="C90" i="106"/>
  <c r="D89" i="106"/>
  <c r="C89" i="106"/>
  <c r="D88" i="106"/>
  <c r="C88" i="106"/>
  <c r="D87" i="106"/>
  <c r="C87" i="106"/>
  <c r="D86" i="106"/>
  <c r="C86" i="106"/>
  <c r="D85" i="106"/>
  <c r="C85" i="106"/>
  <c r="D84" i="106"/>
  <c r="C84" i="106"/>
  <c r="D83" i="106"/>
  <c r="C83" i="106"/>
  <c r="D82" i="106"/>
  <c r="C82" i="106"/>
  <c r="D78" i="106"/>
  <c r="C78" i="106"/>
  <c r="D77" i="106"/>
  <c r="C77" i="106"/>
  <c r="D76" i="106"/>
  <c r="C76" i="106"/>
  <c r="D75" i="106"/>
  <c r="C75" i="106"/>
  <c r="D74" i="106"/>
  <c r="C74" i="106"/>
  <c r="D73" i="106"/>
  <c r="C73" i="106"/>
  <c r="D72" i="106"/>
  <c r="C72" i="106"/>
  <c r="D71" i="106"/>
  <c r="C71" i="106"/>
  <c r="D70" i="106"/>
  <c r="C70" i="106"/>
  <c r="D69" i="106"/>
  <c r="C69" i="106"/>
  <c r="D68" i="106"/>
  <c r="C68" i="106"/>
  <c r="D67" i="106"/>
  <c r="C67" i="106"/>
  <c r="D66" i="106"/>
  <c r="C66" i="106"/>
  <c r="D65" i="106"/>
  <c r="C65" i="106"/>
  <c r="D64" i="106"/>
  <c r="C64" i="106"/>
  <c r="D60" i="106"/>
  <c r="C60" i="106"/>
  <c r="D59" i="106"/>
  <c r="C59" i="106"/>
  <c r="D58" i="106"/>
  <c r="C58" i="106"/>
  <c r="D57" i="106"/>
  <c r="C57" i="106"/>
  <c r="D56" i="106"/>
  <c r="C56" i="106"/>
  <c r="D55" i="106"/>
  <c r="C55" i="106"/>
  <c r="D54" i="106"/>
  <c r="C54" i="106"/>
  <c r="D53" i="106"/>
  <c r="C53" i="106"/>
  <c r="D52" i="106"/>
  <c r="C52" i="106"/>
  <c r="D51" i="106"/>
  <c r="C51" i="106"/>
  <c r="D50" i="106"/>
  <c r="C50" i="106"/>
  <c r="D49" i="106"/>
  <c r="C49" i="106"/>
  <c r="D48" i="106"/>
  <c r="C48" i="106"/>
  <c r="D47" i="106"/>
  <c r="C47" i="106"/>
  <c r="D46" i="106"/>
  <c r="C46" i="106"/>
  <c r="D45" i="106"/>
  <c r="C45" i="106"/>
  <c r="D44" i="106"/>
  <c r="C44" i="106"/>
  <c r="D43" i="106"/>
  <c r="C43" i="106"/>
  <c r="D42" i="106"/>
  <c r="C42" i="106"/>
  <c r="D41" i="106"/>
  <c r="C41" i="106"/>
  <c r="D40" i="106"/>
  <c r="C40" i="106"/>
  <c r="D39" i="106"/>
  <c r="C39" i="106"/>
  <c r="D38" i="106"/>
  <c r="C38" i="106"/>
  <c r="D37" i="106"/>
  <c r="C37" i="106"/>
  <c r="D36" i="106"/>
  <c r="C36" i="106"/>
  <c r="D35" i="106"/>
  <c r="C35" i="106"/>
  <c r="D34" i="106"/>
  <c r="C34" i="106"/>
  <c r="D33" i="106"/>
  <c r="C33" i="106"/>
  <c r="D32" i="106"/>
  <c r="C32" i="106"/>
  <c r="D31" i="106"/>
  <c r="C31" i="106"/>
  <c r="D30" i="106"/>
  <c r="C30" i="106"/>
  <c r="D29" i="106"/>
  <c r="C29" i="106"/>
  <c r="D28" i="106"/>
  <c r="C28" i="106"/>
  <c r="D27" i="106"/>
  <c r="C27" i="106"/>
  <c r="D26" i="106"/>
  <c r="C26" i="106"/>
  <c r="D25" i="106"/>
  <c r="C25" i="106"/>
  <c r="D20" i="106"/>
  <c r="C20" i="106"/>
  <c r="D19" i="106"/>
  <c r="C19" i="106"/>
  <c r="D18" i="106"/>
  <c r="C18" i="106"/>
  <c r="D17" i="106"/>
  <c r="C17" i="106"/>
  <c r="D16" i="106"/>
  <c r="C16" i="106"/>
  <c r="D15" i="106"/>
  <c r="C15" i="106"/>
  <c r="D14" i="106"/>
  <c r="C14" i="106"/>
  <c r="D13" i="106"/>
  <c r="C13" i="106"/>
  <c r="D12" i="106"/>
  <c r="C12" i="106"/>
  <c r="D11" i="106"/>
  <c r="C11" i="106"/>
  <c r="C215" i="60" l="1"/>
  <c r="C79" i="106"/>
  <c r="C119" i="106"/>
  <c r="D21" i="106"/>
  <c r="D102" i="106"/>
  <c r="D111" i="106"/>
  <c r="D93" i="106"/>
  <c r="C161" i="106"/>
  <c r="C206" i="106"/>
  <c r="C21" i="106"/>
  <c r="C102" i="106"/>
  <c r="C111" i="106"/>
  <c r="C228" i="106"/>
  <c r="D79" i="106"/>
  <c r="D161" i="106"/>
  <c r="D119" i="106"/>
  <c r="C197" i="106"/>
  <c r="C93" i="106"/>
  <c r="D197" i="106"/>
  <c r="D206" i="106"/>
  <c r="C61" i="106"/>
  <c r="D61" i="106"/>
  <c r="D208" i="106" l="1"/>
  <c r="D215" i="106" s="1"/>
  <c r="C208" i="106"/>
  <c r="C215" i="106" s="1"/>
  <c r="C212" i="106" l="1"/>
  <c r="G244" i="104"/>
  <c r="G243" i="104"/>
  <c r="G242" i="104"/>
  <c r="G241" i="104"/>
  <c r="C238" i="104"/>
  <c r="C237" i="104"/>
  <c r="C236" i="104"/>
  <c r="C235" i="104"/>
  <c r="C233" i="104"/>
  <c r="C232" i="104"/>
  <c r="C231" i="104"/>
  <c r="D228" i="104"/>
  <c r="C227" i="104"/>
  <c r="C226" i="104"/>
  <c r="C225" i="104"/>
  <c r="C224" i="104"/>
  <c r="C223" i="104"/>
  <c r="C222" i="104"/>
  <c r="C221" i="104"/>
  <c r="C220" i="104"/>
  <c r="C219" i="104"/>
  <c r="C211" i="104"/>
  <c r="D205" i="104"/>
  <c r="C205" i="104"/>
  <c r="D204" i="104"/>
  <c r="C204" i="104"/>
  <c r="D203" i="104"/>
  <c r="C203" i="104"/>
  <c r="D202" i="104"/>
  <c r="C202" i="104"/>
  <c r="D201" i="104"/>
  <c r="C201" i="104"/>
  <c r="D200" i="104"/>
  <c r="C200" i="104"/>
  <c r="D196" i="104"/>
  <c r="C196" i="104"/>
  <c r="D195" i="104"/>
  <c r="C195" i="104"/>
  <c r="D194" i="104"/>
  <c r="C194" i="104"/>
  <c r="D193" i="104"/>
  <c r="C193" i="104"/>
  <c r="D192" i="104"/>
  <c r="C192" i="104"/>
  <c r="D191" i="104"/>
  <c r="C191" i="104"/>
  <c r="D190" i="104"/>
  <c r="C190" i="104"/>
  <c r="D189" i="104"/>
  <c r="C189" i="104"/>
  <c r="D188" i="104"/>
  <c r="C188" i="104"/>
  <c r="D187" i="104"/>
  <c r="C187" i="104"/>
  <c r="D186" i="104"/>
  <c r="C186" i="104"/>
  <c r="D185" i="104"/>
  <c r="C185" i="104"/>
  <c r="D184" i="104"/>
  <c r="C184" i="104"/>
  <c r="D183" i="104"/>
  <c r="C183" i="104"/>
  <c r="D182" i="104"/>
  <c r="C182" i="104"/>
  <c r="D181" i="104"/>
  <c r="C181" i="104"/>
  <c r="D180" i="104"/>
  <c r="C180" i="104"/>
  <c r="D179" i="104"/>
  <c r="C179" i="104"/>
  <c r="D178" i="104"/>
  <c r="C178" i="104"/>
  <c r="D177" i="104"/>
  <c r="C177" i="104"/>
  <c r="D176" i="104"/>
  <c r="C176" i="104"/>
  <c r="D175" i="104"/>
  <c r="C175" i="104"/>
  <c r="D174" i="104"/>
  <c r="C174" i="104"/>
  <c r="D173" i="104"/>
  <c r="C173" i="104"/>
  <c r="D172" i="104"/>
  <c r="C172" i="104"/>
  <c r="D171" i="104"/>
  <c r="C171" i="104"/>
  <c r="D170" i="104"/>
  <c r="C170" i="104"/>
  <c r="D169" i="104"/>
  <c r="C169" i="104"/>
  <c r="D168" i="104"/>
  <c r="C168" i="104"/>
  <c r="D167" i="104"/>
  <c r="C167" i="104"/>
  <c r="D166" i="104"/>
  <c r="C166" i="104"/>
  <c r="D165" i="104"/>
  <c r="C165" i="104"/>
  <c r="D164" i="104"/>
  <c r="C164" i="104"/>
  <c r="D160" i="104"/>
  <c r="C160" i="104"/>
  <c r="D159" i="104"/>
  <c r="C159" i="104"/>
  <c r="D158" i="104"/>
  <c r="C158" i="104"/>
  <c r="D157" i="104"/>
  <c r="C157" i="104"/>
  <c r="D156" i="104"/>
  <c r="C156" i="104"/>
  <c r="D155" i="104"/>
  <c r="C155" i="104"/>
  <c r="D153" i="104"/>
  <c r="C153" i="104"/>
  <c r="D152" i="104"/>
  <c r="C152" i="104"/>
  <c r="D151" i="104"/>
  <c r="C151" i="104"/>
  <c r="D150" i="104"/>
  <c r="C150" i="104"/>
  <c r="D149" i="104"/>
  <c r="C149" i="104"/>
  <c r="D148" i="104"/>
  <c r="C148" i="104"/>
  <c r="D147" i="104"/>
  <c r="C147" i="104"/>
  <c r="D146" i="104"/>
  <c r="C146" i="104"/>
  <c r="D145" i="104"/>
  <c r="C145" i="104"/>
  <c r="D143" i="104"/>
  <c r="C143" i="104"/>
  <c r="D142" i="104"/>
  <c r="C142" i="104"/>
  <c r="D141" i="104"/>
  <c r="C141" i="104"/>
  <c r="D140" i="104"/>
  <c r="C140" i="104"/>
  <c r="D138" i="104"/>
  <c r="C138" i="104"/>
  <c r="D137" i="104"/>
  <c r="C137" i="104"/>
  <c r="D136" i="104"/>
  <c r="C136" i="104"/>
  <c r="D135" i="104"/>
  <c r="C135" i="104"/>
  <c r="D133" i="104"/>
  <c r="C133" i="104"/>
  <c r="D132" i="104"/>
  <c r="C132" i="104"/>
  <c r="D131" i="104"/>
  <c r="C131" i="104"/>
  <c r="D130" i="104"/>
  <c r="C130" i="104"/>
  <c r="D129" i="104"/>
  <c r="C129" i="104"/>
  <c r="D127" i="104"/>
  <c r="C127" i="104"/>
  <c r="D126" i="104"/>
  <c r="C126" i="104"/>
  <c r="D125" i="104"/>
  <c r="C125" i="104"/>
  <c r="D124" i="104"/>
  <c r="C124" i="104"/>
  <c r="D123" i="104"/>
  <c r="C123" i="104"/>
  <c r="D118" i="104"/>
  <c r="C118" i="104"/>
  <c r="D117" i="104"/>
  <c r="C117" i="104"/>
  <c r="D116" i="104"/>
  <c r="C116" i="104"/>
  <c r="D115" i="104"/>
  <c r="C115" i="104"/>
  <c r="D114" i="104"/>
  <c r="C114" i="104"/>
  <c r="D110" i="104"/>
  <c r="C110" i="104"/>
  <c r="D109" i="104"/>
  <c r="C109" i="104"/>
  <c r="D108" i="104"/>
  <c r="C108" i="104"/>
  <c r="D107" i="104"/>
  <c r="C107" i="104"/>
  <c r="D106" i="104"/>
  <c r="C106" i="104"/>
  <c r="D105" i="104"/>
  <c r="C105" i="104"/>
  <c r="D101" i="104"/>
  <c r="C101" i="104"/>
  <c r="D100" i="104"/>
  <c r="C100" i="104"/>
  <c r="D99" i="104"/>
  <c r="C99" i="104"/>
  <c r="D98" i="104"/>
  <c r="C98" i="104"/>
  <c r="D97" i="104"/>
  <c r="C97" i="104"/>
  <c r="D96" i="104"/>
  <c r="C96" i="104"/>
  <c r="D92" i="104"/>
  <c r="C92" i="104"/>
  <c r="D91" i="104"/>
  <c r="C91" i="104"/>
  <c r="D90" i="104"/>
  <c r="C90" i="104"/>
  <c r="D89" i="104"/>
  <c r="C89" i="104"/>
  <c r="D88" i="104"/>
  <c r="C88" i="104"/>
  <c r="D87" i="104"/>
  <c r="C87" i="104"/>
  <c r="D86" i="104"/>
  <c r="C86" i="104"/>
  <c r="D85" i="104"/>
  <c r="C85" i="104"/>
  <c r="D84" i="104"/>
  <c r="C84" i="104"/>
  <c r="D83" i="104"/>
  <c r="C83" i="104"/>
  <c r="D82" i="104"/>
  <c r="C82" i="104"/>
  <c r="D78" i="104"/>
  <c r="C78" i="104"/>
  <c r="D77" i="104"/>
  <c r="C77" i="104"/>
  <c r="D76" i="104"/>
  <c r="C76" i="104"/>
  <c r="D75" i="104"/>
  <c r="C75" i="104"/>
  <c r="D74" i="104"/>
  <c r="C74" i="104"/>
  <c r="D73" i="104"/>
  <c r="C73" i="104"/>
  <c r="D72" i="104"/>
  <c r="C72" i="104"/>
  <c r="D71" i="104"/>
  <c r="C71" i="104"/>
  <c r="D70" i="104"/>
  <c r="C70" i="104"/>
  <c r="D69" i="104"/>
  <c r="C69" i="104"/>
  <c r="D68" i="104"/>
  <c r="C68" i="104"/>
  <c r="D67" i="104"/>
  <c r="C67" i="104"/>
  <c r="D66" i="104"/>
  <c r="C66" i="104"/>
  <c r="D65" i="104"/>
  <c r="C65" i="104"/>
  <c r="D64" i="104"/>
  <c r="C64" i="104"/>
  <c r="D60" i="104"/>
  <c r="C60" i="104"/>
  <c r="D59" i="104"/>
  <c r="C59" i="104"/>
  <c r="D58" i="104"/>
  <c r="C58" i="104"/>
  <c r="D57" i="104"/>
  <c r="C57" i="104"/>
  <c r="D56" i="104"/>
  <c r="C56" i="104"/>
  <c r="D55" i="104"/>
  <c r="C55" i="104"/>
  <c r="D54" i="104"/>
  <c r="C54" i="104"/>
  <c r="D53" i="104"/>
  <c r="C53" i="104"/>
  <c r="D52" i="104"/>
  <c r="C52" i="104"/>
  <c r="D51" i="104"/>
  <c r="C51" i="104"/>
  <c r="D50" i="104"/>
  <c r="C50" i="104"/>
  <c r="D49" i="104"/>
  <c r="C49" i="104"/>
  <c r="D48" i="104"/>
  <c r="C48" i="104"/>
  <c r="D47" i="104"/>
  <c r="C47" i="104"/>
  <c r="D46" i="104"/>
  <c r="C46" i="104"/>
  <c r="D45" i="104"/>
  <c r="C45" i="104"/>
  <c r="D44" i="104"/>
  <c r="C44" i="104"/>
  <c r="D43" i="104"/>
  <c r="C43" i="104"/>
  <c r="D42" i="104"/>
  <c r="C42" i="104"/>
  <c r="D41" i="104"/>
  <c r="C41" i="104"/>
  <c r="D40" i="104"/>
  <c r="C40" i="104"/>
  <c r="D39" i="104"/>
  <c r="C39" i="104"/>
  <c r="D38" i="104"/>
  <c r="C38" i="104"/>
  <c r="D37" i="104"/>
  <c r="C37" i="104"/>
  <c r="D36" i="104"/>
  <c r="C36" i="104"/>
  <c r="D35" i="104"/>
  <c r="C35" i="104"/>
  <c r="D34" i="104"/>
  <c r="C34" i="104"/>
  <c r="D33" i="104"/>
  <c r="C33" i="104"/>
  <c r="D32" i="104"/>
  <c r="C32" i="104"/>
  <c r="D31" i="104"/>
  <c r="C31" i="104"/>
  <c r="D30" i="104"/>
  <c r="C30" i="104"/>
  <c r="D29" i="104"/>
  <c r="C29" i="104"/>
  <c r="D28" i="104"/>
  <c r="C28" i="104"/>
  <c r="D27" i="104"/>
  <c r="C27" i="104"/>
  <c r="D26" i="104"/>
  <c r="C26" i="104"/>
  <c r="D25" i="104"/>
  <c r="C25" i="104"/>
  <c r="D20" i="104"/>
  <c r="C20" i="104"/>
  <c r="D19" i="104"/>
  <c r="C19" i="104"/>
  <c r="D18" i="104"/>
  <c r="C18" i="104"/>
  <c r="D17" i="104"/>
  <c r="C17" i="104"/>
  <c r="D16" i="104"/>
  <c r="C16" i="104"/>
  <c r="D15" i="104"/>
  <c r="C15" i="104"/>
  <c r="D14" i="104"/>
  <c r="C14" i="104"/>
  <c r="D13" i="104"/>
  <c r="C13" i="104"/>
  <c r="D12" i="104"/>
  <c r="C12" i="104"/>
  <c r="D11" i="104"/>
  <c r="C11" i="104"/>
  <c r="D21" i="104" l="1"/>
  <c r="D102" i="104"/>
  <c r="D111" i="104"/>
  <c r="D119" i="104"/>
  <c r="D206" i="104"/>
  <c r="C21" i="104"/>
  <c r="C102" i="104"/>
  <c r="C119" i="104"/>
  <c r="C228" i="104"/>
  <c r="C79" i="104"/>
  <c r="C197" i="104"/>
  <c r="C161" i="104"/>
  <c r="D79" i="104"/>
  <c r="D161" i="104"/>
  <c r="D197" i="104"/>
  <c r="C93" i="104"/>
  <c r="D93" i="104"/>
  <c r="C111" i="104"/>
  <c r="C206" i="104"/>
  <c r="C61" i="104"/>
  <c r="D61" i="104"/>
  <c r="D208" i="104" l="1"/>
  <c r="D215" i="104" s="1"/>
  <c r="C208" i="104"/>
  <c r="C212" i="104" s="1"/>
  <c r="C215" i="104" l="1"/>
  <c r="G244" i="54"/>
  <c r="G243" i="54"/>
  <c r="G242" i="54"/>
  <c r="G241" i="54"/>
  <c r="C238" i="54"/>
  <c r="C237" i="54"/>
  <c r="C236" i="54"/>
  <c r="C235" i="54"/>
  <c r="C233" i="54"/>
  <c r="C232" i="54"/>
  <c r="C231" i="54"/>
  <c r="D228" i="54"/>
  <c r="C227" i="54"/>
  <c r="C226" i="54"/>
  <c r="C225" i="54"/>
  <c r="C224" i="54"/>
  <c r="C223" i="54"/>
  <c r="C222" i="54"/>
  <c r="C221" i="54"/>
  <c r="C220" i="54"/>
  <c r="C219" i="54"/>
  <c r="C211" i="54"/>
  <c r="D205" i="54"/>
  <c r="C205" i="54"/>
  <c r="D204" i="54"/>
  <c r="C204" i="54"/>
  <c r="D203" i="54"/>
  <c r="C203" i="54"/>
  <c r="D202" i="54"/>
  <c r="C202" i="54"/>
  <c r="D201" i="54"/>
  <c r="C201" i="54"/>
  <c r="D200" i="54"/>
  <c r="C200" i="54"/>
  <c r="D196" i="54"/>
  <c r="C196" i="54"/>
  <c r="D195" i="54"/>
  <c r="C195" i="54"/>
  <c r="D194" i="54"/>
  <c r="C194" i="54"/>
  <c r="D193" i="54"/>
  <c r="C193" i="54"/>
  <c r="D192" i="54"/>
  <c r="C192" i="54"/>
  <c r="D191" i="54"/>
  <c r="C191" i="54"/>
  <c r="D190" i="54"/>
  <c r="C190" i="54"/>
  <c r="D189" i="54"/>
  <c r="C189" i="54"/>
  <c r="D188" i="54"/>
  <c r="C188" i="54"/>
  <c r="D187" i="54"/>
  <c r="C187" i="54"/>
  <c r="D186" i="54"/>
  <c r="C186" i="54"/>
  <c r="D185" i="54"/>
  <c r="C185" i="54"/>
  <c r="D184" i="54"/>
  <c r="C184" i="54"/>
  <c r="D183" i="54"/>
  <c r="C183" i="54"/>
  <c r="D182" i="54"/>
  <c r="C182" i="54"/>
  <c r="D181" i="54"/>
  <c r="C181" i="54"/>
  <c r="D180" i="54"/>
  <c r="C180" i="54"/>
  <c r="D179" i="54"/>
  <c r="C179" i="54"/>
  <c r="D178" i="54"/>
  <c r="C178" i="54"/>
  <c r="D177" i="54"/>
  <c r="C177" i="54"/>
  <c r="D176" i="54"/>
  <c r="C176" i="54"/>
  <c r="D175" i="54"/>
  <c r="C175" i="54"/>
  <c r="D174" i="54"/>
  <c r="C174" i="54"/>
  <c r="D173" i="54"/>
  <c r="C173" i="54"/>
  <c r="D172" i="54"/>
  <c r="C172" i="54"/>
  <c r="D171" i="54"/>
  <c r="C171" i="54"/>
  <c r="D170" i="54"/>
  <c r="C170" i="54"/>
  <c r="D169" i="54"/>
  <c r="C169" i="54"/>
  <c r="D168" i="54"/>
  <c r="C168" i="54"/>
  <c r="D167" i="54"/>
  <c r="C167" i="54"/>
  <c r="D166" i="54"/>
  <c r="C166" i="54"/>
  <c r="D165" i="54"/>
  <c r="C165" i="54"/>
  <c r="D164" i="54"/>
  <c r="C164" i="54"/>
  <c r="D160" i="54"/>
  <c r="C160" i="54"/>
  <c r="D159" i="54"/>
  <c r="C159" i="54"/>
  <c r="D158" i="54"/>
  <c r="C158" i="54"/>
  <c r="D157" i="54"/>
  <c r="C157" i="54"/>
  <c r="D156" i="54"/>
  <c r="C156" i="54"/>
  <c r="D155" i="54"/>
  <c r="C155" i="54"/>
  <c r="D153" i="54"/>
  <c r="C153" i="54"/>
  <c r="D152" i="54"/>
  <c r="C152" i="54"/>
  <c r="D151" i="54"/>
  <c r="C151" i="54"/>
  <c r="D150" i="54"/>
  <c r="C150" i="54"/>
  <c r="D149" i="54"/>
  <c r="C149" i="54"/>
  <c r="D148" i="54"/>
  <c r="C148" i="54"/>
  <c r="D147" i="54"/>
  <c r="C147" i="54"/>
  <c r="D146" i="54"/>
  <c r="C146" i="54"/>
  <c r="D145" i="54"/>
  <c r="C145" i="54"/>
  <c r="D143" i="54"/>
  <c r="C143" i="54"/>
  <c r="D142" i="54"/>
  <c r="C142" i="54"/>
  <c r="D141" i="54"/>
  <c r="C141" i="54"/>
  <c r="D140" i="54"/>
  <c r="C140" i="54"/>
  <c r="D138" i="54"/>
  <c r="C138" i="54"/>
  <c r="D137" i="54"/>
  <c r="C137" i="54"/>
  <c r="D136" i="54"/>
  <c r="C136" i="54"/>
  <c r="D135" i="54"/>
  <c r="C135" i="54"/>
  <c r="D133" i="54"/>
  <c r="C133" i="54"/>
  <c r="D132" i="54"/>
  <c r="C132" i="54"/>
  <c r="D131" i="54"/>
  <c r="C131" i="54"/>
  <c r="D130" i="54"/>
  <c r="C130" i="54"/>
  <c r="D129" i="54"/>
  <c r="C129" i="54"/>
  <c r="D127" i="54"/>
  <c r="C127" i="54"/>
  <c r="D126" i="54"/>
  <c r="C126" i="54"/>
  <c r="D125" i="54"/>
  <c r="C125" i="54"/>
  <c r="D124" i="54"/>
  <c r="C124" i="54"/>
  <c r="D123" i="54"/>
  <c r="C123" i="54"/>
  <c r="D118" i="54"/>
  <c r="C118" i="54"/>
  <c r="D117" i="54"/>
  <c r="C117" i="54"/>
  <c r="D116" i="54"/>
  <c r="C116" i="54"/>
  <c r="D115" i="54"/>
  <c r="C115" i="54"/>
  <c r="D114" i="54"/>
  <c r="C114" i="54"/>
  <c r="D110" i="54"/>
  <c r="C110" i="54"/>
  <c r="D109" i="54"/>
  <c r="C109" i="54"/>
  <c r="D108" i="54"/>
  <c r="C108" i="54"/>
  <c r="D107" i="54"/>
  <c r="C107" i="54"/>
  <c r="D106" i="54"/>
  <c r="C106" i="54"/>
  <c r="D105" i="54"/>
  <c r="C105" i="54"/>
  <c r="D101" i="54"/>
  <c r="C101" i="54"/>
  <c r="D100" i="54"/>
  <c r="C100" i="54"/>
  <c r="D99" i="54"/>
  <c r="C99" i="54"/>
  <c r="D98" i="54"/>
  <c r="C98" i="54"/>
  <c r="D97" i="54"/>
  <c r="C97" i="54"/>
  <c r="D96" i="54"/>
  <c r="C96" i="54"/>
  <c r="D92" i="54"/>
  <c r="C92" i="54"/>
  <c r="D91" i="54"/>
  <c r="C91" i="54"/>
  <c r="D90" i="54"/>
  <c r="C90" i="54"/>
  <c r="D89" i="54"/>
  <c r="C89" i="54"/>
  <c r="D88" i="54"/>
  <c r="C88" i="54"/>
  <c r="D87" i="54"/>
  <c r="C87" i="54"/>
  <c r="D86" i="54"/>
  <c r="C86" i="54"/>
  <c r="D85" i="54"/>
  <c r="C85" i="54"/>
  <c r="D84" i="54"/>
  <c r="C84" i="54"/>
  <c r="D83" i="54"/>
  <c r="C83" i="54"/>
  <c r="D82" i="54"/>
  <c r="C82" i="54"/>
  <c r="D78" i="54"/>
  <c r="C78" i="54"/>
  <c r="D77" i="54"/>
  <c r="C77" i="54"/>
  <c r="D76" i="54"/>
  <c r="C76" i="54"/>
  <c r="D75" i="54"/>
  <c r="C75" i="54"/>
  <c r="D74" i="54"/>
  <c r="C74" i="54"/>
  <c r="D73" i="54"/>
  <c r="C73" i="54"/>
  <c r="D72" i="54"/>
  <c r="C72" i="54"/>
  <c r="D71" i="54"/>
  <c r="C71" i="54"/>
  <c r="D70" i="54"/>
  <c r="C70" i="54"/>
  <c r="D69" i="54"/>
  <c r="C69" i="54"/>
  <c r="D68" i="54"/>
  <c r="C68" i="54"/>
  <c r="D67" i="54"/>
  <c r="C67" i="54"/>
  <c r="D66" i="54"/>
  <c r="C66" i="54"/>
  <c r="D65" i="54"/>
  <c r="C65" i="54"/>
  <c r="D64" i="54"/>
  <c r="C64" i="54"/>
  <c r="D60" i="54"/>
  <c r="C60" i="54"/>
  <c r="D59" i="54"/>
  <c r="C59" i="54"/>
  <c r="D58" i="54"/>
  <c r="C58" i="54"/>
  <c r="D57" i="54"/>
  <c r="C57" i="54"/>
  <c r="D56" i="54"/>
  <c r="C56" i="54"/>
  <c r="D55" i="54"/>
  <c r="C55" i="54"/>
  <c r="D54" i="54"/>
  <c r="C54" i="54"/>
  <c r="D53" i="54"/>
  <c r="C53" i="54"/>
  <c r="D52" i="54"/>
  <c r="C52" i="54"/>
  <c r="D51" i="54"/>
  <c r="C51" i="54"/>
  <c r="D50" i="54"/>
  <c r="C50" i="54"/>
  <c r="D49" i="54"/>
  <c r="C49" i="54"/>
  <c r="D48" i="54"/>
  <c r="C48" i="54"/>
  <c r="D47" i="54"/>
  <c r="C47" i="54"/>
  <c r="D46" i="54"/>
  <c r="C46" i="54"/>
  <c r="D45" i="54"/>
  <c r="C45" i="54"/>
  <c r="D44" i="54"/>
  <c r="C44" i="54"/>
  <c r="D43" i="54"/>
  <c r="C43" i="54"/>
  <c r="D42" i="54"/>
  <c r="C42" i="54"/>
  <c r="D41" i="54"/>
  <c r="C41" i="54"/>
  <c r="D40" i="54"/>
  <c r="C40" i="54"/>
  <c r="D39" i="54"/>
  <c r="C39" i="54"/>
  <c r="D38" i="54"/>
  <c r="C38" i="54"/>
  <c r="D37" i="54"/>
  <c r="C37" i="54"/>
  <c r="D36" i="54"/>
  <c r="C36" i="54"/>
  <c r="D35" i="54"/>
  <c r="C35" i="54"/>
  <c r="D34" i="54"/>
  <c r="C34" i="54"/>
  <c r="D33" i="54"/>
  <c r="C33" i="54"/>
  <c r="D32" i="54"/>
  <c r="C32" i="54"/>
  <c r="D31" i="54"/>
  <c r="C31" i="54"/>
  <c r="D30" i="54"/>
  <c r="C30" i="54"/>
  <c r="D29" i="54"/>
  <c r="C29" i="54"/>
  <c r="D28" i="54"/>
  <c r="C28" i="54"/>
  <c r="D27" i="54"/>
  <c r="C27" i="54"/>
  <c r="D26" i="54"/>
  <c r="C26" i="54"/>
  <c r="D25" i="54"/>
  <c r="C25" i="54"/>
  <c r="D20" i="54"/>
  <c r="C20" i="54"/>
  <c r="D19" i="54"/>
  <c r="C19" i="54"/>
  <c r="D18" i="54"/>
  <c r="C18" i="54"/>
  <c r="D17" i="54"/>
  <c r="C17" i="54"/>
  <c r="D16" i="54"/>
  <c r="C16" i="54"/>
  <c r="D15" i="54"/>
  <c r="C15" i="54"/>
  <c r="D14" i="54"/>
  <c r="C14" i="54"/>
  <c r="D13" i="54"/>
  <c r="C13" i="54"/>
  <c r="D12" i="54"/>
  <c r="C12" i="54"/>
  <c r="D11" i="54"/>
  <c r="C11" i="54"/>
  <c r="C79" i="54" l="1"/>
  <c r="C119" i="54"/>
  <c r="D111" i="54"/>
  <c r="C228" i="54"/>
  <c r="D21" i="54"/>
  <c r="D93" i="54"/>
  <c r="D102" i="54"/>
  <c r="D79" i="54"/>
  <c r="D119" i="54"/>
  <c r="C161" i="54"/>
  <c r="C61" i="54"/>
  <c r="C111" i="54"/>
  <c r="D161" i="54"/>
  <c r="C197" i="54"/>
  <c r="C206" i="54"/>
  <c r="C21" i="54"/>
  <c r="C93" i="54"/>
  <c r="C102" i="54"/>
  <c r="D197" i="54"/>
  <c r="D206" i="54"/>
  <c r="D61" i="54"/>
  <c r="C208" i="54" l="1"/>
  <c r="C212" i="54" s="1"/>
  <c r="D208" i="54"/>
  <c r="D215" i="54" s="1"/>
  <c r="C215" i="54" l="1"/>
  <c r="G244" i="181"/>
  <c r="G243" i="181"/>
  <c r="G242" i="181"/>
  <c r="G241" i="181"/>
  <c r="C238" i="181"/>
  <c r="C237" i="181"/>
  <c r="C236" i="181"/>
  <c r="C235" i="181"/>
  <c r="C233" i="181"/>
  <c r="C232" i="181"/>
  <c r="C231" i="181"/>
  <c r="D228" i="181"/>
  <c r="C227" i="181"/>
  <c r="C226" i="181"/>
  <c r="C225" i="181"/>
  <c r="C224" i="181"/>
  <c r="C223" i="181"/>
  <c r="C222" i="181"/>
  <c r="C221" i="181"/>
  <c r="C220" i="181"/>
  <c r="C219" i="181"/>
  <c r="C211" i="181"/>
  <c r="D205" i="181"/>
  <c r="C205" i="181"/>
  <c r="D204" i="181"/>
  <c r="C204" i="181"/>
  <c r="D203" i="181"/>
  <c r="C203" i="181"/>
  <c r="D202" i="181"/>
  <c r="C202" i="181"/>
  <c r="D201" i="181"/>
  <c r="C201" i="181"/>
  <c r="D200" i="181"/>
  <c r="C200" i="181"/>
  <c r="D196" i="181"/>
  <c r="C196" i="181"/>
  <c r="D195" i="181"/>
  <c r="C195" i="181"/>
  <c r="D194" i="181"/>
  <c r="C194" i="181"/>
  <c r="D193" i="181"/>
  <c r="C193" i="181"/>
  <c r="D192" i="181"/>
  <c r="C192" i="181"/>
  <c r="D191" i="181"/>
  <c r="C191" i="181"/>
  <c r="D190" i="181"/>
  <c r="C190" i="181"/>
  <c r="D189" i="181"/>
  <c r="C189" i="181"/>
  <c r="D188" i="181"/>
  <c r="C188" i="181"/>
  <c r="D187" i="181"/>
  <c r="C187" i="181"/>
  <c r="D186" i="181"/>
  <c r="C186" i="181"/>
  <c r="D185" i="181"/>
  <c r="C185" i="181"/>
  <c r="D184" i="181"/>
  <c r="C184" i="181"/>
  <c r="D183" i="181"/>
  <c r="C183" i="181"/>
  <c r="D182" i="181"/>
  <c r="C182" i="181"/>
  <c r="D181" i="181"/>
  <c r="C181" i="181"/>
  <c r="D180" i="181"/>
  <c r="C180" i="181"/>
  <c r="D179" i="181"/>
  <c r="C179" i="181"/>
  <c r="D178" i="181"/>
  <c r="C178" i="181"/>
  <c r="D177" i="181"/>
  <c r="C177" i="181"/>
  <c r="D176" i="181"/>
  <c r="C176" i="181"/>
  <c r="D175" i="181"/>
  <c r="C175" i="181"/>
  <c r="D174" i="181"/>
  <c r="C174" i="181"/>
  <c r="D173" i="181"/>
  <c r="C173" i="181"/>
  <c r="D172" i="181"/>
  <c r="C172" i="181"/>
  <c r="D171" i="181"/>
  <c r="C171" i="181"/>
  <c r="D170" i="181"/>
  <c r="C170" i="181"/>
  <c r="D169" i="181"/>
  <c r="C169" i="181"/>
  <c r="D168" i="181"/>
  <c r="C168" i="181"/>
  <c r="D167" i="181"/>
  <c r="C167" i="181"/>
  <c r="D166" i="181"/>
  <c r="C166" i="181"/>
  <c r="D165" i="181"/>
  <c r="C165" i="181"/>
  <c r="D164" i="181"/>
  <c r="C164" i="181"/>
  <c r="D160" i="181"/>
  <c r="C160" i="181"/>
  <c r="D159" i="181"/>
  <c r="C159" i="181"/>
  <c r="D158" i="181"/>
  <c r="C158" i="181"/>
  <c r="D157" i="181"/>
  <c r="C157" i="181"/>
  <c r="D156" i="181"/>
  <c r="C156" i="181"/>
  <c r="D155" i="181"/>
  <c r="C155" i="181"/>
  <c r="D153" i="181"/>
  <c r="C153" i="181"/>
  <c r="D152" i="181"/>
  <c r="C152" i="181"/>
  <c r="D151" i="181"/>
  <c r="C151" i="181"/>
  <c r="D150" i="181"/>
  <c r="C150" i="181"/>
  <c r="D149" i="181"/>
  <c r="C149" i="181"/>
  <c r="D148" i="181"/>
  <c r="C148" i="181"/>
  <c r="D147" i="181"/>
  <c r="C147" i="181"/>
  <c r="D146" i="181"/>
  <c r="C146" i="181"/>
  <c r="D145" i="181"/>
  <c r="C145" i="181"/>
  <c r="D143" i="181"/>
  <c r="C143" i="181"/>
  <c r="D142" i="181"/>
  <c r="C142" i="181"/>
  <c r="D141" i="181"/>
  <c r="C141" i="181"/>
  <c r="D140" i="181"/>
  <c r="C140" i="181"/>
  <c r="D138" i="181"/>
  <c r="C138" i="181"/>
  <c r="D137" i="181"/>
  <c r="C137" i="181"/>
  <c r="D136" i="181"/>
  <c r="C136" i="181"/>
  <c r="D135" i="181"/>
  <c r="C135" i="181"/>
  <c r="D133" i="181"/>
  <c r="C133" i="181"/>
  <c r="D132" i="181"/>
  <c r="C132" i="181"/>
  <c r="D131" i="181"/>
  <c r="C131" i="181"/>
  <c r="D130" i="181"/>
  <c r="C130" i="181"/>
  <c r="D129" i="181"/>
  <c r="C129" i="181"/>
  <c r="D127" i="181"/>
  <c r="C127" i="181"/>
  <c r="D126" i="181"/>
  <c r="C126" i="181"/>
  <c r="D125" i="181"/>
  <c r="C125" i="181"/>
  <c r="D124" i="181"/>
  <c r="C124" i="181"/>
  <c r="D123" i="181"/>
  <c r="C123" i="181"/>
  <c r="D118" i="181"/>
  <c r="C118" i="181"/>
  <c r="D117" i="181"/>
  <c r="C117" i="181"/>
  <c r="D116" i="181"/>
  <c r="C116" i="181"/>
  <c r="D115" i="181"/>
  <c r="C115" i="181"/>
  <c r="D114" i="181"/>
  <c r="C114" i="181"/>
  <c r="D110" i="181"/>
  <c r="C110" i="181"/>
  <c r="D109" i="181"/>
  <c r="C109" i="181"/>
  <c r="D108" i="181"/>
  <c r="C108" i="181"/>
  <c r="D107" i="181"/>
  <c r="C107" i="181"/>
  <c r="D106" i="181"/>
  <c r="C106" i="181"/>
  <c r="D105" i="181"/>
  <c r="C105" i="181"/>
  <c r="D101" i="181"/>
  <c r="C101" i="181"/>
  <c r="D100" i="181"/>
  <c r="C100" i="181"/>
  <c r="D99" i="181"/>
  <c r="C99" i="181"/>
  <c r="D98" i="181"/>
  <c r="C98" i="181"/>
  <c r="D97" i="181"/>
  <c r="C97" i="181"/>
  <c r="D96" i="181"/>
  <c r="C96" i="181"/>
  <c r="D92" i="181"/>
  <c r="C92" i="181"/>
  <c r="D91" i="181"/>
  <c r="C91" i="181"/>
  <c r="D90" i="181"/>
  <c r="C90" i="181"/>
  <c r="D89" i="181"/>
  <c r="C89" i="181"/>
  <c r="D88" i="181"/>
  <c r="C88" i="181"/>
  <c r="D87" i="181"/>
  <c r="C87" i="181"/>
  <c r="D86" i="181"/>
  <c r="C86" i="181"/>
  <c r="D85" i="181"/>
  <c r="C85" i="181"/>
  <c r="D84" i="181"/>
  <c r="C84" i="181"/>
  <c r="D83" i="181"/>
  <c r="C83" i="181"/>
  <c r="D82" i="181"/>
  <c r="C82" i="181"/>
  <c r="D78" i="181"/>
  <c r="C78" i="181"/>
  <c r="D77" i="181"/>
  <c r="C77" i="181"/>
  <c r="D76" i="181"/>
  <c r="C76" i="181"/>
  <c r="D75" i="181"/>
  <c r="C75" i="181"/>
  <c r="D74" i="181"/>
  <c r="C74" i="181"/>
  <c r="D73" i="181"/>
  <c r="C73" i="181"/>
  <c r="D72" i="181"/>
  <c r="C72" i="181"/>
  <c r="D71" i="181"/>
  <c r="C71" i="181"/>
  <c r="D70" i="181"/>
  <c r="C70" i="181"/>
  <c r="D69" i="181"/>
  <c r="C69" i="181"/>
  <c r="D68" i="181"/>
  <c r="C68" i="181"/>
  <c r="D67" i="181"/>
  <c r="C67" i="181"/>
  <c r="D66" i="181"/>
  <c r="C66" i="181"/>
  <c r="D65" i="181"/>
  <c r="C65" i="181"/>
  <c r="D64" i="181"/>
  <c r="C64" i="181"/>
  <c r="D60" i="181"/>
  <c r="C60" i="181"/>
  <c r="D59" i="181"/>
  <c r="C59" i="181"/>
  <c r="D58" i="181"/>
  <c r="C58" i="181"/>
  <c r="D57" i="181"/>
  <c r="C57" i="181"/>
  <c r="D56" i="181"/>
  <c r="C56" i="181"/>
  <c r="D55" i="181"/>
  <c r="C55" i="181"/>
  <c r="D54" i="181"/>
  <c r="C54" i="181"/>
  <c r="D53" i="181"/>
  <c r="C53" i="181"/>
  <c r="D52" i="181"/>
  <c r="C52" i="181"/>
  <c r="D51" i="181"/>
  <c r="C51" i="181"/>
  <c r="D50" i="181"/>
  <c r="C50" i="181"/>
  <c r="D49" i="181"/>
  <c r="C49" i="181"/>
  <c r="D48" i="181"/>
  <c r="C48" i="181"/>
  <c r="D47" i="181"/>
  <c r="C47" i="181"/>
  <c r="D46" i="181"/>
  <c r="C46" i="181"/>
  <c r="D45" i="181"/>
  <c r="C45" i="181"/>
  <c r="D44" i="181"/>
  <c r="C44" i="181"/>
  <c r="D43" i="181"/>
  <c r="C43" i="181"/>
  <c r="D42" i="181"/>
  <c r="C42" i="181"/>
  <c r="D41" i="181"/>
  <c r="C41" i="181"/>
  <c r="D40" i="181"/>
  <c r="C40" i="181"/>
  <c r="D39" i="181"/>
  <c r="C39" i="181"/>
  <c r="D38" i="181"/>
  <c r="C38" i="181"/>
  <c r="D37" i="181"/>
  <c r="C37" i="181"/>
  <c r="D36" i="181"/>
  <c r="C36" i="181"/>
  <c r="D35" i="181"/>
  <c r="C35" i="181"/>
  <c r="D34" i="181"/>
  <c r="C34" i="181"/>
  <c r="D33" i="181"/>
  <c r="C33" i="181"/>
  <c r="D32" i="181"/>
  <c r="C32" i="181"/>
  <c r="D31" i="181"/>
  <c r="C31" i="181"/>
  <c r="D30" i="181"/>
  <c r="C30" i="181"/>
  <c r="D29" i="181"/>
  <c r="C29" i="181"/>
  <c r="D28" i="181"/>
  <c r="C28" i="181"/>
  <c r="D27" i="181"/>
  <c r="C27" i="181"/>
  <c r="D26" i="181"/>
  <c r="C26" i="181"/>
  <c r="D25" i="181"/>
  <c r="C25" i="181"/>
  <c r="D20" i="181"/>
  <c r="C20" i="181"/>
  <c r="D19" i="181"/>
  <c r="C19" i="181"/>
  <c r="D18" i="181"/>
  <c r="C18" i="181"/>
  <c r="D17" i="181"/>
  <c r="C17" i="181"/>
  <c r="D16" i="181"/>
  <c r="C16" i="181"/>
  <c r="D15" i="181"/>
  <c r="C15" i="181"/>
  <c r="D14" i="181"/>
  <c r="C14" i="181"/>
  <c r="D13" i="181"/>
  <c r="C13" i="181"/>
  <c r="D12" i="181"/>
  <c r="C12" i="181"/>
  <c r="D11" i="181"/>
  <c r="C11" i="181"/>
  <c r="D93" i="181" l="1"/>
  <c r="D102" i="181"/>
  <c r="C79" i="181"/>
  <c r="D79" i="181"/>
  <c r="C93" i="181"/>
  <c r="C102" i="181"/>
  <c r="C119" i="181"/>
  <c r="C161" i="181"/>
  <c r="D119" i="181"/>
  <c r="D161" i="181"/>
  <c r="C228" i="181"/>
  <c r="C111" i="181"/>
  <c r="D111" i="181"/>
  <c r="C197" i="181"/>
  <c r="C206" i="181"/>
  <c r="C21" i="181"/>
  <c r="D21" i="181"/>
  <c r="D197" i="181"/>
  <c r="D206" i="181"/>
  <c r="C61" i="181"/>
  <c r="D61" i="181"/>
  <c r="C208" i="181" l="1"/>
  <c r="C212" i="181" s="1"/>
  <c r="D208" i="181"/>
  <c r="D215" i="181" s="1"/>
  <c r="C215" i="181" l="1"/>
  <c r="G244" i="94"/>
  <c r="G243" i="94"/>
  <c r="G242" i="94"/>
  <c r="G241" i="94"/>
  <c r="G244" i="145" l="1"/>
  <c r="G243" i="145"/>
  <c r="G242" i="145"/>
  <c r="G241" i="145"/>
  <c r="C238" i="145"/>
  <c r="C237" i="145"/>
  <c r="C236" i="145"/>
  <c r="C235" i="145"/>
  <c r="C233" i="145"/>
  <c r="C232" i="145"/>
  <c r="C231" i="145"/>
  <c r="D228" i="145"/>
  <c r="C227" i="145"/>
  <c r="C226" i="145"/>
  <c r="C225" i="145"/>
  <c r="C224" i="145"/>
  <c r="C223" i="145"/>
  <c r="C222" i="145"/>
  <c r="C221" i="145"/>
  <c r="C220" i="145"/>
  <c r="C219" i="145"/>
  <c r="C211" i="145"/>
  <c r="D205" i="145"/>
  <c r="C205" i="145"/>
  <c r="D204" i="145"/>
  <c r="C204" i="145"/>
  <c r="D203" i="145"/>
  <c r="C203" i="145"/>
  <c r="D202" i="145"/>
  <c r="C202" i="145"/>
  <c r="D201" i="145"/>
  <c r="C201" i="145"/>
  <c r="D200" i="145"/>
  <c r="C200" i="145"/>
  <c r="D196" i="145"/>
  <c r="C196" i="145"/>
  <c r="D195" i="145"/>
  <c r="C195" i="145"/>
  <c r="D194" i="145"/>
  <c r="C194" i="145"/>
  <c r="D193" i="145"/>
  <c r="C193" i="145"/>
  <c r="D192" i="145"/>
  <c r="C192" i="145"/>
  <c r="D191" i="145"/>
  <c r="C191" i="145"/>
  <c r="D190" i="145"/>
  <c r="C190" i="145"/>
  <c r="D189" i="145"/>
  <c r="C189" i="145"/>
  <c r="D188" i="145"/>
  <c r="C188" i="145"/>
  <c r="D187" i="145"/>
  <c r="C187" i="145"/>
  <c r="D186" i="145"/>
  <c r="C186" i="145"/>
  <c r="D185" i="145"/>
  <c r="C185" i="145"/>
  <c r="D184" i="145"/>
  <c r="C184" i="145"/>
  <c r="D183" i="145"/>
  <c r="C183" i="145"/>
  <c r="D182" i="145"/>
  <c r="C182" i="145"/>
  <c r="D181" i="145"/>
  <c r="C181" i="145"/>
  <c r="D180" i="145"/>
  <c r="C180" i="145"/>
  <c r="D179" i="145"/>
  <c r="C179" i="145"/>
  <c r="D178" i="145"/>
  <c r="C178" i="145"/>
  <c r="D177" i="145"/>
  <c r="C177" i="145"/>
  <c r="D176" i="145"/>
  <c r="C176" i="145"/>
  <c r="D175" i="145"/>
  <c r="C175" i="145"/>
  <c r="D174" i="145"/>
  <c r="C174" i="145"/>
  <c r="D173" i="145"/>
  <c r="C173" i="145"/>
  <c r="D172" i="145"/>
  <c r="C172" i="145"/>
  <c r="D171" i="145"/>
  <c r="C171" i="145"/>
  <c r="D170" i="145"/>
  <c r="C170" i="145"/>
  <c r="D169" i="145"/>
  <c r="C169" i="145"/>
  <c r="D168" i="145"/>
  <c r="C168" i="145"/>
  <c r="D167" i="145"/>
  <c r="C167" i="145"/>
  <c r="D166" i="145"/>
  <c r="C166" i="145"/>
  <c r="D165" i="145"/>
  <c r="C165" i="145"/>
  <c r="D164" i="145"/>
  <c r="C164" i="145"/>
  <c r="D160" i="145"/>
  <c r="C160" i="145"/>
  <c r="D159" i="145"/>
  <c r="C159" i="145"/>
  <c r="D158" i="145"/>
  <c r="C158" i="145"/>
  <c r="D157" i="145"/>
  <c r="C157" i="145"/>
  <c r="D156" i="145"/>
  <c r="C156" i="145"/>
  <c r="D155" i="145"/>
  <c r="C155" i="145"/>
  <c r="D153" i="145"/>
  <c r="C153" i="145"/>
  <c r="D152" i="145"/>
  <c r="C152" i="145"/>
  <c r="D151" i="145"/>
  <c r="C151" i="145"/>
  <c r="D150" i="145"/>
  <c r="C150" i="145"/>
  <c r="D149" i="145"/>
  <c r="C149" i="145"/>
  <c r="D148" i="145"/>
  <c r="C148" i="145"/>
  <c r="D147" i="145"/>
  <c r="C147" i="145"/>
  <c r="D146" i="145"/>
  <c r="C146" i="145"/>
  <c r="D145" i="145"/>
  <c r="C145" i="145"/>
  <c r="D143" i="145"/>
  <c r="C143" i="145"/>
  <c r="D142" i="145"/>
  <c r="C142" i="145"/>
  <c r="D141" i="145"/>
  <c r="C141" i="145"/>
  <c r="D140" i="145"/>
  <c r="C140" i="145"/>
  <c r="D138" i="145"/>
  <c r="C138" i="145"/>
  <c r="D137" i="145"/>
  <c r="C137" i="145"/>
  <c r="D136" i="145"/>
  <c r="C136" i="145"/>
  <c r="D135" i="145"/>
  <c r="C135" i="145"/>
  <c r="D133" i="145"/>
  <c r="C133" i="145"/>
  <c r="D132" i="145"/>
  <c r="C132" i="145"/>
  <c r="D131" i="145"/>
  <c r="C131" i="145"/>
  <c r="D130" i="145"/>
  <c r="C130" i="145"/>
  <c r="D129" i="145"/>
  <c r="C129" i="145"/>
  <c r="D127" i="145"/>
  <c r="C127" i="145"/>
  <c r="D126" i="145"/>
  <c r="C126" i="145"/>
  <c r="D125" i="145"/>
  <c r="C125" i="145"/>
  <c r="D124" i="145"/>
  <c r="C124" i="145"/>
  <c r="D123" i="145"/>
  <c r="C123" i="145"/>
  <c r="D118" i="145"/>
  <c r="C118" i="145"/>
  <c r="D117" i="145"/>
  <c r="C117" i="145"/>
  <c r="D116" i="145"/>
  <c r="C116" i="145"/>
  <c r="D115" i="145"/>
  <c r="C115" i="145"/>
  <c r="D114" i="145"/>
  <c r="C114" i="145"/>
  <c r="D110" i="145"/>
  <c r="C110" i="145"/>
  <c r="D109" i="145"/>
  <c r="C109" i="145"/>
  <c r="D108" i="145"/>
  <c r="C108" i="145"/>
  <c r="D107" i="145"/>
  <c r="C107" i="145"/>
  <c r="D106" i="145"/>
  <c r="C106" i="145"/>
  <c r="D105" i="145"/>
  <c r="C105" i="145"/>
  <c r="D101" i="145"/>
  <c r="C101" i="145"/>
  <c r="D100" i="145"/>
  <c r="C100" i="145"/>
  <c r="D99" i="145"/>
  <c r="C99" i="145"/>
  <c r="D98" i="145"/>
  <c r="C98" i="145"/>
  <c r="D97" i="145"/>
  <c r="C97" i="145"/>
  <c r="D96" i="145"/>
  <c r="C96" i="145"/>
  <c r="D92" i="145"/>
  <c r="C92" i="145"/>
  <c r="D91" i="145"/>
  <c r="C91" i="145"/>
  <c r="D90" i="145"/>
  <c r="C90" i="145"/>
  <c r="D89" i="145"/>
  <c r="C89" i="145"/>
  <c r="D88" i="145"/>
  <c r="C88" i="145"/>
  <c r="D87" i="145"/>
  <c r="C87" i="145"/>
  <c r="D86" i="145"/>
  <c r="C86" i="145"/>
  <c r="D85" i="145"/>
  <c r="C85" i="145"/>
  <c r="D84" i="145"/>
  <c r="C84" i="145"/>
  <c r="D83" i="145"/>
  <c r="C83" i="145"/>
  <c r="D82" i="145"/>
  <c r="C82" i="145"/>
  <c r="D78" i="145"/>
  <c r="C78" i="145"/>
  <c r="D77" i="145"/>
  <c r="C77" i="145"/>
  <c r="D76" i="145"/>
  <c r="C76" i="145"/>
  <c r="D75" i="145"/>
  <c r="C75" i="145"/>
  <c r="D74" i="145"/>
  <c r="C74" i="145"/>
  <c r="D73" i="145"/>
  <c r="C73" i="145"/>
  <c r="D72" i="145"/>
  <c r="C72" i="145"/>
  <c r="D71" i="145"/>
  <c r="C71" i="145"/>
  <c r="D70" i="145"/>
  <c r="C70" i="145"/>
  <c r="D69" i="145"/>
  <c r="C69" i="145"/>
  <c r="D68" i="145"/>
  <c r="C68" i="145"/>
  <c r="D67" i="145"/>
  <c r="C67" i="145"/>
  <c r="D66" i="145"/>
  <c r="C66" i="145"/>
  <c r="D65" i="145"/>
  <c r="C65" i="145"/>
  <c r="D64" i="145"/>
  <c r="C64" i="145"/>
  <c r="D60" i="145"/>
  <c r="C60" i="145"/>
  <c r="D59" i="145"/>
  <c r="C59" i="145"/>
  <c r="D58" i="145"/>
  <c r="C58" i="145"/>
  <c r="D57" i="145"/>
  <c r="C57" i="145"/>
  <c r="D56" i="145"/>
  <c r="C56" i="145"/>
  <c r="D55" i="145"/>
  <c r="C55" i="145"/>
  <c r="D54" i="145"/>
  <c r="C54" i="145"/>
  <c r="D53" i="145"/>
  <c r="C53" i="145"/>
  <c r="D52" i="145"/>
  <c r="C52" i="145"/>
  <c r="D51" i="145"/>
  <c r="C51" i="145"/>
  <c r="D50" i="145"/>
  <c r="C50" i="145"/>
  <c r="D49" i="145"/>
  <c r="C49" i="145"/>
  <c r="D48" i="145"/>
  <c r="C48" i="145"/>
  <c r="D47" i="145"/>
  <c r="C47" i="145"/>
  <c r="D46" i="145"/>
  <c r="C46" i="145"/>
  <c r="D45" i="145"/>
  <c r="C45" i="145"/>
  <c r="D44" i="145"/>
  <c r="C44" i="145"/>
  <c r="D43" i="145"/>
  <c r="C43" i="145"/>
  <c r="D42" i="145"/>
  <c r="C42" i="145"/>
  <c r="D41" i="145"/>
  <c r="C41" i="145"/>
  <c r="D40" i="145"/>
  <c r="C40" i="145"/>
  <c r="D39" i="145"/>
  <c r="C39" i="145"/>
  <c r="D38" i="145"/>
  <c r="C38" i="145"/>
  <c r="D37" i="145"/>
  <c r="C37" i="145"/>
  <c r="D36" i="145"/>
  <c r="C36" i="145"/>
  <c r="D35" i="145"/>
  <c r="C35" i="145"/>
  <c r="D34" i="145"/>
  <c r="C34" i="145"/>
  <c r="D33" i="145"/>
  <c r="C33" i="145"/>
  <c r="D32" i="145"/>
  <c r="C32" i="145"/>
  <c r="D31" i="145"/>
  <c r="C31" i="145"/>
  <c r="D30" i="145"/>
  <c r="C30" i="145"/>
  <c r="D29" i="145"/>
  <c r="C29" i="145"/>
  <c r="D28" i="145"/>
  <c r="C28" i="145"/>
  <c r="D27" i="145"/>
  <c r="C27" i="145"/>
  <c r="D26" i="145"/>
  <c r="C26" i="145"/>
  <c r="D25" i="145"/>
  <c r="C25" i="145"/>
  <c r="D20" i="145"/>
  <c r="C20" i="145"/>
  <c r="D19" i="145"/>
  <c r="C19" i="145"/>
  <c r="D18" i="145"/>
  <c r="C18" i="145"/>
  <c r="D17" i="145"/>
  <c r="C17" i="145"/>
  <c r="D16" i="145"/>
  <c r="C16" i="145"/>
  <c r="D15" i="145"/>
  <c r="C15" i="145"/>
  <c r="D14" i="145"/>
  <c r="C14" i="145"/>
  <c r="D13" i="145"/>
  <c r="C13" i="145"/>
  <c r="D12" i="145"/>
  <c r="C12" i="145"/>
  <c r="D11" i="145"/>
  <c r="C11" i="145"/>
  <c r="C102" i="145" l="1"/>
  <c r="D21" i="145"/>
  <c r="D102" i="145"/>
  <c r="C79" i="145"/>
  <c r="D93" i="145"/>
  <c r="C119" i="145"/>
  <c r="C161" i="145"/>
  <c r="D119" i="145"/>
  <c r="D161" i="145"/>
  <c r="D111" i="145"/>
  <c r="C197" i="145"/>
  <c r="C206" i="145"/>
  <c r="D79" i="145"/>
  <c r="C111" i="145"/>
  <c r="C228" i="145"/>
  <c r="C21" i="145"/>
  <c r="C93" i="145"/>
  <c r="D197" i="145"/>
  <c r="D206" i="145"/>
  <c r="C61" i="145"/>
  <c r="D61" i="145"/>
  <c r="C208" i="145" l="1"/>
  <c r="C212" i="145" s="1"/>
  <c r="D208" i="145"/>
  <c r="D215" i="145" s="1"/>
  <c r="C215" i="145" l="1"/>
  <c r="G244" i="33"/>
  <c r="G243" i="33"/>
  <c r="G242" i="33"/>
  <c r="G241" i="33"/>
  <c r="C238" i="33"/>
  <c r="C237" i="33"/>
  <c r="C236" i="33"/>
  <c r="C235" i="33"/>
  <c r="C233" i="33"/>
  <c r="C232" i="33"/>
  <c r="C231" i="33"/>
  <c r="D228" i="33"/>
  <c r="C227" i="33"/>
  <c r="C226" i="33"/>
  <c r="C225" i="33"/>
  <c r="C224" i="33"/>
  <c r="C223" i="33"/>
  <c r="C222" i="33"/>
  <c r="C221" i="33"/>
  <c r="C220" i="33"/>
  <c r="C219" i="33"/>
  <c r="C211" i="33"/>
  <c r="D205" i="33"/>
  <c r="C205" i="33"/>
  <c r="D204" i="33"/>
  <c r="C204" i="33"/>
  <c r="D203" i="33"/>
  <c r="C203" i="33"/>
  <c r="D202" i="33"/>
  <c r="C202" i="33"/>
  <c r="D201" i="33"/>
  <c r="C201" i="33"/>
  <c r="D200" i="33"/>
  <c r="C200" i="33"/>
  <c r="D196" i="33"/>
  <c r="C196" i="33"/>
  <c r="D195" i="33"/>
  <c r="C195" i="33"/>
  <c r="D194" i="33"/>
  <c r="C194" i="33"/>
  <c r="D193" i="33"/>
  <c r="C193" i="33"/>
  <c r="D192" i="33"/>
  <c r="C192" i="33"/>
  <c r="D191" i="33"/>
  <c r="C191" i="33"/>
  <c r="D190" i="33"/>
  <c r="C190" i="33"/>
  <c r="D189" i="33"/>
  <c r="C189" i="33"/>
  <c r="D188" i="33"/>
  <c r="C188" i="33"/>
  <c r="D187" i="33"/>
  <c r="C187" i="33"/>
  <c r="D186" i="33"/>
  <c r="C186" i="33"/>
  <c r="D185" i="33"/>
  <c r="C185" i="33"/>
  <c r="D184" i="33"/>
  <c r="C184" i="33"/>
  <c r="D183" i="33"/>
  <c r="C183" i="33"/>
  <c r="D182" i="33"/>
  <c r="C182" i="33"/>
  <c r="D181" i="33"/>
  <c r="C181" i="33"/>
  <c r="D180" i="33"/>
  <c r="C180" i="33"/>
  <c r="D179" i="33"/>
  <c r="C179" i="33"/>
  <c r="D178" i="33"/>
  <c r="C178" i="33"/>
  <c r="D177" i="33"/>
  <c r="C177" i="33"/>
  <c r="D176" i="33"/>
  <c r="C176" i="33"/>
  <c r="D175" i="33"/>
  <c r="C175" i="33"/>
  <c r="D174" i="33"/>
  <c r="C174" i="33"/>
  <c r="D173" i="33"/>
  <c r="C173" i="33"/>
  <c r="D172" i="33"/>
  <c r="C172" i="33"/>
  <c r="D171" i="33"/>
  <c r="C171" i="33"/>
  <c r="D170" i="33"/>
  <c r="C170" i="33"/>
  <c r="D169" i="33"/>
  <c r="C169" i="33"/>
  <c r="D168" i="33"/>
  <c r="C168" i="33"/>
  <c r="D167" i="33"/>
  <c r="C167" i="33"/>
  <c r="D166" i="33"/>
  <c r="C166" i="33"/>
  <c r="D165" i="33"/>
  <c r="C165" i="33"/>
  <c r="D164" i="33"/>
  <c r="C164" i="33"/>
  <c r="D160" i="33"/>
  <c r="C160" i="33"/>
  <c r="D159" i="33"/>
  <c r="C159" i="33"/>
  <c r="D158" i="33"/>
  <c r="C158" i="33"/>
  <c r="D157" i="33"/>
  <c r="C157" i="33"/>
  <c r="D156" i="33"/>
  <c r="C156" i="33"/>
  <c r="D155" i="33"/>
  <c r="C155" i="33"/>
  <c r="D153" i="33"/>
  <c r="C153" i="33"/>
  <c r="D152" i="33"/>
  <c r="C152" i="33"/>
  <c r="D151" i="33"/>
  <c r="C151" i="33"/>
  <c r="D150" i="33"/>
  <c r="C150" i="33"/>
  <c r="D149" i="33"/>
  <c r="C149" i="33"/>
  <c r="D148" i="33"/>
  <c r="C148" i="33"/>
  <c r="D147" i="33"/>
  <c r="C147" i="33"/>
  <c r="D146" i="33"/>
  <c r="C146" i="33"/>
  <c r="D145" i="33"/>
  <c r="C145" i="33"/>
  <c r="D143" i="33"/>
  <c r="C143" i="33"/>
  <c r="D142" i="33"/>
  <c r="C142" i="33"/>
  <c r="D141" i="33"/>
  <c r="C141" i="33"/>
  <c r="D140" i="33"/>
  <c r="C140" i="33"/>
  <c r="D138" i="33"/>
  <c r="C138" i="33"/>
  <c r="D137" i="33"/>
  <c r="C137" i="33"/>
  <c r="D136" i="33"/>
  <c r="C136" i="33"/>
  <c r="D135" i="33"/>
  <c r="C135" i="33"/>
  <c r="D133" i="33"/>
  <c r="C133" i="33"/>
  <c r="D132" i="33"/>
  <c r="C132" i="33"/>
  <c r="D131" i="33"/>
  <c r="C131" i="33"/>
  <c r="D130" i="33"/>
  <c r="C130" i="33"/>
  <c r="D129" i="33"/>
  <c r="C129" i="33"/>
  <c r="D127" i="33"/>
  <c r="C127" i="33"/>
  <c r="D126" i="33"/>
  <c r="C126" i="33"/>
  <c r="D125" i="33"/>
  <c r="C125" i="33"/>
  <c r="D124" i="33"/>
  <c r="C124" i="33"/>
  <c r="D123" i="33"/>
  <c r="C123" i="33"/>
  <c r="D118" i="33"/>
  <c r="C118" i="33"/>
  <c r="D117" i="33"/>
  <c r="C117" i="33"/>
  <c r="D116" i="33"/>
  <c r="C116" i="33"/>
  <c r="D115" i="33"/>
  <c r="C115" i="33"/>
  <c r="D114" i="33"/>
  <c r="C114" i="33"/>
  <c r="D110" i="33"/>
  <c r="C110" i="33"/>
  <c r="D109" i="33"/>
  <c r="C109" i="33"/>
  <c r="D108" i="33"/>
  <c r="C108" i="33"/>
  <c r="D107" i="33"/>
  <c r="C107" i="33"/>
  <c r="D106" i="33"/>
  <c r="C106" i="33"/>
  <c r="D105" i="33"/>
  <c r="C105" i="33"/>
  <c r="D101" i="33"/>
  <c r="C101" i="33"/>
  <c r="D100" i="33"/>
  <c r="C100" i="33"/>
  <c r="D99" i="33"/>
  <c r="C99" i="33"/>
  <c r="D98" i="33"/>
  <c r="C98" i="33"/>
  <c r="D97" i="33"/>
  <c r="C97" i="33"/>
  <c r="D96" i="33"/>
  <c r="C96" i="33"/>
  <c r="D92" i="33"/>
  <c r="C92" i="33"/>
  <c r="D91" i="33"/>
  <c r="C91" i="33"/>
  <c r="D90" i="33"/>
  <c r="C90" i="33"/>
  <c r="D89" i="33"/>
  <c r="C89" i="33"/>
  <c r="D88" i="33"/>
  <c r="C88" i="33"/>
  <c r="D87" i="33"/>
  <c r="C87" i="33"/>
  <c r="D86" i="33"/>
  <c r="C86" i="33"/>
  <c r="D85" i="33"/>
  <c r="C85" i="33"/>
  <c r="D84" i="33"/>
  <c r="C84" i="33"/>
  <c r="D83" i="33"/>
  <c r="C83" i="33"/>
  <c r="D82" i="33"/>
  <c r="C82" i="33"/>
  <c r="D78" i="33"/>
  <c r="C78" i="33"/>
  <c r="D77" i="33"/>
  <c r="C77" i="33"/>
  <c r="D76" i="33"/>
  <c r="C76" i="33"/>
  <c r="D75" i="33"/>
  <c r="C75" i="33"/>
  <c r="D74" i="33"/>
  <c r="C74" i="33"/>
  <c r="D73" i="33"/>
  <c r="C73" i="33"/>
  <c r="D72" i="33"/>
  <c r="C72" i="33"/>
  <c r="D71" i="33"/>
  <c r="C71" i="33"/>
  <c r="D70" i="33"/>
  <c r="C70" i="33"/>
  <c r="D69" i="33"/>
  <c r="C69" i="33"/>
  <c r="D68" i="33"/>
  <c r="C68" i="33"/>
  <c r="D67" i="33"/>
  <c r="C67" i="33"/>
  <c r="D66" i="33"/>
  <c r="C66" i="33"/>
  <c r="D65" i="33"/>
  <c r="C65" i="33"/>
  <c r="D64" i="33"/>
  <c r="C64" i="33"/>
  <c r="D60" i="33"/>
  <c r="C60" i="33"/>
  <c r="D59" i="33"/>
  <c r="C59" i="33"/>
  <c r="D58" i="33"/>
  <c r="C58" i="33"/>
  <c r="D57" i="33"/>
  <c r="C57" i="33"/>
  <c r="D56" i="33"/>
  <c r="C56" i="33"/>
  <c r="D55" i="33"/>
  <c r="C55" i="33"/>
  <c r="D54" i="33"/>
  <c r="C54" i="33"/>
  <c r="D53" i="33"/>
  <c r="C53" i="33"/>
  <c r="D52" i="33"/>
  <c r="C52" i="33"/>
  <c r="D51" i="33"/>
  <c r="C51" i="33"/>
  <c r="D50" i="33"/>
  <c r="C50" i="33"/>
  <c r="D49" i="33"/>
  <c r="C49" i="33"/>
  <c r="D48" i="33"/>
  <c r="C48" i="33"/>
  <c r="D47" i="33"/>
  <c r="C47" i="33"/>
  <c r="D46" i="33"/>
  <c r="C46" i="33"/>
  <c r="D45" i="33"/>
  <c r="C45" i="33"/>
  <c r="D44" i="33"/>
  <c r="C44" i="33"/>
  <c r="D43" i="33"/>
  <c r="C43" i="33"/>
  <c r="D42" i="33"/>
  <c r="C42" i="33"/>
  <c r="D41" i="33"/>
  <c r="C41" i="33"/>
  <c r="D40" i="33"/>
  <c r="C40" i="33"/>
  <c r="D39" i="33"/>
  <c r="C39" i="33"/>
  <c r="D38" i="33"/>
  <c r="C38" i="33"/>
  <c r="D37" i="33"/>
  <c r="C37" i="33"/>
  <c r="D36" i="33"/>
  <c r="C36" i="33"/>
  <c r="D35" i="33"/>
  <c r="C35" i="33"/>
  <c r="D34" i="33"/>
  <c r="C34" i="33"/>
  <c r="D33" i="33"/>
  <c r="C33" i="33"/>
  <c r="D32" i="33"/>
  <c r="C32" i="33"/>
  <c r="D31" i="33"/>
  <c r="C31" i="33"/>
  <c r="D30" i="33"/>
  <c r="C30" i="33"/>
  <c r="D29" i="33"/>
  <c r="C29" i="33"/>
  <c r="D28" i="33"/>
  <c r="C28" i="33"/>
  <c r="D27" i="33"/>
  <c r="C27" i="33"/>
  <c r="D26" i="33"/>
  <c r="C26" i="33"/>
  <c r="D25" i="33"/>
  <c r="C25" i="33"/>
  <c r="D20" i="33"/>
  <c r="C20" i="33"/>
  <c r="D19" i="33"/>
  <c r="C19" i="33"/>
  <c r="D18" i="33"/>
  <c r="C18" i="33"/>
  <c r="D17" i="33"/>
  <c r="C17" i="33"/>
  <c r="D16" i="33"/>
  <c r="C16" i="33"/>
  <c r="D15" i="33"/>
  <c r="C15" i="33"/>
  <c r="D14" i="33"/>
  <c r="C14" i="33"/>
  <c r="D13" i="33"/>
  <c r="C13" i="33"/>
  <c r="D12" i="33"/>
  <c r="C12" i="33"/>
  <c r="D11" i="33"/>
  <c r="C11" i="33"/>
  <c r="D93" i="33" l="1"/>
  <c r="D102" i="33"/>
  <c r="C21" i="33"/>
  <c r="C102" i="33"/>
  <c r="C119" i="33"/>
  <c r="D21" i="33"/>
  <c r="C161" i="33"/>
  <c r="D79" i="33"/>
  <c r="D119" i="33"/>
  <c r="D161" i="33"/>
  <c r="D111" i="33"/>
  <c r="C79" i="33"/>
  <c r="C197" i="33"/>
  <c r="C111" i="33"/>
  <c r="C206" i="33"/>
  <c r="C93" i="33"/>
  <c r="C228" i="33"/>
  <c r="D197" i="33"/>
  <c r="D206" i="33"/>
  <c r="C61" i="33"/>
  <c r="D61" i="33"/>
  <c r="D208" i="33" l="1"/>
  <c r="D215" i="33" s="1"/>
  <c r="C208" i="33"/>
  <c r="C212" i="33" s="1"/>
  <c r="G244" i="177"/>
  <c r="G243" i="177"/>
  <c r="G242" i="177"/>
  <c r="G241" i="177"/>
  <c r="C238" i="177"/>
  <c r="C237" i="177"/>
  <c r="C236" i="177"/>
  <c r="C235" i="177"/>
  <c r="C233" i="177"/>
  <c r="C232" i="177"/>
  <c r="C231" i="177"/>
  <c r="D228" i="177"/>
  <c r="C227" i="177"/>
  <c r="C226" i="177"/>
  <c r="C225" i="177"/>
  <c r="C224" i="177"/>
  <c r="C223" i="177"/>
  <c r="C222" i="177"/>
  <c r="C221" i="177"/>
  <c r="C220" i="177"/>
  <c r="C219" i="177"/>
  <c r="C211" i="177"/>
  <c r="D205" i="177"/>
  <c r="C205" i="177"/>
  <c r="D204" i="177"/>
  <c r="C204" i="177"/>
  <c r="D203" i="177"/>
  <c r="C203" i="177"/>
  <c r="D202" i="177"/>
  <c r="C202" i="177"/>
  <c r="D201" i="177"/>
  <c r="C201" i="177"/>
  <c r="D200" i="177"/>
  <c r="C200" i="177"/>
  <c r="D196" i="177"/>
  <c r="C196" i="177"/>
  <c r="D195" i="177"/>
  <c r="C195" i="177"/>
  <c r="D194" i="177"/>
  <c r="C194" i="177"/>
  <c r="D193" i="177"/>
  <c r="C193" i="177"/>
  <c r="D192" i="177"/>
  <c r="C192" i="177"/>
  <c r="D191" i="177"/>
  <c r="C191" i="177"/>
  <c r="D190" i="177"/>
  <c r="C190" i="177"/>
  <c r="D189" i="177"/>
  <c r="C189" i="177"/>
  <c r="D188" i="177"/>
  <c r="C188" i="177"/>
  <c r="D187" i="177"/>
  <c r="C187" i="177"/>
  <c r="D186" i="177"/>
  <c r="C186" i="177"/>
  <c r="D185" i="177"/>
  <c r="C185" i="177"/>
  <c r="D184" i="177"/>
  <c r="C184" i="177"/>
  <c r="D183" i="177"/>
  <c r="C183" i="177"/>
  <c r="D182" i="177"/>
  <c r="C182" i="177"/>
  <c r="D181" i="177"/>
  <c r="C181" i="177"/>
  <c r="D180" i="177"/>
  <c r="C180" i="177"/>
  <c r="D179" i="177"/>
  <c r="C179" i="177"/>
  <c r="D178" i="177"/>
  <c r="C178" i="177"/>
  <c r="D177" i="177"/>
  <c r="C177" i="177"/>
  <c r="D176" i="177"/>
  <c r="C176" i="177"/>
  <c r="D175" i="177"/>
  <c r="C175" i="177"/>
  <c r="D174" i="177"/>
  <c r="C174" i="177"/>
  <c r="D173" i="177"/>
  <c r="C173" i="177"/>
  <c r="D172" i="177"/>
  <c r="C172" i="177"/>
  <c r="D171" i="177"/>
  <c r="C171" i="177"/>
  <c r="D170" i="177"/>
  <c r="C170" i="177"/>
  <c r="D169" i="177"/>
  <c r="C169" i="177"/>
  <c r="D168" i="177"/>
  <c r="C168" i="177"/>
  <c r="D167" i="177"/>
  <c r="C167" i="177"/>
  <c r="D166" i="177"/>
  <c r="C166" i="177"/>
  <c r="D165" i="177"/>
  <c r="C165" i="177"/>
  <c r="D164" i="177"/>
  <c r="C164" i="177"/>
  <c r="D160" i="177"/>
  <c r="C160" i="177"/>
  <c r="D159" i="177"/>
  <c r="C159" i="177"/>
  <c r="D158" i="177"/>
  <c r="C158" i="177"/>
  <c r="D157" i="177"/>
  <c r="C157" i="177"/>
  <c r="D156" i="177"/>
  <c r="C156" i="177"/>
  <c r="D155" i="177"/>
  <c r="C155" i="177"/>
  <c r="D153" i="177"/>
  <c r="C153" i="177"/>
  <c r="D152" i="177"/>
  <c r="C152" i="177"/>
  <c r="D151" i="177"/>
  <c r="C151" i="177"/>
  <c r="D150" i="177"/>
  <c r="C150" i="177"/>
  <c r="D149" i="177"/>
  <c r="C149" i="177"/>
  <c r="D148" i="177"/>
  <c r="C148" i="177"/>
  <c r="D147" i="177"/>
  <c r="C147" i="177"/>
  <c r="D146" i="177"/>
  <c r="C146" i="177"/>
  <c r="D145" i="177"/>
  <c r="C145" i="177"/>
  <c r="D143" i="177"/>
  <c r="C143" i="177"/>
  <c r="D142" i="177"/>
  <c r="C142" i="177"/>
  <c r="D141" i="177"/>
  <c r="C141" i="177"/>
  <c r="D140" i="177"/>
  <c r="C140" i="177"/>
  <c r="D138" i="177"/>
  <c r="C138" i="177"/>
  <c r="D137" i="177"/>
  <c r="C137" i="177"/>
  <c r="D136" i="177"/>
  <c r="C136" i="177"/>
  <c r="D135" i="177"/>
  <c r="C135" i="177"/>
  <c r="D133" i="177"/>
  <c r="C133" i="177"/>
  <c r="D132" i="177"/>
  <c r="C132" i="177"/>
  <c r="D131" i="177"/>
  <c r="C131" i="177"/>
  <c r="D130" i="177"/>
  <c r="C130" i="177"/>
  <c r="D129" i="177"/>
  <c r="C129" i="177"/>
  <c r="D127" i="177"/>
  <c r="C127" i="177"/>
  <c r="D126" i="177"/>
  <c r="C126" i="177"/>
  <c r="D125" i="177"/>
  <c r="C125" i="177"/>
  <c r="D124" i="177"/>
  <c r="C124" i="177"/>
  <c r="D123" i="177"/>
  <c r="C123" i="177"/>
  <c r="D118" i="177"/>
  <c r="C118" i="177"/>
  <c r="D117" i="177"/>
  <c r="C117" i="177"/>
  <c r="D116" i="177"/>
  <c r="C116" i="177"/>
  <c r="D115" i="177"/>
  <c r="C115" i="177"/>
  <c r="D114" i="177"/>
  <c r="C114" i="177"/>
  <c r="D110" i="177"/>
  <c r="C110" i="177"/>
  <c r="D109" i="177"/>
  <c r="C109" i="177"/>
  <c r="D108" i="177"/>
  <c r="C108" i="177"/>
  <c r="D107" i="177"/>
  <c r="C107" i="177"/>
  <c r="D106" i="177"/>
  <c r="C106" i="177"/>
  <c r="D105" i="177"/>
  <c r="C105" i="177"/>
  <c r="D101" i="177"/>
  <c r="C101" i="177"/>
  <c r="D100" i="177"/>
  <c r="C100" i="177"/>
  <c r="D99" i="177"/>
  <c r="C99" i="177"/>
  <c r="D98" i="177"/>
  <c r="C98" i="177"/>
  <c r="D97" i="177"/>
  <c r="C97" i="177"/>
  <c r="D96" i="177"/>
  <c r="C96" i="177"/>
  <c r="D92" i="177"/>
  <c r="C92" i="177"/>
  <c r="D91" i="177"/>
  <c r="C91" i="177"/>
  <c r="D90" i="177"/>
  <c r="C90" i="177"/>
  <c r="D89" i="177"/>
  <c r="C89" i="177"/>
  <c r="D88" i="177"/>
  <c r="C88" i="177"/>
  <c r="D87" i="177"/>
  <c r="C87" i="177"/>
  <c r="D86" i="177"/>
  <c r="C86" i="177"/>
  <c r="D85" i="177"/>
  <c r="C85" i="177"/>
  <c r="D84" i="177"/>
  <c r="C84" i="177"/>
  <c r="D83" i="177"/>
  <c r="C83" i="177"/>
  <c r="D82" i="177"/>
  <c r="C82" i="177"/>
  <c r="D78" i="177"/>
  <c r="C78" i="177"/>
  <c r="D77" i="177"/>
  <c r="C77" i="177"/>
  <c r="D76" i="177"/>
  <c r="C76" i="177"/>
  <c r="D75" i="177"/>
  <c r="C75" i="177"/>
  <c r="D74" i="177"/>
  <c r="C74" i="177"/>
  <c r="D73" i="177"/>
  <c r="C73" i="177"/>
  <c r="D72" i="177"/>
  <c r="C72" i="177"/>
  <c r="D71" i="177"/>
  <c r="C71" i="177"/>
  <c r="D70" i="177"/>
  <c r="C70" i="177"/>
  <c r="D69" i="177"/>
  <c r="C69" i="177"/>
  <c r="D68" i="177"/>
  <c r="C68" i="177"/>
  <c r="D67" i="177"/>
  <c r="C67" i="177"/>
  <c r="D66" i="177"/>
  <c r="C66" i="177"/>
  <c r="D65" i="177"/>
  <c r="C65" i="177"/>
  <c r="D64" i="177"/>
  <c r="C64" i="177"/>
  <c r="D60" i="177"/>
  <c r="C60" i="177"/>
  <c r="D59" i="177"/>
  <c r="C59" i="177"/>
  <c r="D58" i="177"/>
  <c r="C58" i="177"/>
  <c r="D57" i="177"/>
  <c r="C57" i="177"/>
  <c r="D56" i="177"/>
  <c r="C56" i="177"/>
  <c r="D55" i="177"/>
  <c r="C55" i="177"/>
  <c r="D54" i="177"/>
  <c r="C54" i="177"/>
  <c r="D53" i="177"/>
  <c r="C53" i="177"/>
  <c r="D52" i="177"/>
  <c r="C52" i="177"/>
  <c r="D51" i="177"/>
  <c r="C51" i="177"/>
  <c r="D50" i="177"/>
  <c r="C50" i="177"/>
  <c r="D49" i="177"/>
  <c r="C49" i="177"/>
  <c r="D48" i="177"/>
  <c r="C48" i="177"/>
  <c r="D47" i="177"/>
  <c r="C47" i="177"/>
  <c r="D46" i="177"/>
  <c r="C46" i="177"/>
  <c r="D45" i="177"/>
  <c r="C45" i="177"/>
  <c r="D44" i="177"/>
  <c r="C44" i="177"/>
  <c r="D43" i="177"/>
  <c r="C43" i="177"/>
  <c r="D42" i="177"/>
  <c r="C42" i="177"/>
  <c r="D41" i="177"/>
  <c r="C41" i="177"/>
  <c r="D40" i="177"/>
  <c r="C40" i="177"/>
  <c r="D39" i="177"/>
  <c r="C39" i="177"/>
  <c r="D38" i="177"/>
  <c r="C38" i="177"/>
  <c r="D37" i="177"/>
  <c r="C37" i="177"/>
  <c r="D36" i="177"/>
  <c r="C36" i="177"/>
  <c r="D35" i="177"/>
  <c r="C35" i="177"/>
  <c r="D34" i="177"/>
  <c r="C34" i="177"/>
  <c r="D33" i="177"/>
  <c r="C33" i="177"/>
  <c r="D32" i="177"/>
  <c r="C32" i="177"/>
  <c r="D31" i="177"/>
  <c r="C31" i="177"/>
  <c r="D30" i="177"/>
  <c r="C30" i="177"/>
  <c r="D29" i="177"/>
  <c r="C29" i="177"/>
  <c r="D28" i="177"/>
  <c r="C28" i="177"/>
  <c r="D27" i="177"/>
  <c r="C27" i="177"/>
  <c r="D26" i="177"/>
  <c r="C26" i="177"/>
  <c r="D25" i="177"/>
  <c r="C25" i="177"/>
  <c r="D20" i="177"/>
  <c r="C20" i="177"/>
  <c r="D19" i="177"/>
  <c r="C19" i="177"/>
  <c r="D18" i="177"/>
  <c r="C18" i="177"/>
  <c r="D17" i="177"/>
  <c r="C17" i="177"/>
  <c r="D16" i="177"/>
  <c r="C16" i="177"/>
  <c r="D15" i="177"/>
  <c r="C15" i="177"/>
  <c r="D14" i="177"/>
  <c r="C14" i="177"/>
  <c r="D13" i="177"/>
  <c r="C13" i="177"/>
  <c r="D12" i="177"/>
  <c r="C12" i="177"/>
  <c r="D11" i="177"/>
  <c r="C11" i="177"/>
  <c r="C111" i="177" l="1"/>
  <c r="C215" i="33"/>
  <c r="D93" i="177"/>
  <c r="D79" i="177"/>
  <c r="C93" i="177"/>
  <c r="C119" i="177"/>
  <c r="D21" i="177"/>
  <c r="D119" i="177"/>
  <c r="C161" i="177"/>
  <c r="D111" i="177"/>
  <c r="D161" i="177"/>
  <c r="C21" i="177"/>
  <c r="C228" i="177"/>
  <c r="C102" i="177"/>
  <c r="C197" i="177"/>
  <c r="C206" i="177"/>
  <c r="D102" i="177"/>
  <c r="D197" i="177"/>
  <c r="D206" i="177"/>
  <c r="C79" i="177"/>
  <c r="C61" i="177"/>
  <c r="D61" i="177"/>
  <c r="C208" i="177" l="1"/>
  <c r="C212" i="177" s="1"/>
  <c r="D208" i="177"/>
  <c r="D215" i="177" s="1"/>
  <c r="C215" i="177" l="1"/>
  <c r="G244" i="164"/>
  <c r="G243" i="164"/>
  <c r="G242" i="164"/>
  <c r="G241" i="164"/>
  <c r="C238" i="164"/>
  <c r="C237" i="164"/>
  <c r="C236" i="164"/>
  <c r="C235" i="164"/>
  <c r="C233" i="164"/>
  <c r="C232" i="164"/>
  <c r="C231" i="164"/>
  <c r="D228" i="164"/>
  <c r="C227" i="164"/>
  <c r="C226" i="164"/>
  <c r="C225" i="164"/>
  <c r="C224" i="164"/>
  <c r="C223" i="164"/>
  <c r="C222" i="164"/>
  <c r="C221" i="164"/>
  <c r="C220" i="164"/>
  <c r="C219" i="164"/>
  <c r="C211" i="164"/>
  <c r="D205" i="164"/>
  <c r="C205" i="164"/>
  <c r="D204" i="164"/>
  <c r="C204" i="164"/>
  <c r="D203" i="164"/>
  <c r="C203" i="164"/>
  <c r="D202" i="164"/>
  <c r="C202" i="164"/>
  <c r="D201" i="164"/>
  <c r="C201" i="164"/>
  <c r="D200" i="164"/>
  <c r="C200" i="164"/>
  <c r="D196" i="164"/>
  <c r="C196" i="164"/>
  <c r="D195" i="164"/>
  <c r="C195" i="164"/>
  <c r="D194" i="164"/>
  <c r="C194" i="164"/>
  <c r="D193" i="164"/>
  <c r="C193" i="164"/>
  <c r="D192" i="164"/>
  <c r="C192" i="164"/>
  <c r="D191" i="164"/>
  <c r="C191" i="164"/>
  <c r="D190" i="164"/>
  <c r="C190" i="164"/>
  <c r="D189" i="164"/>
  <c r="C189" i="164"/>
  <c r="D188" i="164"/>
  <c r="C188" i="164"/>
  <c r="D187" i="164"/>
  <c r="C187" i="164"/>
  <c r="D186" i="164"/>
  <c r="C186" i="164"/>
  <c r="D185" i="164"/>
  <c r="C185" i="164"/>
  <c r="D184" i="164"/>
  <c r="C184" i="164"/>
  <c r="D183" i="164"/>
  <c r="C183" i="164"/>
  <c r="D182" i="164"/>
  <c r="C182" i="164"/>
  <c r="D181" i="164"/>
  <c r="C181" i="164"/>
  <c r="D180" i="164"/>
  <c r="C180" i="164"/>
  <c r="D179" i="164"/>
  <c r="C179" i="164"/>
  <c r="D178" i="164"/>
  <c r="C178" i="164"/>
  <c r="D177" i="164"/>
  <c r="C177" i="164"/>
  <c r="D176" i="164"/>
  <c r="C176" i="164"/>
  <c r="D175" i="164"/>
  <c r="C175" i="164"/>
  <c r="D174" i="164"/>
  <c r="C174" i="164"/>
  <c r="D173" i="164"/>
  <c r="C173" i="164"/>
  <c r="D172" i="164"/>
  <c r="C172" i="164"/>
  <c r="D171" i="164"/>
  <c r="C171" i="164"/>
  <c r="D170" i="164"/>
  <c r="C170" i="164"/>
  <c r="D169" i="164"/>
  <c r="C169" i="164"/>
  <c r="D168" i="164"/>
  <c r="C168" i="164"/>
  <c r="D167" i="164"/>
  <c r="C167" i="164"/>
  <c r="D166" i="164"/>
  <c r="C166" i="164"/>
  <c r="D165" i="164"/>
  <c r="C165" i="164"/>
  <c r="D164" i="164"/>
  <c r="C164" i="164"/>
  <c r="D160" i="164"/>
  <c r="C160" i="164"/>
  <c r="D159" i="164"/>
  <c r="C159" i="164"/>
  <c r="D158" i="164"/>
  <c r="C158" i="164"/>
  <c r="D157" i="164"/>
  <c r="C157" i="164"/>
  <c r="D156" i="164"/>
  <c r="C156" i="164"/>
  <c r="D155" i="164"/>
  <c r="C155" i="164"/>
  <c r="D153" i="164"/>
  <c r="C153" i="164"/>
  <c r="D152" i="164"/>
  <c r="C152" i="164"/>
  <c r="D151" i="164"/>
  <c r="C151" i="164"/>
  <c r="D150" i="164"/>
  <c r="C150" i="164"/>
  <c r="D149" i="164"/>
  <c r="C149" i="164"/>
  <c r="D148" i="164"/>
  <c r="C148" i="164"/>
  <c r="D147" i="164"/>
  <c r="C147" i="164"/>
  <c r="D146" i="164"/>
  <c r="C146" i="164"/>
  <c r="D145" i="164"/>
  <c r="C145" i="164"/>
  <c r="D143" i="164"/>
  <c r="C143" i="164"/>
  <c r="D142" i="164"/>
  <c r="C142" i="164"/>
  <c r="D141" i="164"/>
  <c r="C141" i="164"/>
  <c r="D140" i="164"/>
  <c r="C140" i="164"/>
  <c r="D138" i="164"/>
  <c r="C138" i="164"/>
  <c r="D137" i="164"/>
  <c r="C137" i="164"/>
  <c r="D136" i="164"/>
  <c r="C136" i="164"/>
  <c r="D135" i="164"/>
  <c r="C135" i="164"/>
  <c r="D133" i="164"/>
  <c r="C133" i="164"/>
  <c r="D132" i="164"/>
  <c r="C132" i="164"/>
  <c r="D131" i="164"/>
  <c r="C131" i="164"/>
  <c r="D130" i="164"/>
  <c r="C130" i="164"/>
  <c r="D129" i="164"/>
  <c r="C129" i="164"/>
  <c r="D127" i="164"/>
  <c r="C127" i="164"/>
  <c r="D126" i="164"/>
  <c r="C126" i="164"/>
  <c r="D125" i="164"/>
  <c r="C125" i="164"/>
  <c r="D124" i="164"/>
  <c r="C124" i="164"/>
  <c r="D123" i="164"/>
  <c r="C123" i="164"/>
  <c r="D118" i="164"/>
  <c r="C118" i="164"/>
  <c r="D117" i="164"/>
  <c r="C117" i="164"/>
  <c r="D116" i="164"/>
  <c r="C116" i="164"/>
  <c r="D115" i="164"/>
  <c r="C115" i="164"/>
  <c r="D114" i="164"/>
  <c r="C114" i="164"/>
  <c r="D110" i="164"/>
  <c r="C110" i="164"/>
  <c r="D109" i="164"/>
  <c r="C109" i="164"/>
  <c r="D108" i="164"/>
  <c r="C108" i="164"/>
  <c r="D107" i="164"/>
  <c r="C107" i="164"/>
  <c r="D106" i="164"/>
  <c r="C106" i="164"/>
  <c r="D105" i="164"/>
  <c r="C105" i="164"/>
  <c r="D101" i="164"/>
  <c r="C101" i="164"/>
  <c r="D100" i="164"/>
  <c r="C100" i="164"/>
  <c r="D99" i="164"/>
  <c r="C99" i="164"/>
  <c r="D98" i="164"/>
  <c r="C98" i="164"/>
  <c r="D97" i="164"/>
  <c r="C97" i="164"/>
  <c r="D96" i="164"/>
  <c r="C96" i="164"/>
  <c r="D92" i="164"/>
  <c r="C92" i="164"/>
  <c r="D91" i="164"/>
  <c r="C91" i="164"/>
  <c r="D90" i="164"/>
  <c r="C90" i="164"/>
  <c r="D89" i="164"/>
  <c r="C89" i="164"/>
  <c r="D88" i="164"/>
  <c r="C88" i="164"/>
  <c r="D87" i="164"/>
  <c r="C87" i="164"/>
  <c r="D86" i="164"/>
  <c r="C86" i="164"/>
  <c r="D85" i="164"/>
  <c r="C85" i="164"/>
  <c r="D84" i="164"/>
  <c r="C84" i="164"/>
  <c r="D83" i="164"/>
  <c r="C83" i="164"/>
  <c r="D82" i="164"/>
  <c r="C82" i="164"/>
  <c r="D78" i="164"/>
  <c r="C78" i="164"/>
  <c r="D77" i="164"/>
  <c r="C77" i="164"/>
  <c r="D76" i="164"/>
  <c r="C76" i="164"/>
  <c r="D75" i="164"/>
  <c r="C75" i="164"/>
  <c r="D74" i="164"/>
  <c r="C74" i="164"/>
  <c r="D73" i="164"/>
  <c r="C73" i="164"/>
  <c r="D72" i="164"/>
  <c r="C72" i="164"/>
  <c r="D71" i="164"/>
  <c r="C71" i="164"/>
  <c r="D70" i="164"/>
  <c r="C70" i="164"/>
  <c r="D69" i="164"/>
  <c r="C69" i="164"/>
  <c r="D68" i="164"/>
  <c r="C68" i="164"/>
  <c r="D67" i="164"/>
  <c r="C67" i="164"/>
  <c r="D66" i="164"/>
  <c r="C66" i="164"/>
  <c r="D65" i="164"/>
  <c r="C65" i="164"/>
  <c r="D64" i="164"/>
  <c r="C64" i="164"/>
  <c r="D60" i="164"/>
  <c r="C60" i="164"/>
  <c r="D59" i="164"/>
  <c r="C59" i="164"/>
  <c r="D58" i="164"/>
  <c r="C58" i="164"/>
  <c r="D57" i="164"/>
  <c r="C57" i="164"/>
  <c r="D56" i="164"/>
  <c r="C56" i="164"/>
  <c r="D55" i="164"/>
  <c r="C55" i="164"/>
  <c r="D54" i="164"/>
  <c r="C54" i="164"/>
  <c r="D53" i="164"/>
  <c r="C53" i="164"/>
  <c r="D52" i="164"/>
  <c r="C52" i="164"/>
  <c r="D51" i="164"/>
  <c r="C51" i="164"/>
  <c r="D50" i="164"/>
  <c r="C50" i="164"/>
  <c r="D49" i="164"/>
  <c r="C49" i="164"/>
  <c r="D48" i="164"/>
  <c r="C48" i="164"/>
  <c r="D47" i="164"/>
  <c r="C47" i="164"/>
  <c r="D46" i="164"/>
  <c r="C46" i="164"/>
  <c r="D45" i="164"/>
  <c r="C45" i="164"/>
  <c r="D44" i="164"/>
  <c r="C44" i="164"/>
  <c r="D43" i="164"/>
  <c r="C43" i="164"/>
  <c r="D42" i="164"/>
  <c r="C42" i="164"/>
  <c r="D41" i="164"/>
  <c r="C41" i="164"/>
  <c r="D40" i="164"/>
  <c r="C40" i="164"/>
  <c r="D39" i="164"/>
  <c r="C39" i="164"/>
  <c r="D38" i="164"/>
  <c r="C38" i="164"/>
  <c r="D37" i="164"/>
  <c r="C37" i="164"/>
  <c r="D36" i="164"/>
  <c r="C36" i="164"/>
  <c r="D35" i="164"/>
  <c r="C35" i="164"/>
  <c r="D34" i="164"/>
  <c r="C34" i="164"/>
  <c r="D33" i="164"/>
  <c r="C33" i="164"/>
  <c r="D32" i="164"/>
  <c r="C32" i="164"/>
  <c r="D31" i="164"/>
  <c r="C31" i="164"/>
  <c r="D30" i="164"/>
  <c r="C30" i="164"/>
  <c r="D29" i="164"/>
  <c r="C29" i="164"/>
  <c r="D28" i="164"/>
  <c r="C28" i="164"/>
  <c r="D27" i="164"/>
  <c r="C27" i="164"/>
  <c r="D26" i="164"/>
  <c r="C26" i="164"/>
  <c r="D25" i="164"/>
  <c r="C25" i="164"/>
  <c r="D20" i="164"/>
  <c r="C20" i="164"/>
  <c r="D19" i="164"/>
  <c r="C19" i="164"/>
  <c r="D18" i="164"/>
  <c r="C18" i="164"/>
  <c r="D17" i="164"/>
  <c r="C17" i="164"/>
  <c r="D16" i="164"/>
  <c r="C16" i="164"/>
  <c r="D15" i="164"/>
  <c r="C15" i="164"/>
  <c r="D14" i="164"/>
  <c r="C14" i="164"/>
  <c r="D13" i="164"/>
  <c r="C13" i="164"/>
  <c r="D12" i="164"/>
  <c r="C12" i="164"/>
  <c r="D11" i="164"/>
  <c r="C11" i="164"/>
  <c r="D61" i="164" l="1"/>
  <c r="D111" i="164"/>
  <c r="C197" i="164"/>
  <c r="D197" i="164"/>
  <c r="D206" i="164"/>
  <c r="C93" i="164"/>
  <c r="D21" i="164"/>
  <c r="D93" i="164"/>
  <c r="D102" i="164"/>
  <c r="C119" i="164"/>
  <c r="C206" i="164"/>
  <c r="D79" i="164"/>
  <c r="D119" i="164"/>
  <c r="D161" i="164"/>
  <c r="C228" i="164"/>
  <c r="C79" i="164"/>
  <c r="C161" i="164"/>
  <c r="C21" i="164"/>
  <c r="C102" i="164"/>
  <c r="C111" i="164"/>
  <c r="C61" i="164"/>
  <c r="D208" i="164" l="1"/>
  <c r="D215" i="164" s="1"/>
  <c r="C208" i="164"/>
  <c r="C212" i="164" s="1"/>
  <c r="C215" i="164" l="1"/>
  <c r="G244" i="19"/>
  <c r="G243" i="19"/>
  <c r="G242" i="19"/>
  <c r="G241" i="19"/>
  <c r="C238" i="19"/>
  <c r="C237" i="19"/>
  <c r="C236" i="19"/>
  <c r="C235" i="19"/>
  <c r="C233" i="19"/>
  <c r="C232" i="19"/>
  <c r="C231" i="19"/>
  <c r="D228" i="19"/>
  <c r="C227" i="19"/>
  <c r="C226" i="19"/>
  <c r="C225" i="19"/>
  <c r="C224" i="19"/>
  <c r="C223" i="19"/>
  <c r="C222" i="19"/>
  <c r="C221" i="19"/>
  <c r="C220" i="19"/>
  <c r="C219" i="19"/>
  <c r="C211" i="19"/>
  <c r="D205" i="19"/>
  <c r="C205" i="19"/>
  <c r="D204" i="19"/>
  <c r="C204" i="19"/>
  <c r="D203" i="19"/>
  <c r="C203" i="19"/>
  <c r="D202" i="19"/>
  <c r="C202" i="19"/>
  <c r="D201" i="19"/>
  <c r="C201" i="19"/>
  <c r="D200" i="19"/>
  <c r="C200" i="19"/>
  <c r="D196" i="19"/>
  <c r="C196" i="19"/>
  <c r="D195" i="19"/>
  <c r="C195" i="19"/>
  <c r="D194" i="19"/>
  <c r="C194" i="19"/>
  <c r="D193" i="19"/>
  <c r="C193" i="19"/>
  <c r="D192" i="19"/>
  <c r="C192" i="19"/>
  <c r="D191" i="19"/>
  <c r="C191" i="19"/>
  <c r="D190" i="19"/>
  <c r="C190" i="19"/>
  <c r="D189" i="19"/>
  <c r="C189" i="19"/>
  <c r="D188" i="19"/>
  <c r="C188" i="19"/>
  <c r="D187" i="19"/>
  <c r="C187" i="19"/>
  <c r="D186" i="19"/>
  <c r="C186" i="19"/>
  <c r="D185" i="19"/>
  <c r="C185" i="19"/>
  <c r="D184" i="19"/>
  <c r="C184" i="19"/>
  <c r="D183" i="19"/>
  <c r="C183" i="19"/>
  <c r="D182" i="19"/>
  <c r="C182" i="19"/>
  <c r="D181" i="19"/>
  <c r="C181" i="19"/>
  <c r="D180" i="19"/>
  <c r="C180" i="19"/>
  <c r="D179" i="19"/>
  <c r="C179" i="19"/>
  <c r="D178" i="19"/>
  <c r="C178" i="19"/>
  <c r="D177" i="19"/>
  <c r="C177" i="19"/>
  <c r="D176" i="19"/>
  <c r="C176" i="19"/>
  <c r="D175" i="19"/>
  <c r="C175" i="19"/>
  <c r="D174" i="19"/>
  <c r="C174" i="19"/>
  <c r="D173" i="19"/>
  <c r="C173" i="19"/>
  <c r="D172" i="19"/>
  <c r="C172" i="19"/>
  <c r="D171" i="19"/>
  <c r="C171" i="19"/>
  <c r="D170" i="19"/>
  <c r="C170" i="19"/>
  <c r="D169" i="19"/>
  <c r="C169" i="19"/>
  <c r="D168" i="19"/>
  <c r="C168" i="19"/>
  <c r="D167" i="19"/>
  <c r="C167" i="19"/>
  <c r="D166" i="19"/>
  <c r="C166" i="19"/>
  <c r="D165" i="19"/>
  <c r="C165" i="19"/>
  <c r="D164" i="19"/>
  <c r="C164" i="19"/>
  <c r="D160" i="19"/>
  <c r="C160" i="19"/>
  <c r="D159" i="19"/>
  <c r="C159" i="19"/>
  <c r="D158" i="19"/>
  <c r="C158" i="19"/>
  <c r="D157" i="19"/>
  <c r="C157" i="19"/>
  <c r="D156" i="19"/>
  <c r="C156" i="19"/>
  <c r="D155" i="19"/>
  <c r="C155" i="19"/>
  <c r="D153" i="19"/>
  <c r="C153" i="19"/>
  <c r="D152" i="19"/>
  <c r="C152" i="19"/>
  <c r="D151" i="19"/>
  <c r="C151" i="19"/>
  <c r="D150" i="19"/>
  <c r="C150" i="19"/>
  <c r="D149" i="19"/>
  <c r="C149" i="19"/>
  <c r="D148" i="19"/>
  <c r="C148" i="19"/>
  <c r="D147" i="19"/>
  <c r="C147" i="19"/>
  <c r="D146" i="19"/>
  <c r="C146" i="19"/>
  <c r="D145" i="19"/>
  <c r="C145" i="19"/>
  <c r="D143" i="19"/>
  <c r="C143" i="19"/>
  <c r="D142" i="19"/>
  <c r="C142" i="19"/>
  <c r="D141" i="19"/>
  <c r="C141" i="19"/>
  <c r="D140" i="19"/>
  <c r="C140" i="19"/>
  <c r="D138" i="19"/>
  <c r="C138" i="19"/>
  <c r="D137" i="19"/>
  <c r="C137" i="19"/>
  <c r="D136" i="19"/>
  <c r="C136" i="19"/>
  <c r="D135" i="19"/>
  <c r="C135" i="19"/>
  <c r="D133" i="19"/>
  <c r="C133" i="19"/>
  <c r="D132" i="19"/>
  <c r="C132" i="19"/>
  <c r="D131" i="19"/>
  <c r="C131" i="19"/>
  <c r="D130" i="19"/>
  <c r="C130" i="19"/>
  <c r="D129" i="19"/>
  <c r="C129" i="19"/>
  <c r="D127" i="19"/>
  <c r="C127" i="19"/>
  <c r="D126" i="19"/>
  <c r="C126" i="19"/>
  <c r="D125" i="19"/>
  <c r="C125" i="19"/>
  <c r="D124" i="19"/>
  <c r="C124" i="19"/>
  <c r="D123" i="19"/>
  <c r="C123" i="19"/>
  <c r="D118" i="19"/>
  <c r="C118" i="19"/>
  <c r="D117" i="19"/>
  <c r="C117" i="19"/>
  <c r="D116" i="19"/>
  <c r="C116" i="19"/>
  <c r="D115" i="19"/>
  <c r="C115" i="19"/>
  <c r="D114" i="19"/>
  <c r="C114" i="19"/>
  <c r="D110" i="19"/>
  <c r="C110" i="19"/>
  <c r="D109" i="19"/>
  <c r="C109" i="19"/>
  <c r="D108" i="19"/>
  <c r="C108" i="19"/>
  <c r="D107" i="19"/>
  <c r="C107" i="19"/>
  <c r="D106" i="19"/>
  <c r="C106" i="19"/>
  <c r="D105" i="19"/>
  <c r="C105" i="19"/>
  <c r="D101" i="19"/>
  <c r="C101" i="19"/>
  <c r="D100" i="19"/>
  <c r="C100" i="19"/>
  <c r="D99" i="19"/>
  <c r="C99" i="19"/>
  <c r="D98" i="19"/>
  <c r="C98" i="19"/>
  <c r="D97" i="19"/>
  <c r="C97" i="19"/>
  <c r="D96" i="19"/>
  <c r="C96" i="19"/>
  <c r="D92" i="19"/>
  <c r="C92" i="19"/>
  <c r="D91" i="19"/>
  <c r="C91" i="19"/>
  <c r="D90" i="19"/>
  <c r="C90" i="19"/>
  <c r="D89" i="19"/>
  <c r="C89" i="19"/>
  <c r="D88" i="19"/>
  <c r="C88" i="19"/>
  <c r="D87" i="19"/>
  <c r="C87" i="19"/>
  <c r="D86" i="19"/>
  <c r="C86" i="19"/>
  <c r="D85" i="19"/>
  <c r="C85" i="19"/>
  <c r="D84" i="19"/>
  <c r="C84" i="19"/>
  <c r="D83" i="19"/>
  <c r="C83" i="19"/>
  <c r="D82" i="19"/>
  <c r="C82" i="19"/>
  <c r="D78" i="19"/>
  <c r="C78" i="19"/>
  <c r="D77" i="19"/>
  <c r="C77" i="19"/>
  <c r="D76" i="19"/>
  <c r="C76" i="19"/>
  <c r="D75" i="19"/>
  <c r="C75" i="19"/>
  <c r="D74" i="19"/>
  <c r="C74" i="19"/>
  <c r="D73" i="19"/>
  <c r="C73" i="19"/>
  <c r="D72" i="19"/>
  <c r="C72" i="19"/>
  <c r="D71" i="19"/>
  <c r="C71" i="19"/>
  <c r="D70" i="19"/>
  <c r="C70" i="19"/>
  <c r="D69" i="19"/>
  <c r="C69" i="19"/>
  <c r="D68" i="19"/>
  <c r="C68" i="19"/>
  <c r="D67" i="19"/>
  <c r="C67" i="19"/>
  <c r="D66" i="19"/>
  <c r="C66" i="19"/>
  <c r="D65" i="19"/>
  <c r="C65" i="19"/>
  <c r="D64" i="19"/>
  <c r="C64" i="19"/>
  <c r="D60" i="19"/>
  <c r="C60" i="19"/>
  <c r="D59" i="19"/>
  <c r="C59" i="19"/>
  <c r="D58" i="19"/>
  <c r="C58" i="19"/>
  <c r="D57" i="19"/>
  <c r="C57" i="19"/>
  <c r="D56" i="19"/>
  <c r="C56" i="19"/>
  <c r="D55" i="19"/>
  <c r="C55" i="19"/>
  <c r="D54" i="19"/>
  <c r="C54" i="19"/>
  <c r="D53" i="19"/>
  <c r="C53" i="19"/>
  <c r="D52" i="19"/>
  <c r="C52" i="19"/>
  <c r="D51" i="19"/>
  <c r="C51" i="19"/>
  <c r="D50" i="19"/>
  <c r="C50" i="19"/>
  <c r="D49" i="19"/>
  <c r="C49" i="19"/>
  <c r="D48" i="19"/>
  <c r="C48" i="19"/>
  <c r="D47" i="19"/>
  <c r="C47" i="19"/>
  <c r="D46" i="19"/>
  <c r="C46" i="19"/>
  <c r="D45" i="19"/>
  <c r="C45" i="19"/>
  <c r="D44" i="19"/>
  <c r="C44" i="19"/>
  <c r="D43" i="19"/>
  <c r="C43" i="19"/>
  <c r="D42" i="19"/>
  <c r="C42" i="19"/>
  <c r="D41" i="19"/>
  <c r="C41" i="19"/>
  <c r="D40" i="19"/>
  <c r="C40" i="19"/>
  <c r="D39" i="19"/>
  <c r="C39" i="19"/>
  <c r="D38" i="19"/>
  <c r="C38" i="19"/>
  <c r="D37" i="19"/>
  <c r="C37" i="19"/>
  <c r="D36" i="19"/>
  <c r="C36" i="19"/>
  <c r="D35" i="19"/>
  <c r="C35" i="19"/>
  <c r="D34" i="19"/>
  <c r="C34" i="19"/>
  <c r="D33" i="19"/>
  <c r="C33" i="19"/>
  <c r="D32" i="19"/>
  <c r="C32" i="19"/>
  <c r="D31" i="19"/>
  <c r="C31" i="19"/>
  <c r="D30" i="19"/>
  <c r="C30" i="19"/>
  <c r="D29" i="19"/>
  <c r="C29" i="19"/>
  <c r="D28" i="19"/>
  <c r="C28" i="19"/>
  <c r="D27" i="19"/>
  <c r="C27" i="19"/>
  <c r="D26" i="19"/>
  <c r="C26" i="19"/>
  <c r="D25" i="19"/>
  <c r="C25" i="19"/>
  <c r="D20" i="19"/>
  <c r="C20" i="19"/>
  <c r="D19" i="19"/>
  <c r="C19" i="19"/>
  <c r="D18" i="19"/>
  <c r="C18" i="19"/>
  <c r="D17" i="19"/>
  <c r="C17" i="19"/>
  <c r="D16" i="19"/>
  <c r="C16" i="19"/>
  <c r="D15" i="19"/>
  <c r="C15" i="19"/>
  <c r="D14" i="19"/>
  <c r="C14" i="19"/>
  <c r="D13" i="19"/>
  <c r="C13" i="19"/>
  <c r="D12" i="19"/>
  <c r="C12" i="19"/>
  <c r="D11" i="19"/>
  <c r="C11" i="19"/>
  <c r="D61" i="19" l="1"/>
  <c r="D119" i="19"/>
  <c r="C119" i="19"/>
  <c r="D93" i="19"/>
  <c r="C79" i="19"/>
  <c r="C93" i="19"/>
  <c r="C228" i="19"/>
  <c r="C21" i="19"/>
  <c r="D111" i="19"/>
  <c r="C161" i="19"/>
  <c r="C197" i="19"/>
  <c r="C206" i="19"/>
  <c r="C111" i="19"/>
  <c r="D161" i="19"/>
  <c r="D79" i="19"/>
  <c r="C102" i="19"/>
  <c r="D197" i="19"/>
  <c r="D206" i="19"/>
  <c r="D21" i="19"/>
  <c r="D102" i="19"/>
  <c r="C61" i="19"/>
  <c r="D208" i="19" l="1"/>
  <c r="D215" i="19" s="1"/>
  <c r="C208" i="19"/>
  <c r="C212" i="19" s="1"/>
  <c r="C215" i="19" l="1"/>
  <c r="G244" i="15"/>
  <c r="G243" i="15"/>
  <c r="G242" i="15"/>
  <c r="G241" i="15"/>
  <c r="C238" i="15"/>
  <c r="C237" i="15"/>
  <c r="C236" i="15"/>
  <c r="C235" i="15"/>
  <c r="C233" i="15"/>
  <c r="C232" i="15"/>
  <c r="C231" i="15"/>
  <c r="D228" i="15"/>
  <c r="C227" i="15"/>
  <c r="C226" i="15"/>
  <c r="C225" i="15"/>
  <c r="C224" i="15"/>
  <c r="C223" i="15"/>
  <c r="C222" i="15"/>
  <c r="C221" i="15"/>
  <c r="C220" i="15"/>
  <c r="C219" i="15"/>
  <c r="C211" i="15"/>
  <c r="D205" i="15"/>
  <c r="C205" i="15"/>
  <c r="D204" i="15"/>
  <c r="C204" i="15"/>
  <c r="D203" i="15"/>
  <c r="C203" i="15"/>
  <c r="D202" i="15"/>
  <c r="C202" i="15"/>
  <c r="D201" i="15"/>
  <c r="C201" i="15"/>
  <c r="D200" i="15"/>
  <c r="C200" i="15"/>
  <c r="D196" i="15"/>
  <c r="C196" i="15"/>
  <c r="D195" i="15"/>
  <c r="C195" i="15"/>
  <c r="D194" i="15"/>
  <c r="C194" i="15"/>
  <c r="D193" i="15"/>
  <c r="C193" i="15"/>
  <c r="D192" i="15"/>
  <c r="C192" i="15"/>
  <c r="D191" i="15"/>
  <c r="C191" i="15"/>
  <c r="D190" i="15"/>
  <c r="C190" i="15"/>
  <c r="D189" i="15"/>
  <c r="C189" i="15"/>
  <c r="D188" i="15"/>
  <c r="C188" i="15"/>
  <c r="D187" i="15"/>
  <c r="C187" i="15"/>
  <c r="D186" i="15"/>
  <c r="C186" i="15"/>
  <c r="D185" i="15"/>
  <c r="C185" i="15"/>
  <c r="D184" i="15"/>
  <c r="C184" i="15"/>
  <c r="D183" i="15"/>
  <c r="C183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6" i="15"/>
  <c r="C176" i="15"/>
  <c r="D175" i="15"/>
  <c r="C175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8" i="15"/>
  <c r="C168" i="15"/>
  <c r="D167" i="15"/>
  <c r="C167" i="15"/>
  <c r="D166" i="15"/>
  <c r="C166" i="15"/>
  <c r="D165" i="15"/>
  <c r="C165" i="15"/>
  <c r="D164" i="15"/>
  <c r="C164" i="15"/>
  <c r="D160" i="15"/>
  <c r="C160" i="15"/>
  <c r="D159" i="15"/>
  <c r="C159" i="15"/>
  <c r="D158" i="15"/>
  <c r="C158" i="15"/>
  <c r="D157" i="15"/>
  <c r="C157" i="15"/>
  <c r="D156" i="15"/>
  <c r="C156" i="15"/>
  <c r="D155" i="15"/>
  <c r="C155" i="15"/>
  <c r="D153" i="15"/>
  <c r="C153" i="15"/>
  <c r="D152" i="15"/>
  <c r="C152" i="15"/>
  <c r="D151" i="15"/>
  <c r="C151" i="15"/>
  <c r="D150" i="15"/>
  <c r="C150" i="15"/>
  <c r="D149" i="15"/>
  <c r="C149" i="15"/>
  <c r="D148" i="15"/>
  <c r="C148" i="15"/>
  <c r="D147" i="15"/>
  <c r="C147" i="15"/>
  <c r="D146" i="15"/>
  <c r="C146" i="15"/>
  <c r="D145" i="15"/>
  <c r="C145" i="15"/>
  <c r="D143" i="15"/>
  <c r="C143" i="15"/>
  <c r="D142" i="15"/>
  <c r="C142" i="15"/>
  <c r="D141" i="15"/>
  <c r="C141" i="15"/>
  <c r="D140" i="15"/>
  <c r="C140" i="15"/>
  <c r="D138" i="15"/>
  <c r="C138" i="15"/>
  <c r="D137" i="15"/>
  <c r="C137" i="15"/>
  <c r="D136" i="15"/>
  <c r="C136" i="15"/>
  <c r="D135" i="15"/>
  <c r="C135" i="15"/>
  <c r="D133" i="15"/>
  <c r="C133" i="15"/>
  <c r="D132" i="15"/>
  <c r="C132" i="15"/>
  <c r="D131" i="15"/>
  <c r="C131" i="15"/>
  <c r="D130" i="15"/>
  <c r="C130" i="15"/>
  <c r="D129" i="15"/>
  <c r="C129" i="15"/>
  <c r="D127" i="15"/>
  <c r="C127" i="15"/>
  <c r="D126" i="15"/>
  <c r="C126" i="15"/>
  <c r="D125" i="15"/>
  <c r="C125" i="15"/>
  <c r="D124" i="15"/>
  <c r="C124" i="15"/>
  <c r="D123" i="15"/>
  <c r="C123" i="15"/>
  <c r="D118" i="15"/>
  <c r="C118" i="15"/>
  <c r="D117" i="15"/>
  <c r="C117" i="15"/>
  <c r="D116" i="15"/>
  <c r="C116" i="15"/>
  <c r="D115" i="15"/>
  <c r="C115" i="15"/>
  <c r="D114" i="15"/>
  <c r="C114" i="15"/>
  <c r="D110" i="15"/>
  <c r="C110" i="15"/>
  <c r="D109" i="15"/>
  <c r="C109" i="15"/>
  <c r="D108" i="15"/>
  <c r="C108" i="15"/>
  <c r="D107" i="15"/>
  <c r="C107" i="15"/>
  <c r="D106" i="15"/>
  <c r="C106" i="15"/>
  <c r="D105" i="15"/>
  <c r="C105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71" i="15"/>
  <c r="C71" i="15"/>
  <c r="D70" i="15"/>
  <c r="C70" i="15"/>
  <c r="D69" i="15"/>
  <c r="C69" i="15"/>
  <c r="D68" i="15"/>
  <c r="C68" i="15"/>
  <c r="D67" i="15"/>
  <c r="C67" i="15"/>
  <c r="D66" i="15"/>
  <c r="C66" i="15"/>
  <c r="D65" i="15"/>
  <c r="C65" i="15"/>
  <c r="D64" i="15"/>
  <c r="C64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11" i="15" l="1"/>
  <c r="D206" i="15"/>
  <c r="C119" i="15"/>
  <c r="C93" i="15"/>
  <c r="D102" i="15"/>
  <c r="C21" i="15"/>
  <c r="C79" i="15"/>
  <c r="C102" i="15"/>
  <c r="C197" i="15"/>
  <c r="C206" i="15"/>
  <c r="D21" i="15"/>
  <c r="C228" i="15"/>
  <c r="D61" i="15"/>
  <c r="D93" i="15"/>
  <c r="D161" i="15"/>
  <c r="C161" i="15"/>
  <c r="C111" i="15"/>
  <c r="D119" i="15"/>
  <c r="D79" i="15"/>
  <c r="D197" i="15"/>
  <c r="C61" i="15"/>
  <c r="C208" i="15" l="1"/>
  <c r="C212" i="15" s="1"/>
  <c r="D208" i="15"/>
  <c r="D215" i="15" s="1"/>
  <c r="C215" i="15" l="1"/>
  <c r="G244" i="178"/>
  <c r="G243" i="178"/>
  <c r="G242" i="178"/>
  <c r="G241" i="178"/>
  <c r="C238" i="178"/>
  <c r="C237" i="178"/>
  <c r="C236" i="178"/>
  <c r="C235" i="178"/>
  <c r="C233" i="178"/>
  <c r="C232" i="178"/>
  <c r="C231" i="178"/>
  <c r="D228" i="178"/>
  <c r="C227" i="178"/>
  <c r="C226" i="178"/>
  <c r="C225" i="178"/>
  <c r="C224" i="178"/>
  <c r="C223" i="178"/>
  <c r="C222" i="178"/>
  <c r="C221" i="178"/>
  <c r="C220" i="178"/>
  <c r="C219" i="178"/>
  <c r="C211" i="178"/>
  <c r="D205" i="178"/>
  <c r="C205" i="178"/>
  <c r="D204" i="178"/>
  <c r="C204" i="178"/>
  <c r="D203" i="178"/>
  <c r="C203" i="178"/>
  <c r="D202" i="178"/>
  <c r="C202" i="178"/>
  <c r="D201" i="178"/>
  <c r="C201" i="178"/>
  <c r="D200" i="178"/>
  <c r="C200" i="178"/>
  <c r="D196" i="178"/>
  <c r="C196" i="178"/>
  <c r="D195" i="178"/>
  <c r="C195" i="178"/>
  <c r="D194" i="178"/>
  <c r="C194" i="178"/>
  <c r="D193" i="178"/>
  <c r="C193" i="178"/>
  <c r="D192" i="178"/>
  <c r="C192" i="178"/>
  <c r="D191" i="178"/>
  <c r="C191" i="178"/>
  <c r="D190" i="178"/>
  <c r="C190" i="178"/>
  <c r="D189" i="178"/>
  <c r="C189" i="178"/>
  <c r="D188" i="178"/>
  <c r="C188" i="178"/>
  <c r="D187" i="178"/>
  <c r="C187" i="178"/>
  <c r="D186" i="178"/>
  <c r="C186" i="178"/>
  <c r="D185" i="178"/>
  <c r="C185" i="178"/>
  <c r="D184" i="178"/>
  <c r="C184" i="178"/>
  <c r="D183" i="178"/>
  <c r="C183" i="178"/>
  <c r="D182" i="178"/>
  <c r="C182" i="178"/>
  <c r="D181" i="178"/>
  <c r="C181" i="178"/>
  <c r="D180" i="178"/>
  <c r="C180" i="178"/>
  <c r="D179" i="178"/>
  <c r="C179" i="178"/>
  <c r="D178" i="178"/>
  <c r="C178" i="178"/>
  <c r="D177" i="178"/>
  <c r="C177" i="178"/>
  <c r="D176" i="178"/>
  <c r="C176" i="178"/>
  <c r="D175" i="178"/>
  <c r="C175" i="178"/>
  <c r="D174" i="178"/>
  <c r="C174" i="178"/>
  <c r="D173" i="178"/>
  <c r="C173" i="178"/>
  <c r="D172" i="178"/>
  <c r="C172" i="178"/>
  <c r="D171" i="178"/>
  <c r="C171" i="178"/>
  <c r="D170" i="178"/>
  <c r="C170" i="178"/>
  <c r="D169" i="178"/>
  <c r="C169" i="178"/>
  <c r="D168" i="178"/>
  <c r="C168" i="178"/>
  <c r="D167" i="178"/>
  <c r="C167" i="178"/>
  <c r="D166" i="178"/>
  <c r="C166" i="178"/>
  <c r="D165" i="178"/>
  <c r="C165" i="178"/>
  <c r="D164" i="178"/>
  <c r="C164" i="178"/>
  <c r="D160" i="178"/>
  <c r="C160" i="178"/>
  <c r="D159" i="178"/>
  <c r="C159" i="178"/>
  <c r="D158" i="178"/>
  <c r="C158" i="178"/>
  <c r="D157" i="178"/>
  <c r="C157" i="178"/>
  <c r="D156" i="178"/>
  <c r="C156" i="178"/>
  <c r="D155" i="178"/>
  <c r="C155" i="178"/>
  <c r="D153" i="178"/>
  <c r="C153" i="178"/>
  <c r="D152" i="178"/>
  <c r="C152" i="178"/>
  <c r="D151" i="178"/>
  <c r="C151" i="178"/>
  <c r="D150" i="178"/>
  <c r="C150" i="178"/>
  <c r="D149" i="178"/>
  <c r="C149" i="178"/>
  <c r="D148" i="178"/>
  <c r="C148" i="178"/>
  <c r="D147" i="178"/>
  <c r="C147" i="178"/>
  <c r="D146" i="178"/>
  <c r="C146" i="178"/>
  <c r="D145" i="178"/>
  <c r="C145" i="178"/>
  <c r="D143" i="178"/>
  <c r="C143" i="178"/>
  <c r="D142" i="178"/>
  <c r="C142" i="178"/>
  <c r="D141" i="178"/>
  <c r="C141" i="178"/>
  <c r="D140" i="178"/>
  <c r="C140" i="178"/>
  <c r="D138" i="178"/>
  <c r="C138" i="178"/>
  <c r="D137" i="178"/>
  <c r="C137" i="178"/>
  <c r="D136" i="178"/>
  <c r="C136" i="178"/>
  <c r="D135" i="178"/>
  <c r="C135" i="178"/>
  <c r="D133" i="178"/>
  <c r="C133" i="178"/>
  <c r="D132" i="178"/>
  <c r="C132" i="178"/>
  <c r="D131" i="178"/>
  <c r="C131" i="178"/>
  <c r="D130" i="178"/>
  <c r="C130" i="178"/>
  <c r="D129" i="178"/>
  <c r="C129" i="178"/>
  <c r="D127" i="178"/>
  <c r="C127" i="178"/>
  <c r="D126" i="178"/>
  <c r="C126" i="178"/>
  <c r="D125" i="178"/>
  <c r="C125" i="178"/>
  <c r="D124" i="178"/>
  <c r="C124" i="178"/>
  <c r="D123" i="178"/>
  <c r="C123" i="178"/>
  <c r="D118" i="178"/>
  <c r="C118" i="178"/>
  <c r="D117" i="178"/>
  <c r="C117" i="178"/>
  <c r="D116" i="178"/>
  <c r="C116" i="178"/>
  <c r="D115" i="178"/>
  <c r="C115" i="178"/>
  <c r="D114" i="178"/>
  <c r="C114" i="178"/>
  <c r="D110" i="178"/>
  <c r="C110" i="178"/>
  <c r="D109" i="178"/>
  <c r="C109" i="178"/>
  <c r="D108" i="178"/>
  <c r="C108" i="178"/>
  <c r="D107" i="178"/>
  <c r="C107" i="178"/>
  <c r="D106" i="178"/>
  <c r="C106" i="178"/>
  <c r="D105" i="178"/>
  <c r="C105" i="178"/>
  <c r="D101" i="178"/>
  <c r="C101" i="178"/>
  <c r="D100" i="178"/>
  <c r="C100" i="178"/>
  <c r="D99" i="178"/>
  <c r="C99" i="178"/>
  <c r="D98" i="178"/>
  <c r="C98" i="178"/>
  <c r="D97" i="178"/>
  <c r="C97" i="178"/>
  <c r="D96" i="178"/>
  <c r="C96" i="178"/>
  <c r="D92" i="178"/>
  <c r="C92" i="178"/>
  <c r="D91" i="178"/>
  <c r="C91" i="178"/>
  <c r="D90" i="178"/>
  <c r="C90" i="178"/>
  <c r="D89" i="178"/>
  <c r="C89" i="178"/>
  <c r="D88" i="178"/>
  <c r="C88" i="178"/>
  <c r="D87" i="178"/>
  <c r="C87" i="178"/>
  <c r="D86" i="178"/>
  <c r="C86" i="178"/>
  <c r="D85" i="178"/>
  <c r="C85" i="178"/>
  <c r="D84" i="178"/>
  <c r="C84" i="178"/>
  <c r="D83" i="178"/>
  <c r="C83" i="178"/>
  <c r="D82" i="178"/>
  <c r="C82" i="178"/>
  <c r="D78" i="178"/>
  <c r="C78" i="178"/>
  <c r="D77" i="178"/>
  <c r="C77" i="178"/>
  <c r="D76" i="178"/>
  <c r="C76" i="178"/>
  <c r="D75" i="178"/>
  <c r="C75" i="178"/>
  <c r="D74" i="178"/>
  <c r="C74" i="178"/>
  <c r="D73" i="178"/>
  <c r="C73" i="178"/>
  <c r="D72" i="178"/>
  <c r="C72" i="178"/>
  <c r="D71" i="178"/>
  <c r="C71" i="178"/>
  <c r="D70" i="178"/>
  <c r="C70" i="178"/>
  <c r="D69" i="178"/>
  <c r="C69" i="178"/>
  <c r="D68" i="178"/>
  <c r="C68" i="178"/>
  <c r="D67" i="178"/>
  <c r="C67" i="178"/>
  <c r="D66" i="178"/>
  <c r="C66" i="178"/>
  <c r="D65" i="178"/>
  <c r="C65" i="178"/>
  <c r="D64" i="178"/>
  <c r="C64" i="178"/>
  <c r="D60" i="178"/>
  <c r="C60" i="178"/>
  <c r="D59" i="178"/>
  <c r="C59" i="178"/>
  <c r="D58" i="178"/>
  <c r="C58" i="178"/>
  <c r="D57" i="178"/>
  <c r="C57" i="178"/>
  <c r="D56" i="178"/>
  <c r="C56" i="178"/>
  <c r="D55" i="178"/>
  <c r="C55" i="178"/>
  <c r="D54" i="178"/>
  <c r="C54" i="178"/>
  <c r="D53" i="178"/>
  <c r="C53" i="178"/>
  <c r="D52" i="178"/>
  <c r="C52" i="178"/>
  <c r="D51" i="178"/>
  <c r="C51" i="178"/>
  <c r="D50" i="178"/>
  <c r="C50" i="178"/>
  <c r="D49" i="178"/>
  <c r="C49" i="178"/>
  <c r="D48" i="178"/>
  <c r="C48" i="178"/>
  <c r="D47" i="178"/>
  <c r="C47" i="178"/>
  <c r="D46" i="178"/>
  <c r="C46" i="178"/>
  <c r="D45" i="178"/>
  <c r="C45" i="178"/>
  <c r="D44" i="178"/>
  <c r="C44" i="178"/>
  <c r="D43" i="178"/>
  <c r="C43" i="178"/>
  <c r="D42" i="178"/>
  <c r="C42" i="178"/>
  <c r="D41" i="178"/>
  <c r="C41" i="178"/>
  <c r="D40" i="178"/>
  <c r="C40" i="178"/>
  <c r="D39" i="178"/>
  <c r="C39" i="178"/>
  <c r="D38" i="178"/>
  <c r="C38" i="178"/>
  <c r="D37" i="178"/>
  <c r="C37" i="178"/>
  <c r="D36" i="178"/>
  <c r="C36" i="178"/>
  <c r="D35" i="178"/>
  <c r="C35" i="178"/>
  <c r="D34" i="178"/>
  <c r="C34" i="178"/>
  <c r="D33" i="178"/>
  <c r="C33" i="178"/>
  <c r="D32" i="178"/>
  <c r="C32" i="178"/>
  <c r="D31" i="178"/>
  <c r="C31" i="178"/>
  <c r="D30" i="178"/>
  <c r="C30" i="178"/>
  <c r="D29" i="178"/>
  <c r="C29" i="178"/>
  <c r="D28" i="178"/>
  <c r="C28" i="178"/>
  <c r="D27" i="178"/>
  <c r="C27" i="178"/>
  <c r="D26" i="178"/>
  <c r="C26" i="178"/>
  <c r="D25" i="178"/>
  <c r="C25" i="178"/>
  <c r="D20" i="178"/>
  <c r="C20" i="178"/>
  <c r="D19" i="178"/>
  <c r="C19" i="178"/>
  <c r="D18" i="178"/>
  <c r="C18" i="178"/>
  <c r="D17" i="178"/>
  <c r="C17" i="178"/>
  <c r="D16" i="178"/>
  <c r="C16" i="178"/>
  <c r="D15" i="178"/>
  <c r="C15" i="178"/>
  <c r="D14" i="178"/>
  <c r="C14" i="178"/>
  <c r="D13" i="178"/>
  <c r="C13" i="178"/>
  <c r="D12" i="178"/>
  <c r="C12" i="178"/>
  <c r="D11" i="178"/>
  <c r="C11" i="178"/>
  <c r="D93" i="178" l="1"/>
  <c r="D161" i="178"/>
  <c r="C119" i="178"/>
  <c r="C206" i="178"/>
  <c r="D206" i="178"/>
  <c r="C21" i="178"/>
  <c r="C93" i="178"/>
  <c r="C102" i="178"/>
  <c r="D79" i="178"/>
  <c r="D197" i="178"/>
  <c r="D111" i="178"/>
  <c r="D21" i="178"/>
  <c r="D102" i="178"/>
  <c r="C228" i="178"/>
  <c r="D119" i="178"/>
  <c r="C111" i="178"/>
  <c r="C79" i="178"/>
  <c r="C161" i="178"/>
  <c r="C197" i="178"/>
  <c r="C61" i="178"/>
  <c r="D61" i="178"/>
  <c r="G242" i="68"/>
  <c r="K136" i="68"/>
  <c r="K200" i="68"/>
  <c r="J200" i="68"/>
  <c r="K149" i="68"/>
  <c r="K145" i="68"/>
  <c r="J149" i="68"/>
  <c r="J145" i="68"/>
  <c r="K137" i="68"/>
  <c r="K135" i="68"/>
  <c r="J137" i="68"/>
  <c r="J136" i="68"/>
  <c r="J135" i="68"/>
  <c r="K127" i="68"/>
  <c r="K124" i="68"/>
  <c r="K123" i="68"/>
  <c r="J127" i="68"/>
  <c r="J124" i="68"/>
  <c r="J123" i="68"/>
  <c r="K114" i="68"/>
  <c r="J114" i="68"/>
  <c r="K96" i="68"/>
  <c r="J96" i="68"/>
  <c r="K82" i="68"/>
  <c r="J82" i="68"/>
  <c r="K51" i="68"/>
  <c r="J51" i="68"/>
  <c r="K27" i="68"/>
  <c r="J27" i="68"/>
  <c r="K25" i="68"/>
  <c r="J25" i="68"/>
  <c r="D208" i="178" l="1"/>
  <c r="D215" i="178" s="1"/>
  <c r="C208" i="178"/>
  <c r="C212" i="178" s="1"/>
  <c r="G241" i="68"/>
  <c r="K215" i="68"/>
  <c r="J215" i="68"/>
  <c r="C215" i="178" l="1"/>
  <c r="C233" i="68"/>
  <c r="G244" i="66" l="1"/>
  <c r="G243" i="66"/>
  <c r="G242" i="66"/>
  <c r="G241" i="66"/>
  <c r="C238" i="66"/>
  <c r="C237" i="66"/>
  <c r="C236" i="66"/>
  <c r="C235" i="66"/>
  <c r="C233" i="66"/>
  <c r="C232" i="66"/>
  <c r="C231" i="66"/>
  <c r="D228" i="66"/>
  <c r="C227" i="66"/>
  <c r="C226" i="66"/>
  <c r="C225" i="66"/>
  <c r="C224" i="66"/>
  <c r="C223" i="66"/>
  <c r="C222" i="66"/>
  <c r="C221" i="66"/>
  <c r="C220" i="66"/>
  <c r="C219" i="66"/>
  <c r="C211" i="66"/>
  <c r="D205" i="66"/>
  <c r="C205" i="66"/>
  <c r="D204" i="66"/>
  <c r="C204" i="66"/>
  <c r="D203" i="66"/>
  <c r="C203" i="66"/>
  <c r="D202" i="66"/>
  <c r="C202" i="66"/>
  <c r="D201" i="66"/>
  <c r="C201" i="66"/>
  <c r="D200" i="66"/>
  <c r="C200" i="66"/>
  <c r="D196" i="66"/>
  <c r="C196" i="66"/>
  <c r="D195" i="66"/>
  <c r="C195" i="66"/>
  <c r="D194" i="66"/>
  <c r="C194" i="66"/>
  <c r="D193" i="66"/>
  <c r="C193" i="66"/>
  <c r="D192" i="66"/>
  <c r="C192" i="66"/>
  <c r="D191" i="66"/>
  <c r="C191" i="66"/>
  <c r="D190" i="66"/>
  <c r="C190" i="66"/>
  <c r="D189" i="66"/>
  <c r="C189" i="66"/>
  <c r="D188" i="66"/>
  <c r="C188" i="66"/>
  <c r="D187" i="66"/>
  <c r="C187" i="66"/>
  <c r="D186" i="66"/>
  <c r="C186" i="66"/>
  <c r="D185" i="66"/>
  <c r="C185" i="66"/>
  <c r="D184" i="66"/>
  <c r="C184" i="66"/>
  <c r="D183" i="66"/>
  <c r="C183" i="66"/>
  <c r="D182" i="66"/>
  <c r="C182" i="66"/>
  <c r="D181" i="66"/>
  <c r="C181" i="66"/>
  <c r="D180" i="66"/>
  <c r="C180" i="66"/>
  <c r="D179" i="66"/>
  <c r="C179" i="66"/>
  <c r="D178" i="66"/>
  <c r="C178" i="66"/>
  <c r="D177" i="66"/>
  <c r="C177" i="66"/>
  <c r="D176" i="66"/>
  <c r="C176" i="66"/>
  <c r="D175" i="66"/>
  <c r="C175" i="66"/>
  <c r="D174" i="66"/>
  <c r="C174" i="66"/>
  <c r="D173" i="66"/>
  <c r="C173" i="66"/>
  <c r="D172" i="66"/>
  <c r="C172" i="66"/>
  <c r="D171" i="66"/>
  <c r="C171" i="66"/>
  <c r="D170" i="66"/>
  <c r="C170" i="66"/>
  <c r="D169" i="66"/>
  <c r="C169" i="66"/>
  <c r="D168" i="66"/>
  <c r="C168" i="66"/>
  <c r="D167" i="66"/>
  <c r="C167" i="66"/>
  <c r="D166" i="66"/>
  <c r="C166" i="66"/>
  <c r="D165" i="66"/>
  <c r="C165" i="66"/>
  <c r="D164" i="66"/>
  <c r="C164" i="66"/>
  <c r="D160" i="66"/>
  <c r="C160" i="66"/>
  <c r="D159" i="66"/>
  <c r="C159" i="66"/>
  <c r="D158" i="66"/>
  <c r="C158" i="66"/>
  <c r="D157" i="66"/>
  <c r="C157" i="66"/>
  <c r="D156" i="66"/>
  <c r="C156" i="66"/>
  <c r="D155" i="66"/>
  <c r="C155" i="66"/>
  <c r="D153" i="66"/>
  <c r="C153" i="66"/>
  <c r="D152" i="66"/>
  <c r="C152" i="66"/>
  <c r="D151" i="66"/>
  <c r="C151" i="66"/>
  <c r="D150" i="66"/>
  <c r="C150" i="66"/>
  <c r="D149" i="66"/>
  <c r="C149" i="66"/>
  <c r="D148" i="66"/>
  <c r="C148" i="66"/>
  <c r="D147" i="66"/>
  <c r="C147" i="66"/>
  <c r="D146" i="66"/>
  <c r="C146" i="66"/>
  <c r="D145" i="66"/>
  <c r="C145" i="66"/>
  <c r="D143" i="66"/>
  <c r="C143" i="66"/>
  <c r="D142" i="66"/>
  <c r="C142" i="66"/>
  <c r="D141" i="66"/>
  <c r="C141" i="66"/>
  <c r="D140" i="66"/>
  <c r="C140" i="66"/>
  <c r="D138" i="66"/>
  <c r="C138" i="66"/>
  <c r="D137" i="66"/>
  <c r="C137" i="66"/>
  <c r="D136" i="66"/>
  <c r="C136" i="66"/>
  <c r="D135" i="66"/>
  <c r="C135" i="66"/>
  <c r="D133" i="66"/>
  <c r="C133" i="66"/>
  <c r="D132" i="66"/>
  <c r="C132" i="66"/>
  <c r="D131" i="66"/>
  <c r="C131" i="66"/>
  <c r="D130" i="66"/>
  <c r="C130" i="66"/>
  <c r="D129" i="66"/>
  <c r="C129" i="66"/>
  <c r="D127" i="66"/>
  <c r="C127" i="66"/>
  <c r="D126" i="66"/>
  <c r="C126" i="66"/>
  <c r="D125" i="66"/>
  <c r="C125" i="66"/>
  <c r="D124" i="66"/>
  <c r="C124" i="66"/>
  <c r="D123" i="66"/>
  <c r="C123" i="66"/>
  <c r="D118" i="66"/>
  <c r="C118" i="66"/>
  <c r="D117" i="66"/>
  <c r="C117" i="66"/>
  <c r="D116" i="66"/>
  <c r="C116" i="66"/>
  <c r="D115" i="66"/>
  <c r="C115" i="66"/>
  <c r="D114" i="66"/>
  <c r="C114" i="66"/>
  <c r="D110" i="66"/>
  <c r="C110" i="66"/>
  <c r="D109" i="66"/>
  <c r="C109" i="66"/>
  <c r="D108" i="66"/>
  <c r="C108" i="66"/>
  <c r="D107" i="66"/>
  <c r="C107" i="66"/>
  <c r="D106" i="66"/>
  <c r="C106" i="66"/>
  <c r="D105" i="66"/>
  <c r="C105" i="66"/>
  <c r="D101" i="66"/>
  <c r="C101" i="66"/>
  <c r="D100" i="66"/>
  <c r="C100" i="66"/>
  <c r="D99" i="66"/>
  <c r="C99" i="66"/>
  <c r="D98" i="66"/>
  <c r="C98" i="66"/>
  <c r="D97" i="66"/>
  <c r="C97" i="66"/>
  <c r="D96" i="66"/>
  <c r="C96" i="66"/>
  <c r="D92" i="66"/>
  <c r="C92" i="66"/>
  <c r="D91" i="66"/>
  <c r="C91" i="66"/>
  <c r="D90" i="66"/>
  <c r="C90" i="66"/>
  <c r="D89" i="66"/>
  <c r="C89" i="66"/>
  <c r="D88" i="66"/>
  <c r="C88" i="66"/>
  <c r="D87" i="66"/>
  <c r="C87" i="66"/>
  <c r="D86" i="66"/>
  <c r="C86" i="66"/>
  <c r="D85" i="66"/>
  <c r="C85" i="66"/>
  <c r="D84" i="66"/>
  <c r="C84" i="66"/>
  <c r="D83" i="66"/>
  <c r="C83" i="66"/>
  <c r="D82" i="66"/>
  <c r="C82" i="66"/>
  <c r="D78" i="66"/>
  <c r="C78" i="66"/>
  <c r="D77" i="66"/>
  <c r="C77" i="66"/>
  <c r="D76" i="66"/>
  <c r="C76" i="66"/>
  <c r="D75" i="66"/>
  <c r="C75" i="66"/>
  <c r="D74" i="66"/>
  <c r="C74" i="66"/>
  <c r="D73" i="66"/>
  <c r="C73" i="66"/>
  <c r="D72" i="66"/>
  <c r="C72" i="66"/>
  <c r="D71" i="66"/>
  <c r="C71" i="66"/>
  <c r="D70" i="66"/>
  <c r="C70" i="66"/>
  <c r="D69" i="66"/>
  <c r="C69" i="66"/>
  <c r="D68" i="66"/>
  <c r="C68" i="66"/>
  <c r="D67" i="66"/>
  <c r="C67" i="66"/>
  <c r="D66" i="66"/>
  <c r="C66" i="66"/>
  <c r="D65" i="66"/>
  <c r="C65" i="66"/>
  <c r="D64" i="66"/>
  <c r="C64" i="66"/>
  <c r="D60" i="66"/>
  <c r="C60" i="66"/>
  <c r="D59" i="66"/>
  <c r="C59" i="66"/>
  <c r="D58" i="66"/>
  <c r="C58" i="66"/>
  <c r="D57" i="66"/>
  <c r="C57" i="66"/>
  <c r="D56" i="66"/>
  <c r="C56" i="66"/>
  <c r="D55" i="66"/>
  <c r="C55" i="66"/>
  <c r="D54" i="66"/>
  <c r="C54" i="66"/>
  <c r="D53" i="66"/>
  <c r="C53" i="66"/>
  <c r="D52" i="66"/>
  <c r="C52" i="66"/>
  <c r="D51" i="66"/>
  <c r="C51" i="66"/>
  <c r="D50" i="66"/>
  <c r="C50" i="66"/>
  <c r="D49" i="66"/>
  <c r="C49" i="66"/>
  <c r="D48" i="66"/>
  <c r="C48" i="66"/>
  <c r="D47" i="66"/>
  <c r="C47" i="66"/>
  <c r="D46" i="66"/>
  <c r="C46" i="66"/>
  <c r="D45" i="66"/>
  <c r="C45" i="66"/>
  <c r="D44" i="66"/>
  <c r="C44" i="66"/>
  <c r="D43" i="66"/>
  <c r="C43" i="66"/>
  <c r="D42" i="66"/>
  <c r="C42" i="66"/>
  <c r="D41" i="66"/>
  <c r="C41" i="66"/>
  <c r="D40" i="66"/>
  <c r="C40" i="66"/>
  <c r="D39" i="66"/>
  <c r="C39" i="66"/>
  <c r="D38" i="66"/>
  <c r="C38" i="66"/>
  <c r="D37" i="66"/>
  <c r="C37" i="66"/>
  <c r="D36" i="66"/>
  <c r="C36" i="66"/>
  <c r="D35" i="66"/>
  <c r="C35" i="66"/>
  <c r="D34" i="66"/>
  <c r="C34" i="66"/>
  <c r="D33" i="66"/>
  <c r="C33" i="66"/>
  <c r="D32" i="66"/>
  <c r="C32" i="66"/>
  <c r="D31" i="66"/>
  <c r="C31" i="66"/>
  <c r="D30" i="66"/>
  <c r="C30" i="66"/>
  <c r="D29" i="66"/>
  <c r="C29" i="66"/>
  <c r="D28" i="66"/>
  <c r="C28" i="66"/>
  <c r="D27" i="66"/>
  <c r="C27" i="66"/>
  <c r="D26" i="66"/>
  <c r="C26" i="66"/>
  <c r="D25" i="66"/>
  <c r="C25" i="66"/>
  <c r="D20" i="66"/>
  <c r="C20" i="66"/>
  <c r="D19" i="66"/>
  <c r="C19" i="66"/>
  <c r="D18" i="66"/>
  <c r="C18" i="66"/>
  <c r="D17" i="66"/>
  <c r="C17" i="66"/>
  <c r="D16" i="66"/>
  <c r="C16" i="66"/>
  <c r="D15" i="66"/>
  <c r="C15" i="66"/>
  <c r="D14" i="66"/>
  <c r="C14" i="66"/>
  <c r="D13" i="66"/>
  <c r="C13" i="66"/>
  <c r="D12" i="66"/>
  <c r="C12" i="66"/>
  <c r="D11" i="66"/>
  <c r="C11" i="66"/>
  <c r="D93" i="66" l="1"/>
  <c r="D102" i="66"/>
  <c r="D119" i="66"/>
  <c r="C79" i="66"/>
  <c r="D161" i="66"/>
  <c r="C111" i="66"/>
  <c r="D79" i="66"/>
  <c r="C119" i="66"/>
  <c r="C161" i="66"/>
  <c r="C228" i="66"/>
  <c r="D111" i="66"/>
  <c r="C21" i="66"/>
  <c r="C197" i="66"/>
  <c r="C206" i="66"/>
  <c r="D21" i="66"/>
  <c r="C93" i="66"/>
  <c r="C102" i="66"/>
  <c r="D197" i="66"/>
  <c r="D206" i="66"/>
  <c r="D61" i="66"/>
  <c r="C61" i="66"/>
  <c r="C208" i="66" l="1"/>
  <c r="C212" i="66" s="1"/>
  <c r="D208" i="66"/>
  <c r="D215" i="66" s="1"/>
  <c r="C215" i="66" l="1"/>
  <c r="G244" i="63"/>
  <c r="G243" i="63"/>
  <c r="G242" i="63"/>
  <c r="G241" i="63"/>
  <c r="C238" i="63"/>
  <c r="C237" i="63"/>
  <c r="C236" i="63"/>
  <c r="C235" i="63"/>
  <c r="C233" i="63"/>
  <c r="C232" i="63"/>
  <c r="C231" i="63"/>
  <c r="D228" i="63"/>
  <c r="C227" i="63"/>
  <c r="C226" i="63"/>
  <c r="C225" i="63"/>
  <c r="C224" i="63"/>
  <c r="C223" i="63"/>
  <c r="C222" i="63"/>
  <c r="C221" i="63"/>
  <c r="C220" i="63"/>
  <c r="C219" i="63"/>
  <c r="C211" i="63"/>
  <c r="D205" i="63"/>
  <c r="C205" i="63"/>
  <c r="D204" i="63"/>
  <c r="C204" i="63"/>
  <c r="D203" i="63"/>
  <c r="C203" i="63"/>
  <c r="D202" i="63"/>
  <c r="C202" i="63"/>
  <c r="D201" i="63"/>
  <c r="C201" i="63"/>
  <c r="D200" i="63"/>
  <c r="C200" i="63"/>
  <c r="D196" i="63"/>
  <c r="C196" i="63"/>
  <c r="D195" i="63"/>
  <c r="C195" i="63"/>
  <c r="D194" i="63"/>
  <c r="C194" i="63"/>
  <c r="D193" i="63"/>
  <c r="C193" i="63"/>
  <c r="D192" i="63"/>
  <c r="C192" i="63"/>
  <c r="D191" i="63"/>
  <c r="C191" i="63"/>
  <c r="D190" i="63"/>
  <c r="C190" i="63"/>
  <c r="D189" i="63"/>
  <c r="C189" i="63"/>
  <c r="D188" i="63"/>
  <c r="C188" i="63"/>
  <c r="D187" i="63"/>
  <c r="C187" i="63"/>
  <c r="D186" i="63"/>
  <c r="C186" i="63"/>
  <c r="D185" i="63"/>
  <c r="C185" i="63"/>
  <c r="D184" i="63"/>
  <c r="C184" i="63"/>
  <c r="D183" i="63"/>
  <c r="C183" i="63"/>
  <c r="D182" i="63"/>
  <c r="C182" i="63"/>
  <c r="D181" i="63"/>
  <c r="C181" i="63"/>
  <c r="D180" i="63"/>
  <c r="C180" i="63"/>
  <c r="D179" i="63"/>
  <c r="C179" i="63"/>
  <c r="D178" i="63"/>
  <c r="C178" i="63"/>
  <c r="D177" i="63"/>
  <c r="C177" i="63"/>
  <c r="D176" i="63"/>
  <c r="C176" i="63"/>
  <c r="D175" i="63"/>
  <c r="C175" i="63"/>
  <c r="D174" i="63"/>
  <c r="C174" i="63"/>
  <c r="D173" i="63"/>
  <c r="C173" i="63"/>
  <c r="D172" i="63"/>
  <c r="C172" i="63"/>
  <c r="D171" i="63"/>
  <c r="C171" i="63"/>
  <c r="D170" i="63"/>
  <c r="C170" i="63"/>
  <c r="D169" i="63"/>
  <c r="C169" i="63"/>
  <c r="D168" i="63"/>
  <c r="C168" i="63"/>
  <c r="D167" i="63"/>
  <c r="C167" i="63"/>
  <c r="D166" i="63"/>
  <c r="C166" i="63"/>
  <c r="D165" i="63"/>
  <c r="C165" i="63"/>
  <c r="D164" i="63"/>
  <c r="C164" i="63"/>
  <c r="D160" i="63"/>
  <c r="C160" i="63"/>
  <c r="D159" i="63"/>
  <c r="C159" i="63"/>
  <c r="D158" i="63"/>
  <c r="C158" i="63"/>
  <c r="D157" i="63"/>
  <c r="C157" i="63"/>
  <c r="D156" i="63"/>
  <c r="C156" i="63"/>
  <c r="D155" i="63"/>
  <c r="C155" i="63"/>
  <c r="D153" i="63"/>
  <c r="C153" i="63"/>
  <c r="D152" i="63"/>
  <c r="C152" i="63"/>
  <c r="D151" i="63"/>
  <c r="C151" i="63"/>
  <c r="D150" i="63"/>
  <c r="C150" i="63"/>
  <c r="D149" i="63"/>
  <c r="C149" i="63"/>
  <c r="D148" i="63"/>
  <c r="C148" i="63"/>
  <c r="D147" i="63"/>
  <c r="C147" i="63"/>
  <c r="D146" i="63"/>
  <c r="C146" i="63"/>
  <c r="D145" i="63"/>
  <c r="C145" i="63"/>
  <c r="D143" i="63"/>
  <c r="C143" i="63"/>
  <c r="D142" i="63"/>
  <c r="C142" i="63"/>
  <c r="D141" i="63"/>
  <c r="C141" i="63"/>
  <c r="D140" i="63"/>
  <c r="C140" i="63"/>
  <c r="D138" i="63"/>
  <c r="C138" i="63"/>
  <c r="D137" i="63"/>
  <c r="C137" i="63"/>
  <c r="D136" i="63"/>
  <c r="C136" i="63"/>
  <c r="D135" i="63"/>
  <c r="C135" i="63"/>
  <c r="D133" i="63"/>
  <c r="C133" i="63"/>
  <c r="D132" i="63"/>
  <c r="C132" i="63"/>
  <c r="D131" i="63"/>
  <c r="C131" i="63"/>
  <c r="D130" i="63"/>
  <c r="C130" i="63"/>
  <c r="D129" i="63"/>
  <c r="C129" i="63"/>
  <c r="D127" i="63"/>
  <c r="C127" i="63"/>
  <c r="D126" i="63"/>
  <c r="C126" i="63"/>
  <c r="D125" i="63"/>
  <c r="C125" i="63"/>
  <c r="D124" i="63"/>
  <c r="C124" i="63"/>
  <c r="D123" i="63"/>
  <c r="C123" i="63"/>
  <c r="D118" i="63"/>
  <c r="C118" i="63"/>
  <c r="D117" i="63"/>
  <c r="C117" i="63"/>
  <c r="D116" i="63"/>
  <c r="C116" i="63"/>
  <c r="D115" i="63"/>
  <c r="C115" i="63"/>
  <c r="D114" i="63"/>
  <c r="C114" i="63"/>
  <c r="D110" i="63"/>
  <c r="C110" i="63"/>
  <c r="D109" i="63"/>
  <c r="C109" i="63"/>
  <c r="D108" i="63"/>
  <c r="C108" i="63"/>
  <c r="D107" i="63"/>
  <c r="C107" i="63"/>
  <c r="D106" i="63"/>
  <c r="C106" i="63"/>
  <c r="D105" i="63"/>
  <c r="C105" i="63"/>
  <c r="D101" i="63"/>
  <c r="C101" i="63"/>
  <c r="D100" i="63"/>
  <c r="C100" i="63"/>
  <c r="D99" i="63"/>
  <c r="C99" i="63"/>
  <c r="D98" i="63"/>
  <c r="C98" i="63"/>
  <c r="D97" i="63"/>
  <c r="C97" i="63"/>
  <c r="D96" i="63"/>
  <c r="C96" i="63"/>
  <c r="D92" i="63"/>
  <c r="C92" i="63"/>
  <c r="D91" i="63"/>
  <c r="C91" i="63"/>
  <c r="D90" i="63"/>
  <c r="C90" i="63"/>
  <c r="D89" i="63"/>
  <c r="C89" i="63"/>
  <c r="D88" i="63"/>
  <c r="C88" i="63"/>
  <c r="D87" i="63"/>
  <c r="C87" i="63"/>
  <c r="D86" i="63"/>
  <c r="C86" i="63"/>
  <c r="D85" i="63"/>
  <c r="C85" i="63"/>
  <c r="D84" i="63"/>
  <c r="C84" i="63"/>
  <c r="D83" i="63"/>
  <c r="C83" i="63"/>
  <c r="D82" i="63"/>
  <c r="C82" i="63"/>
  <c r="D78" i="63"/>
  <c r="C78" i="63"/>
  <c r="D77" i="63"/>
  <c r="C77" i="63"/>
  <c r="D76" i="63"/>
  <c r="C76" i="63"/>
  <c r="D75" i="63"/>
  <c r="C75" i="63"/>
  <c r="D74" i="63"/>
  <c r="C74" i="63"/>
  <c r="D73" i="63"/>
  <c r="C73" i="63"/>
  <c r="D72" i="63"/>
  <c r="C72" i="63"/>
  <c r="D71" i="63"/>
  <c r="C71" i="63"/>
  <c r="D70" i="63"/>
  <c r="C70" i="63"/>
  <c r="D69" i="63"/>
  <c r="C69" i="63"/>
  <c r="D68" i="63"/>
  <c r="C68" i="63"/>
  <c r="D67" i="63"/>
  <c r="C67" i="63"/>
  <c r="D66" i="63"/>
  <c r="C66" i="63"/>
  <c r="D65" i="63"/>
  <c r="C65" i="63"/>
  <c r="D64" i="63"/>
  <c r="C64" i="63"/>
  <c r="D60" i="63"/>
  <c r="C60" i="63"/>
  <c r="D59" i="63"/>
  <c r="C59" i="63"/>
  <c r="D58" i="63"/>
  <c r="C58" i="63"/>
  <c r="D57" i="63"/>
  <c r="C57" i="63"/>
  <c r="D56" i="63"/>
  <c r="C56" i="63"/>
  <c r="D55" i="63"/>
  <c r="C55" i="63"/>
  <c r="D54" i="63"/>
  <c r="C54" i="63"/>
  <c r="D53" i="63"/>
  <c r="C53" i="63"/>
  <c r="D52" i="63"/>
  <c r="C52" i="63"/>
  <c r="D51" i="63"/>
  <c r="C51" i="63"/>
  <c r="D50" i="63"/>
  <c r="C50" i="63"/>
  <c r="D49" i="63"/>
  <c r="C49" i="63"/>
  <c r="D48" i="63"/>
  <c r="C48" i="63"/>
  <c r="D47" i="63"/>
  <c r="C47" i="63"/>
  <c r="D46" i="63"/>
  <c r="C46" i="63"/>
  <c r="D45" i="63"/>
  <c r="C45" i="63"/>
  <c r="D44" i="63"/>
  <c r="C44" i="63"/>
  <c r="D43" i="63"/>
  <c r="C43" i="63"/>
  <c r="D42" i="63"/>
  <c r="C42" i="63"/>
  <c r="D41" i="63"/>
  <c r="C41" i="63"/>
  <c r="D40" i="63"/>
  <c r="C40" i="63"/>
  <c r="D39" i="63"/>
  <c r="C39" i="63"/>
  <c r="D38" i="63"/>
  <c r="C38" i="63"/>
  <c r="D37" i="63"/>
  <c r="C37" i="63"/>
  <c r="D36" i="63"/>
  <c r="C36" i="63"/>
  <c r="D35" i="63"/>
  <c r="C35" i="63"/>
  <c r="D34" i="63"/>
  <c r="C34" i="63"/>
  <c r="D33" i="63"/>
  <c r="C33" i="63"/>
  <c r="D32" i="63"/>
  <c r="C32" i="63"/>
  <c r="D31" i="63"/>
  <c r="C31" i="63"/>
  <c r="D30" i="63"/>
  <c r="C30" i="63"/>
  <c r="D29" i="63"/>
  <c r="C29" i="63"/>
  <c r="D28" i="63"/>
  <c r="C28" i="63"/>
  <c r="D27" i="63"/>
  <c r="C27" i="63"/>
  <c r="D26" i="63"/>
  <c r="C26" i="63"/>
  <c r="D25" i="63"/>
  <c r="C25" i="63"/>
  <c r="D20" i="63"/>
  <c r="C20" i="63"/>
  <c r="D19" i="63"/>
  <c r="C19" i="63"/>
  <c r="D18" i="63"/>
  <c r="C18" i="63"/>
  <c r="D17" i="63"/>
  <c r="C17" i="63"/>
  <c r="D16" i="63"/>
  <c r="C16" i="63"/>
  <c r="D15" i="63"/>
  <c r="C15" i="63"/>
  <c r="D14" i="63"/>
  <c r="C14" i="63"/>
  <c r="D13" i="63"/>
  <c r="C13" i="63"/>
  <c r="D12" i="63"/>
  <c r="C12" i="63"/>
  <c r="D11" i="63"/>
  <c r="C11" i="63"/>
  <c r="D21" i="63" l="1"/>
  <c r="D93" i="63"/>
  <c r="D102" i="63"/>
  <c r="D119" i="63"/>
  <c r="C79" i="63"/>
  <c r="C119" i="63"/>
  <c r="C161" i="63"/>
  <c r="C111" i="63"/>
  <c r="D161" i="63"/>
  <c r="C228" i="63"/>
  <c r="D79" i="63"/>
  <c r="D111" i="63"/>
  <c r="C197" i="63"/>
  <c r="C206" i="63"/>
  <c r="C21" i="63"/>
  <c r="C93" i="63"/>
  <c r="C102" i="63"/>
  <c r="D197" i="63"/>
  <c r="D206" i="63"/>
  <c r="D61" i="63"/>
  <c r="C61" i="63"/>
  <c r="D208" i="63" l="1"/>
  <c r="D215" i="63" s="1"/>
  <c r="C208" i="63"/>
  <c r="C215" i="63" s="1"/>
  <c r="C212" i="63" l="1"/>
  <c r="G244" i="62"/>
  <c r="G243" i="62"/>
  <c r="G242" i="62"/>
  <c r="G241" i="62"/>
  <c r="C238" i="62"/>
  <c r="C237" i="62"/>
  <c r="C236" i="62"/>
  <c r="C235" i="62"/>
  <c r="C233" i="62"/>
  <c r="C232" i="62"/>
  <c r="C231" i="62"/>
  <c r="D228" i="62"/>
  <c r="C227" i="62"/>
  <c r="C226" i="62"/>
  <c r="C225" i="62"/>
  <c r="C224" i="62"/>
  <c r="C223" i="62"/>
  <c r="C222" i="62"/>
  <c r="C221" i="62"/>
  <c r="C220" i="62"/>
  <c r="C219" i="62"/>
  <c r="C211" i="62"/>
  <c r="D205" i="62"/>
  <c r="C205" i="62"/>
  <c r="D204" i="62"/>
  <c r="C204" i="62"/>
  <c r="D203" i="62"/>
  <c r="C203" i="62"/>
  <c r="D202" i="62"/>
  <c r="C202" i="62"/>
  <c r="D201" i="62"/>
  <c r="C201" i="62"/>
  <c r="D200" i="62"/>
  <c r="C200" i="62"/>
  <c r="D196" i="62"/>
  <c r="C196" i="62"/>
  <c r="D195" i="62"/>
  <c r="C195" i="62"/>
  <c r="D194" i="62"/>
  <c r="C194" i="62"/>
  <c r="D193" i="62"/>
  <c r="C193" i="62"/>
  <c r="D192" i="62"/>
  <c r="C192" i="62"/>
  <c r="D191" i="62"/>
  <c r="C191" i="62"/>
  <c r="D190" i="62"/>
  <c r="C190" i="62"/>
  <c r="D189" i="62"/>
  <c r="C189" i="62"/>
  <c r="D188" i="62"/>
  <c r="C188" i="62"/>
  <c r="D187" i="62"/>
  <c r="C187" i="62"/>
  <c r="D186" i="62"/>
  <c r="C186" i="62"/>
  <c r="D185" i="62"/>
  <c r="C185" i="62"/>
  <c r="D184" i="62"/>
  <c r="C184" i="62"/>
  <c r="D183" i="62"/>
  <c r="C183" i="62"/>
  <c r="D182" i="62"/>
  <c r="C182" i="62"/>
  <c r="D181" i="62"/>
  <c r="C181" i="62"/>
  <c r="D180" i="62"/>
  <c r="C180" i="62"/>
  <c r="D179" i="62"/>
  <c r="C179" i="62"/>
  <c r="D178" i="62"/>
  <c r="C178" i="62"/>
  <c r="D177" i="62"/>
  <c r="C177" i="62"/>
  <c r="D176" i="62"/>
  <c r="C176" i="62"/>
  <c r="D175" i="62"/>
  <c r="C175" i="62"/>
  <c r="D174" i="62"/>
  <c r="C174" i="62"/>
  <c r="D173" i="62"/>
  <c r="C173" i="62"/>
  <c r="D172" i="62"/>
  <c r="C172" i="62"/>
  <c r="D171" i="62"/>
  <c r="C171" i="62"/>
  <c r="D170" i="62"/>
  <c r="C170" i="62"/>
  <c r="D169" i="62"/>
  <c r="C169" i="62"/>
  <c r="D168" i="62"/>
  <c r="C168" i="62"/>
  <c r="D167" i="62"/>
  <c r="C167" i="62"/>
  <c r="D166" i="62"/>
  <c r="C166" i="62"/>
  <c r="D165" i="62"/>
  <c r="C165" i="62"/>
  <c r="D164" i="62"/>
  <c r="C164" i="62"/>
  <c r="D160" i="62"/>
  <c r="C160" i="62"/>
  <c r="D159" i="62"/>
  <c r="C159" i="62"/>
  <c r="D158" i="62"/>
  <c r="C158" i="62"/>
  <c r="D157" i="62"/>
  <c r="C157" i="62"/>
  <c r="D156" i="62"/>
  <c r="C156" i="62"/>
  <c r="D155" i="62"/>
  <c r="C155" i="62"/>
  <c r="D153" i="62"/>
  <c r="C153" i="62"/>
  <c r="D152" i="62"/>
  <c r="C152" i="62"/>
  <c r="D151" i="62"/>
  <c r="C151" i="62"/>
  <c r="D150" i="62"/>
  <c r="C150" i="62"/>
  <c r="D149" i="62"/>
  <c r="C149" i="62"/>
  <c r="D148" i="62"/>
  <c r="C148" i="62"/>
  <c r="D147" i="62"/>
  <c r="C147" i="62"/>
  <c r="D146" i="62"/>
  <c r="C146" i="62"/>
  <c r="D145" i="62"/>
  <c r="C145" i="62"/>
  <c r="D143" i="62"/>
  <c r="C143" i="62"/>
  <c r="D142" i="62"/>
  <c r="C142" i="62"/>
  <c r="D141" i="62"/>
  <c r="C141" i="62"/>
  <c r="D140" i="62"/>
  <c r="C140" i="62"/>
  <c r="D138" i="62"/>
  <c r="C138" i="62"/>
  <c r="D137" i="62"/>
  <c r="C137" i="62"/>
  <c r="D136" i="62"/>
  <c r="C136" i="62"/>
  <c r="D135" i="62"/>
  <c r="C135" i="62"/>
  <c r="D133" i="62"/>
  <c r="C133" i="62"/>
  <c r="D132" i="62"/>
  <c r="C132" i="62"/>
  <c r="D131" i="62"/>
  <c r="C131" i="62"/>
  <c r="D130" i="62"/>
  <c r="C130" i="62"/>
  <c r="D129" i="62"/>
  <c r="C129" i="62"/>
  <c r="D127" i="62"/>
  <c r="C127" i="62"/>
  <c r="D126" i="62"/>
  <c r="C126" i="62"/>
  <c r="D125" i="62"/>
  <c r="C125" i="62"/>
  <c r="D124" i="62"/>
  <c r="C124" i="62"/>
  <c r="D123" i="62"/>
  <c r="C123" i="62"/>
  <c r="D118" i="62"/>
  <c r="C118" i="62"/>
  <c r="D117" i="62"/>
  <c r="C117" i="62"/>
  <c r="D116" i="62"/>
  <c r="C116" i="62"/>
  <c r="D115" i="62"/>
  <c r="C115" i="62"/>
  <c r="D114" i="62"/>
  <c r="C114" i="62"/>
  <c r="D110" i="62"/>
  <c r="C110" i="62"/>
  <c r="D109" i="62"/>
  <c r="C109" i="62"/>
  <c r="D108" i="62"/>
  <c r="C108" i="62"/>
  <c r="D107" i="62"/>
  <c r="C107" i="62"/>
  <c r="D106" i="62"/>
  <c r="C106" i="62"/>
  <c r="D105" i="62"/>
  <c r="C105" i="62"/>
  <c r="D101" i="62"/>
  <c r="C101" i="62"/>
  <c r="D100" i="62"/>
  <c r="C100" i="62"/>
  <c r="D99" i="62"/>
  <c r="C99" i="62"/>
  <c r="D98" i="62"/>
  <c r="C98" i="62"/>
  <c r="D97" i="62"/>
  <c r="C97" i="62"/>
  <c r="D96" i="62"/>
  <c r="C96" i="62"/>
  <c r="D92" i="62"/>
  <c r="C92" i="62"/>
  <c r="D91" i="62"/>
  <c r="C91" i="62"/>
  <c r="D90" i="62"/>
  <c r="C90" i="62"/>
  <c r="D89" i="62"/>
  <c r="C89" i="62"/>
  <c r="D88" i="62"/>
  <c r="C88" i="62"/>
  <c r="D87" i="62"/>
  <c r="C87" i="62"/>
  <c r="D86" i="62"/>
  <c r="C86" i="62"/>
  <c r="D85" i="62"/>
  <c r="C85" i="62"/>
  <c r="D84" i="62"/>
  <c r="C84" i="62"/>
  <c r="D83" i="62"/>
  <c r="C83" i="62"/>
  <c r="D82" i="62"/>
  <c r="C82" i="62"/>
  <c r="D78" i="62"/>
  <c r="C78" i="62"/>
  <c r="D77" i="62"/>
  <c r="C77" i="62"/>
  <c r="D76" i="62"/>
  <c r="C76" i="62"/>
  <c r="D75" i="62"/>
  <c r="C75" i="62"/>
  <c r="D74" i="62"/>
  <c r="C74" i="62"/>
  <c r="D73" i="62"/>
  <c r="C73" i="62"/>
  <c r="D72" i="62"/>
  <c r="C72" i="62"/>
  <c r="D71" i="62"/>
  <c r="C71" i="62"/>
  <c r="D70" i="62"/>
  <c r="C70" i="62"/>
  <c r="D69" i="62"/>
  <c r="C69" i="62"/>
  <c r="D68" i="62"/>
  <c r="C68" i="62"/>
  <c r="D67" i="62"/>
  <c r="C67" i="62"/>
  <c r="D66" i="62"/>
  <c r="C66" i="62"/>
  <c r="D65" i="62"/>
  <c r="C65" i="62"/>
  <c r="D64" i="62"/>
  <c r="C64" i="62"/>
  <c r="D60" i="62"/>
  <c r="C60" i="62"/>
  <c r="D59" i="62"/>
  <c r="C59" i="62"/>
  <c r="D58" i="62"/>
  <c r="C58" i="62"/>
  <c r="D57" i="62"/>
  <c r="C57" i="62"/>
  <c r="D56" i="62"/>
  <c r="C56" i="62"/>
  <c r="D55" i="62"/>
  <c r="C55" i="62"/>
  <c r="D54" i="62"/>
  <c r="C54" i="62"/>
  <c r="D53" i="62"/>
  <c r="C53" i="62"/>
  <c r="D52" i="62"/>
  <c r="C52" i="62"/>
  <c r="D51" i="62"/>
  <c r="C51" i="62"/>
  <c r="D50" i="62"/>
  <c r="C50" i="62"/>
  <c r="D49" i="62"/>
  <c r="C49" i="62"/>
  <c r="D48" i="62"/>
  <c r="C48" i="62"/>
  <c r="D47" i="62"/>
  <c r="C47" i="62"/>
  <c r="D46" i="62"/>
  <c r="C46" i="62"/>
  <c r="D45" i="62"/>
  <c r="C45" i="62"/>
  <c r="D44" i="62"/>
  <c r="C44" i="62"/>
  <c r="D43" i="62"/>
  <c r="C43" i="62"/>
  <c r="D42" i="62"/>
  <c r="C42" i="62"/>
  <c r="D41" i="62"/>
  <c r="C41" i="62"/>
  <c r="D40" i="62"/>
  <c r="C40" i="62"/>
  <c r="D39" i="62"/>
  <c r="C39" i="62"/>
  <c r="D38" i="62"/>
  <c r="C38" i="62"/>
  <c r="D37" i="62"/>
  <c r="C37" i="62"/>
  <c r="D36" i="62"/>
  <c r="C36" i="62"/>
  <c r="D35" i="62"/>
  <c r="C35" i="62"/>
  <c r="D34" i="62"/>
  <c r="C34" i="62"/>
  <c r="D33" i="62"/>
  <c r="C33" i="62"/>
  <c r="D32" i="62"/>
  <c r="C32" i="62"/>
  <c r="D31" i="62"/>
  <c r="C31" i="62"/>
  <c r="D30" i="62"/>
  <c r="C30" i="62"/>
  <c r="D29" i="62"/>
  <c r="C29" i="62"/>
  <c r="D28" i="62"/>
  <c r="C28" i="62"/>
  <c r="D27" i="62"/>
  <c r="C27" i="62"/>
  <c r="D26" i="62"/>
  <c r="C26" i="62"/>
  <c r="D25" i="62"/>
  <c r="C25" i="62"/>
  <c r="D20" i="62"/>
  <c r="C20" i="62"/>
  <c r="D19" i="62"/>
  <c r="C19" i="62"/>
  <c r="D18" i="62"/>
  <c r="C18" i="62"/>
  <c r="D17" i="62"/>
  <c r="C17" i="62"/>
  <c r="D16" i="62"/>
  <c r="C16" i="62"/>
  <c r="D15" i="62"/>
  <c r="C15" i="62"/>
  <c r="D14" i="62"/>
  <c r="C14" i="62"/>
  <c r="D13" i="62"/>
  <c r="C13" i="62"/>
  <c r="D12" i="62"/>
  <c r="C12" i="62"/>
  <c r="D11" i="62"/>
  <c r="C11" i="62"/>
  <c r="D161" i="62" l="1"/>
  <c r="D21" i="62"/>
  <c r="D93" i="62"/>
  <c r="D102" i="62"/>
  <c r="C119" i="62"/>
  <c r="C79" i="62"/>
  <c r="D79" i="62"/>
  <c r="D119" i="62"/>
  <c r="C161" i="62"/>
  <c r="C111" i="62"/>
  <c r="D61" i="62"/>
  <c r="D111" i="62"/>
  <c r="C228" i="62"/>
  <c r="C197" i="62"/>
  <c r="C206" i="62"/>
  <c r="C21" i="62"/>
  <c r="C93" i="62"/>
  <c r="C102" i="62"/>
  <c r="D197" i="62"/>
  <c r="D206" i="62"/>
  <c r="C61" i="62"/>
  <c r="D208" i="62" l="1"/>
  <c r="D215" i="62" s="1"/>
  <c r="C208" i="62"/>
  <c r="C212" i="62" s="1"/>
  <c r="C215" i="62" l="1"/>
  <c r="G244" i="58"/>
  <c r="G243" i="58"/>
  <c r="G242" i="58"/>
  <c r="G241" i="58"/>
  <c r="C238" i="58"/>
  <c r="C237" i="58"/>
  <c r="C236" i="58"/>
  <c r="C235" i="58"/>
  <c r="C233" i="58"/>
  <c r="C232" i="58"/>
  <c r="C231" i="58"/>
  <c r="D228" i="58"/>
  <c r="C227" i="58"/>
  <c r="C226" i="58"/>
  <c r="C225" i="58"/>
  <c r="C224" i="58"/>
  <c r="C223" i="58"/>
  <c r="C222" i="58"/>
  <c r="C221" i="58"/>
  <c r="C220" i="58"/>
  <c r="C219" i="58"/>
  <c r="C211" i="58"/>
  <c r="D205" i="58"/>
  <c r="C205" i="58"/>
  <c r="D204" i="58"/>
  <c r="C204" i="58"/>
  <c r="D203" i="58"/>
  <c r="C203" i="58"/>
  <c r="D202" i="58"/>
  <c r="C202" i="58"/>
  <c r="D201" i="58"/>
  <c r="C201" i="58"/>
  <c r="D200" i="58"/>
  <c r="C200" i="58"/>
  <c r="D196" i="58"/>
  <c r="C196" i="58"/>
  <c r="D195" i="58"/>
  <c r="C195" i="58"/>
  <c r="D194" i="58"/>
  <c r="C194" i="58"/>
  <c r="D193" i="58"/>
  <c r="C193" i="58"/>
  <c r="D192" i="58"/>
  <c r="C192" i="58"/>
  <c r="D191" i="58"/>
  <c r="C191" i="58"/>
  <c r="D190" i="58"/>
  <c r="C190" i="58"/>
  <c r="D189" i="58"/>
  <c r="C189" i="58"/>
  <c r="D188" i="58"/>
  <c r="C188" i="58"/>
  <c r="D187" i="58"/>
  <c r="C187" i="58"/>
  <c r="D186" i="58"/>
  <c r="C186" i="58"/>
  <c r="D185" i="58"/>
  <c r="C185" i="58"/>
  <c r="D184" i="58"/>
  <c r="C184" i="58"/>
  <c r="D183" i="58"/>
  <c r="C183" i="58"/>
  <c r="D182" i="58"/>
  <c r="C182" i="58"/>
  <c r="D181" i="58"/>
  <c r="C181" i="58"/>
  <c r="D180" i="58"/>
  <c r="C180" i="58"/>
  <c r="D179" i="58"/>
  <c r="C179" i="58"/>
  <c r="D178" i="58"/>
  <c r="C178" i="58"/>
  <c r="D177" i="58"/>
  <c r="C177" i="58"/>
  <c r="D176" i="58"/>
  <c r="C176" i="58"/>
  <c r="D175" i="58"/>
  <c r="C175" i="58"/>
  <c r="D174" i="58"/>
  <c r="C174" i="58"/>
  <c r="D173" i="58"/>
  <c r="C173" i="58"/>
  <c r="D172" i="58"/>
  <c r="C172" i="58"/>
  <c r="D171" i="58"/>
  <c r="C171" i="58"/>
  <c r="D170" i="58"/>
  <c r="C170" i="58"/>
  <c r="D169" i="58"/>
  <c r="C169" i="58"/>
  <c r="D168" i="58"/>
  <c r="C168" i="58"/>
  <c r="D167" i="58"/>
  <c r="C167" i="58"/>
  <c r="D166" i="58"/>
  <c r="C166" i="58"/>
  <c r="D165" i="58"/>
  <c r="C165" i="58"/>
  <c r="D164" i="58"/>
  <c r="C164" i="58"/>
  <c r="D160" i="58"/>
  <c r="C160" i="58"/>
  <c r="D159" i="58"/>
  <c r="C159" i="58"/>
  <c r="D158" i="58"/>
  <c r="C158" i="58"/>
  <c r="D157" i="58"/>
  <c r="C157" i="58"/>
  <c r="D156" i="58"/>
  <c r="C156" i="58"/>
  <c r="D155" i="58"/>
  <c r="C155" i="58"/>
  <c r="D153" i="58"/>
  <c r="C153" i="58"/>
  <c r="D152" i="58"/>
  <c r="C152" i="58"/>
  <c r="D151" i="58"/>
  <c r="C151" i="58"/>
  <c r="D150" i="58"/>
  <c r="C150" i="58"/>
  <c r="D149" i="58"/>
  <c r="C149" i="58"/>
  <c r="D148" i="58"/>
  <c r="C148" i="58"/>
  <c r="D147" i="58"/>
  <c r="C147" i="58"/>
  <c r="D146" i="58"/>
  <c r="C146" i="58"/>
  <c r="D145" i="58"/>
  <c r="C145" i="58"/>
  <c r="D143" i="58"/>
  <c r="C143" i="58"/>
  <c r="D142" i="58"/>
  <c r="C142" i="58"/>
  <c r="D141" i="58"/>
  <c r="C141" i="58"/>
  <c r="D140" i="58"/>
  <c r="C140" i="58"/>
  <c r="D138" i="58"/>
  <c r="C138" i="58"/>
  <c r="D137" i="58"/>
  <c r="C137" i="58"/>
  <c r="D136" i="58"/>
  <c r="C136" i="58"/>
  <c r="D135" i="58"/>
  <c r="C135" i="58"/>
  <c r="D133" i="58"/>
  <c r="C133" i="58"/>
  <c r="D132" i="58"/>
  <c r="C132" i="58"/>
  <c r="D131" i="58"/>
  <c r="C131" i="58"/>
  <c r="D130" i="58"/>
  <c r="C130" i="58"/>
  <c r="D129" i="58"/>
  <c r="C129" i="58"/>
  <c r="D127" i="58"/>
  <c r="C127" i="58"/>
  <c r="D126" i="58"/>
  <c r="C126" i="58"/>
  <c r="D125" i="58"/>
  <c r="C125" i="58"/>
  <c r="D124" i="58"/>
  <c r="C124" i="58"/>
  <c r="D123" i="58"/>
  <c r="C123" i="58"/>
  <c r="D118" i="58"/>
  <c r="C118" i="58"/>
  <c r="D117" i="58"/>
  <c r="C117" i="58"/>
  <c r="D116" i="58"/>
  <c r="C116" i="58"/>
  <c r="D115" i="58"/>
  <c r="C115" i="58"/>
  <c r="D114" i="58"/>
  <c r="C114" i="58"/>
  <c r="D110" i="58"/>
  <c r="C110" i="58"/>
  <c r="D109" i="58"/>
  <c r="C109" i="58"/>
  <c r="D108" i="58"/>
  <c r="C108" i="58"/>
  <c r="D107" i="58"/>
  <c r="C107" i="58"/>
  <c r="D106" i="58"/>
  <c r="C106" i="58"/>
  <c r="D105" i="58"/>
  <c r="C105" i="58"/>
  <c r="D101" i="58"/>
  <c r="C101" i="58"/>
  <c r="D100" i="58"/>
  <c r="C100" i="58"/>
  <c r="D99" i="58"/>
  <c r="C99" i="58"/>
  <c r="D98" i="58"/>
  <c r="C98" i="58"/>
  <c r="D97" i="58"/>
  <c r="C97" i="58"/>
  <c r="D96" i="58"/>
  <c r="C96" i="58"/>
  <c r="D92" i="58"/>
  <c r="C92" i="58"/>
  <c r="D91" i="58"/>
  <c r="C91" i="58"/>
  <c r="D90" i="58"/>
  <c r="C90" i="58"/>
  <c r="D89" i="58"/>
  <c r="C89" i="58"/>
  <c r="D88" i="58"/>
  <c r="C88" i="58"/>
  <c r="D87" i="58"/>
  <c r="C87" i="58"/>
  <c r="D86" i="58"/>
  <c r="C86" i="58"/>
  <c r="D85" i="58"/>
  <c r="C85" i="58"/>
  <c r="D84" i="58"/>
  <c r="C84" i="58"/>
  <c r="D83" i="58"/>
  <c r="C83" i="58"/>
  <c r="D82" i="58"/>
  <c r="C82" i="58"/>
  <c r="D78" i="58"/>
  <c r="C78" i="58"/>
  <c r="D77" i="58"/>
  <c r="C77" i="58"/>
  <c r="D76" i="58"/>
  <c r="C76" i="58"/>
  <c r="D75" i="58"/>
  <c r="C75" i="58"/>
  <c r="D74" i="58"/>
  <c r="C74" i="58"/>
  <c r="D73" i="58"/>
  <c r="C73" i="58"/>
  <c r="D72" i="58"/>
  <c r="C72" i="58"/>
  <c r="D71" i="58"/>
  <c r="C71" i="58"/>
  <c r="D70" i="58"/>
  <c r="C70" i="58"/>
  <c r="D69" i="58"/>
  <c r="C69" i="58"/>
  <c r="D68" i="58"/>
  <c r="C68" i="58"/>
  <c r="D67" i="58"/>
  <c r="C67" i="58"/>
  <c r="D66" i="58"/>
  <c r="C66" i="58"/>
  <c r="D65" i="58"/>
  <c r="C65" i="58"/>
  <c r="D64" i="58"/>
  <c r="C64" i="58"/>
  <c r="D60" i="58"/>
  <c r="C60" i="58"/>
  <c r="D59" i="58"/>
  <c r="C59" i="58"/>
  <c r="D58" i="58"/>
  <c r="C58" i="58"/>
  <c r="D57" i="58"/>
  <c r="C57" i="58"/>
  <c r="D56" i="58"/>
  <c r="C56" i="58"/>
  <c r="D55" i="58"/>
  <c r="C55" i="58"/>
  <c r="D54" i="58"/>
  <c r="C54" i="58"/>
  <c r="D53" i="58"/>
  <c r="C53" i="58"/>
  <c r="D52" i="58"/>
  <c r="C52" i="58"/>
  <c r="D51" i="58"/>
  <c r="C51" i="58"/>
  <c r="D50" i="58"/>
  <c r="C50" i="58"/>
  <c r="D49" i="58"/>
  <c r="C49" i="58"/>
  <c r="D48" i="58"/>
  <c r="C48" i="58"/>
  <c r="D47" i="58"/>
  <c r="C47" i="58"/>
  <c r="D46" i="58"/>
  <c r="C46" i="58"/>
  <c r="D45" i="58"/>
  <c r="C45" i="58"/>
  <c r="D44" i="58"/>
  <c r="C44" i="58"/>
  <c r="D43" i="58"/>
  <c r="C43" i="58"/>
  <c r="D42" i="58"/>
  <c r="C42" i="58"/>
  <c r="D41" i="58"/>
  <c r="C41" i="58"/>
  <c r="D40" i="58"/>
  <c r="C40" i="58"/>
  <c r="D39" i="58"/>
  <c r="C39" i="58"/>
  <c r="D38" i="58"/>
  <c r="C38" i="58"/>
  <c r="D37" i="58"/>
  <c r="C37" i="58"/>
  <c r="D36" i="58"/>
  <c r="C36" i="58"/>
  <c r="D35" i="58"/>
  <c r="C35" i="58"/>
  <c r="D34" i="58"/>
  <c r="C34" i="58"/>
  <c r="D33" i="58"/>
  <c r="C33" i="58"/>
  <c r="D32" i="58"/>
  <c r="C32" i="58"/>
  <c r="D31" i="58"/>
  <c r="C31" i="58"/>
  <c r="D30" i="58"/>
  <c r="C30" i="58"/>
  <c r="D29" i="58"/>
  <c r="C29" i="58"/>
  <c r="D28" i="58"/>
  <c r="C28" i="58"/>
  <c r="D27" i="58"/>
  <c r="C27" i="58"/>
  <c r="D26" i="58"/>
  <c r="C26" i="58"/>
  <c r="D25" i="58"/>
  <c r="C25" i="58"/>
  <c r="D20" i="58"/>
  <c r="C20" i="58"/>
  <c r="D19" i="58"/>
  <c r="C19" i="58"/>
  <c r="D18" i="58"/>
  <c r="C18" i="58"/>
  <c r="D17" i="58"/>
  <c r="C17" i="58"/>
  <c r="D16" i="58"/>
  <c r="C16" i="58"/>
  <c r="D15" i="58"/>
  <c r="C15" i="58"/>
  <c r="D14" i="58"/>
  <c r="C14" i="58"/>
  <c r="D13" i="58"/>
  <c r="C13" i="58"/>
  <c r="D12" i="58"/>
  <c r="C12" i="58"/>
  <c r="D11" i="58"/>
  <c r="C11" i="58"/>
  <c r="D79" i="58" l="1"/>
  <c r="D93" i="58"/>
  <c r="D102" i="58"/>
  <c r="D119" i="58"/>
  <c r="C79" i="58"/>
  <c r="C119" i="58"/>
  <c r="C111" i="58"/>
  <c r="D161" i="58"/>
  <c r="C228" i="58"/>
  <c r="C161" i="58"/>
  <c r="D111" i="58"/>
  <c r="C21" i="58"/>
  <c r="C93" i="58"/>
  <c r="C197" i="58"/>
  <c r="C206" i="58"/>
  <c r="D21" i="58"/>
  <c r="C102" i="58"/>
  <c r="D197" i="58"/>
  <c r="D206" i="58"/>
  <c r="C61" i="58"/>
  <c r="D61" i="58"/>
  <c r="D208" i="58" l="1"/>
  <c r="D215" i="58" s="1"/>
  <c r="C208" i="58"/>
  <c r="C212" i="58" s="1"/>
  <c r="C215" i="58" l="1"/>
  <c r="G244" i="136"/>
  <c r="G243" i="136"/>
  <c r="C238" i="136"/>
  <c r="C237" i="136"/>
  <c r="C236" i="136"/>
  <c r="C235" i="136"/>
  <c r="C233" i="136"/>
  <c r="C232" i="136"/>
  <c r="C231" i="136"/>
  <c r="D228" i="136"/>
  <c r="C227" i="136"/>
  <c r="C226" i="136"/>
  <c r="C225" i="136"/>
  <c r="C224" i="136"/>
  <c r="C223" i="136"/>
  <c r="C222" i="136"/>
  <c r="C221" i="136"/>
  <c r="C220" i="136"/>
  <c r="C219" i="136"/>
  <c r="C211" i="136"/>
  <c r="D205" i="136"/>
  <c r="C205" i="136"/>
  <c r="D204" i="136"/>
  <c r="C204" i="136"/>
  <c r="D203" i="136"/>
  <c r="C203" i="136"/>
  <c r="D202" i="136"/>
  <c r="C202" i="136"/>
  <c r="D201" i="136"/>
  <c r="C201" i="136"/>
  <c r="D200" i="136"/>
  <c r="C200" i="136"/>
  <c r="D196" i="136"/>
  <c r="C196" i="136"/>
  <c r="D195" i="136"/>
  <c r="C195" i="136"/>
  <c r="D194" i="136"/>
  <c r="C194" i="136"/>
  <c r="D193" i="136"/>
  <c r="C193" i="136"/>
  <c r="D192" i="136"/>
  <c r="C192" i="136"/>
  <c r="D191" i="136"/>
  <c r="C191" i="136"/>
  <c r="D190" i="136"/>
  <c r="C190" i="136"/>
  <c r="D189" i="136"/>
  <c r="C189" i="136"/>
  <c r="D188" i="136"/>
  <c r="C188" i="136"/>
  <c r="D187" i="136"/>
  <c r="C187" i="136"/>
  <c r="D186" i="136"/>
  <c r="C186" i="136"/>
  <c r="D185" i="136"/>
  <c r="C185" i="136"/>
  <c r="D184" i="136"/>
  <c r="C184" i="136"/>
  <c r="D183" i="136"/>
  <c r="C183" i="136"/>
  <c r="D182" i="136"/>
  <c r="C182" i="136"/>
  <c r="D181" i="136"/>
  <c r="C181" i="136"/>
  <c r="D180" i="136"/>
  <c r="C180" i="136"/>
  <c r="D179" i="136"/>
  <c r="C179" i="136"/>
  <c r="D178" i="136"/>
  <c r="C178" i="136"/>
  <c r="D177" i="136"/>
  <c r="C177" i="136"/>
  <c r="D176" i="136"/>
  <c r="C176" i="136"/>
  <c r="D175" i="136"/>
  <c r="C175" i="136"/>
  <c r="D174" i="136"/>
  <c r="C174" i="136"/>
  <c r="D173" i="136"/>
  <c r="C173" i="136"/>
  <c r="D172" i="136"/>
  <c r="C172" i="136"/>
  <c r="D171" i="136"/>
  <c r="C171" i="136"/>
  <c r="D170" i="136"/>
  <c r="C170" i="136"/>
  <c r="D169" i="136"/>
  <c r="C169" i="136"/>
  <c r="D168" i="136"/>
  <c r="C168" i="136"/>
  <c r="D167" i="136"/>
  <c r="C167" i="136"/>
  <c r="D166" i="136"/>
  <c r="C166" i="136"/>
  <c r="D165" i="136"/>
  <c r="C165" i="136"/>
  <c r="D164" i="136"/>
  <c r="C164" i="136"/>
  <c r="D160" i="136"/>
  <c r="C160" i="136"/>
  <c r="D159" i="136"/>
  <c r="C159" i="136"/>
  <c r="D158" i="136"/>
  <c r="C158" i="136"/>
  <c r="D157" i="136"/>
  <c r="C157" i="136"/>
  <c r="D156" i="136"/>
  <c r="C156" i="136"/>
  <c r="D155" i="136"/>
  <c r="C155" i="136"/>
  <c r="D153" i="136"/>
  <c r="C153" i="136"/>
  <c r="D152" i="136"/>
  <c r="C152" i="136"/>
  <c r="D151" i="136"/>
  <c r="C151" i="136"/>
  <c r="D150" i="136"/>
  <c r="C150" i="136"/>
  <c r="D149" i="136"/>
  <c r="C149" i="136"/>
  <c r="D148" i="136"/>
  <c r="C148" i="136"/>
  <c r="D147" i="136"/>
  <c r="C147" i="136"/>
  <c r="D146" i="136"/>
  <c r="C146" i="136"/>
  <c r="D145" i="136"/>
  <c r="C145" i="136"/>
  <c r="D143" i="136"/>
  <c r="C143" i="136"/>
  <c r="D142" i="136"/>
  <c r="C142" i="136"/>
  <c r="D141" i="136"/>
  <c r="C141" i="136"/>
  <c r="D140" i="136"/>
  <c r="C140" i="136"/>
  <c r="D138" i="136"/>
  <c r="C138" i="136"/>
  <c r="D137" i="136"/>
  <c r="C137" i="136"/>
  <c r="D136" i="136"/>
  <c r="C136" i="136"/>
  <c r="D135" i="136"/>
  <c r="C135" i="136"/>
  <c r="D133" i="136"/>
  <c r="C133" i="136"/>
  <c r="D132" i="136"/>
  <c r="C132" i="136"/>
  <c r="D131" i="136"/>
  <c r="C131" i="136"/>
  <c r="D130" i="136"/>
  <c r="C130" i="136"/>
  <c r="D129" i="136"/>
  <c r="C129" i="136"/>
  <c r="D127" i="136"/>
  <c r="C127" i="136"/>
  <c r="D126" i="136"/>
  <c r="C126" i="136"/>
  <c r="D125" i="136"/>
  <c r="C125" i="136"/>
  <c r="D124" i="136"/>
  <c r="C124" i="136"/>
  <c r="D123" i="136"/>
  <c r="C123" i="136"/>
  <c r="D118" i="136"/>
  <c r="C118" i="136"/>
  <c r="D117" i="136"/>
  <c r="C117" i="136"/>
  <c r="D116" i="136"/>
  <c r="C116" i="136"/>
  <c r="D115" i="136"/>
  <c r="C115" i="136"/>
  <c r="D114" i="136"/>
  <c r="C114" i="136"/>
  <c r="D110" i="136"/>
  <c r="C110" i="136"/>
  <c r="D109" i="136"/>
  <c r="C109" i="136"/>
  <c r="D108" i="136"/>
  <c r="C108" i="136"/>
  <c r="D107" i="136"/>
  <c r="C107" i="136"/>
  <c r="D106" i="136"/>
  <c r="C106" i="136"/>
  <c r="D105" i="136"/>
  <c r="C105" i="136"/>
  <c r="D101" i="136"/>
  <c r="C101" i="136"/>
  <c r="D100" i="136"/>
  <c r="C100" i="136"/>
  <c r="D99" i="136"/>
  <c r="C99" i="136"/>
  <c r="D98" i="136"/>
  <c r="C98" i="136"/>
  <c r="D97" i="136"/>
  <c r="C97" i="136"/>
  <c r="D96" i="136"/>
  <c r="C96" i="136"/>
  <c r="D92" i="136"/>
  <c r="C92" i="136"/>
  <c r="D91" i="136"/>
  <c r="C91" i="136"/>
  <c r="D90" i="136"/>
  <c r="C90" i="136"/>
  <c r="D89" i="136"/>
  <c r="C89" i="136"/>
  <c r="D88" i="136"/>
  <c r="C88" i="136"/>
  <c r="D87" i="136"/>
  <c r="C87" i="136"/>
  <c r="D86" i="136"/>
  <c r="C86" i="136"/>
  <c r="D85" i="136"/>
  <c r="C85" i="136"/>
  <c r="D84" i="136"/>
  <c r="C84" i="136"/>
  <c r="D83" i="136"/>
  <c r="C83" i="136"/>
  <c r="D82" i="136"/>
  <c r="C82" i="136"/>
  <c r="D78" i="136"/>
  <c r="C78" i="136"/>
  <c r="D77" i="136"/>
  <c r="C77" i="136"/>
  <c r="D76" i="136"/>
  <c r="C76" i="136"/>
  <c r="D75" i="136"/>
  <c r="C75" i="136"/>
  <c r="D74" i="136"/>
  <c r="C74" i="136"/>
  <c r="D73" i="136"/>
  <c r="C73" i="136"/>
  <c r="D72" i="136"/>
  <c r="C72" i="136"/>
  <c r="D71" i="136"/>
  <c r="C71" i="136"/>
  <c r="D70" i="136"/>
  <c r="C70" i="136"/>
  <c r="D69" i="136"/>
  <c r="C69" i="136"/>
  <c r="D68" i="136"/>
  <c r="C68" i="136"/>
  <c r="D67" i="136"/>
  <c r="C67" i="136"/>
  <c r="D66" i="136"/>
  <c r="C66" i="136"/>
  <c r="D65" i="136"/>
  <c r="C65" i="136"/>
  <c r="D64" i="136"/>
  <c r="C64" i="136"/>
  <c r="D60" i="136"/>
  <c r="C60" i="136"/>
  <c r="D59" i="136"/>
  <c r="C59" i="136"/>
  <c r="D58" i="136"/>
  <c r="C58" i="136"/>
  <c r="D57" i="136"/>
  <c r="C57" i="136"/>
  <c r="D56" i="136"/>
  <c r="C56" i="136"/>
  <c r="D55" i="136"/>
  <c r="C55" i="136"/>
  <c r="D54" i="136"/>
  <c r="C54" i="136"/>
  <c r="D53" i="136"/>
  <c r="C53" i="136"/>
  <c r="D52" i="136"/>
  <c r="C52" i="136"/>
  <c r="D51" i="136"/>
  <c r="C51" i="136"/>
  <c r="D50" i="136"/>
  <c r="C50" i="136"/>
  <c r="D49" i="136"/>
  <c r="C49" i="136"/>
  <c r="D48" i="136"/>
  <c r="C48" i="136"/>
  <c r="D47" i="136"/>
  <c r="C47" i="136"/>
  <c r="D46" i="136"/>
  <c r="C46" i="136"/>
  <c r="D45" i="136"/>
  <c r="C45" i="136"/>
  <c r="D44" i="136"/>
  <c r="C44" i="136"/>
  <c r="D43" i="136"/>
  <c r="C43" i="136"/>
  <c r="D42" i="136"/>
  <c r="C42" i="136"/>
  <c r="D41" i="136"/>
  <c r="C41" i="136"/>
  <c r="D40" i="136"/>
  <c r="C40" i="136"/>
  <c r="D39" i="136"/>
  <c r="C39" i="136"/>
  <c r="D38" i="136"/>
  <c r="C38" i="136"/>
  <c r="D37" i="136"/>
  <c r="C37" i="136"/>
  <c r="D36" i="136"/>
  <c r="C36" i="136"/>
  <c r="D35" i="136"/>
  <c r="C35" i="136"/>
  <c r="D34" i="136"/>
  <c r="C34" i="136"/>
  <c r="D33" i="136"/>
  <c r="C33" i="136"/>
  <c r="D32" i="136"/>
  <c r="C32" i="136"/>
  <c r="D31" i="136"/>
  <c r="C31" i="136"/>
  <c r="D30" i="136"/>
  <c r="C30" i="136"/>
  <c r="D29" i="136"/>
  <c r="C29" i="136"/>
  <c r="D28" i="136"/>
  <c r="C28" i="136"/>
  <c r="D27" i="136"/>
  <c r="C27" i="136"/>
  <c r="D26" i="136"/>
  <c r="C26" i="136"/>
  <c r="D25" i="136"/>
  <c r="C25" i="136"/>
  <c r="D20" i="136"/>
  <c r="C20" i="136"/>
  <c r="D19" i="136"/>
  <c r="C19" i="136"/>
  <c r="D18" i="136"/>
  <c r="C18" i="136"/>
  <c r="D17" i="136"/>
  <c r="C17" i="136"/>
  <c r="D16" i="136"/>
  <c r="C16" i="136"/>
  <c r="D15" i="136"/>
  <c r="C15" i="136"/>
  <c r="D14" i="136"/>
  <c r="C14" i="136"/>
  <c r="D13" i="136"/>
  <c r="C13" i="136"/>
  <c r="D12" i="136"/>
  <c r="C12" i="136"/>
  <c r="D11" i="136"/>
  <c r="C11" i="136"/>
  <c r="D119" i="136" l="1"/>
  <c r="D206" i="136"/>
  <c r="C119" i="136"/>
  <c r="D102" i="136"/>
  <c r="C228" i="136"/>
  <c r="C79" i="136"/>
  <c r="D161" i="136"/>
  <c r="D111" i="136"/>
  <c r="C161" i="136"/>
  <c r="D21" i="136"/>
  <c r="C111" i="136"/>
  <c r="D93" i="136"/>
  <c r="D197" i="136"/>
  <c r="C21" i="136"/>
  <c r="C93" i="136"/>
  <c r="C102" i="136"/>
  <c r="C197" i="136"/>
  <c r="C206" i="136"/>
  <c r="D79" i="136"/>
  <c r="D61" i="136"/>
  <c r="C61" i="136"/>
  <c r="C208" i="136" l="1"/>
  <c r="C212" i="136" s="1"/>
  <c r="D208" i="136"/>
  <c r="D215" i="136" s="1"/>
  <c r="C215" i="136" l="1"/>
  <c r="K137" i="174"/>
  <c r="J96" i="174" l="1"/>
  <c r="K200" i="174" l="1"/>
  <c r="J200" i="174"/>
  <c r="K172" i="174"/>
  <c r="J172" i="174"/>
  <c r="K168" i="174"/>
  <c r="J168" i="174"/>
  <c r="K166" i="174"/>
  <c r="J166" i="174"/>
  <c r="K149" i="174"/>
  <c r="J149" i="174"/>
  <c r="K148" i="174"/>
  <c r="J148" i="174"/>
  <c r="K147" i="174"/>
  <c r="J147" i="174"/>
  <c r="K146" i="174"/>
  <c r="J146" i="174"/>
  <c r="K138" i="174"/>
  <c r="K136" i="174"/>
  <c r="K135" i="174"/>
  <c r="J138" i="174"/>
  <c r="J137" i="174"/>
  <c r="J136" i="174"/>
  <c r="J135" i="174"/>
  <c r="K127" i="174"/>
  <c r="J127" i="174"/>
  <c r="K124" i="174"/>
  <c r="J124" i="174"/>
  <c r="K114" i="174"/>
  <c r="J114" i="174"/>
  <c r="K105" i="174"/>
  <c r="J105" i="174"/>
  <c r="K96" i="174"/>
  <c r="K82" i="174"/>
  <c r="J82" i="174"/>
  <c r="K27" i="174"/>
  <c r="K25" i="174"/>
  <c r="J27" i="174"/>
  <c r="J25" i="174"/>
  <c r="G242" i="174"/>
  <c r="C238" i="174" l="1"/>
  <c r="C237" i="174"/>
  <c r="C236" i="174"/>
  <c r="C235" i="174"/>
  <c r="C233" i="174"/>
  <c r="C232" i="174"/>
  <c r="C231" i="174"/>
  <c r="D228" i="174"/>
  <c r="C227" i="174"/>
  <c r="C226" i="174"/>
  <c r="C225" i="174"/>
  <c r="C224" i="174"/>
  <c r="C223" i="174"/>
  <c r="C222" i="174"/>
  <c r="C221" i="174"/>
  <c r="C220" i="174"/>
  <c r="C219" i="174"/>
  <c r="C211" i="174"/>
  <c r="D205" i="174"/>
  <c r="C205" i="174"/>
  <c r="D204" i="174"/>
  <c r="C204" i="174"/>
  <c r="D203" i="174"/>
  <c r="C203" i="174"/>
  <c r="D202" i="174"/>
  <c r="C202" i="174"/>
  <c r="D201" i="174"/>
  <c r="C201" i="174"/>
  <c r="D200" i="174"/>
  <c r="C200" i="174"/>
  <c r="D196" i="174"/>
  <c r="C196" i="174"/>
  <c r="D195" i="174"/>
  <c r="C195" i="174"/>
  <c r="D194" i="174"/>
  <c r="C194" i="174"/>
  <c r="D193" i="174"/>
  <c r="C193" i="174"/>
  <c r="D192" i="174"/>
  <c r="C192" i="174"/>
  <c r="D191" i="174"/>
  <c r="C191" i="174"/>
  <c r="D190" i="174"/>
  <c r="C190" i="174"/>
  <c r="D189" i="174"/>
  <c r="C189" i="174"/>
  <c r="D188" i="174"/>
  <c r="C188" i="174"/>
  <c r="D187" i="174"/>
  <c r="C187" i="174"/>
  <c r="D186" i="174"/>
  <c r="C186" i="174"/>
  <c r="D185" i="174"/>
  <c r="C185" i="174"/>
  <c r="D184" i="174"/>
  <c r="C184" i="174"/>
  <c r="D183" i="174"/>
  <c r="C183" i="174"/>
  <c r="D182" i="174"/>
  <c r="C182" i="174"/>
  <c r="D181" i="174"/>
  <c r="C181" i="174"/>
  <c r="D180" i="174"/>
  <c r="C180" i="174"/>
  <c r="D179" i="174"/>
  <c r="C179" i="174"/>
  <c r="D178" i="174"/>
  <c r="C178" i="174"/>
  <c r="D177" i="174"/>
  <c r="C177" i="174"/>
  <c r="D176" i="174"/>
  <c r="C176" i="174"/>
  <c r="D175" i="174"/>
  <c r="C175" i="174"/>
  <c r="D174" i="174"/>
  <c r="C174" i="174"/>
  <c r="D173" i="174"/>
  <c r="C173" i="174"/>
  <c r="D172" i="174"/>
  <c r="C172" i="174"/>
  <c r="D171" i="174"/>
  <c r="C171" i="174"/>
  <c r="D170" i="174"/>
  <c r="C170" i="174"/>
  <c r="D169" i="174"/>
  <c r="C169" i="174"/>
  <c r="D168" i="174"/>
  <c r="C168" i="174"/>
  <c r="D167" i="174"/>
  <c r="C167" i="174"/>
  <c r="D166" i="174"/>
  <c r="C166" i="174"/>
  <c r="D165" i="174"/>
  <c r="C165" i="174"/>
  <c r="D164" i="174"/>
  <c r="C164" i="174"/>
  <c r="D160" i="174"/>
  <c r="C160" i="174"/>
  <c r="D159" i="174"/>
  <c r="C159" i="174"/>
  <c r="D158" i="174"/>
  <c r="C158" i="174"/>
  <c r="D157" i="174"/>
  <c r="C157" i="174"/>
  <c r="D156" i="174"/>
  <c r="C156" i="174"/>
  <c r="D155" i="174"/>
  <c r="C155" i="174"/>
  <c r="D153" i="174"/>
  <c r="C153" i="174"/>
  <c r="D152" i="174"/>
  <c r="C152" i="174"/>
  <c r="D151" i="174"/>
  <c r="C151" i="174"/>
  <c r="D150" i="174"/>
  <c r="C150" i="174"/>
  <c r="D149" i="174"/>
  <c r="C149" i="174"/>
  <c r="D148" i="174"/>
  <c r="C148" i="174"/>
  <c r="D147" i="174"/>
  <c r="C147" i="174"/>
  <c r="D146" i="174"/>
  <c r="C146" i="174"/>
  <c r="D145" i="174"/>
  <c r="C145" i="174"/>
  <c r="D143" i="174"/>
  <c r="C143" i="174"/>
  <c r="D142" i="174"/>
  <c r="C142" i="174"/>
  <c r="D141" i="174"/>
  <c r="C141" i="174"/>
  <c r="D140" i="174"/>
  <c r="C140" i="174"/>
  <c r="D138" i="174"/>
  <c r="C138" i="174"/>
  <c r="D137" i="174"/>
  <c r="C137" i="174"/>
  <c r="D136" i="174"/>
  <c r="C136" i="174"/>
  <c r="D135" i="174"/>
  <c r="C135" i="174"/>
  <c r="D133" i="174"/>
  <c r="C133" i="174"/>
  <c r="D132" i="174"/>
  <c r="C132" i="174"/>
  <c r="D131" i="174"/>
  <c r="C131" i="174"/>
  <c r="D130" i="174"/>
  <c r="C130" i="174"/>
  <c r="D129" i="174"/>
  <c r="C129" i="174"/>
  <c r="D127" i="174"/>
  <c r="C127" i="174"/>
  <c r="D126" i="174"/>
  <c r="C126" i="174"/>
  <c r="D125" i="174"/>
  <c r="C125" i="174"/>
  <c r="D124" i="174"/>
  <c r="C124" i="174"/>
  <c r="D123" i="174"/>
  <c r="C123" i="174"/>
  <c r="D118" i="174"/>
  <c r="C118" i="174"/>
  <c r="D117" i="174"/>
  <c r="C117" i="174"/>
  <c r="D116" i="174"/>
  <c r="C116" i="174"/>
  <c r="D115" i="174"/>
  <c r="C115" i="174"/>
  <c r="D114" i="174"/>
  <c r="C114" i="174"/>
  <c r="D110" i="174"/>
  <c r="C110" i="174"/>
  <c r="D109" i="174"/>
  <c r="C109" i="174"/>
  <c r="D108" i="174"/>
  <c r="C108" i="174"/>
  <c r="D107" i="174"/>
  <c r="C107" i="174"/>
  <c r="D106" i="174"/>
  <c r="C106" i="174"/>
  <c r="D105" i="174"/>
  <c r="C105" i="174"/>
  <c r="D101" i="174"/>
  <c r="C101" i="174"/>
  <c r="D100" i="174"/>
  <c r="C100" i="174"/>
  <c r="D99" i="174"/>
  <c r="C99" i="174"/>
  <c r="D98" i="174"/>
  <c r="C98" i="174"/>
  <c r="D97" i="174"/>
  <c r="C97" i="174"/>
  <c r="D96" i="174"/>
  <c r="C96" i="174"/>
  <c r="D92" i="174"/>
  <c r="C92" i="174"/>
  <c r="D91" i="174"/>
  <c r="C91" i="174"/>
  <c r="D90" i="174"/>
  <c r="C90" i="174"/>
  <c r="D89" i="174"/>
  <c r="C89" i="174"/>
  <c r="D88" i="174"/>
  <c r="C88" i="174"/>
  <c r="D87" i="174"/>
  <c r="C87" i="174"/>
  <c r="D86" i="174"/>
  <c r="C86" i="174"/>
  <c r="D85" i="174"/>
  <c r="C85" i="174"/>
  <c r="D84" i="174"/>
  <c r="C84" i="174"/>
  <c r="D83" i="174"/>
  <c r="C83" i="174"/>
  <c r="D82" i="174"/>
  <c r="C82" i="174"/>
  <c r="D78" i="174"/>
  <c r="C78" i="174"/>
  <c r="D77" i="174"/>
  <c r="C77" i="174"/>
  <c r="D76" i="174"/>
  <c r="C76" i="174"/>
  <c r="D75" i="174"/>
  <c r="C75" i="174"/>
  <c r="D74" i="174"/>
  <c r="C74" i="174"/>
  <c r="D73" i="174"/>
  <c r="C73" i="174"/>
  <c r="D72" i="174"/>
  <c r="C72" i="174"/>
  <c r="D71" i="174"/>
  <c r="C71" i="174"/>
  <c r="D70" i="174"/>
  <c r="C70" i="174"/>
  <c r="D69" i="174"/>
  <c r="C69" i="174"/>
  <c r="D68" i="174"/>
  <c r="C68" i="174"/>
  <c r="D67" i="174"/>
  <c r="C67" i="174"/>
  <c r="D66" i="174"/>
  <c r="C66" i="174"/>
  <c r="D65" i="174"/>
  <c r="C65" i="174"/>
  <c r="D64" i="174"/>
  <c r="C64" i="174"/>
  <c r="D60" i="174"/>
  <c r="C60" i="174"/>
  <c r="D59" i="174"/>
  <c r="C59" i="174"/>
  <c r="D58" i="174"/>
  <c r="C58" i="174"/>
  <c r="D57" i="174"/>
  <c r="C57" i="174"/>
  <c r="D56" i="174"/>
  <c r="C56" i="174"/>
  <c r="D55" i="174"/>
  <c r="C55" i="174"/>
  <c r="D54" i="174"/>
  <c r="C54" i="174"/>
  <c r="D53" i="174"/>
  <c r="C53" i="174"/>
  <c r="D52" i="174"/>
  <c r="C52" i="174"/>
  <c r="D51" i="174"/>
  <c r="C51" i="174"/>
  <c r="D50" i="174"/>
  <c r="C50" i="174"/>
  <c r="D49" i="174"/>
  <c r="C49" i="174"/>
  <c r="D48" i="174"/>
  <c r="C48" i="174"/>
  <c r="D47" i="174"/>
  <c r="C47" i="174"/>
  <c r="D46" i="174"/>
  <c r="C46" i="174"/>
  <c r="D45" i="174"/>
  <c r="C45" i="174"/>
  <c r="D44" i="174"/>
  <c r="C44" i="174"/>
  <c r="D43" i="174"/>
  <c r="C43" i="174"/>
  <c r="D42" i="174"/>
  <c r="C42" i="174"/>
  <c r="D41" i="174"/>
  <c r="C41" i="174"/>
  <c r="D40" i="174"/>
  <c r="C40" i="174"/>
  <c r="D39" i="174"/>
  <c r="C39" i="174"/>
  <c r="D38" i="174"/>
  <c r="C38" i="174"/>
  <c r="D37" i="174"/>
  <c r="C37" i="174"/>
  <c r="D36" i="174"/>
  <c r="C36" i="174"/>
  <c r="D35" i="174"/>
  <c r="C35" i="174"/>
  <c r="D34" i="174"/>
  <c r="C34" i="174"/>
  <c r="D33" i="174"/>
  <c r="C33" i="174"/>
  <c r="D32" i="174"/>
  <c r="C32" i="174"/>
  <c r="D31" i="174"/>
  <c r="C31" i="174"/>
  <c r="D30" i="174"/>
  <c r="C30" i="174"/>
  <c r="D29" i="174"/>
  <c r="C29" i="174"/>
  <c r="D28" i="174"/>
  <c r="C28" i="174"/>
  <c r="D27" i="174"/>
  <c r="C27" i="174"/>
  <c r="D26" i="174"/>
  <c r="C26" i="174"/>
  <c r="D25" i="174"/>
  <c r="C25" i="174"/>
  <c r="D20" i="174"/>
  <c r="C20" i="174"/>
  <c r="D19" i="174"/>
  <c r="C19" i="174"/>
  <c r="D18" i="174"/>
  <c r="C18" i="174"/>
  <c r="D17" i="174"/>
  <c r="C17" i="174"/>
  <c r="D16" i="174"/>
  <c r="C16" i="174"/>
  <c r="D15" i="174"/>
  <c r="C15" i="174"/>
  <c r="D14" i="174"/>
  <c r="C14" i="174"/>
  <c r="D13" i="174"/>
  <c r="C13" i="174"/>
  <c r="D12" i="174"/>
  <c r="C12" i="174"/>
  <c r="D11" i="174"/>
  <c r="C11" i="174"/>
  <c r="D111" i="174" l="1"/>
  <c r="D119" i="174"/>
  <c r="D93" i="174"/>
  <c r="C197" i="174"/>
  <c r="D21" i="174"/>
  <c r="D197" i="174"/>
  <c r="C79" i="174"/>
  <c r="D79" i="174"/>
  <c r="C119" i="174"/>
  <c r="C102" i="174"/>
  <c r="C61" i="174"/>
  <c r="C161" i="174"/>
  <c r="C21" i="174"/>
  <c r="C93" i="174"/>
  <c r="C206" i="174"/>
  <c r="D206" i="174"/>
  <c r="D102" i="174"/>
  <c r="C111" i="174"/>
  <c r="D161" i="174"/>
  <c r="C228" i="174"/>
  <c r="D61" i="174"/>
  <c r="C208" i="174" l="1"/>
  <c r="C212" i="174" s="1"/>
  <c r="D208" i="174"/>
  <c r="D215" i="174" s="1"/>
  <c r="C215" i="174" l="1"/>
  <c r="G244" i="53"/>
  <c r="G243" i="53"/>
  <c r="G242" i="53"/>
  <c r="G241" i="53"/>
  <c r="C238" i="53"/>
  <c r="C237" i="53"/>
  <c r="C236" i="53"/>
  <c r="C235" i="53"/>
  <c r="C233" i="53"/>
  <c r="C232" i="53"/>
  <c r="C231" i="53"/>
  <c r="D228" i="53"/>
  <c r="C227" i="53"/>
  <c r="C226" i="53"/>
  <c r="C225" i="53"/>
  <c r="C224" i="53"/>
  <c r="C223" i="53"/>
  <c r="C222" i="53"/>
  <c r="C221" i="53"/>
  <c r="C220" i="53"/>
  <c r="C219" i="53"/>
  <c r="C211" i="53"/>
  <c r="D205" i="53"/>
  <c r="C205" i="53"/>
  <c r="D204" i="53"/>
  <c r="C204" i="53"/>
  <c r="D203" i="53"/>
  <c r="C203" i="53"/>
  <c r="D202" i="53"/>
  <c r="C202" i="53"/>
  <c r="D201" i="53"/>
  <c r="C201" i="53"/>
  <c r="D200" i="53"/>
  <c r="C200" i="53"/>
  <c r="D196" i="53"/>
  <c r="C196" i="53"/>
  <c r="D195" i="53"/>
  <c r="C195" i="53"/>
  <c r="D194" i="53"/>
  <c r="C194" i="53"/>
  <c r="D193" i="53"/>
  <c r="C193" i="53"/>
  <c r="D192" i="53"/>
  <c r="C192" i="53"/>
  <c r="D191" i="53"/>
  <c r="C191" i="53"/>
  <c r="D190" i="53"/>
  <c r="C190" i="53"/>
  <c r="D189" i="53"/>
  <c r="C189" i="53"/>
  <c r="D188" i="53"/>
  <c r="C188" i="53"/>
  <c r="D187" i="53"/>
  <c r="C187" i="53"/>
  <c r="D186" i="53"/>
  <c r="C186" i="53"/>
  <c r="D185" i="53"/>
  <c r="C185" i="53"/>
  <c r="D184" i="53"/>
  <c r="C184" i="53"/>
  <c r="D183" i="53"/>
  <c r="C183" i="53"/>
  <c r="D182" i="53"/>
  <c r="C182" i="53"/>
  <c r="D181" i="53"/>
  <c r="C181" i="53"/>
  <c r="D180" i="53"/>
  <c r="C180" i="53"/>
  <c r="D179" i="53"/>
  <c r="C179" i="53"/>
  <c r="D178" i="53"/>
  <c r="C178" i="53"/>
  <c r="D177" i="53"/>
  <c r="C177" i="53"/>
  <c r="D176" i="53"/>
  <c r="C176" i="53"/>
  <c r="D175" i="53"/>
  <c r="C175" i="53"/>
  <c r="D174" i="53"/>
  <c r="C174" i="53"/>
  <c r="D173" i="53"/>
  <c r="C173" i="53"/>
  <c r="D172" i="53"/>
  <c r="C172" i="53"/>
  <c r="D171" i="53"/>
  <c r="C171" i="53"/>
  <c r="D170" i="53"/>
  <c r="C170" i="53"/>
  <c r="D169" i="53"/>
  <c r="C169" i="53"/>
  <c r="D168" i="53"/>
  <c r="C168" i="53"/>
  <c r="D167" i="53"/>
  <c r="C167" i="53"/>
  <c r="D166" i="53"/>
  <c r="C166" i="53"/>
  <c r="D165" i="53"/>
  <c r="C165" i="53"/>
  <c r="D164" i="53"/>
  <c r="C164" i="53"/>
  <c r="D160" i="53"/>
  <c r="C160" i="53"/>
  <c r="D159" i="53"/>
  <c r="C159" i="53"/>
  <c r="D158" i="53"/>
  <c r="C158" i="53"/>
  <c r="D157" i="53"/>
  <c r="C157" i="53"/>
  <c r="D156" i="53"/>
  <c r="C156" i="53"/>
  <c r="D155" i="53"/>
  <c r="C155" i="53"/>
  <c r="D153" i="53"/>
  <c r="C153" i="53"/>
  <c r="D152" i="53"/>
  <c r="C152" i="53"/>
  <c r="D151" i="53"/>
  <c r="C151" i="53"/>
  <c r="D150" i="53"/>
  <c r="C150" i="53"/>
  <c r="D149" i="53"/>
  <c r="C149" i="53"/>
  <c r="D148" i="53"/>
  <c r="C148" i="53"/>
  <c r="D147" i="53"/>
  <c r="C147" i="53"/>
  <c r="D146" i="53"/>
  <c r="C146" i="53"/>
  <c r="D145" i="53"/>
  <c r="C145" i="53"/>
  <c r="D143" i="53"/>
  <c r="C143" i="53"/>
  <c r="D142" i="53"/>
  <c r="C142" i="53"/>
  <c r="D141" i="53"/>
  <c r="C141" i="53"/>
  <c r="D140" i="53"/>
  <c r="C140" i="53"/>
  <c r="D138" i="53"/>
  <c r="C138" i="53"/>
  <c r="D137" i="53"/>
  <c r="C137" i="53"/>
  <c r="D136" i="53"/>
  <c r="C136" i="53"/>
  <c r="D135" i="53"/>
  <c r="C135" i="53"/>
  <c r="D133" i="53"/>
  <c r="C133" i="53"/>
  <c r="D132" i="53"/>
  <c r="C132" i="53"/>
  <c r="D131" i="53"/>
  <c r="C131" i="53"/>
  <c r="D130" i="53"/>
  <c r="C130" i="53"/>
  <c r="D129" i="53"/>
  <c r="C129" i="53"/>
  <c r="D127" i="53"/>
  <c r="C127" i="53"/>
  <c r="D126" i="53"/>
  <c r="C126" i="53"/>
  <c r="D125" i="53"/>
  <c r="C125" i="53"/>
  <c r="D124" i="53"/>
  <c r="C124" i="53"/>
  <c r="D123" i="53"/>
  <c r="C123" i="53"/>
  <c r="D118" i="53"/>
  <c r="C118" i="53"/>
  <c r="D117" i="53"/>
  <c r="C117" i="53"/>
  <c r="D116" i="53"/>
  <c r="C116" i="53"/>
  <c r="D115" i="53"/>
  <c r="C115" i="53"/>
  <c r="D114" i="53"/>
  <c r="C114" i="53"/>
  <c r="D110" i="53"/>
  <c r="C110" i="53"/>
  <c r="D109" i="53"/>
  <c r="C109" i="53"/>
  <c r="D108" i="53"/>
  <c r="C108" i="53"/>
  <c r="D107" i="53"/>
  <c r="C107" i="53"/>
  <c r="D106" i="53"/>
  <c r="C106" i="53"/>
  <c r="D105" i="53"/>
  <c r="C105" i="53"/>
  <c r="D101" i="53"/>
  <c r="C101" i="53"/>
  <c r="D100" i="53"/>
  <c r="C100" i="53"/>
  <c r="D99" i="53"/>
  <c r="C99" i="53"/>
  <c r="D98" i="53"/>
  <c r="C98" i="53"/>
  <c r="D97" i="53"/>
  <c r="C97" i="53"/>
  <c r="D96" i="53"/>
  <c r="C96" i="53"/>
  <c r="D92" i="53"/>
  <c r="C92" i="53"/>
  <c r="D91" i="53"/>
  <c r="C91" i="53"/>
  <c r="D90" i="53"/>
  <c r="C90" i="53"/>
  <c r="D89" i="53"/>
  <c r="C89" i="53"/>
  <c r="D88" i="53"/>
  <c r="C88" i="53"/>
  <c r="D87" i="53"/>
  <c r="C87" i="53"/>
  <c r="D86" i="53"/>
  <c r="C86" i="53"/>
  <c r="D85" i="53"/>
  <c r="C85" i="53"/>
  <c r="D84" i="53"/>
  <c r="C84" i="53"/>
  <c r="D83" i="53"/>
  <c r="C83" i="53"/>
  <c r="D82" i="53"/>
  <c r="C82" i="53"/>
  <c r="D78" i="53"/>
  <c r="C78" i="53"/>
  <c r="D77" i="53"/>
  <c r="C77" i="53"/>
  <c r="D76" i="53"/>
  <c r="C76" i="53"/>
  <c r="D75" i="53"/>
  <c r="C75" i="53"/>
  <c r="D74" i="53"/>
  <c r="C74" i="53"/>
  <c r="D73" i="53"/>
  <c r="C73" i="53"/>
  <c r="D72" i="53"/>
  <c r="C72" i="53"/>
  <c r="D71" i="53"/>
  <c r="C71" i="53"/>
  <c r="D70" i="53"/>
  <c r="C70" i="53"/>
  <c r="D69" i="53"/>
  <c r="C69" i="53"/>
  <c r="D68" i="53"/>
  <c r="C68" i="53"/>
  <c r="D67" i="53"/>
  <c r="C67" i="53"/>
  <c r="D66" i="53"/>
  <c r="C66" i="53"/>
  <c r="D65" i="53"/>
  <c r="C65" i="53"/>
  <c r="D64" i="53"/>
  <c r="C64" i="53"/>
  <c r="D60" i="53"/>
  <c r="C60" i="53"/>
  <c r="D59" i="53"/>
  <c r="C59" i="53"/>
  <c r="D58" i="53"/>
  <c r="C58" i="53"/>
  <c r="D57" i="53"/>
  <c r="C57" i="53"/>
  <c r="D56" i="53"/>
  <c r="C56" i="53"/>
  <c r="D55" i="53"/>
  <c r="C55" i="53"/>
  <c r="D54" i="53"/>
  <c r="C54" i="53"/>
  <c r="D53" i="53"/>
  <c r="C53" i="53"/>
  <c r="D52" i="53"/>
  <c r="C52" i="53"/>
  <c r="D51" i="53"/>
  <c r="C51" i="53"/>
  <c r="D50" i="53"/>
  <c r="C50" i="53"/>
  <c r="D49" i="53"/>
  <c r="C49" i="53"/>
  <c r="D48" i="53"/>
  <c r="C48" i="53"/>
  <c r="D47" i="53"/>
  <c r="C47" i="53"/>
  <c r="D46" i="53"/>
  <c r="C46" i="53"/>
  <c r="D45" i="53"/>
  <c r="C45" i="53"/>
  <c r="D44" i="53"/>
  <c r="C44" i="53"/>
  <c r="D43" i="53"/>
  <c r="C43" i="53"/>
  <c r="D42" i="53"/>
  <c r="C42" i="53"/>
  <c r="D41" i="53"/>
  <c r="C41" i="53"/>
  <c r="D40" i="53"/>
  <c r="C40" i="53"/>
  <c r="D39" i="53"/>
  <c r="C39" i="53"/>
  <c r="D38" i="53"/>
  <c r="C38" i="53"/>
  <c r="D37" i="53"/>
  <c r="C37" i="53"/>
  <c r="D36" i="53"/>
  <c r="C36" i="53"/>
  <c r="D35" i="53"/>
  <c r="C35" i="53"/>
  <c r="D34" i="53"/>
  <c r="C34" i="53"/>
  <c r="D33" i="53"/>
  <c r="C33" i="53"/>
  <c r="D32" i="53"/>
  <c r="C32" i="53"/>
  <c r="D31" i="53"/>
  <c r="C31" i="53"/>
  <c r="D30" i="53"/>
  <c r="C30" i="53"/>
  <c r="D29" i="53"/>
  <c r="C29" i="53"/>
  <c r="D28" i="53"/>
  <c r="C28" i="53"/>
  <c r="D27" i="53"/>
  <c r="C27" i="53"/>
  <c r="D26" i="53"/>
  <c r="C26" i="53"/>
  <c r="D25" i="53"/>
  <c r="C25" i="53"/>
  <c r="D20" i="53"/>
  <c r="C20" i="53"/>
  <c r="D19" i="53"/>
  <c r="C19" i="53"/>
  <c r="D18" i="53"/>
  <c r="C18" i="53"/>
  <c r="D17" i="53"/>
  <c r="C17" i="53"/>
  <c r="D16" i="53"/>
  <c r="C16" i="53"/>
  <c r="D15" i="53"/>
  <c r="C15" i="53"/>
  <c r="D14" i="53"/>
  <c r="C14" i="53"/>
  <c r="D13" i="53"/>
  <c r="C13" i="53"/>
  <c r="D12" i="53"/>
  <c r="C12" i="53"/>
  <c r="D11" i="53"/>
  <c r="C11" i="53"/>
  <c r="D206" i="53" l="1"/>
  <c r="C79" i="53"/>
  <c r="C119" i="53"/>
  <c r="D21" i="53"/>
  <c r="D93" i="53"/>
  <c r="D79" i="53"/>
  <c r="D61" i="53"/>
  <c r="C111" i="53"/>
  <c r="D161" i="53"/>
  <c r="C61" i="53"/>
  <c r="D119" i="53"/>
  <c r="C161" i="53"/>
  <c r="C21" i="53"/>
  <c r="C93" i="53"/>
  <c r="C197" i="53"/>
  <c r="C206" i="53"/>
  <c r="D102" i="53"/>
  <c r="C228" i="53"/>
  <c r="D111" i="53"/>
  <c r="C102" i="53"/>
  <c r="D197" i="53"/>
  <c r="C208" i="53" l="1"/>
  <c r="C212" i="53" s="1"/>
  <c r="D208" i="53"/>
  <c r="D215" i="53" s="1"/>
  <c r="G244" i="98"/>
  <c r="G243" i="98"/>
  <c r="G242" i="98"/>
  <c r="G241" i="98"/>
  <c r="C238" i="98"/>
  <c r="C237" i="98"/>
  <c r="C236" i="98"/>
  <c r="C235" i="98"/>
  <c r="C233" i="98"/>
  <c r="C232" i="98"/>
  <c r="C231" i="98"/>
  <c r="D228" i="98"/>
  <c r="C227" i="98"/>
  <c r="C226" i="98"/>
  <c r="C225" i="98"/>
  <c r="C224" i="98"/>
  <c r="C223" i="98"/>
  <c r="C222" i="98"/>
  <c r="C221" i="98"/>
  <c r="C220" i="98"/>
  <c r="C219" i="98"/>
  <c r="C211" i="98"/>
  <c r="D205" i="98"/>
  <c r="C205" i="98"/>
  <c r="D204" i="98"/>
  <c r="C204" i="98"/>
  <c r="D203" i="98"/>
  <c r="C203" i="98"/>
  <c r="D202" i="98"/>
  <c r="C202" i="98"/>
  <c r="D201" i="98"/>
  <c r="C201" i="98"/>
  <c r="D200" i="98"/>
  <c r="C200" i="98"/>
  <c r="D196" i="98"/>
  <c r="C196" i="98"/>
  <c r="D195" i="98"/>
  <c r="C195" i="98"/>
  <c r="D194" i="98"/>
  <c r="C194" i="98"/>
  <c r="D193" i="98"/>
  <c r="C193" i="98"/>
  <c r="D192" i="98"/>
  <c r="C192" i="98"/>
  <c r="D191" i="98"/>
  <c r="C191" i="98"/>
  <c r="D190" i="98"/>
  <c r="C190" i="98"/>
  <c r="D189" i="98"/>
  <c r="C189" i="98"/>
  <c r="D188" i="98"/>
  <c r="C188" i="98"/>
  <c r="D187" i="98"/>
  <c r="C187" i="98"/>
  <c r="D186" i="98"/>
  <c r="C186" i="98"/>
  <c r="D185" i="98"/>
  <c r="C185" i="98"/>
  <c r="D184" i="98"/>
  <c r="C184" i="98"/>
  <c r="D183" i="98"/>
  <c r="C183" i="98"/>
  <c r="D182" i="98"/>
  <c r="C182" i="98"/>
  <c r="D181" i="98"/>
  <c r="C181" i="98"/>
  <c r="D180" i="98"/>
  <c r="C180" i="98"/>
  <c r="D179" i="98"/>
  <c r="C179" i="98"/>
  <c r="D178" i="98"/>
  <c r="C178" i="98"/>
  <c r="D177" i="98"/>
  <c r="C177" i="98"/>
  <c r="D176" i="98"/>
  <c r="C176" i="98"/>
  <c r="D175" i="98"/>
  <c r="C175" i="98"/>
  <c r="D174" i="98"/>
  <c r="C174" i="98"/>
  <c r="D173" i="98"/>
  <c r="C173" i="98"/>
  <c r="D172" i="98"/>
  <c r="C172" i="98"/>
  <c r="D171" i="98"/>
  <c r="C171" i="98"/>
  <c r="D170" i="98"/>
  <c r="C170" i="98"/>
  <c r="D169" i="98"/>
  <c r="C169" i="98"/>
  <c r="D168" i="98"/>
  <c r="C168" i="98"/>
  <c r="D167" i="98"/>
  <c r="C167" i="98"/>
  <c r="D166" i="98"/>
  <c r="C166" i="98"/>
  <c r="D165" i="98"/>
  <c r="C165" i="98"/>
  <c r="D164" i="98"/>
  <c r="C164" i="98"/>
  <c r="D160" i="98"/>
  <c r="C160" i="98"/>
  <c r="D159" i="98"/>
  <c r="C159" i="98"/>
  <c r="D158" i="98"/>
  <c r="C158" i="98"/>
  <c r="D157" i="98"/>
  <c r="C157" i="98"/>
  <c r="D156" i="98"/>
  <c r="C156" i="98"/>
  <c r="D155" i="98"/>
  <c r="C155" i="98"/>
  <c r="D153" i="98"/>
  <c r="C153" i="98"/>
  <c r="D152" i="98"/>
  <c r="C152" i="98"/>
  <c r="D151" i="98"/>
  <c r="C151" i="98"/>
  <c r="D150" i="98"/>
  <c r="C150" i="98"/>
  <c r="D149" i="98"/>
  <c r="C149" i="98"/>
  <c r="D148" i="98"/>
  <c r="C148" i="98"/>
  <c r="D147" i="98"/>
  <c r="C147" i="98"/>
  <c r="D146" i="98"/>
  <c r="C146" i="98"/>
  <c r="D145" i="98"/>
  <c r="C145" i="98"/>
  <c r="D143" i="98"/>
  <c r="C143" i="98"/>
  <c r="D142" i="98"/>
  <c r="C142" i="98"/>
  <c r="D141" i="98"/>
  <c r="C141" i="98"/>
  <c r="D140" i="98"/>
  <c r="C140" i="98"/>
  <c r="D138" i="98"/>
  <c r="C138" i="98"/>
  <c r="D137" i="98"/>
  <c r="C137" i="98"/>
  <c r="D136" i="98"/>
  <c r="C136" i="98"/>
  <c r="D135" i="98"/>
  <c r="C135" i="98"/>
  <c r="D133" i="98"/>
  <c r="C133" i="98"/>
  <c r="D132" i="98"/>
  <c r="C132" i="98"/>
  <c r="D131" i="98"/>
  <c r="C131" i="98"/>
  <c r="D130" i="98"/>
  <c r="C130" i="98"/>
  <c r="D129" i="98"/>
  <c r="C129" i="98"/>
  <c r="D127" i="98"/>
  <c r="C127" i="98"/>
  <c r="D126" i="98"/>
  <c r="C126" i="98"/>
  <c r="D125" i="98"/>
  <c r="C125" i="98"/>
  <c r="D124" i="98"/>
  <c r="C124" i="98"/>
  <c r="D123" i="98"/>
  <c r="C123" i="98"/>
  <c r="D118" i="98"/>
  <c r="C118" i="98"/>
  <c r="D117" i="98"/>
  <c r="C117" i="98"/>
  <c r="D116" i="98"/>
  <c r="C116" i="98"/>
  <c r="D115" i="98"/>
  <c r="C115" i="98"/>
  <c r="D114" i="98"/>
  <c r="C114" i="98"/>
  <c r="D110" i="98"/>
  <c r="C110" i="98"/>
  <c r="D109" i="98"/>
  <c r="C109" i="98"/>
  <c r="D108" i="98"/>
  <c r="C108" i="98"/>
  <c r="D107" i="98"/>
  <c r="C107" i="98"/>
  <c r="D106" i="98"/>
  <c r="C106" i="98"/>
  <c r="D105" i="98"/>
  <c r="C105" i="98"/>
  <c r="D101" i="98"/>
  <c r="C101" i="98"/>
  <c r="D100" i="98"/>
  <c r="C100" i="98"/>
  <c r="D99" i="98"/>
  <c r="C99" i="98"/>
  <c r="D98" i="98"/>
  <c r="C98" i="98"/>
  <c r="D97" i="98"/>
  <c r="C97" i="98"/>
  <c r="D96" i="98"/>
  <c r="C96" i="98"/>
  <c r="D92" i="98"/>
  <c r="C92" i="98"/>
  <c r="D91" i="98"/>
  <c r="C91" i="98"/>
  <c r="D90" i="98"/>
  <c r="C90" i="98"/>
  <c r="D89" i="98"/>
  <c r="C89" i="98"/>
  <c r="D88" i="98"/>
  <c r="C88" i="98"/>
  <c r="D87" i="98"/>
  <c r="C87" i="98"/>
  <c r="D86" i="98"/>
  <c r="C86" i="98"/>
  <c r="D85" i="98"/>
  <c r="C85" i="98"/>
  <c r="D84" i="98"/>
  <c r="C84" i="98"/>
  <c r="D83" i="98"/>
  <c r="C83" i="98"/>
  <c r="D82" i="98"/>
  <c r="C82" i="98"/>
  <c r="D78" i="98"/>
  <c r="C78" i="98"/>
  <c r="D77" i="98"/>
  <c r="C77" i="98"/>
  <c r="D76" i="98"/>
  <c r="C76" i="98"/>
  <c r="D75" i="98"/>
  <c r="C75" i="98"/>
  <c r="D74" i="98"/>
  <c r="C74" i="98"/>
  <c r="D73" i="98"/>
  <c r="C73" i="98"/>
  <c r="D72" i="98"/>
  <c r="C72" i="98"/>
  <c r="D71" i="98"/>
  <c r="C71" i="98"/>
  <c r="D70" i="98"/>
  <c r="C70" i="98"/>
  <c r="D69" i="98"/>
  <c r="C69" i="98"/>
  <c r="D68" i="98"/>
  <c r="C68" i="98"/>
  <c r="D67" i="98"/>
  <c r="C67" i="98"/>
  <c r="D66" i="98"/>
  <c r="C66" i="98"/>
  <c r="D65" i="98"/>
  <c r="C65" i="98"/>
  <c r="D64" i="98"/>
  <c r="C64" i="98"/>
  <c r="D60" i="98"/>
  <c r="C60" i="98"/>
  <c r="D59" i="98"/>
  <c r="C59" i="98"/>
  <c r="D58" i="98"/>
  <c r="C58" i="98"/>
  <c r="D57" i="98"/>
  <c r="C57" i="98"/>
  <c r="D56" i="98"/>
  <c r="C56" i="98"/>
  <c r="D55" i="98"/>
  <c r="C55" i="98"/>
  <c r="D54" i="98"/>
  <c r="C54" i="98"/>
  <c r="D53" i="98"/>
  <c r="C53" i="98"/>
  <c r="D52" i="98"/>
  <c r="C52" i="98"/>
  <c r="D51" i="98"/>
  <c r="C51" i="98"/>
  <c r="D50" i="98"/>
  <c r="C50" i="98"/>
  <c r="D49" i="98"/>
  <c r="C49" i="98"/>
  <c r="D48" i="98"/>
  <c r="C48" i="98"/>
  <c r="D47" i="98"/>
  <c r="C47" i="98"/>
  <c r="D46" i="98"/>
  <c r="C46" i="98"/>
  <c r="D45" i="98"/>
  <c r="C45" i="98"/>
  <c r="D44" i="98"/>
  <c r="C44" i="98"/>
  <c r="D43" i="98"/>
  <c r="C43" i="98"/>
  <c r="D42" i="98"/>
  <c r="C42" i="98"/>
  <c r="D41" i="98"/>
  <c r="C41" i="98"/>
  <c r="D40" i="98"/>
  <c r="C40" i="98"/>
  <c r="D39" i="98"/>
  <c r="C39" i="98"/>
  <c r="D38" i="98"/>
  <c r="C38" i="98"/>
  <c r="D37" i="98"/>
  <c r="C37" i="98"/>
  <c r="D36" i="98"/>
  <c r="C36" i="98"/>
  <c r="D35" i="98"/>
  <c r="C35" i="98"/>
  <c r="D34" i="98"/>
  <c r="C34" i="98"/>
  <c r="D33" i="98"/>
  <c r="C33" i="98"/>
  <c r="D32" i="98"/>
  <c r="C32" i="98"/>
  <c r="D31" i="98"/>
  <c r="C31" i="98"/>
  <c r="D30" i="98"/>
  <c r="C30" i="98"/>
  <c r="D29" i="98"/>
  <c r="C29" i="98"/>
  <c r="D28" i="98"/>
  <c r="C28" i="98"/>
  <c r="D27" i="98"/>
  <c r="C27" i="98"/>
  <c r="D26" i="98"/>
  <c r="C26" i="98"/>
  <c r="D25" i="98"/>
  <c r="C25" i="98"/>
  <c r="D20" i="98"/>
  <c r="C20" i="98"/>
  <c r="D19" i="98"/>
  <c r="C19" i="98"/>
  <c r="D18" i="98"/>
  <c r="C18" i="98"/>
  <c r="D17" i="98"/>
  <c r="C17" i="98"/>
  <c r="D16" i="98"/>
  <c r="C16" i="98"/>
  <c r="D15" i="98"/>
  <c r="C15" i="98"/>
  <c r="D14" i="98"/>
  <c r="C14" i="98"/>
  <c r="D13" i="98"/>
  <c r="C13" i="98"/>
  <c r="D12" i="98"/>
  <c r="C12" i="98"/>
  <c r="D11" i="98"/>
  <c r="C11" i="98"/>
  <c r="C111" i="98" l="1"/>
  <c r="C215" i="53"/>
  <c r="D21" i="98"/>
  <c r="D102" i="98"/>
  <c r="C21" i="98"/>
  <c r="C119" i="98"/>
  <c r="D93" i="98"/>
  <c r="D119" i="98"/>
  <c r="C161" i="98"/>
  <c r="D111" i="98"/>
  <c r="D161" i="98"/>
  <c r="D206" i="98"/>
  <c r="C228" i="98"/>
  <c r="C93" i="98"/>
  <c r="C102" i="98"/>
  <c r="C197" i="98"/>
  <c r="C79" i="98"/>
  <c r="D197" i="98"/>
  <c r="D79" i="98"/>
  <c r="C206" i="98"/>
  <c r="C61" i="98"/>
  <c r="D61" i="98"/>
  <c r="C208" i="98" l="1"/>
  <c r="C212" i="98" s="1"/>
  <c r="D208" i="98"/>
  <c r="D215" i="98" s="1"/>
  <c r="C215" i="98" l="1"/>
  <c r="G244" i="49"/>
  <c r="J125" i="49"/>
  <c r="K200" i="49"/>
  <c r="J200" i="49"/>
  <c r="K172" i="49"/>
  <c r="J172" i="49"/>
  <c r="K168" i="49"/>
  <c r="J168" i="49"/>
  <c r="K166" i="49"/>
  <c r="J166" i="49"/>
  <c r="K149" i="49"/>
  <c r="J149" i="49"/>
  <c r="K138" i="49"/>
  <c r="K137" i="49"/>
  <c r="K136" i="49"/>
  <c r="K135" i="49"/>
  <c r="J138" i="49"/>
  <c r="J137" i="49"/>
  <c r="J136" i="49"/>
  <c r="J135" i="49"/>
  <c r="K127" i="49"/>
  <c r="K125" i="49"/>
  <c r="K124" i="49"/>
  <c r="J127" i="49"/>
  <c r="J124" i="49"/>
  <c r="K114" i="49"/>
  <c r="J114" i="49"/>
  <c r="K105" i="49"/>
  <c r="J105" i="49"/>
  <c r="K96" i="49"/>
  <c r="J96" i="49"/>
  <c r="K82" i="49"/>
  <c r="J82" i="49"/>
  <c r="K27" i="49"/>
  <c r="K25" i="49"/>
  <c r="J27" i="49"/>
  <c r="J25" i="49"/>
  <c r="C238" i="49" l="1"/>
  <c r="C237" i="49"/>
  <c r="C236" i="49"/>
  <c r="C235" i="49"/>
  <c r="C233" i="49"/>
  <c r="C232" i="49"/>
  <c r="C231" i="49"/>
  <c r="D228" i="49"/>
  <c r="C227" i="49"/>
  <c r="C226" i="49"/>
  <c r="C225" i="49"/>
  <c r="C224" i="49"/>
  <c r="C223" i="49"/>
  <c r="C222" i="49"/>
  <c r="C221" i="49"/>
  <c r="C220" i="49"/>
  <c r="C219" i="49"/>
  <c r="C211" i="49"/>
  <c r="D205" i="49"/>
  <c r="C205" i="49"/>
  <c r="D204" i="49"/>
  <c r="C204" i="49"/>
  <c r="D203" i="49"/>
  <c r="C203" i="49"/>
  <c r="D202" i="49"/>
  <c r="C202" i="49"/>
  <c r="D201" i="49"/>
  <c r="C201" i="49"/>
  <c r="D200" i="49"/>
  <c r="C200" i="49"/>
  <c r="D196" i="49"/>
  <c r="C196" i="49"/>
  <c r="D195" i="49"/>
  <c r="C195" i="49"/>
  <c r="D194" i="49"/>
  <c r="C194" i="49"/>
  <c r="D193" i="49"/>
  <c r="C193" i="49"/>
  <c r="D192" i="49"/>
  <c r="C192" i="49"/>
  <c r="D191" i="49"/>
  <c r="C191" i="49"/>
  <c r="D190" i="49"/>
  <c r="C190" i="49"/>
  <c r="D189" i="49"/>
  <c r="C189" i="49"/>
  <c r="D188" i="49"/>
  <c r="C188" i="49"/>
  <c r="D187" i="49"/>
  <c r="C187" i="49"/>
  <c r="D186" i="49"/>
  <c r="C186" i="49"/>
  <c r="D185" i="49"/>
  <c r="C185" i="49"/>
  <c r="D184" i="49"/>
  <c r="C184" i="49"/>
  <c r="D183" i="49"/>
  <c r="C183" i="49"/>
  <c r="D182" i="49"/>
  <c r="C182" i="49"/>
  <c r="D181" i="49"/>
  <c r="C181" i="49"/>
  <c r="D180" i="49"/>
  <c r="C180" i="49"/>
  <c r="D179" i="49"/>
  <c r="C179" i="49"/>
  <c r="D178" i="49"/>
  <c r="C178" i="49"/>
  <c r="D177" i="49"/>
  <c r="C177" i="49"/>
  <c r="D176" i="49"/>
  <c r="C176" i="49"/>
  <c r="D175" i="49"/>
  <c r="C175" i="49"/>
  <c r="D174" i="49"/>
  <c r="C174" i="49"/>
  <c r="D173" i="49"/>
  <c r="C173" i="49"/>
  <c r="D172" i="49"/>
  <c r="C172" i="49"/>
  <c r="D171" i="49"/>
  <c r="C171" i="49"/>
  <c r="D170" i="49"/>
  <c r="C170" i="49"/>
  <c r="D169" i="49"/>
  <c r="C169" i="49"/>
  <c r="D168" i="49"/>
  <c r="C168" i="49"/>
  <c r="D167" i="49"/>
  <c r="C167" i="49"/>
  <c r="D166" i="49"/>
  <c r="C166" i="49"/>
  <c r="D165" i="49"/>
  <c r="C165" i="49"/>
  <c r="D164" i="49"/>
  <c r="C164" i="49"/>
  <c r="D160" i="49"/>
  <c r="C160" i="49"/>
  <c r="D159" i="49"/>
  <c r="C159" i="49"/>
  <c r="D158" i="49"/>
  <c r="C158" i="49"/>
  <c r="D157" i="49"/>
  <c r="C157" i="49"/>
  <c r="D156" i="49"/>
  <c r="C156" i="49"/>
  <c r="D155" i="49"/>
  <c r="C155" i="49"/>
  <c r="D153" i="49"/>
  <c r="C153" i="49"/>
  <c r="D152" i="49"/>
  <c r="C152" i="49"/>
  <c r="D151" i="49"/>
  <c r="C151" i="49"/>
  <c r="D150" i="49"/>
  <c r="C150" i="49"/>
  <c r="D149" i="49"/>
  <c r="C149" i="49"/>
  <c r="D148" i="49"/>
  <c r="C148" i="49"/>
  <c r="D147" i="49"/>
  <c r="C147" i="49"/>
  <c r="D146" i="49"/>
  <c r="C146" i="49"/>
  <c r="D145" i="49"/>
  <c r="C145" i="49"/>
  <c r="D143" i="49"/>
  <c r="C143" i="49"/>
  <c r="D142" i="49"/>
  <c r="C142" i="49"/>
  <c r="D141" i="49"/>
  <c r="C141" i="49"/>
  <c r="D140" i="49"/>
  <c r="C140" i="49"/>
  <c r="D138" i="49"/>
  <c r="C138" i="49"/>
  <c r="D137" i="49"/>
  <c r="C137" i="49"/>
  <c r="D136" i="49"/>
  <c r="C136" i="49"/>
  <c r="D135" i="49"/>
  <c r="C135" i="49"/>
  <c r="D133" i="49"/>
  <c r="C133" i="49"/>
  <c r="D132" i="49"/>
  <c r="C132" i="49"/>
  <c r="D131" i="49"/>
  <c r="C131" i="49"/>
  <c r="D130" i="49"/>
  <c r="C130" i="49"/>
  <c r="D129" i="49"/>
  <c r="C129" i="49"/>
  <c r="D127" i="49"/>
  <c r="C127" i="49"/>
  <c r="D126" i="49"/>
  <c r="C126" i="49"/>
  <c r="D125" i="49"/>
  <c r="C125" i="49"/>
  <c r="D124" i="49"/>
  <c r="C124" i="49"/>
  <c r="D123" i="49"/>
  <c r="C123" i="49"/>
  <c r="D118" i="49"/>
  <c r="C118" i="49"/>
  <c r="D117" i="49"/>
  <c r="C117" i="49"/>
  <c r="D116" i="49"/>
  <c r="C116" i="49"/>
  <c r="D115" i="49"/>
  <c r="C115" i="49"/>
  <c r="D114" i="49"/>
  <c r="C114" i="49"/>
  <c r="D110" i="49"/>
  <c r="C110" i="49"/>
  <c r="D109" i="49"/>
  <c r="C109" i="49"/>
  <c r="D108" i="49"/>
  <c r="C108" i="49"/>
  <c r="D107" i="49"/>
  <c r="C107" i="49"/>
  <c r="D106" i="49"/>
  <c r="C106" i="49"/>
  <c r="D105" i="49"/>
  <c r="C105" i="49"/>
  <c r="D101" i="49"/>
  <c r="C101" i="49"/>
  <c r="D100" i="49"/>
  <c r="C100" i="49"/>
  <c r="D99" i="49"/>
  <c r="C99" i="49"/>
  <c r="D98" i="49"/>
  <c r="C98" i="49"/>
  <c r="D97" i="49"/>
  <c r="C97" i="49"/>
  <c r="D96" i="49"/>
  <c r="C96" i="49"/>
  <c r="D92" i="49"/>
  <c r="C92" i="49"/>
  <c r="D91" i="49"/>
  <c r="C91" i="49"/>
  <c r="D90" i="49"/>
  <c r="C90" i="49"/>
  <c r="D89" i="49"/>
  <c r="C89" i="49"/>
  <c r="D88" i="49"/>
  <c r="C88" i="49"/>
  <c r="D87" i="49"/>
  <c r="C87" i="49"/>
  <c r="D86" i="49"/>
  <c r="C86" i="49"/>
  <c r="D85" i="49"/>
  <c r="C85" i="49"/>
  <c r="D84" i="49"/>
  <c r="C84" i="49"/>
  <c r="D83" i="49"/>
  <c r="C83" i="49"/>
  <c r="D82" i="49"/>
  <c r="C82" i="49"/>
  <c r="D78" i="49"/>
  <c r="C78" i="49"/>
  <c r="D77" i="49"/>
  <c r="C77" i="49"/>
  <c r="D76" i="49"/>
  <c r="C76" i="49"/>
  <c r="D75" i="49"/>
  <c r="C75" i="49"/>
  <c r="D74" i="49"/>
  <c r="C74" i="49"/>
  <c r="D73" i="49"/>
  <c r="C73" i="49"/>
  <c r="D72" i="49"/>
  <c r="C72" i="49"/>
  <c r="D71" i="49"/>
  <c r="C71" i="49"/>
  <c r="D70" i="49"/>
  <c r="C70" i="49"/>
  <c r="D69" i="49"/>
  <c r="C69" i="49"/>
  <c r="D68" i="49"/>
  <c r="C68" i="49"/>
  <c r="D67" i="49"/>
  <c r="C67" i="49"/>
  <c r="D66" i="49"/>
  <c r="C66" i="49"/>
  <c r="D65" i="49"/>
  <c r="C65" i="49"/>
  <c r="D64" i="49"/>
  <c r="C64" i="49"/>
  <c r="D60" i="49"/>
  <c r="C60" i="49"/>
  <c r="D59" i="49"/>
  <c r="C59" i="49"/>
  <c r="D58" i="49"/>
  <c r="C58" i="49"/>
  <c r="D57" i="49"/>
  <c r="C57" i="49"/>
  <c r="D56" i="49"/>
  <c r="C56" i="49"/>
  <c r="D55" i="49"/>
  <c r="C55" i="49"/>
  <c r="D54" i="49"/>
  <c r="C54" i="49"/>
  <c r="D53" i="49"/>
  <c r="C53" i="49"/>
  <c r="D52" i="49"/>
  <c r="C52" i="49"/>
  <c r="D51" i="49"/>
  <c r="C51" i="49"/>
  <c r="D50" i="49"/>
  <c r="C50" i="49"/>
  <c r="D49" i="49"/>
  <c r="C49" i="49"/>
  <c r="D48" i="49"/>
  <c r="C48" i="49"/>
  <c r="D47" i="49"/>
  <c r="C47" i="49"/>
  <c r="D46" i="49"/>
  <c r="C46" i="49"/>
  <c r="D45" i="49"/>
  <c r="C45" i="49"/>
  <c r="D44" i="49"/>
  <c r="C44" i="49"/>
  <c r="D43" i="49"/>
  <c r="C43" i="49"/>
  <c r="D42" i="49"/>
  <c r="C42" i="49"/>
  <c r="D41" i="49"/>
  <c r="C41" i="49"/>
  <c r="D40" i="49"/>
  <c r="C40" i="49"/>
  <c r="D39" i="49"/>
  <c r="C39" i="49"/>
  <c r="D38" i="49"/>
  <c r="C38" i="49"/>
  <c r="D37" i="49"/>
  <c r="C37" i="49"/>
  <c r="D36" i="49"/>
  <c r="C36" i="49"/>
  <c r="D35" i="49"/>
  <c r="C35" i="49"/>
  <c r="D34" i="49"/>
  <c r="C34" i="49"/>
  <c r="D33" i="49"/>
  <c r="C33" i="49"/>
  <c r="D32" i="49"/>
  <c r="C32" i="49"/>
  <c r="D31" i="49"/>
  <c r="C31" i="49"/>
  <c r="D30" i="49"/>
  <c r="C30" i="49"/>
  <c r="D29" i="49"/>
  <c r="C29" i="49"/>
  <c r="D28" i="49"/>
  <c r="C28" i="49"/>
  <c r="D27" i="49"/>
  <c r="C27" i="49"/>
  <c r="D26" i="49"/>
  <c r="C26" i="49"/>
  <c r="D25" i="49"/>
  <c r="C25" i="49"/>
  <c r="D20" i="49"/>
  <c r="C20" i="49"/>
  <c r="D19" i="49"/>
  <c r="C19" i="49"/>
  <c r="D18" i="49"/>
  <c r="C18" i="49"/>
  <c r="D17" i="49"/>
  <c r="C17" i="49"/>
  <c r="D16" i="49"/>
  <c r="C16" i="49"/>
  <c r="D15" i="49"/>
  <c r="C15" i="49"/>
  <c r="D14" i="49"/>
  <c r="C14" i="49"/>
  <c r="D13" i="49"/>
  <c r="C13" i="49"/>
  <c r="D12" i="49"/>
  <c r="C12" i="49"/>
  <c r="D11" i="49"/>
  <c r="C11" i="49"/>
  <c r="E70" i="49" l="1"/>
  <c r="C119" i="49"/>
  <c r="C79" i="49"/>
  <c r="D79" i="49"/>
  <c r="D119" i="49"/>
  <c r="C161" i="49"/>
  <c r="C111" i="49"/>
  <c r="C228" i="49"/>
  <c r="C197" i="49"/>
  <c r="C206" i="49"/>
  <c r="D161" i="49"/>
  <c r="C21" i="49"/>
  <c r="C93" i="49"/>
  <c r="C102" i="49"/>
  <c r="D197" i="49"/>
  <c r="D206" i="49"/>
  <c r="D111" i="49"/>
  <c r="D21" i="49"/>
  <c r="D93" i="49"/>
  <c r="D102" i="49"/>
  <c r="C61" i="49"/>
  <c r="D61" i="49"/>
  <c r="C208" i="49" l="1"/>
  <c r="C212" i="49" s="1"/>
  <c r="D208" i="49"/>
  <c r="D215" i="49" s="1"/>
  <c r="C215" i="49" l="1"/>
  <c r="G244" i="83"/>
  <c r="G243" i="83"/>
  <c r="G242" i="83"/>
  <c r="G241" i="83"/>
  <c r="C238" i="83"/>
  <c r="C237" i="83"/>
  <c r="C236" i="83"/>
  <c r="C235" i="83"/>
  <c r="C233" i="83"/>
  <c r="C232" i="83"/>
  <c r="C231" i="83"/>
  <c r="D228" i="83"/>
  <c r="C227" i="83"/>
  <c r="C226" i="83"/>
  <c r="C225" i="83"/>
  <c r="C224" i="83"/>
  <c r="C223" i="83"/>
  <c r="C222" i="83"/>
  <c r="C221" i="83"/>
  <c r="C220" i="83"/>
  <c r="C219" i="83"/>
  <c r="C211" i="83"/>
  <c r="D205" i="83"/>
  <c r="C205" i="83"/>
  <c r="D204" i="83"/>
  <c r="C204" i="83"/>
  <c r="D203" i="83"/>
  <c r="C203" i="83"/>
  <c r="D202" i="83"/>
  <c r="C202" i="83"/>
  <c r="D201" i="83"/>
  <c r="C201" i="83"/>
  <c r="D200" i="83"/>
  <c r="C200" i="83"/>
  <c r="D196" i="83"/>
  <c r="C196" i="83"/>
  <c r="D195" i="83"/>
  <c r="C195" i="83"/>
  <c r="D194" i="83"/>
  <c r="C194" i="83"/>
  <c r="D193" i="83"/>
  <c r="C193" i="83"/>
  <c r="D192" i="83"/>
  <c r="C192" i="83"/>
  <c r="D191" i="83"/>
  <c r="C191" i="83"/>
  <c r="D190" i="83"/>
  <c r="C190" i="83"/>
  <c r="D189" i="83"/>
  <c r="C189" i="83"/>
  <c r="D188" i="83"/>
  <c r="C188" i="83"/>
  <c r="D187" i="83"/>
  <c r="C187" i="83"/>
  <c r="D186" i="83"/>
  <c r="C186" i="83"/>
  <c r="D185" i="83"/>
  <c r="C185" i="83"/>
  <c r="D184" i="83"/>
  <c r="C184" i="83"/>
  <c r="D183" i="83"/>
  <c r="C183" i="83"/>
  <c r="D182" i="83"/>
  <c r="C182" i="83"/>
  <c r="D181" i="83"/>
  <c r="C181" i="83"/>
  <c r="D180" i="83"/>
  <c r="C180" i="83"/>
  <c r="D179" i="83"/>
  <c r="C179" i="83"/>
  <c r="D178" i="83"/>
  <c r="C178" i="83"/>
  <c r="D177" i="83"/>
  <c r="C177" i="83"/>
  <c r="D176" i="83"/>
  <c r="C176" i="83"/>
  <c r="D175" i="83"/>
  <c r="C175" i="83"/>
  <c r="D174" i="83"/>
  <c r="C174" i="83"/>
  <c r="D173" i="83"/>
  <c r="C173" i="83"/>
  <c r="D172" i="83"/>
  <c r="C172" i="83"/>
  <c r="D171" i="83"/>
  <c r="C171" i="83"/>
  <c r="D170" i="83"/>
  <c r="C170" i="83"/>
  <c r="D169" i="83"/>
  <c r="C169" i="83"/>
  <c r="D168" i="83"/>
  <c r="C168" i="83"/>
  <c r="D167" i="83"/>
  <c r="C167" i="83"/>
  <c r="D166" i="83"/>
  <c r="C166" i="83"/>
  <c r="D165" i="83"/>
  <c r="C165" i="83"/>
  <c r="D164" i="83"/>
  <c r="C164" i="83"/>
  <c r="D160" i="83"/>
  <c r="C160" i="83"/>
  <c r="D159" i="83"/>
  <c r="C159" i="83"/>
  <c r="D158" i="83"/>
  <c r="C158" i="83"/>
  <c r="D157" i="83"/>
  <c r="C157" i="83"/>
  <c r="D156" i="83"/>
  <c r="C156" i="83"/>
  <c r="D155" i="83"/>
  <c r="C155" i="83"/>
  <c r="D153" i="83"/>
  <c r="C153" i="83"/>
  <c r="D152" i="83"/>
  <c r="C152" i="83"/>
  <c r="D151" i="83"/>
  <c r="C151" i="83"/>
  <c r="D150" i="83"/>
  <c r="C150" i="83"/>
  <c r="D149" i="83"/>
  <c r="C149" i="83"/>
  <c r="D148" i="83"/>
  <c r="C148" i="83"/>
  <c r="D147" i="83"/>
  <c r="C147" i="83"/>
  <c r="D146" i="83"/>
  <c r="C146" i="83"/>
  <c r="D145" i="83"/>
  <c r="C145" i="83"/>
  <c r="D143" i="83"/>
  <c r="C143" i="83"/>
  <c r="D142" i="83"/>
  <c r="C142" i="83"/>
  <c r="D141" i="83"/>
  <c r="C141" i="83"/>
  <c r="D140" i="83"/>
  <c r="C140" i="83"/>
  <c r="D138" i="83"/>
  <c r="C138" i="83"/>
  <c r="D137" i="83"/>
  <c r="C137" i="83"/>
  <c r="D136" i="83"/>
  <c r="C136" i="83"/>
  <c r="D135" i="83"/>
  <c r="C135" i="83"/>
  <c r="D133" i="83"/>
  <c r="C133" i="83"/>
  <c r="D132" i="83"/>
  <c r="C132" i="83"/>
  <c r="D131" i="83"/>
  <c r="C131" i="83"/>
  <c r="D130" i="83"/>
  <c r="C130" i="83"/>
  <c r="D129" i="83"/>
  <c r="C129" i="83"/>
  <c r="D127" i="83"/>
  <c r="C127" i="83"/>
  <c r="D126" i="83"/>
  <c r="C126" i="83"/>
  <c r="D125" i="83"/>
  <c r="C125" i="83"/>
  <c r="D124" i="83"/>
  <c r="C124" i="83"/>
  <c r="D123" i="83"/>
  <c r="C123" i="83"/>
  <c r="D118" i="83"/>
  <c r="C118" i="83"/>
  <c r="D117" i="83"/>
  <c r="C117" i="83"/>
  <c r="D116" i="83"/>
  <c r="C116" i="83"/>
  <c r="D115" i="83"/>
  <c r="C115" i="83"/>
  <c r="D114" i="83"/>
  <c r="C114" i="83"/>
  <c r="D110" i="83"/>
  <c r="C110" i="83"/>
  <c r="D109" i="83"/>
  <c r="C109" i="83"/>
  <c r="D108" i="83"/>
  <c r="C108" i="83"/>
  <c r="D107" i="83"/>
  <c r="C107" i="83"/>
  <c r="D106" i="83"/>
  <c r="C106" i="83"/>
  <c r="D105" i="83"/>
  <c r="C105" i="83"/>
  <c r="D101" i="83"/>
  <c r="C101" i="83"/>
  <c r="D100" i="83"/>
  <c r="C100" i="83"/>
  <c r="D99" i="83"/>
  <c r="C99" i="83"/>
  <c r="D98" i="83"/>
  <c r="C98" i="83"/>
  <c r="D97" i="83"/>
  <c r="C97" i="83"/>
  <c r="D96" i="83"/>
  <c r="C96" i="83"/>
  <c r="D92" i="83"/>
  <c r="C92" i="83"/>
  <c r="D91" i="83"/>
  <c r="C91" i="83"/>
  <c r="D90" i="83"/>
  <c r="C90" i="83"/>
  <c r="D89" i="83"/>
  <c r="C89" i="83"/>
  <c r="D88" i="83"/>
  <c r="C88" i="83"/>
  <c r="D87" i="83"/>
  <c r="C87" i="83"/>
  <c r="D86" i="83"/>
  <c r="C86" i="83"/>
  <c r="D85" i="83"/>
  <c r="C85" i="83"/>
  <c r="D84" i="83"/>
  <c r="C84" i="83"/>
  <c r="D83" i="83"/>
  <c r="C83" i="83"/>
  <c r="D82" i="83"/>
  <c r="C82" i="83"/>
  <c r="D78" i="83"/>
  <c r="C78" i="83"/>
  <c r="D77" i="83"/>
  <c r="C77" i="83"/>
  <c r="D76" i="83"/>
  <c r="C76" i="83"/>
  <c r="D75" i="83"/>
  <c r="C75" i="83"/>
  <c r="D74" i="83"/>
  <c r="C74" i="83"/>
  <c r="D73" i="83"/>
  <c r="C73" i="83"/>
  <c r="D72" i="83"/>
  <c r="C72" i="83"/>
  <c r="D71" i="83"/>
  <c r="C71" i="83"/>
  <c r="D70" i="83"/>
  <c r="C70" i="83"/>
  <c r="D69" i="83"/>
  <c r="C69" i="83"/>
  <c r="D68" i="83"/>
  <c r="C68" i="83"/>
  <c r="D67" i="83"/>
  <c r="C67" i="83"/>
  <c r="D66" i="83"/>
  <c r="C66" i="83"/>
  <c r="D65" i="83"/>
  <c r="C65" i="83"/>
  <c r="D64" i="83"/>
  <c r="C64" i="83"/>
  <c r="D60" i="83"/>
  <c r="C60" i="83"/>
  <c r="D59" i="83"/>
  <c r="C59" i="83"/>
  <c r="D58" i="83"/>
  <c r="C58" i="83"/>
  <c r="D57" i="83"/>
  <c r="C57" i="83"/>
  <c r="D56" i="83"/>
  <c r="C56" i="83"/>
  <c r="D55" i="83"/>
  <c r="C55" i="83"/>
  <c r="D54" i="83"/>
  <c r="C54" i="83"/>
  <c r="D53" i="83"/>
  <c r="C53" i="83"/>
  <c r="D52" i="83"/>
  <c r="C52" i="83"/>
  <c r="D51" i="83"/>
  <c r="C51" i="83"/>
  <c r="D50" i="83"/>
  <c r="C50" i="83"/>
  <c r="D49" i="83"/>
  <c r="C49" i="83"/>
  <c r="D48" i="83"/>
  <c r="C48" i="83"/>
  <c r="D47" i="83"/>
  <c r="C47" i="83"/>
  <c r="D46" i="83"/>
  <c r="C46" i="83"/>
  <c r="D45" i="83"/>
  <c r="C45" i="83"/>
  <c r="D44" i="83"/>
  <c r="C44" i="83"/>
  <c r="D43" i="83"/>
  <c r="C43" i="83"/>
  <c r="D42" i="83"/>
  <c r="C42" i="83"/>
  <c r="D41" i="83"/>
  <c r="C41" i="83"/>
  <c r="D40" i="83"/>
  <c r="C40" i="83"/>
  <c r="D39" i="83"/>
  <c r="C39" i="83"/>
  <c r="D38" i="83"/>
  <c r="C38" i="83"/>
  <c r="D37" i="83"/>
  <c r="C37" i="83"/>
  <c r="D36" i="83"/>
  <c r="C36" i="83"/>
  <c r="D35" i="83"/>
  <c r="C35" i="83"/>
  <c r="D34" i="83"/>
  <c r="C34" i="83"/>
  <c r="D33" i="83"/>
  <c r="C33" i="83"/>
  <c r="D32" i="83"/>
  <c r="C32" i="83"/>
  <c r="D31" i="83"/>
  <c r="C31" i="83"/>
  <c r="D30" i="83"/>
  <c r="C30" i="83"/>
  <c r="D29" i="83"/>
  <c r="C29" i="83"/>
  <c r="D28" i="83"/>
  <c r="C28" i="83"/>
  <c r="D27" i="83"/>
  <c r="C27" i="83"/>
  <c r="D26" i="83"/>
  <c r="C26" i="83"/>
  <c r="D25" i="83"/>
  <c r="C25" i="83"/>
  <c r="D20" i="83"/>
  <c r="C20" i="83"/>
  <c r="D19" i="83"/>
  <c r="C19" i="83"/>
  <c r="D18" i="83"/>
  <c r="C18" i="83"/>
  <c r="D17" i="83"/>
  <c r="C17" i="83"/>
  <c r="D16" i="83"/>
  <c r="C16" i="83"/>
  <c r="D15" i="83"/>
  <c r="C15" i="83"/>
  <c r="D14" i="83"/>
  <c r="C14" i="83"/>
  <c r="D13" i="83"/>
  <c r="C13" i="83"/>
  <c r="D12" i="83"/>
  <c r="C12" i="83"/>
  <c r="D11" i="83"/>
  <c r="C11" i="83"/>
  <c r="D93" i="83" l="1"/>
  <c r="C102" i="83"/>
  <c r="C79" i="83"/>
  <c r="C93" i="83"/>
  <c r="D111" i="83"/>
  <c r="D79" i="83"/>
  <c r="D102" i="83"/>
  <c r="C119" i="83"/>
  <c r="C161" i="83"/>
  <c r="D119" i="83"/>
  <c r="D161" i="83"/>
  <c r="C111" i="83"/>
  <c r="C228" i="83"/>
  <c r="C21" i="83"/>
  <c r="C197" i="83"/>
  <c r="C206" i="83"/>
  <c r="D21" i="83"/>
  <c r="D197" i="83"/>
  <c r="D206" i="83"/>
  <c r="C61" i="83"/>
  <c r="D61" i="83"/>
  <c r="D208" i="83" l="1"/>
  <c r="D215" i="83" s="1"/>
  <c r="C208" i="83"/>
  <c r="C212" i="83" s="1"/>
  <c r="C215" i="83" l="1"/>
  <c r="K200" i="47"/>
  <c r="J200" i="47"/>
  <c r="K137" i="47"/>
  <c r="K136" i="47"/>
  <c r="K135" i="47"/>
  <c r="J137" i="47"/>
  <c r="J136" i="47"/>
  <c r="J135" i="47"/>
  <c r="K127" i="47"/>
  <c r="J127" i="47"/>
  <c r="K124" i="47"/>
  <c r="J124" i="47"/>
  <c r="K96" i="47"/>
  <c r="J96" i="47"/>
  <c r="K82" i="47"/>
  <c r="J82" i="47"/>
  <c r="K51" i="47" l="1"/>
  <c r="J51" i="47"/>
  <c r="K27" i="47"/>
  <c r="J27" i="47"/>
  <c r="K26" i="47"/>
  <c r="J26" i="47"/>
  <c r="K25" i="47"/>
  <c r="J25" i="47"/>
  <c r="C238" i="47" l="1"/>
  <c r="C237" i="47"/>
  <c r="C236" i="47"/>
  <c r="C235" i="47"/>
  <c r="C233" i="47"/>
  <c r="C232" i="47"/>
  <c r="C231" i="47"/>
  <c r="D228" i="47"/>
  <c r="C227" i="47"/>
  <c r="C226" i="47"/>
  <c r="C225" i="47"/>
  <c r="C224" i="47"/>
  <c r="C223" i="47"/>
  <c r="C222" i="47"/>
  <c r="C221" i="47"/>
  <c r="C220" i="47"/>
  <c r="C219" i="47"/>
  <c r="C211" i="47"/>
  <c r="D205" i="47"/>
  <c r="C205" i="47"/>
  <c r="D204" i="47"/>
  <c r="C204" i="47"/>
  <c r="D203" i="47"/>
  <c r="C203" i="47"/>
  <c r="D202" i="47"/>
  <c r="C202" i="47"/>
  <c r="D201" i="47"/>
  <c r="C201" i="47"/>
  <c r="D200" i="47"/>
  <c r="C200" i="47"/>
  <c r="D196" i="47"/>
  <c r="C196" i="47"/>
  <c r="D195" i="47"/>
  <c r="C195" i="47"/>
  <c r="D194" i="47"/>
  <c r="C194" i="47"/>
  <c r="D193" i="47"/>
  <c r="C193" i="47"/>
  <c r="D192" i="47"/>
  <c r="C192" i="47"/>
  <c r="D191" i="47"/>
  <c r="C191" i="47"/>
  <c r="D190" i="47"/>
  <c r="C190" i="47"/>
  <c r="D189" i="47"/>
  <c r="C189" i="47"/>
  <c r="D188" i="47"/>
  <c r="C188" i="47"/>
  <c r="D187" i="47"/>
  <c r="C187" i="47"/>
  <c r="D186" i="47"/>
  <c r="C186" i="47"/>
  <c r="D185" i="47"/>
  <c r="C185" i="47"/>
  <c r="D184" i="47"/>
  <c r="C184" i="47"/>
  <c r="D183" i="47"/>
  <c r="C183" i="47"/>
  <c r="D182" i="47"/>
  <c r="C182" i="47"/>
  <c r="D181" i="47"/>
  <c r="C181" i="47"/>
  <c r="D180" i="47"/>
  <c r="C180" i="47"/>
  <c r="D179" i="47"/>
  <c r="C179" i="47"/>
  <c r="D178" i="47"/>
  <c r="C178" i="47"/>
  <c r="D177" i="47"/>
  <c r="C177" i="47"/>
  <c r="D176" i="47"/>
  <c r="C176" i="47"/>
  <c r="D175" i="47"/>
  <c r="C175" i="47"/>
  <c r="D174" i="47"/>
  <c r="C174" i="47"/>
  <c r="D173" i="47"/>
  <c r="C173" i="47"/>
  <c r="D172" i="47"/>
  <c r="C172" i="47"/>
  <c r="D171" i="47"/>
  <c r="C171" i="47"/>
  <c r="D170" i="47"/>
  <c r="C170" i="47"/>
  <c r="D169" i="47"/>
  <c r="C169" i="47"/>
  <c r="D168" i="47"/>
  <c r="C168" i="47"/>
  <c r="D167" i="47"/>
  <c r="C167" i="47"/>
  <c r="D166" i="47"/>
  <c r="C166" i="47"/>
  <c r="D165" i="47"/>
  <c r="C165" i="47"/>
  <c r="D164" i="47"/>
  <c r="C164" i="47"/>
  <c r="D160" i="47"/>
  <c r="C160" i="47"/>
  <c r="D159" i="47"/>
  <c r="C159" i="47"/>
  <c r="D158" i="47"/>
  <c r="C158" i="47"/>
  <c r="D157" i="47"/>
  <c r="C157" i="47"/>
  <c r="D156" i="47"/>
  <c r="C156" i="47"/>
  <c r="D155" i="47"/>
  <c r="C155" i="47"/>
  <c r="D153" i="47"/>
  <c r="C153" i="47"/>
  <c r="D152" i="47"/>
  <c r="C152" i="47"/>
  <c r="D151" i="47"/>
  <c r="C151" i="47"/>
  <c r="D150" i="47"/>
  <c r="C150" i="47"/>
  <c r="D149" i="47"/>
  <c r="C149" i="47"/>
  <c r="D148" i="47"/>
  <c r="C148" i="47"/>
  <c r="D147" i="47"/>
  <c r="C147" i="47"/>
  <c r="D146" i="47"/>
  <c r="C146" i="47"/>
  <c r="D145" i="47"/>
  <c r="C145" i="47"/>
  <c r="D143" i="47"/>
  <c r="C143" i="47"/>
  <c r="D142" i="47"/>
  <c r="C142" i="47"/>
  <c r="D141" i="47"/>
  <c r="C141" i="47"/>
  <c r="D140" i="47"/>
  <c r="C140" i="47"/>
  <c r="D138" i="47"/>
  <c r="C138" i="47"/>
  <c r="D137" i="47"/>
  <c r="C137" i="47"/>
  <c r="D136" i="47"/>
  <c r="C136" i="47"/>
  <c r="D135" i="47"/>
  <c r="C135" i="47"/>
  <c r="D133" i="47"/>
  <c r="C133" i="47"/>
  <c r="D132" i="47"/>
  <c r="C132" i="47"/>
  <c r="D131" i="47"/>
  <c r="C131" i="47"/>
  <c r="D130" i="47"/>
  <c r="C130" i="47"/>
  <c r="D129" i="47"/>
  <c r="C129" i="47"/>
  <c r="D127" i="47"/>
  <c r="C127" i="47"/>
  <c r="D126" i="47"/>
  <c r="C126" i="47"/>
  <c r="D125" i="47"/>
  <c r="C125" i="47"/>
  <c r="D124" i="47"/>
  <c r="C124" i="47"/>
  <c r="D123" i="47"/>
  <c r="C123" i="47"/>
  <c r="D118" i="47"/>
  <c r="C118" i="47"/>
  <c r="D117" i="47"/>
  <c r="C117" i="47"/>
  <c r="D116" i="47"/>
  <c r="C116" i="47"/>
  <c r="D115" i="47"/>
  <c r="C115" i="47"/>
  <c r="D114" i="47"/>
  <c r="C114" i="47"/>
  <c r="D110" i="47"/>
  <c r="C110" i="47"/>
  <c r="D109" i="47"/>
  <c r="C109" i="47"/>
  <c r="D108" i="47"/>
  <c r="C108" i="47"/>
  <c r="D107" i="47"/>
  <c r="C107" i="47"/>
  <c r="D106" i="47"/>
  <c r="C106" i="47"/>
  <c r="D105" i="47"/>
  <c r="C105" i="47"/>
  <c r="D101" i="47"/>
  <c r="C101" i="47"/>
  <c r="D100" i="47"/>
  <c r="C100" i="47"/>
  <c r="D99" i="47"/>
  <c r="C99" i="47"/>
  <c r="D98" i="47"/>
  <c r="C98" i="47"/>
  <c r="D97" i="47"/>
  <c r="C97" i="47"/>
  <c r="D96" i="47"/>
  <c r="C96" i="47"/>
  <c r="D92" i="47"/>
  <c r="C92" i="47"/>
  <c r="D91" i="47"/>
  <c r="C91" i="47"/>
  <c r="D90" i="47"/>
  <c r="C90" i="47"/>
  <c r="D89" i="47"/>
  <c r="C89" i="47"/>
  <c r="D88" i="47"/>
  <c r="C88" i="47"/>
  <c r="D87" i="47"/>
  <c r="C87" i="47"/>
  <c r="D86" i="47"/>
  <c r="C86" i="47"/>
  <c r="D85" i="47"/>
  <c r="C85" i="47"/>
  <c r="D84" i="47"/>
  <c r="C84" i="47"/>
  <c r="D83" i="47"/>
  <c r="C83" i="47"/>
  <c r="D82" i="47"/>
  <c r="C82" i="47"/>
  <c r="D78" i="47"/>
  <c r="C78" i="47"/>
  <c r="D77" i="47"/>
  <c r="C77" i="47"/>
  <c r="D76" i="47"/>
  <c r="C76" i="47"/>
  <c r="D75" i="47"/>
  <c r="C75" i="47"/>
  <c r="D74" i="47"/>
  <c r="C74" i="47"/>
  <c r="D73" i="47"/>
  <c r="C73" i="47"/>
  <c r="D72" i="47"/>
  <c r="C72" i="47"/>
  <c r="D71" i="47"/>
  <c r="C71" i="47"/>
  <c r="D70" i="47"/>
  <c r="C70" i="47"/>
  <c r="D69" i="47"/>
  <c r="C69" i="47"/>
  <c r="D68" i="47"/>
  <c r="C68" i="47"/>
  <c r="D67" i="47"/>
  <c r="C67" i="47"/>
  <c r="D66" i="47"/>
  <c r="C66" i="47"/>
  <c r="D65" i="47"/>
  <c r="C65" i="47"/>
  <c r="D64" i="47"/>
  <c r="C64" i="47"/>
  <c r="D60" i="47"/>
  <c r="C60" i="47"/>
  <c r="D59" i="47"/>
  <c r="C59" i="47"/>
  <c r="D58" i="47"/>
  <c r="C58" i="47"/>
  <c r="D57" i="47"/>
  <c r="C57" i="47"/>
  <c r="D56" i="47"/>
  <c r="C56" i="47"/>
  <c r="D55" i="47"/>
  <c r="C55" i="47"/>
  <c r="D54" i="47"/>
  <c r="C54" i="47"/>
  <c r="D53" i="47"/>
  <c r="C53" i="47"/>
  <c r="D52" i="47"/>
  <c r="C52" i="47"/>
  <c r="D51" i="47"/>
  <c r="C51" i="47"/>
  <c r="D50" i="47"/>
  <c r="C50" i="47"/>
  <c r="D49" i="47"/>
  <c r="C49" i="47"/>
  <c r="D48" i="47"/>
  <c r="C48" i="47"/>
  <c r="D47" i="47"/>
  <c r="C47" i="47"/>
  <c r="D46" i="47"/>
  <c r="C46" i="47"/>
  <c r="D45" i="47"/>
  <c r="C45" i="47"/>
  <c r="D44" i="47"/>
  <c r="C44" i="47"/>
  <c r="D43" i="47"/>
  <c r="C43" i="47"/>
  <c r="D42" i="47"/>
  <c r="C42" i="47"/>
  <c r="D41" i="47"/>
  <c r="C41" i="47"/>
  <c r="D40" i="47"/>
  <c r="C40" i="47"/>
  <c r="D39" i="47"/>
  <c r="C39" i="47"/>
  <c r="D38" i="47"/>
  <c r="C38" i="47"/>
  <c r="D37" i="47"/>
  <c r="C37" i="47"/>
  <c r="D36" i="47"/>
  <c r="C36" i="47"/>
  <c r="D35" i="47"/>
  <c r="C35" i="47"/>
  <c r="D34" i="47"/>
  <c r="C34" i="47"/>
  <c r="D33" i="47"/>
  <c r="C33" i="47"/>
  <c r="D32" i="47"/>
  <c r="C32" i="47"/>
  <c r="D31" i="47"/>
  <c r="C31" i="47"/>
  <c r="D30" i="47"/>
  <c r="C30" i="47"/>
  <c r="D29" i="47"/>
  <c r="C29" i="47"/>
  <c r="D28" i="47"/>
  <c r="C28" i="47"/>
  <c r="D27" i="47"/>
  <c r="C27" i="47"/>
  <c r="D26" i="47"/>
  <c r="C26" i="47"/>
  <c r="D25" i="47"/>
  <c r="C25" i="47"/>
  <c r="D20" i="47"/>
  <c r="C20" i="47"/>
  <c r="D19" i="47"/>
  <c r="C19" i="47"/>
  <c r="D18" i="47"/>
  <c r="C18" i="47"/>
  <c r="D17" i="47"/>
  <c r="C17" i="47"/>
  <c r="D16" i="47"/>
  <c r="C16" i="47"/>
  <c r="D15" i="47"/>
  <c r="C15" i="47"/>
  <c r="D14" i="47"/>
  <c r="C14" i="47"/>
  <c r="D13" i="47"/>
  <c r="C13" i="47"/>
  <c r="D12" i="47"/>
  <c r="C12" i="47"/>
  <c r="D11" i="47"/>
  <c r="C11" i="47"/>
  <c r="D111" i="47" l="1"/>
  <c r="D93" i="47"/>
  <c r="C79" i="47"/>
  <c r="D119" i="47"/>
  <c r="C21" i="47"/>
  <c r="C93" i="47"/>
  <c r="C197" i="47"/>
  <c r="C102" i="47"/>
  <c r="D206" i="47"/>
  <c r="D79" i="47"/>
  <c r="C61" i="47"/>
  <c r="C119" i="47"/>
  <c r="C206" i="47"/>
  <c r="D102" i="47"/>
  <c r="D61" i="47"/>
  <c r="C161" i="47"/>
  <c r="D21" i="47"/>
  <c r="D197" i="47"/>
  <c r="C111" i="47"/>
  <c r="D161" i="47"/>
  <c r="C228" i="47"/>
  <c r="D208" i="47" l="1"/>
  <c r="D215" i="47" s="1"/>
  <c r="C208" i="47"/>
  <c r="C212" i="47" s="1"/>
  <c r="C215" i="47" l="1"/>
  <c r="G244" i="46"/>
  <c r="G243" i="46"/>
  <c r="G242" i="46"/>
  <c r="G241" i="46"/>
  <c r="C238" i="46"/>
  <c r="C237" i="46"/>
  <c r="C236" i="46"/>
  <c r="C235" i="46"/>
  <c r="C233" i="46"/>
  <c r="C232" i="46"/>
  <c r="C231" i="46"/>
  <c r="D228" i="46"/>
  <c r="C227" i="46"/>
  <c r="C226" i="46"/>
  <c r="C225" i="46"/>
  <c r="C224" i="46"/>
  <c r="C223" i="46"/>
  <c r="C222" i="46"/>
  <c r="C221" i="46"/>
  <c r="C220" i="46"/>
  <c r="C219" i="46"/>
  <c r="C211" i="46"/>
  <c r="D205" i="46"/>
  <c r="C205" i="46"/>
  <c r="D204" i="46"/>
  <c r="C204" i="46"/>
  <c r="D203" i="46"/>
  <c r="C203" i="46"/>
  <c r="D202" i="46"/>
  <c r="C202" i="46"/>
  <c r="D201" i="46"/>
  <c r="C201" i="46"/>
  <c r="D200" i="46"/>
  <c r="C200" i="46"/>
  <c r="D196" i="46"/>
  <c r="C196" i="46"/>
  <c r="D195" i="46"/>
  <c r="C195" i="46"/>
  <c r="D194" i="46"/>
  <c r="C194" i="46"/>
  <c r="D193" i="46"/>
  <c r="C193" i="46"/>
  <c r="D192" i="46"/>
  <c r="C192" i="46"/>
  <c r="D191" i="46"/>
  <c r="C191" i="46"/>
  <c r="D190" i="46"/>
  <c r="C190" i="46"/>
  <c r="D189" i="46"/>
  <c r="C189" i="46"/>
  <c r="D188" i="46"/>
  <c r="C188" i="46"/>
  <c r="D187" i="46"/>
  <c r="C187" i="46"/>
  <c r="D186" i="46"/>
  <c r="C186" i="46"/>
  <c r="D185" i="46"/>
  <c r="C185" i="46"/>
  <c r="D184" i="46"/>
  <c r="C184" i="46"/>
  <c r="D183" i="46"/>
  <c r="C183" i="46"/>
  <c r="D182" i="46"/>
  <c r="C182" i="46"/>
  <c r="D181" i="46"/>
  <c r="C181" i="46"/>
  <c r="D180" i="46"/>
  <c r="C180" i="46"/>
  <c r="D179" i="46"/>
  <c r="C179" i="46"/>
  <c r="D178" i="46"/>
  <c r="C178" i="46"/>
  <c r="D177" i="46"/>
  <c r="C177" i="46"/>
  <c r="D176" i="46"/>
  <c r="C176" i="46"/>
  <c r="D175" i="46"/>
  <c r="C175" i="46"/>
  <c r="D174" i="46"/>
  <c r="C174" i="46"/>
  <c r="D173" i="46"/>
  <c r="C173" i="46"/>
  <c r="D172" i="46"/>
  <c r="C172" i="46"/>
  <c r="D171" i="46"/>
  <c r="C171" i="46"/>
  <c r="D170" i="46"/>
  <c r="C170" i="46"/>
  <c r="D169" i="46"/>
  <c r="C169" i="46"/>
  <c r="D168" i="46"/>
  <c r="C168" i="46"/>
  <c r="D167" i="46"/>
  <c r="C167" i="46"/>
  <c r="D166" i="46"/>
  <c r="C166" i="46"/>
  <c r="D165" i="46"/>
  <c r="C165" i="46"/>
  <c r="D164" i="46"/>
  <c r="C164" i="46"/>
  <c r="D160" i="46"/>
  <c r="C160" i="46"/>
  <c r="D159" i="46"/>
  <c r="C159" i="46"/>
  <c r="D158" i="46"/>
  <c r="C158" i="46"/>
  <c r="D157" i="46"/>
  <c r="C157" i="46"/>
  <c r="D156" i="46"/>
  <c r="C156" i="46"/>
  <c r="D155" i="46"/>
  <c r="C155" i="46"/>
  <c r="D153" i="46"/>
  <c r="C153" i="46"/>
  <c r="D152" i="46"/>
  <c r="C152" i="46"/>
  <c r="D151" i="46"/>
  <c r="C151" i="46"/>
  <c r="D150" i="46"/>
  <c r="C150" i="46"/>
  <c r="D149" i="46"/>
  <c r="C149" i="46"/>
  <c r="D148" i="46"/>
  <c r="C148" i="46"/>
  <c r="D147" i="46"/>
  <c r="C147" i="46"/>
  <c r="D146" i="46"/>
  <c r="C146" i="46"/>
  <c r="D145" i="46"/>
  <c r="C145" i="46"/>
  <c r="D143" i="46"/>
  <c r="C143" i="46"/>
  <c r="D142" i="46"/>
  <c r="C142" i="46"/>
  <c r="D141" i="46"/>
  <c r="C141" i="46"/>
  <c r="D140" i="46"/>
  <c r="C140" i="46"/>
  <c r="D138" i="46"/>
  <c r="C138" i="46"/>
  <c r="D137" i="46"/>
  <c r="C137" i="46"/>
  <c r="D136" i="46"/>
  <c r="C136" i="46"/>
  <c r="D135" i="46"/>
  <c r="C135" i="46"/>
  <c r="D133" i="46"/>
  <c r="C133" i="46"/>
  <c r="D132" i="46"/>
  <c r="C132" i="46"/>
  <c r="D131" i="46"/>
  <c r="C131" i="46"/>
  <c r="D130" i="46"/>
  <c r="C130" i="46"/>
  <c r="D129" i="46"/>
  <c r="C129" i="46"/>
  <c r="D127" i="46"/>
  <c r="C127" i="46"/>
  <c r="D126" i="46"/>
  <c r="C126" i="46"/>
  <c r="D125" i="46"/>
  <c r="C125" i="46"/>
  <c r="D124" i="46"/>
  <c r="C124" i="46"/>
  <c r="D123" i="46"/>
  <c r="C123" i="46"/>
  <c r="D118" i="46"/>
  <c r="C118" i="46"/>
  <c r="D117" i="46"/>
  <c r="C117" i="46"/>
  <c r="D116" i="46"/>
  <c r="C116" i="46"/>
  <c r="D115" i="46"/>
  <c r="C115" i="46"/>
  <c r="D114" i="46"/>
  <c r="C114" i="46"/>
  <c r="D110" i="46"/>
  <c r="C110" i="46"/>
  <c r="D109" i="46"/>
  <c r="C109" i="46"/>
  <c r="D108" i="46"/>
  <c r="C108" i="46"/>
  <c r="D107" i="46"/>
  <c r="C107" i="46"/>
  <c r="D106" i="46"/>
  <c r="C106" i="46"/>
  <c r="D105" i="46"/>
  <c r="C105" i="46"/>
  <c r="D101" i="46"/>
  <c r="C101" i="46"/>
  <c r="D100" i="46"/>
  <c r="C100" i="46"/>
  <c r="D99" i="46"/>
  <c r="C99" i="46"/>
  <c r="D98" i="46"/>
  <c r="C98" i="46"/>
  <c r="D97" i="46"/>
  <c r="C97" i="46"/>
  <c r="D96" i="46"/>
  <c r="C96" i="46"/>
  <c r="D92" i="46"/>
  <c r="C92" i="46"/>
  <c r="D91" i="46"/>
  <c r="C91" i="46"/>
  <c r="D90" i="46"/>
  <c r="C90" i="46"/>
  <c r="D89" i="46"/>
  <c r="C89" i="46"/>
  <c r="D88" i="46"/>
  <c r="C88" i="46"/>
  <c r="D87" i="46"/>
  <c r="C87" i="46"/>
  <c r="D86" i="46"/>
  <c r="C86" i="46"/>
  <c r="D85" i="46"/>
  <c r="C85" i="46"/>
  <c r="D84" i="46"/>
  <c r="C84" i="46"/>
  <c r="D83" i="46"/>
  <c r="C83" i="46"/>
  <c r="D82" i="46"/>
  <c r="C82" i="46"/>
  <c r="D78" i="46"/>
  <c r="C78" i="46"/>
  <c r="D77" i="46"/>
  <c r="C77" i="46"/>
  <c r="D76" i="46"/>
  <c r="C76" i="46"/>
  <c r="D75" i="46"/>
  <c r="C75" i="46"/>
  <c r="D74" i="46"/>
  <c r="C74" i="46"/>
  <c r="D73" i="46"/>
  <c r="C73" i="46"/>
  <c r="D72" i="46"/>
  <c r="C72" i="46"/>
  <c r="D71" i="46"/>
  <c r="C71" i="46"/>
  <c r="D70" i="46"/>
  <c r="C70" i="46"/>
  <c r="D69" i="46"/>
  <c r="C69" i="46"/>
  <c r="D68" i="46"/>
  <c r="C68" i="46"/>
  <c r="D67" i="46"/>
  <c r="C67" i="46"/>
  <c r="D66" i="46"/>
  <c r="C66" i="46"/>
  <c r="D65" i="46"/>
  <c r="C65" i="46"/>
  <c r="D64" i="46"/>
  <c r="C64" i="46"/>
  <c r="D60" i="46"/>
  <c r="C60" i="46"/>
  <c r="D59" i="46"/>
  <c r="C59" i="46"/>
  <c r="D58" i="46"/>
  <c r="C58" i="46"/>
  <c r="D57" i="46"/>
  <c r="C57" i="46"/>
  <c r="D56" i="46"/>
  <c r="C56" i="46"/>
  <c r="D55" i="46"/>
  <c r="C55" i="46"/>
  <c r="D54" i="46"/>
  <c r="C54" i="46"/>
  <c r="D53" i="46"/>
  <c r="C53" i="46"/>
  <c r="D52" i="46"/>
  <c r="C52" i="46"/>
  <c r="D51" i="46"/>
  <c r="C51" i="46"/>
  <c r="D50" i="46"/>
  <c r="C50" i="46"/>
  <c r="D49" i="46"/>
  <c r="C49" i="46"/>
  <c r="D48" i="46"/>
  <c r="C48" i="46"/>
  <c r="D47" i="46"/>
  <c r="C47" i="46"/>
  <c r="D46" i="46"/>
  <c r="C46" i="46"/>
  <c r="D45" i="46"/>
  <c r="C45" i="46"/>
  <c r="D44" i="46"/>
  <c r="C44" i="46"/>
  <c r="D43" i="46"/>
  <c r="C43" i="46"/>
  <c r="D42" i="46"/>
  <c r="C42" i="46"/>
  <c r="D41" i="46"/>
  <c r="C41" i="46"/>
  <c r="D40" i="46"/>
  <c r="C40" i="46"/>
  <c r="D39" i="46"/>
  <c r="C39" i="46"/>
  <c r="D38" i="46"/>
  <c r="C38" i="46"/>
  <c r="D37" i="46"/>
  <c r="C37" i="46"/>
  <c r="D36" i="46"/>
  <c r="C36" i="46"/>
  <c r="D35" i="46"/>
  <c r="C35" i="46"/>
  <c r="D34" i="46"/>
  <c r="C34" i="46"/>
  <c r="D33" i="46"/>
  <c r="C33" i="46"/>
  <c r="D32" i="46"/>
  <c r="C32" i="46"/>
  <c r="D31" i="46"/>
  <c r="C31" i="46"/>
  <c r="D30" i="46"/>
  <c r="C30" i="46"/>
  <c r="D29" i="46"/>
  <c r="C29" i="46"/>
  <c r="D28" i="46"/>
  <c r="C28" i="46"/>
  <c r="D27" i="46"/>
  <c r="C27" i="46"/>
  <c r="D26" i="46"/>
  <c r="C26" i="46"/>
  <c r="D25" i="46"/>
  <c r="C25" i="46"/>
  <c r="D20" i="46"/>
  <c r="C20" i="46"/>
  <c r="D19" i="46"/>
  <c r="C19" i="46"/>
  <c r="D18" i="46"/>
  <c r="C18" i="46"/>
  <c r="D17" i="46"/>
  <c r="C17" i="46"/>
  <c r="D16" i="46"/>
  <c r="C16" i="46"/>
  <c r="D15" i="46"/>
  <c r="C15" i="46"/>
  <c r="D14" i="46"/>
  <c r="C14" i="46"/>
  <c r="D13" i="46"/>
  <c r="C13" i="46"/>
  <c r="D12" i="46"/>
  <c r="C12" i="46"/>
  <c r="D11" i="46"/>
  <c r="C11" i="46"/>
  <c r="D119" i="46" l="1"/>
  <c r="C119" i="46"/>
  <c r="D79" i="46"/>
  <c r="D93" i="46"/>
  <c r="C161" i="46"/>
  <c r="D161" i="46"/>
  <c r="C21" i="46"/>
  <c r="C93" i="46"/>
  <c r="C197" i="46"/>
  <c r="C206" i="46"/>
  <c r="D61" i="46"/>
  <c r="C228" i="46"/>
  <c r="D111" i="46"/>
  <c r="D21" i="46"/>
  <c r="C102" i="46"/>
  <c r="D197" i="46"/>
  <c r="D206" i="46"/>
  <c r="C111" i="46"/>
  <c r="C79" i="46"/>
  <c r="D102" i="46"/>
  <c r="C61" i="46"/>
  <c r="D208" i="46" l="1"/>
  <c r="D215" i="46" s="1"/>
  <c r="C208" i="46"/>
  <c r="C212" i="46" s="1"/>
  <c r="C215" i="46" l="1"/>
  <c r="C238" i="120"/>
  <c r="C237" i="120"/>
  <c r="C236" i="120"/>
  <c r="C235" i="120"/>
  <c r="C233" i="120"/>
  <c r="C231" i="120"/>
  <c r="D228" i="120"/>
  <c r="C227" i="120"/>
  <c r="C226" i="120"/>
  <c r="C225" i="120"/>
  <c r="C224" i="120"/>
  <c r="C223" i="120"/>
  <c r="C222" i="120"/>
  <c r="C221" i="120"/>
  <c r="C220" i="120"/>
  <c r="C219" i="120"/>
  <c r="C211" i="120"/>
  <c r="D205" i="120"/>
  <c r="C205" i="120"/>
  <c r="D204" i="120"/>
  <c r="C204" i="120"/>
  <c r="D203" i="120"/>
  <c r="C203" i="120"/>
  <c r="D202" i="120"/>
  <c r="C202" i="120"/>
  <c r="D201" i="120"/>
  <c r="C201" i="120"/>
  <c r="D200" i="120"/>
  <c r="C200" i="120"/>
  <c r="D196" i="120"/>
  <c r="C196" i="120"/>
  <c r="D195" i="120"/>
  <c r="C195" i="120"/>
  <c r="D194" i="120"/>
  <c r="C194" i="120"/>
  <c r="D193" i="120"/>
  <c r="C193" i="120"/>
  <c r="D192" i="120"/>
  <c r="C192" i="120"/>
  <c r="D191" i="120"/>
  <c r="C191" i="120"/>
  <c r="D190" i="120"/>
  <c r="C190" i="120"/>
  <c r="D189" i="120"/>
  <c r="C189" i="120"/>
  <c r="D188" i="120"/>
  <c r="C188" i="120"/>
  <c r="D187" i="120"/>
  <c r="C187" i="120"/>
  <c r="D186" i="120"/>
  <c r="C186" i="120"/>
  <c r="D185" i="120"/>
  <c r="C185" i="120"/>
  <c r="D184" i="120"/>
  <c r="C184" i="120"/>
  <c r="D183" i="120"/>
  <c r="C183" i="120"/>
  <c r="D182" i="120"/>
  <c r="C182" i="120"/>
  <c r="D181" i="120"/>
  <c r="C181" i="120"/>
  <c r="D180" i="120"/>
  <c r="C180" i="120"/>
  <c r="D179" i="120"/>
  <c r="C179" i="120"/>
  <c r="D178" i="120"/>
  <c r="C178" i="120"/>
  <c r="D177" i="120"/>
  <c r="C177" i="120"/>
  <c r="D176" i="120"/>
  <c r="C176" i="120"/>
  <c r="D175" i="120"/>
  <c r="C175" i="120"/>
  <c r="D174" i="120"/>
  <c r="C174" i="120"/>
  <c r="D173" i="120"/>
  <c r="C173" i="120"/>
  <c r="D172" i="120"/>
  <c r="C172" i="120"/>
  <c r="D171" i="120"/>
  <c r="C171" i="120"/>
  <c r="D170" i="120"/>
  <c r="C170" i="120"/>
  <c r="D169" i="120"/>
  <c r="C169" i="120"/>
  <c r="D168" i="120"/>
  <c r="C168" i="120"/>
  <c r="D167" i="120"/>
  <c r="C167" i="120"/>
  <c r="D166" i="120"/>
  <c r="C166" i="120"/>
  <c r="D165" i="120"/>
  <c r="C165" i="120"/>
  <c r="D164" i="120"/>
  <c r="C164" i="120"/>
  <c r="D160" i="120"/>
  <c r="C160" i="120"/>
  <c r="D159" i="120"/>
  <c r="C159" i="120"/>
  <c r="D158" i="120"/>
  <c r="C158" i="120"/>
  <c r="D157" i="120"/>
  <c r="C157" i="120"/>
  <c r="D156" i="120"/>
  <c r="C156" i="120"/>
  <c r="D155" i="120"/>
  <c r="C155" i="120"/>
  <c r="D153" i="120"/>
  <c r="C153" i="120"/>
  <c r="D152" i="120"/>
  <c r="C152" i="120"/>
  <c r="D151" i="120"/>
  <c r="C151" i="120"/>
  <c r="D150" i="120"/>
  <c r="C150" i="120"/>
  <c r="D149" i="120"/>
  <c r="C149" i="120"/>
  <c r="D148" i="120"/>
  <c r="C148" i="120"/>
  <c r="D147" i="120"/>
  <c r="C147" i="120"/>
  <c r="D146" i="120"/>
  <c r="C146" i="120"/>
  <c r="D145" i="120"/>
  <c r="C145" i="120"/>
  <c r="D143" i="120"/>
  <c r="C143" i="120"/>
  <c r="D142" i="120"/>
  <c r="C142" i="120"/>
  <c r="D141" i="120"/>
  <c r="C141" i="120"/>
  <c r="D140" i="120"/>
  <c r="C140" i="120"/>
  <c r="D138" i="120"/>
  <c r="C138" i="120"/>
  <c r="D137" i="120"/>
  <c r="C137" i="120"/>
  <c r="D136" i="120"/>
  <c r="C136" i="120"/>
  <c r="D135" i="120"/>
  <c r="C135" i="120"/>
  <c r="D133" i="120"/>
  <c r="C133" i="120"/>
  <c r="D132" i="120"/>
  <c r="C132" i="120"/>
  <c r="D131" i="120"/>
  <c r="C131" i="120"/>
  <c r="D130" i="120"/>
  <c r="C130" i="120"/>
  <c r="D129" i="120"/>
  <c r="C129" i="120"/>
  <c r="D127" i="120"/>
  <c r="C127" i="120"/>
  <c r="D126" i="120"/>
  <c r="C126" i="120"/>
  <c r="D125" i="120"/>
  <c r="C125" i="120"/>
  <c r="D124" i="120"/>
  <c r="C124" i="120"/>
  <c r="D123" i="120"/>
  <c r="C123" i="120"/>
  <c r="D118" i="120"/>
  <c r="C118" i="120"/>
  <c r="D117" i="120"/>
  <c r="C117" i="120"/>
  <c r="D116" i="120"/>
  <c r="C116" i="120"/>
  <c r="D115" i="120"/>
  <c r="C115" i="120"/>
  <c r="D114" i="120"/>
  <c r="C114" i="120"/>
  <c r="D110" i="120"/>
  <c r="C110" i="120"/>
  <c r="D109" i="120"/>
  <c r="C109" i="120"/>
  <c r="D108" i="120"/>
  <c r="C108" i="120"/>
  <c r="D107" i="120"/>
  <c r="C107" i="120"/>
  <c r="D106" i="120"/>
  <c r="C106" i="120"/>
  <c r="D105" i="120"/>
  <c r="C105" i="120"/>
  <c r="D101" i="120"/>
  <c r="C101" i="120"/>
  <c r="D100" i="120"/>
  <c r="C100" i="120"/>
  <c r="D99" i="120"/>
  <c r="C99" i="120"/>
  <c r="D98" i="120"/>
  <c r="C98" i="120"/>
  <c r="D97" i="120"/>
  <c r="C97" i="120"/>
  <c r="D96" i="120"/>
  <c r="C96" i="120"/>
  <c r="D92" i="120"/>
  <c r="C92" i="120"/>
  <c r="D91" i="120"/>
  <c r="C91" i="120"/>
  <c r="D90" i="120"/>
  <c r="C90" i="120"/>
  <c r="D89" i="120"/>
  <c r="C89" i="120"/>
  <c r="D88" i="120"/>
  <c r="C88" i="120"/>
  <c r="D87" i="120"/>
  <c r="C87" i="120"/>
  <c r="D86" i="120"/>
  <c r="C86" i="120"/>
  <c r="D85" i="120"/>
  <c r="C85" i="120"/>
  <c r="D84" i="120"/>
  <c r="C84" i="120"/>
  <c r="D83" i="120"/>
  <c r="C83" i="120"/>
  <c r="D82" i="120"/>
  <c r="C82" i="120"/>
  <c r="D78" i="120"/>
  <c r="C78" i="120"/>
  <c r="D77" i="120"/>
  <c r="C77" i="120"/>
  <c r="D76" i="120"/>
  <c r="C76" i="120"/>
  <c r="D75" i="120"/>
  <c r="C75" i="120"/>
  <c r="D74" i="120"/>
  <c r="C74" i="120"/>
  <c r="D73" i="120"/>
  <c r="C73" i="120"/>
  <c r="D72" i="120"/>
  <c r="C72" i="120"/>
  <c r="D71" i="120"/>
  <c r="C71" i="120"/>
  <c r="D70" i="120"/>
  <c r="C70" i="120"/>
  <c r="D69" i="120"/>
  <c r="C69" i="120"/>
  <c r="D68" i="120"/>
  <c r="C68" i="120"/>
  <c r="D67" i="120"/>
  <c r="C67" i="120"/>
  <c r="D66" i="120"/>
  <c r="C66" i="120"/>
  <c r="D65" i="120"/>
  <c r="C65" i="120"/>
  <c r="D64" i="120"/>
  <c r="C64" i="120"/>
  <c r="D60" i="120"/>
  <c r="C60" i="120"/>
  <c r="D59" i="120"/>
  <c r="C59" i="120"/>
  <c r="D58" i="120"/>
  <c r="C58" i="120"/>
  <c r="D57" i="120"/>
  <c r="C57" i="120"/>
  <c r="D56" i="120"/>
  <c r="C56" i="120"/>
  <c r="D55" i="120"/>
  <c r="C55" i="120"/>
  <c r="D54" i="120"/>
  <c r="C54" i="120"/>
  <c r="D53" i="120"/>
  <c r="C53" i="120"/>
  <c r="D52" i="120"/>
  <c r="C52" i="120"/>
  <c r="D51" i="120"/>
  <c r="C51" i="120"/>
  <c r="D50" i="120"/>
  <c r="C50" i="120"/>
  <c r="D49" i="120"/>
  <c r="C49" i="120"/>
  <c r="D48" i="120"/>
  <c r="C48" i="120"/>
  <c r="D47" i="120"/>
  <c r="C47" i="120"/>
  <c r="D46" i="120"/>
  <c r="C46" i="120"/>
  <c r="D45" i="120"/>
  <c r="C45" i="120"/>
  <c r="D44" i="120"/>
  <c r="C44" i="120"/>
  <c r="D43" i="120"/>
  <c r="C43" i="120"/>
  <c r="D42" i="120"/>
  <c r="C42" i="120"/>
  <c r="D41" i="120"/>
  <c r="C41" i="120"/>
  <c r="D40" i="120"/>
  <c r="C40" i="120"/>
  <c r="D39" i="120"/>
  <c r="C39" i="120"/>
  <c r="D38" i="120"/>
  <c r="C38" i="120"/>
  <c r="D37" i="120"/>
  <c r="C37" i="120"/>
  <c r="D36" i="120"/>
  <c r="C36" i="120"/>
  <c r="D35" i="120"/>
  <c r="C35" i="120"/>
  <c r="D34" i="120"/>
  <c r="C34" i="120"/>
  <c r="D33" i="120"/>
  <c r="C33" i="120"/>
  <c r="D32" i="120"/>
  <c r="C32" i="120"/>
  <c r="D31" i="120"/>
  <c r="C31" i="120"/>
  <c r="D30" i="120"/>
  <c r="C30" i="120"/>
  <c r="D29" i="120"/>
  <c r="C29" i="120"/>
  <c r="D28" i="120"/>
  <c r="C28" i="120"/>
  <c r="D27" i="120"/>
  <c r="C27" i="120"/>
  <c r="D26" i="120"/>
  <c r="C26" i="120"/>
  <c r="D25" i="120"/>
  <c r="C25" i="120"/>
  <c r="D20" i="120"/>
  <c r="C20" i="120"/>
  <c r="D19" i="120"/>
  <c r="C19" i="120"/>
  <c r="D18" i="120"/>
  <c r="C18" i="120"/>
  <c r="D17" i="120"/>
  <c r="C17" i="120"/>
  <c r="D16" i="120"/>
  <c r="C16" i="120"/>
  <c r="D15" i="120"/>
  <c r="C15" i="120"/>
  <c r="D14" i="120"/>
  <c r="C14" i="120"/>
  <c r="D13" i="120"/>
  <c r="C13" i="120"/>
  <c r="D12" i="120"/>
  <c r="C12" i="120"/>
  <c r="D11" i="120"/>
  <c r="C11" i="120"/>
  <c r="D111" i="120" l="1"/>
  <c r="D161" i="120"/>
  <c r="D61" i="120"/>
  <c r="C197" i="120"/>
  <c r="D206" i="120"/>
  <c r="D21" i="120"/>
  <c r="D93" i="120"/>
  <c r="C79" i="120"/>
  <c r="C119" i="120"/>
  <c r="C206" i="120"/>
  <c r="D197" i="120"/>
  <c r="C93" i="120"/>
  <c r="D102" i="120"/>
  <c r="D79" i="120"/>
  <c r="D119" i="120"/>
  <c r="C228" i="120"/>
  <c r="C21" i="120"/>
  <c r="C102" i="120"/>
  <c r="C61" i="120"/>
  <c r="C111" i="120"/>
  <c r="C161" i="120"/>
  <c r="C208" i="120" l="1"/>
  <c r="C212" i="120" s="1"/>
  <c r="D208" i="120"/>
  <c r="D215" i="120" s="1"/>
  <c r="C215" i="120" l="1"/>
  <c r="G244" i="102"/>
  <c r="G243" i="102"/>
  <c r="G242" i="102"/>
  <c r="G241" i="102"/>
  <c r="C238" i="102"/>
  <c r="C237" i="102"/>
  <c r="C236" i="102"/>
  <c r="C235" i="102"/>
  <c r="C233" i="102"/>
  <c r="C232" i="102"/>
  <c r="C231" i="102"/>
  <c r="D228" i="102"/>
  <c r="C227" i="102"/>
  <c r="C226" i="102"/>
  <c r="C225" i="102"/>
  <c r="C224" i="102"/>
  <c r="C223" i="102"/>
  <c r="C222" i="102"/>
  <c r="C221" i="102"/>
  <c r="C220" i="102"/>
  <c r="C219" i="102"/>
  <c r="C211" i="102"/>
  <c r="D205" i="102"/>
  <c r="C205" i="102"/>
  <c r="D204" i="102"/>
  <c r="C204" i="102"/>
  <c r="D203" i="102"/>
  <c r="C203" i="102"/>
  <c r="D202" i="102"/>
  <c r="C202" i="102"/>
  <c r="D201" i="102"/>
  <c r="C201" i="102"/>
  <c r="D200" i="102"/>
  <c r="C200" i="102"/>
  <c r="D196" i="102"/>
  <c r="C196" i="102"/>
  <c r="D195" i="102"/>
  <c r="C195" i="102"/>
  <c r="D194" i="102"/>
  <c r="C194" i="102"/>
  <c r="D193" i="102"/>
  <c r="C193" i="102"/>
  <c r="D192" i="102"/>
  <c r="C192" i="102"/>
  <c r="D191" i="102"/>
  <c r="C191" i="102"/>
  <c r="D190" i="102"/>
  <c r="C190" i="102"/>
  <c r="D189" i="102"/>
  <c r="C189" i="102"/>
  <c r="D188" i="102"/>
  <c r="C188" i="102"/>
  <c r="D187" i="102"/>
  <c r="C187" i="102"/>
  <c r="D186" i="102"/>
  <c r="C186" i="102"/>
  <c r="D185" i="102"/>
  <c r="C185" i="102"/>
  <c r="D184" i="102"/>
  <c r="C184" i="102"/>
  <c r="D183" i="102"/>
  <c r="C183" i="102"/>
  <c r="D182" i="102"/>
  <c r="C182" i="102"/>
  <c r="D181" i="102"/>
  <c r="C181" i="102"/>
  <c r="D180" i="102"/>
  <c r="C180" i="102"/>
  <c r="D179" i="102"/>
  <c r="C179" i="102"/>
  <c r="D178" i="102"/>
  <c r="C178" i="102"/>
  <c r="D177" i="102"/>
  <c r="C177" i="102"/>
  <c r="D176" i="102"/>
  <c r="C176" i="102"/>
  <c r="D175" i="102"/>
  <c r="C175" i="102"/>
  <c r="D174" i="102"/>
  <c r="C174" i="102"/>
  <c r="D173" i="102"/>
  <c r="C173" i="102"/>
  <c r="D172" i="102"/>
  <c r="C172" i="102"/>
  <c r="D171" i="102"/>
  <c r="C171" i="102"/>
  <c r="D170" i="102"/>
  <c r="C170" i="102"/>
  <c r="D169" i="102"/>
  <c r="C169" i="102"/>
  <c r="D168" i="102"/>
  <c r="C168" i="102"/>
  <c r="D167" i="102"/>
  <c r="C167" i="102"/>
  <c r="D166" i="102"/>
  <c r="C166" i="102"/>
  <c r="D165" i="102"/>
  <c r="C165" i="102"/>
  <c r="D164" i="102"/>
  <c r="C164" i="102"/>
  <c r="D160" i="102"/>
  <c r="C160" i="102"/>
  <c r="D159" i="102"/>
  <c r="C159" i="102"/>
  <c r="D158" i="102"/>
  <c r="C158" i="102"/>
  <c r="D157" i="102"/>
  <c r="C157" i="102"/>
  <c r="D156" i="102"/>
  <c r="C156" i="102"/>
  <c r="D155" i="102"/>
  <c r="C155" i="102"/>
  <c r="D153" i="102"/>
  <c r="C153" i="102"/>
  <c r="D152" i="102"/>
  <c r="C152" i="102"/>
  <c r="D151" i="102"/>
  <c r="C151" i="102"/>
  <c r="D150" i="102"/>
  <c r="C150" i="102"/>
  <c r="D149" i="102"/>
  <c r="C149" i="102"/>
  <c r="D148" i="102"/>
  <c r="C148" i="102"/>
  <c r="D147" i="102"/>
  <c r="C147" i="102"/>
  <c r="D146" i="102"/>
  <c r="C146" i="102"/>
  <c r="D145" i="102"/>
  <c r="C145" i="102"/>
  <c r="D143" i="102"/>
  <c r="C143" i="102"/>
  <c r="D142" i="102"/>
  <c r="C142" i="102"/>
  <c r="D141" i="102"/>
  <c r="C141" i="102"/>
  <c r="D140" i="102"/>
  <c r="C140" i="102"/>
  <c r="D138" i="102"/>
  <c r="C138" i="102"/>
  <c r="D137" i="102"/>
  <c r="C137" i="102"/>
  <c r="D136" i="102"/>
  <c r="C136" i="102"/>
  <c r="D135" i="102"/>
  <c r="C135" i="102"/>
  <c r="D133" i="102"/>
  <c r="C133" i="102"/>
  <c r="D132" i="102"/>
  <c r="C132" i="102"/>
  <c r="D131" i="102"/>
  <c r="C131" i="102"/>
  <c r="D130" i="102"/>
  <c r="C130" i="102"/>
  <c r="D129" i="102"/>
  <c r="C129" i="102"/>
  <c r="D127" i="102"/>
  <c r="C127" i="102"/>
  <c r="D126" i="102"/>
  <c r="C126" i="102"/>
  <c r="D125" i="102"/>
  <c r="C125" i="102"/>
  <c r="D124" i="102"/>
  <c r="C124" i="102"/>
  <c r="D123" i="102"/>
  <c r="C123" i="102"/>
  <c r="D118" i="102"/>
  <c r="C118" i="102"/>
  <c r="D117" i="102"/>
  <c r="C117" i="102"/>
  <c r="D116" i="102"/>
  <c r="C116" i="102"/>
  <c r="D115" i="102"/>
  <c r="C115" i="102"/>
  <c r="D114" i="102"/>
  <c r="C114" i="102"/>
  <c r="D110" i="102"/>
  <c r="C110" i="102"/>
  <c r="D109" i="102"/>
  <c r="C109" i="102"/>
  <c r="D108" i="102"/>
  <c r="C108" i="102"/>
  <c r="D107" i="102"/>
  <c r="C107" i="102"/>
  <c r="D106" i="102"/>
  <c r="C106" i="102"/>
  <c r="D105" i="102"/>
  <c r="C105" i="102"/>
  <c r="D101" i="102"/>
  <c r="C101" i="102"/>
  <c r="D100" i="102"/>
  <c r="C100" i="102"/>
  <c r="D99" i="102"/>
  <c r="C99" i="102"/>
  <c r="D98" i="102"/>
  <c r="C98" i="102"/>
  <c r="D97" i="102"/>
  <c r="C97" i="102"/>
  <c r="D96" i="102"/>
  <c r="C96" i="102"/>
  <c r="D92" i="102"/>
  <c r="C92" i="102"/>
  <c r="D91" i="102"/>
  <c r="C91" i="102"/>
  <c r="D90" i="102"/>
  <c r="C90" i="102"/>
  <c r="D89" i="102"/>
  <c r="C89" i="102"/>
  <c r="D88" i="102"/>
  <c r="C88" i="102"/>
  <c r="D87" i="102"/>
  <c r="C87" i="102"/>
  <c r="D86" i="102"/>
  <c r="C86" i="102"/>
  <c r="D85" i="102"/>
  <c r="C85" i="102"/>
  <c r="D84" i="102"/>
  <c r="C84" i="102"/>
  <c r="D83" i="102"/>
  <c r="C83" i="102"/>
  <c r="D82" i="102"/>
  <c r="C82" i="102"/>
  <c r="D78" i="102"/>
  <c r="C78" i="102"/>
  <c r="D77" i="102"/>
  <c r="C77" i="102"/>
  <c r="D76" i="102"/>
  <c r="C76" i="102"/>
  <c r="D75" i="102"/>
  <c r="C75" i="102"/>
  <c r="D74" i="102"/>
  <c r="C74" i="102"/>
  <c r="D73" i="102"/>
  <c r="C73" i="102"/>
  <c r="D72" i="102"/>
  <c r="C72" i="102"/>
  <c r="D71" i="102"/>
  <c r="C71" i="102"/>
  <c r="D70" i="102"/>
  <c r="C70" i="102"/>
  <c r="D69" i="102"/>
  <c r="C69" i="102"/>
  <c r="D68" i="102"/>
  <c r="C68" i="102"/>
  <c r="D67" i="102"/>
  <c r="C67" i="102"/>
  <c r="D66" i="102"/>
  <c r="C66" i="102"/>
  <c r="D65" i="102"/>
  <c r="C65" i="102"/>
  <c r="D64" i="102"/>
  <c r="C64" i="102"/>
  <c r="D60" i="102"/>
  <c r="C60" i="102"/>
  <c r="D59" i="102"/>
  <c r="C59" i="102"/>
  <c r="D58" i="102"/>
  <c r="C58" i="102"/>
  <c r="D57" i="102"/>
  <c r="C57" i="102"/>
  <c r="D56" i="102"/>
  <c r="C56" i="102"/>
  <c r="D55" i="102"/>
  <c r="C55" i="102"/>
  <c r="D54" i="102"/>
  <c r="C54" i="102"/>
  <c r="D53" i="102"/>
  <c r="C53" i="102"/>
  <c r="D52" i="102"/>
  <c r="C52" i="102"/>
  <c r="D51" i="102"/>
  <c r="C51" i="102"/>
  <c r="D50" i="102"/>
  <c r="C50" i="102"/>
  <c r="D49" i="102"/>
  <c r="C49" i="102"/>
  <c r="D48" i="102"/>
  <c r="C48" i="102"/>
  <c r="D47" i="102"/>
  <c r="C47" i="102"/>
  <c r="D46" i="102"/>
  <c r="C46" i="102"/>
  <c r="D45" i="102"/>
  <c r="C45" i="102"/>
  <c r="D44" i="102"/>
  <c r="C44" i="102"/>
  <c r="D43" i="102"/>
  <c r="C43" i="102"/>
  <c r="D42" i="102"/>
  <c r="C42" i="102"/>
  <c r="D41" i="102"/>
  <c r="C41" i="102"/>
  <c r="D40" i="102"/>
  <c r="C40" i="102"/>
  <c r="D39" i="102"/>
  <c r="C39" i="102"/>
  <c r="D38" i="102"/>
  <c r="C38" i="102"/>
  <c r="D37" i="102"/>
  <c r="C37" i="102"/>
  <c r="D36" i="102"/>
  <c r="C36" i="102"/>
  <c r="D35" i="102"/>
  <c r="C35" i="102"/>
  <c r="D34" i="102"/>
  <c r="C34" i="102"/>
  <c r="D33" i="102"/>
  <c r="C33" i="102"/>
  <c r="D32" i="102"/>
  <c r="C32" i="102"/>
  <c r="D31" i="102"/>
  <c r="C31" i="102"/>
  <c r="D30" i="102"/>
  <c r="C30" i="102"/>
  <c r="D29" i="102"/>
  <c r="C29" i="102"/>
  <c r="D28" i="102"/>
  <c r="C28" i="102"/>
  <c r="D27" i="102"/>
  <c r="C27" i="102"/>
  <c r="D26" i="102"/>
  <c r="C26" i="102"/>
  <c r="D25" i="102"/>
  <c r="C25" i="102"/>
  <c r="D20" i="102"/>
  <c r="C20" i="102"/>
  <c r="D19" i="102"/>
  <c r="C19" i="102"/>
  <c r="D18" i="102"/>
  <c r="C18" i="102"/>
  <c r="D17" i="102"/>
  <c r="C17" i="102"/>
  <c r="D16" i="102"/>
  <c r="C16" i="102"/>
  <c r="D15" i="102"/>
  <c r="C15" i="102"/>
  <c r="D14" i="102"/>
  <c r="C14" i="102"/>
  <c r="D13" i="102"/>
  <c r="C13" i="102"/>
  <c r="D12" i="102"/>
  <c r="C12" i="102"/>
  <c r="D11" i="102"/>
  <c r="C11" i="102"/>
  <c r="C102" i="102" l="1"/>
  <c r="D93" i="102"/>
  <c r="D79" i="102"/>
  <c r="C79" i="102"/>
  <c r="D102" i="102"/>
  <c r="C119" i="102"/>
  <c r="D61" i="102"/>
  <c r="D119" i="102"/>
  <c r="C228" i="102"/>
  <c r="C161" i="102"/>
  <c r="C21" i="102"/>
  <c r="C197" i="102"/>
  <c r="C206" i="102"/>
  <c r="C61" i="102"/>
  <c r="D161" i="102"/>
  <c r="C111" i="102"/>
  <c r="D111" i="102"/>
  <c r="D21" i="102"/>
  <c r="C93" i="102"/>
  <c r="D197" i="102"/>
  <c r="D206" i="102"/>
  <c r="C208" i="102" l="1"/>
  <c r="C212" i="102" s="1"/>
  <c r="D208" i="102"/>
  <c r="D215" i="102" s="1"/>
  <c r="C215" i="102" l="1"/>
  <c r="G244" i="45"/>
  <c r="G243" i="45"/>
  <c r="G242" i="45"/>
  <c r="G241" i="45"/>
  <c r="C238" i="45"/>
  <c r="C237" i="45"/>
  <c r="C236" i="45"/>
  <c r="C235" i="45"/>
  <c r="C233" i="45"/>
  <c r="C232" i="45"/>
  <c r="C231" i="45"/>
  <c r="D228" i="45"/>
  <c r="C227" i="45"/>
  <c r="C226" i="45"/>
  <c r="C225" i="45"/>
  <c r="C224" i="45"/>
  <c r="C223" i="45"/>
  <c r="C222" i="45"/>
  <c r="C221" i="45"/>
  <c r="C220" i="45"/>
  <c r="C219" i="45"/>
  <c r="C211" i="45"/>
  <c r="D205" i="45"/>
  <c r="C205" i="45"/>
  <c r="D204" i="45"/>
  <c r="C204" i="45"/>
  <c r="D203" i="45"/>
  <c r="C203" i="45"/>
  <c r="D202" i="45"/>
  <c r="C202" i="45"/>
  <c r="D201" i="45"/>
  <c r="C201" i="45"/>
  <c r="D200" i="45"/>
  <c r="C200" i="45"/>
  <c r="D196" i="45"/>
  <c r="C196" i="45"/>
  <c r="D195" i="45"/>
  <c r="C195" i="45"/>
  <c r="D194" i="45"/>
  <c r="C194" i="45"/>
  <c r="D193" i="45"/>
  <c r="C193" i="45"/>
  <c r="D192" i="45"/>
  <c r="C192" i="45"/>
  <c r="D191" i="45"/>
  <c r="C191" i="45"/>
  <c r="D190" i="45"/>
  <c r="C190" i="45"/>
  <c r="D189" i="45"/>
  <c r="C189" i="45"/>
  <c r="D188" i="45"/>
  <c r="C188" i="45"/>
  <c r="D187" i="45"/>
  <c r="C187" i="45"/>
  <c r="D186" i="45"/>
  <c r="C186" i="45"/>
  <c r="D185" i="45"/>
  <c r="C185" i="45"/>
  <c r="D184" i="45"/>
  <c r="C184" i="45"/>
  <c r="D183" i="45"/>
  <c r="C183" i="45"/>
  <c r="D182" i="45"/>
  <c r="C182" i="45"/>
  <c r="D181" i="45"/>
  <c r="C181" i="45"/>
  <c r="D180" i="45"/>
  <c r="C180" i="45"/>
  <c r="D179" i="45"/>
  <c r="C179" i="45"/>
  <c r="D178" i="45"/>
  <c r="C178" i="45"/>
  <c r="D177" i="45"/>
  <c r="C177" i="45"/>
  <c r="D176" i="45"/>
  <c r="C176" i="45"/>
  <c r="D175" i="45"/>
  <c r="C175" i="45"/>
  <c r="D174" i="45"/>
  <c r="C174" i="45"/>
  <c r="D173" i="45"/>
  <c r="C173" i="45"/>
  <c r="D172" i="45"/>
  <c r="C172" i="45"/>
  <c r="D171" i="45"/>
  <c r="C171" i="45"/>
  <c r="D170" i="45"/>
  <c r="C170" i="45"/>
  <c r="D169" i="45"/>
  <c r="C169" i="45"/>
  <c r="D168" i="45"/>
  <c r="C168" i="45"/>
  <c r="D167" i="45"/>
  <c r="C167" i="45"/>
  <c r="D166" i="45"/>
  <c r="C166" i="45"/>
  <c r="D165" i="45"/>
  <c r="C165" i="45"/>
  <c r="D164" i="45"/>
  <c r="C164" i="45"/>
  <c r="D160" i="45"/>
  <c r="C160" i="45"/>
  <c r="D159" i="45"/>
  <c r="C159" i="45"/>
  <c r="D158" i="45"/>
  <c r="C158" i="45"/>
  <c r="D157" i="45"/>
  <c r="C157" i="45"/>
  <c r="D156" i="45"/>
  <c r="C156" i="45"/>
  <c r="D155" i="45"/>
  <c r="C155" i="45"/>
  <c r="D153" i="45"/>
  <c r="C153" i="45"/>
  <c r="D152" i="45"/>
  <c r="C152" i="45"/>
  <c r="D151" i="45"/>
  <c r="C151" i="45"/>
  <c r="D150" i="45"/>
  <c r="C150" i="45"/>
  <c r="D149" i="45"/>
  <c r="C149" i="45"/>
  <c r="D148" i="45"/>
  <c r="C148" i="45"/>
  <c r="D147" i="45"/>
  <c r="C147" i="45"/>
  <c r="D146" i="45"/>
  <c r="C146" i="45"/>
  <c r="D145" i="45"/>
  <c r="C145" i="45"/>
  <c r="D143" i="45"/>
  <c r="C143" i="45"/>
  <c r="D142" i="45"/>
  <c r="C142" i="45"/>
  <c r="D141" i="45"/>
  <c r="C141" i="45"/>
  <c r="D140" i="45"/>
  <c r="C140" i="45"/>
  <c r="D138" i="45"/>
  <c r="C138" i="45"/>
  <c r="D137" i="45"/>
  <c r="C137" i="45"/>
  <c r="D136" i="45"/>
  <c r="C136" i="45"/>
  <c r="D135" i="45"/>
  <c r="C135" i="45"/>
  <c r="D133" i="45"/>
  <c r="C133" i="45"/>
  <c r="D132" i="45"/>
  <c r="C132" i="45"/>
  <c r="D131" i="45"/>
  <c r="C131" i="45"/>
  <c r="D130" i="45"/>
  <c r="C130" i="45"/>
  <c r="D129" i="45"/>
  <c r="C129" i="45"/>
  <c r="D127" i="45"/>
  <c r="C127" i="45"/>
  <c r="D126" i="45"/>
  <c r="C126" i="45"/>
  <c r="D125" i="45"/>
  <c r="C125" i="45"/>
  <c r="D124" i="45"/>
  <c r="C124" i="45"/>
  <c r="D123" i="45"/>
  <c r="C123" i="45"/>
  <c r="D118" i="45"/>
  <c r="C118" i="45"/>
  <c r="D117" i="45"/>
  <c r="C117" i="45"/>
  <c r="D116" i="45"/>
  <c r="C116" i="45"/>
  <c r="D115" i="45"/>
  <c r="C115" i="45"/>
  <c r="D114" i="45"/>
  <c r="C114" i="45"/>
  <c r="D110" i="45"/>
  <c r="C110" i="45"/>
  <c r="D109" i="45"/>
  <c r="C109" i="45"/>
  <c r="D108" i="45"/>
  <c r="C108" i="45"/>
  <c r="D107" i="45"/>
  <c r="C107" i="45"/>
  <c r="D106" i="45"/>
  <c r="C106" i="45"/>
  <c r="D105" i="45"/>
  <c r="C105" i="45"/>
  <c r="D101" i="45"/>
  <c r="C101" i="45"/>
  <c r="D100" i="45"/>
  <c r="C100" i="45"/>
  <c r="D99" i="45"/>
  <c r="C99" i="45"/>
  <c r="D98" i="45"/>
  <c r="C98" i="45"/>
  <c r="D97" i="45"/>
  <c r="C97" i="45"/>
  <c r="D96" i="45"/>
  <c r="C96" i="45"/>
  <c r="D92" i="45"/>
  <c r="C92" i="45"/>
  <c r="D91" i="45"/>
  <c r="C91" i="45"/>
  <c r="D90" i="45"/>
  <c r="C90" i="45"/>
  <c r="D89" i="45"/>
  <c r="C89" i="45"/>
  <c r="D88" i="45"/>
  <c r="C88" i="45"/>
  <c r="D87" i="45"/>
  <c r="C87" i="45"/>
  <c r="D86" i="45"/>
  <c r="C86" i="45"/>
  <c r="D85" i="45"/>
  <c r="C85" i="45"/>
  <c r="D84" i="45"/>
  <c r="C84" i="45"/>
  <c r="D83" i="45"/>
  <c r="C83" i="45"/>
  <c r="D82" i="45"/>
  <c r="C82" i="45"/>
  <c r="D78" i="45"/>
  <c r="C78" i="45"/>
  <c r="D77" i="45"/>
  <c r="C77" i="45"/>
  <c r="D76" i="45"/>
  <c r="C76" i="45"/>
  <c r="D75" i="45"/>
  <c r="C75" i="45"/>
  <c r="D74" i="45"/>
  <c r="C74" i="45"/>
  <c r="D73" i="45"/>
  <c r="C73" i="45"/>
  <c r="D72" i="45"/>
  <c r="C72" i="45"/>
  <c r="D71" i="45"/>
  <c r="C71" i="45"/>
  <c r="D70" i="45"/>
  <c r="C70" i="45"/>
  <c r="D69" i="45"/>
  <c r="C69" i="45"/>
  <c r="D68" i="45"/>
  <c r="C68" i="45"/>
  <c r="D67" i="45"/>
  <c r="C67" i="45"/>
  <c r="D66" i="45"/>
  <c r="C66" i="45"/>
  <c r="D65" i="45"/>
  <c r="C65" i="45"/>
  <c r="D64" i="45"/>
  <c r="C64" i="45"/>
  <c r="D60" i="45"/>
  <c r="C60" i="45"/>
  <c r="D59" i="45"/>
  <c r="C59" i="45"/>
  <c r="D58" i="45"/>
  <c r="C58" i="45"/>
  <c r="D57" i="45"/>
  <c r="C57" i="45"/>
  <c r="D56" i="45"/>
  <c r="C56" i="45"/>
  <c r="D55" i="45"/>
  <c r="C55" i="45"/>
  <c r="D54" i="45"/>
  <c r="C54" i="45"/>
  <c r="D53" i="45"/>
  <c r="C53" i="45"/>
  <c r="D52" i="45"/>
  <c r="C52" i="45"/>
  <c r="D51" i="45"/>
  <c r="C51" i="45"/>
  <c r="D50" i="45"/>
  <c r="C50" i="45"/>
  <c r="D49" i="45"/>
  <c r="C49" i="45"/>
  <c r="D48" i="45"/>
  <c r="C48" i="45"/>
  <c r="D47" i="45"/>
  <c r="C47" i="45"/>
  <c r="D46" i="45"/>
  <c r="C46" i="45"/>
  <c r="D45" i="45"/>
  <c r="C45" i="45"/>
  <c r="D44" i="45"/>
  <c r="C44" i="45"/>
  <c r="D43" i="45"/>
  <c r="C43" i="45"/>
  <c r="D42" i="45"/>
  <c r="C42" i="45"/>
  <c r="D41" i="45"/>
  <c r="C41" i="45"/>
  <c r="D40" i="45"/>
  <c r="C40" i="45"/>
  <c r="D39" i="45"/>
  <c r="C39" i="45"/>
  <c r="D38" i="45"/>
  <c r="C38" i="45"/>
  <c r="D37" i="45"/>
  <c r="C37" i="45"/>
  <c r="D36" i="45"/>
  <c r="C36" i="45"/>
  <c r="D35" i="45"/>
  <c r="C35" i="45"/>
  <c r="D34" i="45"/>
  <c r="C34" i="45"/>
  <c r="D33" i="45"/>
  <c r="C33" i="45"/>
  <c r="D32" i="45"/>
  <c r="C32" i="45"/>
  <c r="D31" i="45"/>
  <c r="C31" i="45"/>
  <c r="D30" i="45"/>
  <c r="C30" i="45"/>
  <c r="D29" i="45"/>
  <c r="C29" i="45"/>
  <c r="D28" i="45"/>
  <c r="C28" i="45"/>
  <c r="D27" i="45"/>
  <c r="C27" i="45"/>
  <c r="D26" i="45"/>
  <c r="C26" i="45"/>
  <c r="D25" i="45"/>
  <c r="C25" i="45"/>
  <c r="D20" i="45"/>
  <c r="C20" i="45"/>
  <c r="D19" i="45"/>
  <c r="C19" i="45"/>
  <c r="D18" i="45"/>
  <c r="C18" i="45"/>
  <c r="D17" i="45"/>
  <c r="C17" i="45"/>
  <c r="D16" i="45"/>
  <c r="C16" i="45"/>
  <c r="D15" i="45"/>
  <c r="C15" i="45"/>
  <c r="D14" i="45"/>
  <c r="C14" i="45"/>
  <c r="D13" i="45"/>
  <c r="C13" i="45"/>
  <c r="D12" i="45"/>
  <c r="C12" i="45"/>
  <c r="D11" i="45"/>
  <c r="C11" i="45"/>
  <c r="D102" i="45" l="1"/>
  <c r="C161" i="45"/>
  <c r="C79" i="45"/>
  <c r="D79" i="45"/>
  <c r="C119" i="45"/>
  <c r="D93" i="45"/>
  <c r="D61" i="45"/>
  <c r="C111" i="45"/>
  <c r="C228" i="45"/>
  <c r="D111" i="45"/>
  <c r="D119" i="45"/>
  <c r="C197" i="45"/>
  <c r="D197" i="45"/>
  <c r="D206" i="45"/>
  <c r="D161" i="45"/>
  <c r="C206" i="45"/>
  <c r="C21" i="45"/>
  <c r="C93" i="45"/>
  <c r="D21" i="45"/>
  <c r="C102" i="45"/>
  <c r="C61" i="45"/>
  <c r="D208" i="45" l="1"/>
  <c r="D215" i="45" s="1"/>
  <c r="C208" i="45"/>
  <c r="C212" i="45" s="1"/>
  <c r="C215" i="45" l="1"/>
  <c r="G244" i="43"/>
  <c r="G243" i="43"/>
  <c r="G242" i="43"/>
  <c r="G241" i="43"/>
  <c r="C238" i="43"/>
  <c r="C237" i="43"/>
  <c r="C236" i="43"/>
  <c r="C235" i="43"/>
  <c r="C233" i="43"/>
  <c r="C232" i="43"/>
  <c r="C231" i="43"/>
  <c r="D228" i="43"/>
  <c r="C227" i="43"/>
  <c r="C226" i="43"/>
  <c r="C225" i="43"/>
  <c r="C224" i="43"/>
  <c r="C223" i="43"/>
  <c r="C222" i="43"/>
  <c r="C221" i="43"/>
  <c r="C220" i="43"/>
  <c r="C219" i="43"/>
  <c r="C211" i="43"/>
  <c r="D205" i="43"/>
  <c r="C205" i="43"/>
  <c r="D204" i="43"/>
  <c r="C204" i="43"/>
  <c r="D203" i="43"/>
  <c r="C203" i="43"/>
  <c r="D202" i="43"/>
  <c r="C202" i="43"/>
  <c r="D201" i="43"/>
  <c r="C201" i="43"/>
  <c r="D200" i="43"/>
  <c r="C200" i="43"/>
  <c r="D196" i="43"/>
  <c r="C196" i="43"/>
  <c r="D195" i="43"/>
  <c r="C195" i="43"/>
  <c r="D194" i="43"/>
  <c r="C194" i="43"/>
  <c r="D193" i="43"/>
  <c r="C193" i="43"/>
  <c r="D192" i="43"/>
  <c r="C192" i="43"/>
  <c r="D191" i="43"/>
  <c r="C191" i="43"/>
  <c r="D190" i="43"/>
  <c r="C190" i="43"/>
  <c r="D189" i="43"/>
  <c r="C189" i="43"/>
  <c r="D188" i="43"/>
  <c r="C188" i="43"/>
  <c r="D187" i="43"/>
  <c r="C187" i="43"/>
  <c r="D186" i="43"/>
  <c r="C186" i="43"/>
  <c r="D185" i="43"/>
  <c r="C185" i="43"/>
  <c r="D184" i="43"/>
  <c r="C184" i="43"/>
  <c r="D183" i="43"/>
  <c r="C183" i="43"/>
  <c r="D182" i="43"/>
  <c r="C182" i="43"/>
  <c r="D181" i="43"/>
  <c r="C181" i="43"/>
  <c r="D180" i="43"/>
  <c r="C180" i="43"/>
  <c r="D179" i="43"/>
  <c r="C179" i="43"/>
  <c r="D178" i="43"/>
  <c r="C178" i="43"/>
  <c r="D177" i="43"/>
  <c r="C177" i="43"/>
  <c r="D176" i="43"/>
  <c r="C176" i="43"/>
  <c r="D175" i="43"/>
  <c r="C175" i="43"/>
  <c r="D174" i="43"/>
  <c r="C174" i="43"/>
  <c r="D173" i="43"/>
  <c r="C173" i="43"/>
  <c r="D172" i="43"/>
  <c r="C172" i="43"/>
  <c r="D171" i="43"/>
  <c r="C171" i="43"/>
  <c r="D170" i="43"/>
  <c r="C170" i="43"/>
  <c r="D169" i="43"/>
  <c r="C169" i="43"/>
  <c r="D168" i="43"/>
  <c r="C168" i="43"/>
  <c r="D167" i="43"/>
  <c r="C167" i="43"/>
  <c r="D166" i="43"/>
  <c r="C166" i="43"/>
  <c r="D165" i="43"/>
  <c r="C165" i="43"/>
  <c r="D164" i="43"/>
  <c r="C164" i="43"/>
  <c r="D160" i="43"/>
  <c r="C160" i="43"/>
  <c r="D159" i="43"/>
  <c r="C159" i="43"/>
  <c r="D158" i="43"/>
  <c r="C158" i="43"/>
  <c r="D157" i="43"/>
  <c r="C157" i="43"/>
  <c r="D156" i="43"/>
  <c r="C156" i="43"/>
  <c r="D155" i="43"/>
  <c r="C155" i="43"/>
  <c r="D153" i="43"/>
  <c r="C153" i="43"/>
  <c r="D152" i="43"/>
  <c r="C152" i="43"/>
  <c r="D151" i="43"/>
  <c r="C151" i="43"/>
  <c r="D150" i="43"/>
  <c r="C150" i="43"/>
  <c r="D149" i="43"/>
  <c r="C149" i="43"/>
  <c r="D148" i="43"/>
  <c r="C148" i="43"/>
  <c r="D147" i="43"/>
  <c r="C147" i="43"/>
  <c r="D146" i="43"/>
  <c r="C146" i="43"/>
  <c r="D145" i="43"/>
  <c r="C145" i="43"/>
  <c r="D143" i="43"/>
  <c r="C143" i="43"/>
  <c r="D142" i="43"/>
  <c r="C142" i="43"/>
  <c r="D141" i="43"/>
  <c r="C141" i="43"/>
  <c r="D140" i="43"/>
  <c r="C140" i="43"/>
  <c r="D138" i="43"/>
  <c r="C138" i="43"/>
  <c r="D137" i="43"/>
  <c r="C137" i="43"/>
  <c r="D136" i="43"/>
  <c r="C136" i="43"/>
  <c r="D135" i="43"/>
  <c r="C135" i="43"/>
  <c r="D133" i="43"/>
  <c r="C133" i="43"/>
  <c r="D132" i="43"/>
  <c r="C132" i="43"/>
  <c r="D131" i="43"/>
  <c r="C131" i="43"/>
  <c r="D130" i="43"/>
  <c r="C130" i="43"/>
  <c r="D129" i="43"/>
  <c r="C129" i="43"/>
  <c r="D127" i="43"/>
  <c r="C127" i="43"/>
  <c r="D126" i="43"/>
  <c r="C126" i="43"/>
  <c r="D125" i="43"/>
  <c r="C125" i="43"/>
  <c r="D124" i="43"/>
  <c r="C124" i="43"/>
  <c r="D123" i="43"/>
  <c r="C123" i="43"/>
  <c r="D118" i="43"/>
  <c r="C118" i="43"/>
  <c r="D117" i="43"/>
  <c r="C117" i="43"/>
  <c r="D116" i="43"/>
  <c r="C116" i="43"/>
  <c r="D115" i="43"/>
  <c r="C115" i="43"/>
  <c r="D114" i="43"/>
  <c r="C114" i="43"/>
  <c r="D110" i="43"/>
  <c r="C110" i="43"/>
  <c r="D109" i="43"/>
  <c r="C109" i="43"/>
  <c r="D108" i="43"/>
  <c r="C108" i="43"/>
  <c r="D107" i="43"/>
  <c r="C107" i="43"/>
  <c r="D106" i="43"/>
  <c r="C106" i="43"/>
  <c r="D105" i="43"/>
  <c r="C105" i="43"/>
  <c r="D101" i="43"/>
  <c r="C101" i="43"/>
  <c r="D100" i="43"/>
  <c r="C100" i="43"/>
  <c r="D99" i="43"/>
  <c r="C99" i="43"/>
  <c r="D98" i="43"/>
  <c r="C98" i="43"/>
  <c r="D97" i="43"/>
  <c r="C97" i="43"/>
  <c r="D96" i="43"/>
  <c r="C96" i="43"/>
  <c r="D92" i="43"/>
  <c r="C92" i="43"/>
  <c r="D91" i="43"/>
  <c r="C91" i="43"/>
  <c r="D90" i="43"/>
  <c r="C90" i="43"/>
  <c r="D89" i="43"/>
  <c r="C89" i="43"/>
  <c r="D88" i="43"/>
  <c r="C88" i="43"/>
  <c r="D87" i="43"/>
  <c r="C87" i="43"/>
  <c r="D86" i="43"/>
  <c r="C86" i="43"/>
  <c r="D85" i="43"/>
  <c r="C85" i="43"/>
  <c r="D84" i="43"/>
  <c r="C84" i="43"/>
  <c r="D83" i="43"/>
  <c r="C83" i="43"/>
  <c r="D82" i="43"/>
  <c r="C82" i="43"/>
  <c r="D78" i="43"/>
  <c r="C78" i="43"/>
  <c r="D77" i="43"/>
  <c r="C77" i="43"/>
  <c r="D76" i="43"/>
  <c r="C76" i="43"/>
  <c r="D75" i="43"/>
  <c r="C75" i="43"/>
  <c r="D74" i="43"/>
  <c r="C74" i="43"/>
  <c r="D73" i="43"/>
  <c r="C73" i="43"/>
  <c r="D72" i="43"/>
  <c r="C72" i="43"/>
  <c r="D71" i="43"/>
  <c r="C71" i="43"/>
  <c r="D70" i="43"/>
  <c r="C70" i="43"/>
  <c r="D69" i="43"/>
  <c r="C69" i="43"/>
  <c r="D68" i="43"/>
  <c r="C68" i="43"/>
  <c r="D67" i="43"/>
  <c r="C67" i="43"/>
  <c r="D66" i="43"/>
  <c r="C66" i="43"/>
  <c r="D65" i="43"/>
  <c r="C65" i="43"/>
  <c r="D64" i="43"/>
  <c r="C64" i="43"/>
  <c r="D60" i="43"/>
  <c r="C60" i="43"/>
  <c r="D59" i="43"/>
  <c r="C59" i="43"/>
  <c r="D58" i="43"/>
  <c r="C58" i="43"/>
  <c r="D57" i="43"/>
  <c r="C57" i="43"/>
  <c r="D56" i="43"/>
  <c r="C56" i="43"/>
  <c r="D55" i="43"/>
  <c r="C55" i="43"/>
  <c r="D54" i="43"/>
  <c r="C54" i="43"/>
  <c r="D53" i="43"/>
  <c r="C53" i="43"/>
  <c r="D52" i="43"/>
  <c r="C52" i="43"/>
  <c r="D51" i="43"/>
  <c r="C51" i="43"/>
  <c r="D50" i="43"/>
  <c r="C50" i="43"/>
  <c r="D49" i="43"/>
  <c r="C49" i="43"/>
  <c r="D48" i="43"/>
  <c r="C48" i="43"/>
  <c r="D47" i="43"/>
  <c r="C47" i="43"/>
  <c r="D46" i="43"/>
  <c r="C46" i="43"/>
  <c r="D45" i="43"/>
  <c r="C45" i="43"/>
  <c r="D44" i="43"/>
  <c r="C44" i="43"/>
  <c r="D43" i="43"/>
  <c r="C43" i="43"/>
  <c r="D42" i="43"/>
  <c r="C42" i="43"/>
  <c r="D41" i="43"/>
  <c r="C41" i="43"/>
  <c r="D40" i="43"/>
  <c r="C40" i="43"/>
  <c r="D39" i="43"/>
  <c r="C39" i="43"/>
  <c r="D38" i="43"/>
  <c r="C38" i="43"/>
  <c r="D37" i="43"/>
  <c r="C37" i="43"/>
  <c r="D36" i="43"/>
  <c r="C36" i="43"/>
  <c r="D35" i="43"/>
  <c r="C35" i="43"/>
  <c r="D34" i="43"/>
  <c r="C34" i="43"/>
  <c r="D33" i="43"/>
  <c r="C33" i="43"/>
  <c r="D32" i="43"/>
  <c r="C32" i="43"/>
  <c r="D31" i="43"/>
  <c r="C31" i="43"/>
  <c r="D30" i="43"/>
  <c r="C30" i="43"/>
  <c r="D29" i="43"/>
  <c r="C29" i="43"/>
  <c r="D28" i="43"/>
  <c r="C28" i="43"/>
  <c r="D27" i="43"/>
  <c r="C27" i="43"/>
  <c r="D26" i="43"/>
  <c r="C26" i="43"/>
  <c r="D25" i="43"/>
  <c r="C25" i="43"/>
  <c r="D20" i="43"/>
  <c r="C20" i="43"/>
  <c r="D19" i="43"/>
  <c r="C19" i="43"/>
  <c r="D18" i="43"/>
  <c r="C18" i="43"/>
  <c r="D17" i="43"/>
  <c r="C17" i="43"/>
  <c r="D16" i="43"/>
  <c r="C16" i="43"/>
  <c r="D15" i="43"/>
  <c r="C15" i="43"/>
  <c r="D14" i="43"/>
  <c r="C14" i="43"/>
  <c r="D13" i="43"/>
  <c r="C13" i="43"/>
  <c r="D12" i="43"/>
  <c r="C12" i="43"/>
  <c r="D11" i="43"/>
  <c r="C11" i="43"/>
  <c r="D21" i="43" l="1"/>
  <c r="D93" i="43"/>
  <c r="D102" i="43"/>
  <c r="C79" i="43"/>
  <c r="C119" i="43"/>
  <c r="C161" i="43"/>
  <c r="C197" i="43"/>
  <c r="C206" i="43"/>
  <c r="D161" i="43"/>
  <c r="C228" i="43"/>
  <c r="C111" i="43"/>
  <c r="D61" i="43"/>
  <c r="D197" i="43"/>
  <c r="D206" i="43"/>
  <c r="D79" i="43"/>
  <c r="D119" i="43"/>
  <c r="D111" i="43"/>
  <c r="C21" i="43"/>
  <c r="C93" i="43"/>
  <c r="C102" i="43"/>
  <c r="C61" i="43"/>
  <c r="C208" i="43" l="1"/>
  <c r="C212" i="43" s="1"/>
  <c r="D208" i="43"/>
  <c r="D215" i="43" s="1"/>
  <c r="C215" i="43" l="1"/>
  <c r="G244" i="175"/>
  <c r="G243" i="175"/>
  <c r="G242" i="175"/>
  <c r="G241" i="175"/>
  <c r="C238" i="175"/>
  <c r="C237" i="175"/>
  <c r="C236" i="175"/>
  <c r="C235" i="175"/>
  <c r="C233" i="175"/>
  <c r="C232" i="175"/>
  <c r="C231" i="175"/>
  <c r="D228" i="175"/>
  <c r="C227" i="175"/>
  <c r="C226" i="175"/>
  <c r="C225" i="175"/>
  <c r="C224" i="175"/>
  <c r="C223" i="175"/>
  <c r="C222" i="175"/>
  <c r="C221" i="175"/>
  <c r="C220" i="175"/>
  <c r="C219" i="175"/>
  <c r="C211" i="175"/>
  <c r="D205" i="175"/>
  <c r="C205" i="175"/>
  <c r="D204" i="175"/>
  <c r="C204" i="175"/>
  <c r="D203" i="175"/>
  <c r="C203" i="175"/>
  <c r="D202" i="175"/>
  <c r="C202" i="175"/>
  <c r="D201" i="175"/>
  <c r="C201" i="175"/>
  <c r="D200" i="175"/>
  <c r="C200" i="175"/>
  <c r="D196" i="175"/>
  <c r="C196" i="175"/>
  <c r="D195" i="175"/>
  <c r="C195" i="175"/>
  <c r="D194" i="175"/>
  <c r="C194" i="175"/>
  <c r="D193" i="175"/>
  <c r="C193" i="175"/>
  <c r="D192" i="175"/>
  <c r="C192" i="175"/>
  <c r="D191" i="175"/>
  <c r="C191" i="175"/>
  <c r="D190" i="175"/>
  <c r="C190" i="175"/>
  <c r="D189" i="175"/>
  <c r="C189" i="175"/>
  <c r="D188" i="175"/>
  <c r="C188" i="175"/>
  <c r="D187" i="175"/>
  <c r="C187" i="175"/>
  <c r="D186" i="175"/>
  <c r="C186" i="175"/>
  <c r="D185" i="175"/>
  <c r="C185" i="175"/>
  <c r="D184" i="175"/>
  <c r="C184" i="175"/>
  <c r="D183" i="175"/>
  <c r="C183" i="175"/>
  <c r="D182" i="175"/>
  <c r="C182" i="175"/>
  <c r="D181" i="175"/>
  <c r="C181" i="175"/>
  <c r="D180" i="175"/>
  <c r="C180" i="175"/>
  <c r="D179" i="175"/>
  <c r="C179" i="175"/>
  <c r="D178" i="175"/>
  <c r="C178" i="175"/>
  <c r="D177" i="175"/>
  <c r="C177" i="175"/>
  <c r="D176" i="175"/>
  <c r="C176" i="175"/>
  <c r="D175" i="175"/>
  <c r="C175" i="175"/>
  <c r="D174" i="175"/>
  <c r="C174" i="175"/>
  <c r="D173" i="175"/>
  <c r="C173" i="175"/>
  <c r="D172" i="175"/>
  <c r="C172" i="175"/>
  <c r="D171" i="175"/>
  <c r="C171" i="175"/>
  <c r="D170" i="175"/>
  <c r="C170" i="175"/>
  <c r="D169" i="175"/>
  <c r="C169" i="175"/>
  <c r="D168" i="175"/>
  <c r="C168" i="175"/>
  <c r="D167" i="175"/>
  <c r="C167" i="175"/>
  <c r="D166" i="175"/>
  <c r="C166" i="175"/>
  <c r="D165" i="175"/>
  <c r="C165" i="175"/>
  <c r="D164" i="175"/>
  <c r="C164" i="175"/>
  <c r="D160" i="175"/>
  <c r="C160" i="175"/>
  <c r="D159" i="175"/>
  <c r="C159" i="175"/>
  <c r="D158" i="175"/>
  <c r="C158" i="175"/>
  <c r="D157" i="175"/>
  <c r="C157" i="175"/>
  <c r="D156" i="175"/>
  <c r="C156" i="175"/>
  <c r="D155" i="175"/>
  <c r="C155" i="175"/>
  <c r="D153" i="175"/>
  <c r="C153" i="175"/>
  <c r="D152" i="175"/>
  <c r="C152" i="175"/>
  <c r="D151" i="175"/>
  <c r="C151" i="175"/>
  <c r="D150" i="175"/>
  <c r="C150" i="175"/>
  <c r="D149" i="175"/>
  <c r="C149" i="175"/>
  <c r="D148" i="175"/>
  <c r="C148" i="175"/>
  <c r="D147" i="175"/>
  <c r="C147" i="175"/>
  <c r="D146" i="175"/>
  <c r="C146" i="175"/>
  <c r="D145" i="175"/>
  <c r="C145" i="175"/>
  <c r="D143" i="175"/>
  <c r="C143" i="175"/>
  <c r="D142" i="175"/>
  <c r="C142" i="175"/>
  <c r="D141" i="175"/>
  <c r="C141" i="175"/>
  <c r="D140" i="175"/>
  <c r="C140" i="175"/>
  <c r="D138" i="175"/>
  <c r="C138" i="175"/>
  <c r="D137" i="175"/>
  <c r="C137" i="175"/>
  <c r="D136" i="175"/>
  <c r="C136" i="175"/>
  <c r="D135" i="175"/>
  <c r="C135" i="175"/>
  <c r="D133" i="175"/>
  <c r="C133" i="175"/>
  <c r="D132" i="175"/>
  <c r="C132" i="175"/>
  <c r="D131" i="175"/>
  <c r="C131" i="175"/>
  <c r="D130" i="175"/>
  <c r="C130" i="175"/>
  <c r="D129" i="175"/>
  <c r="C129" i="175"/>
  <c r="D127" i="175"/>
  <c r="C127" i="175"/>
  <c r="D126" i="175"/>
  <c r="C126" i="175"/>
  <c r="D125" i="175"/>
  <c r="C125" i="175"/>
  <c r="D124" i="175"/>
  <c r="C124" i="175"/>
  <c r="D123" i="175"/>
  <c r="C123" i="175"/>
  <c r="D118" i="175"/>
  <c r="C118" i="175"/>
  <c r="D117" i="175"/>
  <c r="C117" i="175"/>
  <c r="D116" i="175"/>
  <c r="C116" i="175"/>
  <c r="D115" i="175"/>
  <c r="C115" i="175"/>
  <c r="D114" i="175"/>
  <c r="C114" i="175"/>
  <c r="D110" i="175"/>
  <c r="C110" i="175"/>
  <c r="D109" i="175"/>
  <c r="C109" i="175"/>
  <c r="D108" i="175"/>
  <c r="C108" i="175"/>
  <c r="D107" i="175"/>
  <c r="C107" i="175"/>
  <c r="D106" i="175"/>
  <c r="C106" i="175"/>
  <c r="D105" i="175"/>
  <c r="C105" i="175"/>
  <c r="D101" i="175"/>
  <c r="C101" i="175"/>
  <c r="D100" i="175"/>
  <c r="C100" i="175"/>
  <c r="D99" i="175"/>
  <c r="C99" i="175"/>
  <c r="D98" i="175"/>
  <c r="C98" i="175"/>
  <c r="D97" i="175"/>
  <c r="C97" i="175"/>
  <c r="D96" i="175"/>
  <c r="C96" i="175"/>
  <c r="D92" i="175"/>
  <c r="C92" i="175"/>
  <c r="D91" i="175"/>
  <c r="C91" i="175"/>
  <c r="D90" i="175"/>
  <c r="C90" i="175"/>
  <c r="D89" i="175"/>
  <c r="C89" i="175"/>
  <c r="D88" i="175"/>
  <c r="C88" i="175"/>
  <c r="D87" i="175"/>
  <c r="C87" i="175"/>
  <c r="D86" i="175"/>
  <c r="C86" i="175"/>
  <c r="D85" i="175"/>
  <c r="C85" i="175"/>
  <c r="D84" i="175"/>
  <c r="C84" i="175"/>
  <c r="D83" i="175"/>
  <c r="C83" i="175"/>
  <c r="D82" i="175"/>
  <c r="C82" i="175"/>
  <c r="D78" i="175"/>
  <c r="C78" i="175"/>
  <c r="D77" i="175"/>
  <c r="C77" i="175"/>
  <c r="D76" i="175"/>
  <c r="C76" i="175"/>
  <c r="D75" i="175"/>
  <c r="C75" i="175"/>
  <c r="D74" i="175"/>
  <c r="C74" i="175"/>
  <c r="D73" i="175"/>
  <c r="C73" i="175"/>
  <c r="D72" i="175"/>
  <c r="C72" i="175"/>
  <c r="D71" i="175"/>
  <c r="C71" i="175"/>
  <c r="D70" i="175"/>
  <c r="C70" i="175"/>
  <c r="D69" i="175"/>
  <c r="C69" i="175"/>
  <c r="D68" i="175"/>
  <c r="C68" i="175"/>
  <c r="D67" i="175"/>
  <c r="C67" i="175"/>
  <c r="D66" i="175"/>
  <c r="C66" i="175"/>
  <c r="D65" i="175"/>
  <c r="C65" i="175"/>
  <c r="D64" i="175"/>
  <c r="C64" i="175"/>
  <c r="D60" i="175"/>
  <c r="C60" i="175"/>
  <c r="D59" i="175"/>
  <c r="C59" i="175"/>
  <c r="D58" i="175"/>
  <c r="C58" i="175"/>
  <c r="D57" i="175"/>
  <c r="C57" i="175"/>
  <c r="D56" i="175"/>
  <c r="C56" i="175"/>
  <c r="D55" i="175"/>
  <c r="C55" i="175"/>
  <c r="D54" i="175"/>
  <c r="C54" i="175"/>
  <c r="D53" i="175"/>
  <c r="C53" i="175"/>
  <c r="D52" i="175"/>
  <c r="C52" i="175"/>
  <c r="D51" i="175"/>
  <c r="C51" i="175"/>
  <c r="D50" i="175"/>
  <c r="C50" i="175"/>
  <c r="D49" i="175"/>
  <c r="C49" i="175"/>
  <c r="D48" i="175"/>
  <c r="C48" i="175"/>
  <c r="D47" i="175"/>
  <c r="C47" i="175"/>
  <c r="D46" i="175"/>
  <c r="C46" i="175"/>
  <c r="D45" i="175"/>
  <c r="C45" i="175"/>
  <c r="D44" i="175"/>
  <c r="C44" i="175"/>
  <c r="D43" i="175"/>
  <c r="C43" i="175"/>
  <c r="D42" i="175"/>
  <c r="C42" i="175"/>
  <c r="D41" i="175"/>
  <c r="C41" i="175"/>
  <c r="D40" i="175"/>
  <c r="C40" i="175"/>
  <c r="D39" i="175"/>
  <c r="C39" i="175"/>
  <c r="D38" i="175"/>
  <c r="C38" i="175"/>
  <c r="D37" i="175"/>
  <c r="C37" i="175"/>
  <c r="D36" i="175"/>
  <c r="C36" i="175"/>
  <c r="D35" i="175"/>
  <c r="C35" i="175"/>
  <c r="D34" i="175"/>
  <c r="C34" i="175"/>
  <c r="D33" i="175"/>
  <c r="C33" i="175"/>
  <c r="D32" i="175"/>
  <c r="C32" i="175"/>
  <c r="D31" i="175"/>
  <c r="C31" i="175"/>
  <c r="D30" i="175"/>
  <c r="C30" i="175"/>
  <c r="D29" i="175"/>
  <c r="C29" i="175"/>
  <c r="D28" i="175"/>
  <c r="C28" i="175"/>
  <c r="D27" i="175"/>
  <c r="C27" i="175"/>
  <c r="D26" i="175"/>
  <c r="C26" i="175"/>
  <c r="D25" i="175"/>
  <c r="C25" i="175"/>
  <c r="D20" i="175"/>
  <c r="C20" i="175"/>
  <c r="D19" i="175"/>
  <c r="C19" i="175"/>
  <c r="D18" i="175"/>
  <c r="C18" i="175"/>
  <c r="D17" i="175"/>
  <c r="C17" i="175"/>
  <c r="D16" i="175"/>
  <c r="C16" i="175"/>
  <c r="D15" i="175"/>
  <c r="C15" i="175"/>
  <c r="D14" i="175"/>
  <c r="C14" i="175"/>
  <c r="D13" i="175"/>
  <c r="C13" i="175"/>
  <c r="D12" i="175"/>
  <c r="C12" i="175"/>
  <c r="D11" i="175"/>
  <c r="C11" i="175"/>
  <c r="D93" i="175" l="1"/>
  <c r="D102" i="175"/>
  <c r="D119" i="175"/>
  <c r="C79" i="175"/>
  <c r="C119" i="175"/>
  <c r="D79" i="175"/>
  <c r="C161" i="175"/>
  <c r="D161" i="175"/>
  <c r="D61" i="175"/>
  <c r="C228" i="175"/>
  <c r="D111" i="175"/>
  <c r="C21" i="175"/>
  <c r="C93" i="175"/>
  <c r="C197" i="175"/>
  <c r="C206" i="175"/>
  <c r="C111" i="175"/>
  <c r="D21" i="175"/>
  <c r="C102" i="175"/>
  <c r="D197" i="175"/>
  <c r="D206" i="175"/>
  <c r="C61" i="175"/>
  <c r="D208" i="175" l="1"/>
  <c r="D215" i="175" s="1"/>
  <c r="C208" i="175"/>
  <c r="C212" i="175" s="1"/>
  <c r="C215" i="175" l="1"/>
  <c r="G244" i="57"/>
  <c r="G243" i="57"/>
  <c r="G242" i="57"/>
  <c r="G241" i="57"/>
  <c r="C238" i="57"/>
  <c r="C237" i="57"/>
  <c r="C236" i="57"/>
  <c r="C235" i="57"/>
  <c r="C233" i="57"/>
  <c r="C232" i="57"/>
  <c r="C231" i="57"/>
  <c r="D228" i="57"/>
  <c r="C227" i="57"/>
  <c r="C226" i="57"/>
  <c r="C225" i="57"/>
  <c r="C224" i="57"/>
  <c r="C223" i="57"/>
  <c r="C222" i="57"/>
  <c r="C221" i="57"/>
  <c r="C220" i="57"/>
  <c r="C219" i="57"/>
  <c r="C211" i="57"/>
  <c r="D205" i="57"/>
  <c r="C205" i="57"/>
  <c r="D204" i="57"/>
  <c r="C204" i="57"/>
  <c r="D203" i="57"/>
  <c r="C203" i="57"/>
  <c r="D202" i="57"/>
  <c r="C202" i="57"/>
  <c r="D201" i="57"/>
  <c r="C201" i="57"/>
  <c r="D200" i="57"/>
  <c r="C200" i="57"/>
  <c r="D196" i="57"/>
  <c r="C196" i="57"/>
  <c r="D195" i="57"/>
  <c r="C195" i="57"/>
  <c r="D194" i="57"/>
  <c r="C194" i="57"/>
  <c r="D193" i="57"/>
  <c r="C193" i="57"/>
  <c r="D192" i="57"/>
  <c r="C192" i="57"/>
  <c r="D191" i="57"/>
  <c r="C191" i="57"/>
  <c r="D190" i="57"/>
  <c r="C190" i="57"/>
  <c r="D189" i="57"/>
  <c r="C189" i="57"/>
  <c r="D188" i="57"/>
  <c r="C188" i="57"/>
  <c r="D187" i="57"/>
  <c r="C187" i="57"/>
  <c r="D186" i="57"/>
  <c r="C186" i="57"/>
  <c r="D185" i="57"/>
  <c r="C185" i="57"/>
  <c r="D184" i="57"/>
  <c r="C184" i="57"/>
  <c r="D183" i="57"/>
  <c r="C183" i="57"/>
  <c r="D182" i="57"/>
  <c r="C182" i="57"/>
  <c r="D181" i="57"/>
  <c r="C181" i="57"/>
  <c r="D180" i="57"/>
  <c r="C180" i="57"/>
  <c r="D179" i="57"/>
  <c r="C179" i="57"/>
  <c r="D178" i="57"/>
  <c r="C178" i="57"/>
  <c r="D177" i="57"/>
  <c r="C177" i="57"/>
  <c r="D176" i="57"/>
  <c r="C176" i="57"/>
  <c r="D175" i="57"/>
  <c r="C175" i="57"/>
  <c r="D174" i="57"/>
  <c r="C174" i="57"/>
  <c r="D173" i="57"/>
  <c r="C173" i="57"/>
  <c r="D172" i="57"/>
  <c r="C172" i="57"/>
  <c r="D171" i="57"/>
  <c r="C171" i="57"/>
  <c r="D170" i="57"/>
  <c r="C170" i="57"/>
  <c r="D169" i="57"/>
  <c r="C169" i="57"/>
  <c r="D168" i="57"/>
  <c r="C168" i="57"/>
  <c r="D167" i="57"/>
  <c r="C167" i="57"/>
  <c r="D166" i="57"/>
  <c r="C166" i="57"/>
  <c r="D165" i="57"/>
  <c r="C165" i="57"/>
  <c r="D164" i="57"/>
  <c r="C164" i="57"/>
  <c r="D160" i="57"/>
  <c r="C160" i="57"/>
  <c r="D159" i="57"/>
  <c r="C159" i="57"/>
  <c r="D158" i="57"/>
  <c r="C158" i="57"/>
  <c r="D157" i="57"/>
  <c r="C157" i="57"/>
  <c r="D156" i="57"/>
  <c r="C156" i="57"/>
  <c r="D155" i="57"/>
  <c r="C155" i="57"/>
  <c r="D153" i="57"/>
  <c r="C153" i="57"/>
  <c r="D152" i="57"/>
  <c r="C152" i="57"/>
  <c r="D151" i="57"/>
  <c r="C151" i="57"/>
  <c r="D150" i="57"/>
  <c r="C150" i="57"/>
  <c r="D149" i="57"/>
  <c r="C149" i="57"/>
  <c r="D148" i="57"/>
  <c r="C148" i="57"/>
  <c r="D147" i="57"/>
  <c r="C147" i="57"/>
  <c r="D146" i="57"/>
  <c r="C146" i="57"/>
  <c r="D145" i="57"/>
  <c r="C145" i="57"/>
  <c r="D143" i="57"/>
  <c r="C143" i="57"/>
  <c r="D142" i="57"/>
  <c r="C142" i="57"/>
  <c r="D141" i="57"/>
  <c r="C141" i="57"/>
  <c r="D140" i="57"/>
  <c r="C140" i="57"/>
  <c r="D138" i="57"/>
  <c r="C138" i="57"/>
  <c r="D137" i="57"/>
  <c r="C137" i="57"/>
  <c r="D136" i="57"/>
  <c r="C136" i="57"/>
  <c r="D135" i="57"/>
  <c r="C135" i="57"/>
  <c r="D133" i="57"/>
  <c r="C133" i="57"/>
  <c r="D132" i="57"/>
  <c r="C132" i="57"/>
  <c r="D131" i="57"/>
  <c r="C131" i="57"/>
  <c r="D130" i="57"/>
  <c r="C130" i="57"/>
  <c r="D129" i="57"/>
  <c r="C129" i="57"/>
  <c r="D127" i="57"/>
  <c r="C127" i="57"/>
  <c r="D126" i="57"/>
  <c r="C126" i="57"/>
  <c r="D125" i="57"/>
  <c r="C125" i="57"/>
  <c r="D124" i="57"/>
  <c r="C124" i="57"/>
  <c r="D123" i="57"/>
  <c r="C123" i="57"/>
  <c r="D118" i="57"/>
  <c r="C118" i="57"/>
  <c r="D117" i="57"/>
  <c r="C117" i="57"/>
  <c r="D116" i="57"/>
  <c r="C116" i="57"/>
  <c r="D115" i="57"/>
  <c r="C115" i="57"/>
  <c r="D114" i="57"/>
  <c r="C114" i="57"/>
  <c r="D110" i="57"/>
  <c r="C110" i="57"/>
  <c r="D109" i="57"/>
  <c r="C109" i="57"/>
  <c r="D108" i="57"/>
  <c r="C108" i="57"/>
  <c r="D107" i="57"/>
  <c r="C107" i="57"/>
  <c r="D106" i="57"/>
  <c r="C106" i="57"/>
  <c r="D105" i="57"/>
  <c r="C105" i="57"/>
  <c r="D101" i="57"/>
  <c r="C101" i="57"/>
  <c r="D100" i="57"/>
  <c r="C100" i="57"/>
  <c r="D99" i="57"/>
  <c r="C99" i="57"/>
  <c r="D98" i="57"/>
  <c r="C98" i="57"/>
  <c r="D97" i="57"/>
  <c r="C97" i="57"/>
  <c r="D96" i="57"/>
  <c r="C96" i="57"/>
  <c r="D92" i="57"/>
  <c r="C92" i="57"/>
  <c r="D91" i="57"/>
  <c r="C91" i="57"/>
  <c r="D90" i="57"/>
  <c r="C90" i="57"/>
  <c r="D89" i="57"/>
  <c r="C89" i="57"/>
  <c r="D88" i="57"/>
  <c r="C88" i="57"/>
  <c r="D87" i="57"/>
  <c r="C87" i="57"/>
  <c r="D86" i="57"/>
  <c r="C86" i="57"/>
  <c r="D85" i="57"/>
  <c r="C85" i="57"/>
  <c r="D84" i="57"/>
  <c r="C84" i="57"/>
  <c r="D83" i="57"/>
  <c r="C83" i="57"/>
  <c r="D82" i="57"/>
  <c r="C82" i="57"/>
  <c r="D78" i="57"/>
  <c r="C78" i="57"/>
  <c r="D77" i="57"/>
  <c r="C77" i="57"/>
  <c r="D76" i="57"/>
  <c r="C76" i="57"/>
  <c r="D75" i="57"/>
  <c r="C75" i="57"/>
  <c r="D74" i="57"/>
  <c r="C74" i="57"/>
  <c r="D73" i="57"/>
  <c r="C73" i="57"/>
  <c r="D72" i="57"/>
  <c r="C72" i="57"/>
  <c r="D71" i="57"/>
  <c r="C71" i="57"/>
  <c r="D70" i="57"/>
  <c r="C70" i="57"/>
  <c r="D69" i="57"/>
  <c r="C69" i="57"/>
  <c r="D68" i="57"/>
  <c r="C68" i="57"/>
  <c r="D67" i="57"/>
  <c r="C67" i="57"/>
  <c r="D66" i="57"/>
  <c r="C66" i="57"/>
  <c r="D65" i="57"/>
  <c r="C65" i="57"/>
  <c r="D64" i="57"/>
  <c r="C64" i="57"/>
  <c r="D60" i="57"/>
  <c r="C60" i="57"/>
  <c r="D59" i="57"/>
  <c r="C59" i="57"/>
  <c r="D58" i="57"/>
  <c r="C58" i="57"/>
  <c r="D57" i="57"/>
  <c r="C57" i="57"/>
  <c r="D56" i="57"/>
  <c r="C56" i="57"/>
  <c r="D55" i="57"/>
  <c r="C55" i="57"/>
  <c r="D54" i="57"/>
  <c r="C54" i="57"/>
  <c r="D53" i="57"/>
  <c r="C53" i="57"/>
  <c r="D52" i="57"/>
  <c r="C52" i="57"/>
  <c r="D51" i="57"/>
  <c r="C51" i="57"/>
  <c r="D50" i="57"/>
  <c r="C50" i="57"/>
  <c r="D49" i="57"/>
  <c r="C49" i="57"/>
  <c r="D48" i="57"/>
  <c r="C48" i="57"/>
  <c r="D47" i="57"/>
  <c r="C47" i="57"/>
  <c r="D46" i="57"/>
  <c r="C46" i="57"/>
  <c r="D45" i="57"/>
  <c r="C45" i="57"/>
  <c r="D44" i="57"/>
  <c r="C44" i="57"/>
  <c r="D43" i="57"/>
  <c r="C43" i="57"/>
  <c r="D42" i="57"/>
  <c r="C42" i="57"/>
  <c r="D41" i="57"/>
  <c r="C41" i="57"/>
  <c r="D40" i="57"/>
  <c r="C40" i="57"/>
  <c r="D39" i="57"/>
  <c r="C39" i="57"/>
  <c r="D38" i="57"/>
  <c r="C38" i="57"/>
  <c r="D37" i="57"/>
  <c r="C37" i="57"/>
  <c r="D36" i="57"/>
  <c r="C36" i="57"/>
  <c r="D35" i="57"/>
  <c r="C35" i="57"/>
  <c r="D34" i="57"/>
  <c r="C34" i="57"/>
  <c r="D33" i="57"/>
  <c r="C33" i="57"/>
  <c r="D32" i="57"/>
  <c r="C32" i="57"/>
  <c r="D31" i="57"/>
  <c r="C31" i="57"/>
  <c r="D30" i="57"/>
  <c r="C30" i="57"/>
  <c r="D29" i="57"/>
  <c r="C29" i="57"/>
  <c r="D28" i="57"/>
  <c r="C28" i="57"/>
  <c r="D27" i="57"/>
  <c r="C27" i="57"/>
  <c r="D26" i="57"/>
  <c r="C26" i="57"/>
  <c r="D25" i="57"/>
  <c r="C25" i="57"/>
  <c r="D20" i="57"/>
  <c r="C20" i="57"/>
  <c r="D19" i="57"/>
  <c r="C19" i="57"/>
  <c r="D18" i="57"/>
  <c r="C18" i="57"/>
  <c r="D17" i="57"/>
  <c r="C17" i="57"/>
  <c r="D16" i="57"/>
  <c r="C16" i="57"/>
  <c r="D15" i="57"/>
  <c r="C15" i="57"/>
  <c r="D14" i="57"/>
  <c r="C14" i="57"/>
  <c r="D13" i="57"/>
  <c r="C13" i="57"/>
  <c r="D12" i="57"/>
  <c r="C12" i="57"/>
  <c r="D11" i="57"/>
  <c r="C11" i="57"/>
  <c r="D93" i="57" l="1"/>
  <c r="D102" i="57"/>
  <c r="D119" i="57"/>
  <c r="C119" i="57"/>
  <c r="D79" i="57"/>
  <c r="C61" i="57"/>
  <c r="D111" i="57"/>
  <c r="C161" i="57"/>
  <c r="C21" i="57"/>
  <c r="D161" i="57"/>
  <c r="C111" i="57"/>
  <c r="C228" i="57"/>
  <c r="D21" i="57"/>
  <c r="C93" i="57"/>
  <c r="C197" i="57"/>
  <c r="C206" i="57"/>
  <c r="C79" i="57"/>
  <c r="C102" i="57"/>
  <c r="D197" i="57"/>
  <c r="D206" i="57"/>
  <c r="D61" i="57"/>
  <c r="D208" i="57" l="1"/>
  <c r="D215" i="57" s="1"/>
  <c r="C208" i="57"/>
  <c r="C212" i="57" s="1"/>
  <c r="C215" i="57" l="1"/>
  <c r="G244" i="84"/>
  <c r="G243" i="84"/>
  <c r="G242" i="84"/>
  <c r="G241" i="84"/>
  <c r="C238" i="84"/>
  <c r="C237" i="84"/>
  <c r="C236" i="84"/>
  <c r="C235" i="84"/>
  <c r="C233" i="84"/>
  <c r="C232" i="84"/>
  <c r="C231" i="84"/>
  <c r="D228" i="84"/>
  <c r="C227" i="84"/>
  <c r="C226" i="84"/>
  <c r="C225" i="84"/>
  <c r="C224" i="84"/>
  <c r="C223" i="84"/>
  <c r="C222" i="84"/>
  <c r="C221" i="84"/>
  <c r="C220" i="84"/>
  <c r="C219" i="84"/>
  <c r="C211" i="84"/>
  <c r="D205" i="84"/>
  <c r="C205" i="84"/>
  <c r="D204" i="84"/>
  <c r="C204" i="84"/>
  <c r="D203" i="84"/>
  <c r="C203" i="84"/>
  <c r="D202" i="84"/>
  <c r="C202" i="84"/>
  <c r="D201" i="84"/>
  <c r="C201" i="84"/>
  <c r="D200" i="84"/>
  <c r="C200" i="84"/>
  <c r="D196" i="84"/>
  <c r="C196" i="84"/>
  <c r="D195" i="84"/>
  <c r="C195" i="84"/>
  <c r="D194" i="84"/>
  <c r="C194" i="84"/>
  <c r="D193" i="84"/>
  <c r="C193" i="84"/>
  <c r="D192" i="84"/>
  <c r="C192" i="84"/>
  <c r="D191" i="84"/>
  <c r="C191" i="84"/>
  <c r="D190" i="84"/>
  <c r="C190" i="84"/>
  <c r="D189" i="84"/>
  <c r="C189" i="84"/>
  <c r="D188" i="84"/>
  <c r="C188" i="84"/>
  <c r="D187" i="84"/>
  <c r="C187" i="84"/>
  <c r="D186" i="84"/>
  <c r="C186" i="84"/>
  <c r="D185" i="84"/>
  <c r="C185" i="84"/>
  <c r="D184" i="84"/>
  <c r="C184" i="84"/>
  <c r="D183" i="84"/>
  <c r="C183" i="84"/>
  <c r="D182" i="84"/>
  <c r="C182" i="84"/>
  <c r="D181" i="84"/>
  <c r="C181" i="84"/>
  <c r="D180" i="84"/>
  <c r="C180" i="84"/>
  <c r="D179" i="84"/>
  <c r="C179" i="84"/>
  <c r="D178" i="84"/>
  <c r="C178" i="84"/>
  <c r="D177" i="84"/>
  <c r="C177" i="84"/>
  <c r="D176" i="84"/>
  <c r="C176" i="84"/>
  <c r="D175" i="84"/>
  <c r="C175" i="84"/>
  <c r="D174" i="84"/>
  <c r="C174" i="84"/>
  <c r="D173" i="84"/>
  <c r="C173" i="84"/>
  <c r="D172" i="84"/>
  <c r="C172" i="84"/>
  <c r="D171" i="84"/>
  <c r="C171" i="84"/>
  <c r="D170" i="84"/>
  <c r="C170" i="84"/>
  <c r="D169" i="84"/>
  <c r="C169" i="84"/>
  <c r="D168" i="84"/>
  <c r="C168" i="84"/>
  <c r="D167" i="84"/>
  <c r="C167" i="84"/>
  <c r="D166" i="84"/>
  <c r="C166" i="84"/>
  <c r="D165" i="84"/>
  <c r="C165" i="84"/>
  <c r="D164" i="84"/>
  <c r="C164" i="84"/>
  <c r="D160" i="84"/>
  <c r="C160" i="84"/>
  <c r="D159" i="84"/>
  <c r="C159" i="84"/>
  <c r="D158" i="84"/>
  <c r="C158" i="84"/>
  <c r="D157" i="84"/>
  <c r="C157" i="84"/>
  <c r="D156" i="84"/>
  <c r="C156" i="84"/>
  <c r="D155" i="84"/>
  <c r="C155" i="84"/>
  <c r="D153" i="84"/>
  <c r="C153" i="84"/>
  <c r="D152" i="84"/>
  <c r="C152" i="84"/>
  <c r="D151" i="84"/>
  <c r="C151" i="84"/>
  <c r="D150" i="84"/>
  <c r="C150" i="84"/>
  <c r="D149" i="84"/>
  <c r="C149" i="84"/>
  <c r="D148" i="84"/>
  <c r="C148" i="84"/>
  <c r="D147" i="84"/>
  <c r="C147" i="84"/>
  <c r="D146" i="84"/>
  <c r="C146" i="84"/>
  <c r="D145" i="84"/>
  <c r="C145" i="84"/>
  <c r="D143" i="84"/>
  <c r="C143" i="84"/>
  <c r="D142" i="84"/>
  <c r="C142" i="84"/>
  <c r="D141" i="84"/>
  <c r="C141" i="84"/>
  <c r="D140" i="84"/>
  <c r="C140" i="84"/>
  <c r="D138" i="84"/>
  <c r="C138" i="84"/>
  <c r="D137" i="84"/>
  <c r="C137" i="84"/>
  <c r="D136" i="84"/>
  <c r="C136" i="84"/>
  <c r="D135" i="84"/>
  <c r="C135" i="84"/>
  <c r="D133" i="84"/>
  <c r="C133" i="84"/>
  <c r="D132" i="84"/>
  <c r="C132" i="84"/>
  <c r="D131" i="84"/>
  <c r="C131" i="84"/>
  <c r="D130" i="84"/>
  <c r="C130" i="84"/>
  <c r="D129" i="84"/>
  <c r="C129" i="84"/>
  <c r="D127" i="84"/>
  <c r="C127" i="84"/>
  <c r="D126" i="84"/>
  <c r="C126" i="84"/>
  <c r="D125" i="84"/>
  <c r="C125" i="84"/>
  <c r="D124" i="84"/>
  <c r="C124" i="84"/>
  <c r="D123" i="84"/>
  <c r="C123" i="84"/>
  <c r="D118" i="84"/>
  <c r="C118" i="84"/>
  <c r="D117" i="84"/>
  <c r="C117" i="84"/>
  <c r="D116" i="84"/>
  <c r="C116" i="84"/>
  <c r="D115" i="84"/>
  <c r="C115" i="84"/>
  <c r="D114" i="84"/>
  <c r="C114" i="84"/>
  <c r="D110" i="84"/>
  <c r="C110" i="84"/>
  <c r="D109" i="84"/>
  <c r="C109" i="84"/>
  <c r="D108" i="84"/>
  <c r="C108" i="84"/>
  <c r="D107" i="84"/>
  <c r="C107" i="84"/>
  <c r="D106" i="84"/>
  <c r="C106" i="84"/>
  <c r="D105" i="84"/>
  <c r="C105" i="84"/>
  <c r="D101" i="84"/>
  <c r="C101" i="84"/>
  <c r="D100" i="84"/>
  <c r="C100" i="84"/>
  <c r="D99" i="84"/>
  <c r="C99" i="84"/>
  <c r="D98" i="84"/>
  <c r="C98" i="84"/>
  <c r="D97" i="84"/>
  <c r="C97" i="84"/>
  <c r="D96" i="84"/>
  <c r="C96" i="84"/>
  <c r="D92" i="84"/>
  <c r="C92" i="84"/>
  <c r="D91" i="84"/>
  <c r="C91" i="84"/>
  <c r="D90" i="84"/>
  <c r="C90" i="84"/>
  <c r="D89" i="84"/>
  <c r="C89" i="84"/>
  <c r="D88" i="84"/>
  <c r="C88" i="84"/>
  <c r="D87" i="84"/>
  <c r="C87" i="84"/>
  <c r="D86" i="84"/>
  <c r="C86" i="84"/>
  <c r="D85" i="84"/>
  <c r="C85" i="84"/>
  <c r="D84" i="84"/>
  <c r="C84" i="84"/>
  <c r="D83" i="84"/>
  <c r="C83" i="84"/>
  <c r="D82" i="84"/>
  <c r="C82" i="84"/>
  <c r="D78" i="84"/>
  <c r="C78" i="84"/>
  <c r="D77" i="84"/>
  <c r="C77" i="84"/>
  <c r="D76" i="84"/>
  <c r="C76" i="84"/>
  <c r="D75" i="84"/>
  <c r="C75" i="84"/>
  <c r="D74" i="84"/>
  <c r="C74" i="84"/>
  <c r="D73" i="84"/>
  <c r="C73" i="84"/>
  <c r="D72" i="84"/>
  <c r="C72" i="84"/>
  <c r="D71" i="84"/>
  <c r="C71" i="84"/>
  <c r="D70" i="84"/>
  <c r="C70" i="84"/>
  <c r="D69" i="84"/>
  <c r="C69" i="84"/>
  <c r="D68" i="84"/>
  <c r="C68" i="84"/>
  <c r="D67" i="84"/>
  <c r="C67" i="84"/>
  <c r="D66" i="84"/>
  <c r="C66" i="84"/>
  <c r="D65" i="84"/>
  <c r="C65" i="84"/>
  <c r="D64" i="84"/>
  <c r="C64" i="84"/>
  <c r="D60" i="84"/>
  <c r="C60" i="84"/>
  <c r="D59" i="84"/>
  <c r="C59" i="84"/>
  <c r="D58" i="84"/>
  <c r="C58" i="84"/>
  <c r="D57" i="84"/>
  <c r="C57" i="84"/>
  <c r="D56" i="84"/>
  <c r="C56" i="84"/>
  <c r="D55" i="84"/>
  <c r="C55" i="84"/>
  <c r="D54" i="84"/>
  <c r="C54" i="84"/>
  <c r="D53" i="84"/>
  <c r="C53" i="84"/>
  <c r="D52" i="84"/>
  <c r="C52" i="84"/>
  <c r="D51" i="84"/>
  <c r="C51" i="84"/>
  <c r="D50" i="84"/>
  <c r="C50" i="84"/>
  <c r="D49" i="84"/>
  <c r="C49" i="84"/>
  <c r="D48" i="84"/>
  <c r="C48" i="84"/>
  <c r="D47" i="84"/>
  <c r="C47" i="84"/>
  <c r="D46" i="84"/>
  <c r="C46" i="84"/>
  <c r="D45" i="84"/>
  <c r="C45" i="84"/>
  <c r="D44" i="84"/>
  <c r="C44" i="84"/>
  <c r="D43" i="84"/>
  <c r="C43" i="84"/>
  <c r="D42" i="84"/>
  <c r="C42" i="84"/>
  <c r="D41" i="84"/>
  <c r="C41" i="84"/>
  <c r="D40" i="84"/>
  <c r="C40" i="84"/>
  <c r="D39" i="84"/>
  <c r="C39" i="84"/>
  <c r="D38" i="84"/>
  <c r="C38" i="84"/>
  <c r="D37" i="84"/>
  <c r="C37" i="84"/>
  <c r="D36" i="84"/>
  <c r="C36" i="84"/>
  <c r="D35" i="84"/>
  <c r="C35" i="84"/>
  <c r="D34" i="84"/>
  <c r="C34" i="84"/>
  <c r="D33" i="84"/>
  <c r="C33" i="84"/>
  <c r="D32" i="84"/>
  <c r="C32" i="84"/>
  <c r="D31" i="84"/>
  <c r="C31" i="84"/>
  <c r="D30" i="84"/>
  <c r="C30" i="84"/>
  <c r="D29" i="84"/>
  <c r="C29" i="84"/>
  <c r="D28" i="84"/>
  <c r="C28" i="84"/>
  <c r="D27" i="84"/>
  <c r="C27" i="84"/>
  <c r="D26" i="84"/>
  <c r="C26" i="84"/>
  <c r="D25" i="84"/>
  <c r="C25" i="84"/>
  <c r="D20" i="84"/>
  <c r="C20" i="84"/>
  <c r="D19" i="84"/>
  <c r="C19" i="84"/>
  <c r="D18" i="84"/>
  <c r="C18" i="84"/>
  <c r="D17" i="84"/>
  <c r="C17" i="84"/>
  <c r="D16" i="84"/>
  <c r="C16" i="84"/>
  <c r="D15" i="84"/>
  <c r="C15" i="84"/>
  <c r="D14" i="84"/>
  <c r="C14" i="84"/>
  <c r="D13" i="84"/>
  <c r="C13" i="84"/>
  <c r="D12" i="84"/>
  <c r="C12" i="84"/>
  <c r="D11" i="84"/>
  <c r="C11" i="84"/>
  <c r="D21" i="84" l="1"/>
  <c r="D102" i="84"/>
  <c r="D119" i="84"/>
  <c r="C21" i="84"/>
  <c r="C102" i="84"/>
  <c r="C119" i="84"/>
  <c r="C93" i="84"/>
  <c r="C161" i="84"/>
  <c r="D93" i="84"/>
  <c r="C111" i="84"/>
  <c r="D79" i="84"/>
  <c r="D111" i="84"/>
  <c r="D197" i="84"/>
  <c r="D161" i="84"/>
  <c r="C79" i="84"/>
  <c r="C197" i="84"/>
  <c r="C206" i="84"/>
  <c r="C228" i="84"/>
  <c r="D206" i="84"/>
  <c r="C61" i="84"/>
  <c r="D61" i="84"/>
  <c r="C208" i="84" l="1"/>
  <c r="C212" i="84" s="1"/>
  <c r="D208" i="84"/>
  <c r="D215" i="84" s="1"/>
  <c r="C215" i="84" l="1"/>
  <c r="G244" i="167"/>
  <c r="G243" i="167"/>
  <c r="G242" i="167"/>
  <c r="G241" i="167"/>
  <c r="C238" i="167"/>
  <c r="C237" i="167"/>
  <c r="C236" i="167"/>
  <c r="C235" i="167"/>
  <c r="C233" i="167"/>
  <c r="C232" i="167"/>
  <c r="C231" i="167"/>
  <c r="D228" i="167"/>
  <c r="C227" i="167"/>
  <c r="C226" i="167"/>
  <c r="C225" i="167"/>
  <c r="C224" i="167"/>
  <c r="C223" i="167"/>
  <c r="C222" i="167"/>
  <c r="C221" i="167"/>
  <c r="C220" i="167"/>
  <c r="C219" i="167"/>
  <c r="C211" i="167"/>
  <c r="D205" i="167"/>
  <c r="C205" i="167"/>
  <c r="D204" i="167"/>
  <c r="C204" i="167"/>
  <c r="D203" i="167"/>
  <c r="C203" i="167"/>
  <c r="D202" i="167"/>
  <c r="C202" i="167"/>
  <c r="D201" i="167"/>
  <c r="C201" i="167"/>
  <c r="D200" i="167"/>
  <c r="C200" i="167"/>
  <c r="D196" i="167"/>
  <c r="C196" i="167"/>
  <c r="D195" i="167"/>
  <c r="C195" i="167"/>
  <c r="D194" i="167"/>
  <c r="C194" i="167"/>
  <c r="D193" i="167"/>
  <c r="C193" i="167"/>
  <c r="D192" i="167"/>
  <c r="C192" i="167"/>
  <c r="D191" i="167"/>
  <c r="C191" i="167"/>
  <c r="D190" i="167"/>
  <c r="C190" i="167"/>
  <c r="D189" i="167"/>
  <c r="C189" i="167"/>
  <c r="D188" i="167"/>
  <c r="C188" i="167"/>
  <c r="D187" i="167"/>
  <c r="C187" i="167"/>
  <c r="D186" i="167"/>
  <c r="C186" i="167"/>
  <c r="D185" i="167"/>
  <c r="C185" i="167"/>
  <c r="D184" i="167"/>
  <c r="C184" i="167"/>
  <c r="D183" i="167"/>
  <c r="C183" i="167"/>
  <c r="D182" i="167"/>
  <c r="C182" i="167"/>
  <c r="D181" i="167"/>
  <c r="C181" i="167"/>
  <c r="D180" i="167"/>
  <c r="C180" i="167"/>
  <c r="D179" i="167"/>
  <c r="C179" i="167"/>
  <c r="D178" i="167"/>
  <c r="C178" i="167"/>
  <c r="D177" i="167"/>
  <c r="C177" i="167"/>
  <c r="D176" i="167"/>
  <c r="C176" i="167"/>
  <c r="D175" i="167"/>
  <c r="C175" i="167"/>
  <c r="D174" i="167"/>
  <c r="C174" i="167"/>
  <c r="D173" i="167"/>
  <c r="C173" i="167"/>
  <c r="D172" i="167"/>
  <c r="C172" i="167"/>
  <c r="D171" i="167"/>
  <c r="C171" i="167"/>
  <c r="D170" i="167"/>
  <c r="C170" i="167"/>
  <c r="D169" i="167"/>
  <c r="C169" i="167"/>
  <c r="D168" i="167"/>
  <c r="C168" i="167"/>
  <c r="D167" i="167"/>
  <c r="C167" i="167"/>
  <c r="D166" i="167"/>
  <c r="C166" i="167"/>
  <c r="D165" i="167"/>
  <c r="C165" i="167"/>
  <c r="D164" i="167"/>
  <c r="C164" i="167"/>
  <c r="D160" i="167"/>
  <c r="C160" i="167"/>
  <c r="D159" i="167"/>
  <c r="C159" i="167"/>
  <c r="D158" i="167"/>
  <c r="C158" i="167"/>
  <c r="D157" i="167"/>
  <c r="C157" i="167"/>
  <c r="D156" i="167"/>
  <c r="C156" i="167"/>
  <c r="D155" i="167"/>
  <c r="C155" i="167"/>
  <c r="D153" i="167"/>
  <c r="C153" i="167"/>
  <c r="D152" i="167"/>
  <c r="C152" i="167"/>
  <c r="D151" i="167"/>
  <c r="C151" i="167"/>
  <c r="D150" i="167"/>
  <c r="C150" i="167"/>
  <c r="D149" i="167"/>
  <c r="C149" i="167"/>
  <c r="D148" i="167"/>
  <c r="C148" i="167"/>
  <c r="D147" i="167"/>
  <c r="C147" i="167"/>
  <c r="D146" i="167"/>
  <c r="C146" i="167"/>
  <c r="D145" i="167"/>
  <c r="C145" i="167"/>
  <c r="D143" i="167"/>
  <c r="C143" i="167"/>
  <c r="D142" i="167"/>
  <c r="C142" i="167"/>
  <c r="D141" i="167"/>
  <c r="C141" i="167"/>
  <c r="D140" i="167"/>
  <c r="C140" i="167"/>
  <c r="D138" i="167"/>
  <c r="C138" i="167"/>
  <c r="D137" i="167"/>
  <c r="C137" i="167"/>
  <c r="D136" i="167"/>
  <c r="C136" i="167"/>
  <c r="D135" i="167"/>
  <c r="C135" i="167"/>
  <c r="D133" i="167"/>
  <c r="C133" i="167"/>
  <c r="D132" i="167"/>
  <c r="C132" i="167"/>
  <c r="D131" i="167"/>
  <c r="C131" i="167"/>
  <c r="D130" i="167"/>
  <c r="C130" i="167"/>
  <c r="D129" i="167"/>
  <c r="C129" i="167"/>
  <c r="D127" i="167"/>
  <c r="C127" i="167"/>
  <c r="D126" i="167"/>
  <c r="C126" i="167"/>
  <c r="D125" i="167"/>
  <c r="C125" i="167"/>
  <c r="D124" i="167"/>
  <c r="C124" i="167"/>
  <c r="D123" i="167"/>
  <c r="C123" i="167"/>
  <c r="D118" i="167"/>
  <c r="C118" i="167"/>
  <c r="D117" i="167"/>
  <c r="C117" i="167"/>
  <c r="D116" i="167"/>
  <c r="C116" i="167"/>
  <c r="D115" i="167"/>
  <c r="C115" i="167"/>
  <c r="D114" i="167"/>
  <c r="C114" i="167"/>
  <c r="D110" i="167"/>
  <c r="C110" i="167"/>
  <c r="D109" i="167"/>
  <c r="C109" i="167"/>
  <c r="D108" i="167"/>
  <c r="C108" i="167"/>
  <c r="D107" i="167"/>
  <c r="C107" i="167"/>
  <c r="D106" i="167"/>
  <c r="C106" i="167"/>
  <c r="D105" i="167"/>
  <c r="C105" i="167"/>
  <c r="D101" i="167"/>
  <c r="C101" i="167"/>
  <c r="D100" i="167"/>
  <c r="C100" i="167"/>
  <c r="D99" i="167"/>
  <c r="C99" i="167"/>
  <c r="D98" i="167"/>
  <c r="C98" i="167"/>
  <c r="D97" i="167"/>
  <c r="C97" i="167"/>
  <c r="D96" i="167"/>
  <c r="C96" i="167"/>
  <c r="D92" i="167"/>
  <c r="C92" i="167"/>
  <c r="D91" i="167"/>
  <c r="C91" i="167"/>
  <c r="D90" i="167"/>
  <c r="C90" i="167"/>
  <c r="D89" i="167"/>
  <c r="C89" i="167"/>
  <c r="D88" i="167"/>
  <c r="C88" i="167"/>
  <c r="D87" i="167"/>
  <c r="C87" i="167"/>
  <c r="D86" i="167"/>
  <c r="C86" i="167"/>
  <c r="D85" i="167"/>
  <c r="C85" i="167"/>
  <c r="D84" i="167"/>
  <c r="C84" i="167"/>
  <c r="D83" i="167"/>
  <c r="C83" i="167"/>
  <c r="D82" i="167"/>
  <c r="C82" i="167"/>
  <c r="D78" i="167"/>
  <c r="C78" i="167"/>
  <c r="D77" i="167"/>
  <c r="C77" i="167"/>
  <c r="D76" i="167"/>
  <c r="C76" i="167"/>
  <c r="D75" i="167"/>
  <c r="C75" i="167"/>
  <c r="D74" i="167"/>
  <c r="C74" i="167"/>
  <c r="D73" i="167"/>
  <c r="C73" i="167"/>
  <c r="D72" i="167"/>
  <c r="C72" i="167"/>
  <c r="D71" i="167"/>
  <c r="C71" i="167"/>
  <c r="D70" i="167"/>
  <c r="C70" i="167"/>
  <c r="D69" i="167"/>
  <c r="C69" i="167"/>
  <c r="D68" i="167"/>
  <c r="C68" i="167"/>
  <c r="D67" i="167"/>
  <c r="C67" i="167"/>
  <c r="D66" i="167"/>
  <c r="C66" i="167"/>
  <c r="D65" i="167"/>
  <c r="C65" i="167"/>
  <c r="D64" i="167"/>
  <c r="C64" i="167"/>
  <c r="D60" i="167"/>
  <c r="C60" i="167"/>
  <c r="D59" i="167"/>
  <c r="C59" i="167"/>
  <c r="D58" i="167"/>
  <c r="C58" i="167"/>
  <c r="D57" i="167"/>
  <c r="C57" i="167"/>
  <c r="D56" i="167"/>
  <c r="C56" i="167"/>
  <c r="D55" i="167"/>
  <c r="C55" i="167"/>
  <c r="D54" i="167"/>
  <c r="C54" i="167"/>
  <c r="D53" i="167"/>
  <c r="C53" i="167"/>
  <c r="D52" i="167"/>
  <c r="C52" i="167"/>
  <c r="D51" i="167"/>
  <c r="C51" i="167"/>
  <c r="D50" i="167"/>
  <c r="C50" i="167"/>
  <c r="D49" i="167"/>
  <c r="C49" i="167"/>
  <c r="D48" i="167"/>
  <c r="C48" i="167"/>
  <c r="D47" i="167"/>
  <c r="C47" i="167"/>
  <c r="D46" i="167"/>
  <c r="C46" i="167"/>
  <c r="D45" i="167"/>
  <c r="C45" i="167"/>
  <c r="D44" i="167"/>
  <c r="C44" i="167"/>
  <c r="D43" i="167"/>
  <c r="C43" i="167"/>
  <c r="D42" i="167"/>
  <c r="C42" i="167"/>
  <c r="D41" i="167"/>
  <c r="C41" i="167"/>
  <c r="D40" i="167"/>
  <c r="C40" i="167"/>
  <c r="D39" i="167"/>
  <c r="C39" i="167"/>
  <c r="D38" i="167"/>
  <c r="C38" i="167"/>
  <c r="D37" i="167"/>
  <c r="C37" i="167"/>
  <c r="D36" i="167"/>
  <c r="C36" i="167"/>
  <c r="D35" i="167"/>
  <c r="C35" i="167"/>
  <c r="D34" i="167"/>
  <c r="C34" i="167"/>
  <c r="D33" i="167"/>
  <c r="C33" i="167"/>
  <c r="D32" i="167"/>
  <c r="C32" i="167"/>
  <c r="D31" i="167"/>
  <c r="C31" i="167"/>
  <c r="D30" i="167"/>
  <c r="C30" i="167"/>
  <c r="D29" i="167"/>
  <c r="C29" i="167"/>
  <c r="D28" i="167"/>
  <c r="C28" i="167"/>
  <c r="D27" i="167"/>
  <c r="C27" i="167"/>
  <c r="D26" i="167"/>
  <c r="C26" i="167"/>
  <c r="D25" i="167"/>
  <c r="C25" i="167"/>
  <c r="D20" i="167"/>
  <c r="C20" i="167"/>
  <c r="D19" i="167"/>
  <c r="C19" i="167"/>
  <c r="D18" i="167"/>
  <c r="C18" i="167"/>
  <c r="D17" i="167"/>
  <c r="C17" i="167"/>
  <c r="D16" i="167"/>
  <c r="C16" i="167"/>
  <c r="D15" i="167"/>
  <c r="C15" i="167"/>
  <c r="D14" i="167"/>
  <c r="C14" i="167"/>
  <c r="D13" i="167"/>
  <c r="C13" i="167"/>
  <c r="D12" i="167"/>
  <c r="C12" i="167"/>
  <c r="D11" i="167"/>
  <c r="C11" i="167"/>
  <c r="D119" i="167" l="1"/>
  <c r="C119" i="167"/>
  <c r="D79" i="167"/>
  <c r="C161" i="167"/>
  <c r="C79" i="167"/>
  <c r="D161" i="167"/>
  <c r="C228" i="167"/>
  <c r="D111" i="167"/>
  <c r="C197" i="167"/>
  <c r="C206" i="167"/>
  <c r="C21" i="167"/>
  <c r="C93" i="167"/>
  <c r="C102" i="167"/>
  <c r="D197" i="167"/>
  <c r="D206" i="167"/>
  <c r="C111" i="167"/>
  <c r="D61" i="167"/>
  <c r="D21" i="167"/>
  <c r="D93" i="167"/>
  <c r="D102" i="167"/>
  <c r="C61" i="167"/>
  <c r="D208" i="167" l="1"/>
  <c r="D215" i="167" s="1"/>
  <c r="C208" i="167"/>
  <c r="C212" i="167" s="1"/>
  <c r="C215" i="167" l="1"/>
  <c r="G244" i="39"/>
  <c r="G243" i="39"/>
  <c r="G242" i="39"/>
  <c r="G241" i="39"/>
  <c r="C238" i="39"/>
  <c r="C237" i="39"/>
  <c r="C236" i="39"/>
  <c r="C235" i="39"/>
  <c r="C233" i="39"/>
  <c r="C232" i="39"/>
  <c r="C231" i="39"/>
  <c r="D228" i="39"/>
  <c r="C227" i="39"/>
  <c r="C226" i="39"/>
  <c r="C225" i="39"/>
  <c r="C224" i="39"/>
  <c r="C223" i="39"/>
  <c r="C222" i="39"/>
  <c r="C221" i="39"/>
  <c r="C220" i="39"/>
  <c r="C219" i="39"/>
  <c r="C211" i="39"/>
  <c r="D205" i="39"/>
  <c r="C205" i="39"/>
  <c r="D204" i="39"/>
  <c r="C204" i="39"/>
  <c r="D203" i="39"/>
  <c r="C203" i="39"/>
  <c r="D202" i="39"/>
  <c r="C202" i="39"/>
  <c r="D201" i="39"/>
  <c r="C201" i="39"/>
  <c r="D200" i="39"/>
  <c r="C200" i="39"/>
  <c r="D196" i="39"/>
  <c r="C196" i="39"/>
  <c r="D195" i="39"/>
  <c r="C195" i="39"/>
  <c r="D194" i="39"/>
  <c r="C194" i="39"/>
  <c r="D193" i="39"/>
  <c r="C193" i="39"/>
  <c r="D192" i="39"/>
  <c r="C192" i="39"/>
  <c r="D191" i="39"/>
  <c r="C191" i="39"/>
  <c r="D190" i="39"/>
  <c r="C190" i="39"/>
  <c r="D189" i="39"/>
  <c r="C189" i="39"/>
  <c r="D188" i="39"/>
  <c r="C188" i="39"/>
  <c r="D187" i="39"/>
  <c r="C187" i="39"/>
  <c r="D186" i="39"/>
  <c r="C186" i="39"/>
  <c r="D185" i="39"/>
  <c r="C185" i="39"/>
  <c r="D184" i="39"/>
  <c r="C184" i="39"/>
  <c r="D183" i="39"/>
  <c r="C183" i="39"/>
  <c r="D182" i="39"/>
  <c r="C182" i="39"/>
  <c r="D181" i="39"/>
  <c r="C181" i="39"/>
  <c r="D180" i="39"/>
  <c r="C180" i="39"/>
  <c r="D179" i="39"/>
  <c r="C179" i="39"/>
  <c r="D178" i="39"/>
  <c r="C178" i="39"/>
  <c r="D177" i="39"/>
  <c r="C177" i="39"/>
  <c r="D176" i="39"/>
  <c r="C176" i="39"/>
  <c r="D175" i="39"/>
  <c r="C175" i="39"/>
  <c r="D174" i="39"/>
  <c r="C174" i="39"/>
  <c r="D173" i="39"/>
  <c r="C173" i="39"/>
  <c r="D172" i="39"/>
  <c r="C172" i="39"/>
  <c r="D171" i="39"/>
  <c r="C171" i="39"/>
  <c r="D170" i="39"/>
  <c r="C170" i="39"/>
  <c r="D169" i="39"/>
  <c r="C169" i="39"/>
  <c r="D168" i="39"/>
  <c r="C168" i="39"/>
  <c r="D167" i="39"/>
  <c r="C167" i="39"/>
  <c r="D166" i="39"/>
  <c r="C166" i="39"/>
  <c r="D165" i="39"/>
  <c r="C165" i="39"/>
  <c r="D164" i="39"/>
  <c r="C164" i="39"/>
  <c r="D160" i="39"/>
  <c r="C160" i="39"/>
  <c r="D159" i="39"/>
  <c r="C159" i="39"/>
  <c r="D158" i="39"/>
  <c r="C158" i="39"/>
  <c r="D157" i="39"/>
  <c r="C157" i="39"/>
  <c r="D156" i="39"/>
  <c r="C156" i="39"/>
  <c r="D155" i="39"/>
  <c r="C155" i="39"/>
  <c r="D153" i="39"/>
  <c r="C153" i="39"/>
  <c r="D152" i="39"/>
  <c r="C152" i="39"/>
  <c r="D151" i="39"/>
  <c r="C151" i="39"/>
  <c r="D150" i="39"/>
  <c r="C150" i="39"/>
  <c r="D149" i="39"/>
  <c r="C149" i="39"/>
  <c r="D148" i="39"/>
  <c r="C148" i="39"/>
  <c r="D147" i="39"/>
  <c r="C147" i="39"/>
  <c r="D146" i="39"/>
  <c r="C146" i="39"/>
  <c r="D145" i="39"/>
  <c r="C145" i="39"/>
  <c r="D143" i="39"/>
  <c r="C143" i="39"/>
  <c r="D142" i="39"/>
  <c r="C142" i="39"/>
  <c r="D141" i="39"/>
  <c r="C141" i="39"/>
  <c r="D140" i="39"/>
  <c r="C140" i="39"/>
  <c r="D138" i="39"/>
  <c r="C138" i="39"/>
  <c r="D137" i="39"/>
  <c r="C137" i="39"/>
  <c r="D136" i="39"/>
  <c r="C136" i="39"/>
  <c r="D135" i="39"/>
  <c r="C135" i="39"/>
  <c r="D133" i="39"/>
  <c r="C133" i="39"/>
  <c r="D132" i="39"/>
  <c r="C132" i="39"/>
  <c r="D131" i="39"/>
  <c r="C131" i="39"/>
  <c r="D130" i="39"/>
  <c r="C130" i="39"/>
  <c r="D129" i="39"/>
  <c r="C129" i="39"/>
  <c r="D127" i="39"/>
  <c r="C127" i="39"/>
  <c r="D126" i="39"/>
  <c r="C126" i="39"/>
  <c r="D125" i="39"/>
  <c r="C125" i="39"/>
  <c r="D124" i="39"/>
  <c r="C124" i="39"/>
  <c r="D123" i="39"/>
  <c r="C123" i="39"/>
  <c r="D118" i="39"/>
  <c r="C118" i="39"/>
  <c r="D117" i="39"/>
  <c r="C117" i="39"/>
  <c r="D116" i="39"/>
  <c r="C116" i="39"/>
  <c r="D115" i="39"/>
  <c r="C115" i="39"/>
  <c r="D114" i="39"/>
  <c r="C114" i="39"/>
  <c r="D110" i="39"/>
  <c r="C110" i="39"/>
  <c r="D109" i="39"/>
  <c r="C109" i="39"/>
  <c r="D108" i="39"/>
  <c r="C108" i="39"/>
  <c r="D107" i="39"/>
  <c r="C107" i="39"/>
  <c r="D106" i="39"/>
  <c r="C106" i="39"/>
  <c r="D105" i="39"/>
  <c r="C105" i="39"/>
  <c r="D101" i="39"/>
  <c r="C101" i="39"/>
  <c r="D100" i="39"/>
  <c r="C100" i="39"/>
  <c r="D99" i="39"/>
  <c r="C99" i="39"/>
  <c r="D98" i="39"/>
  <c r="C98" i="39"/>
  <c r="D97" i="39"/>
  <c r="C97" i="39"/>
  <c r="D96" i="39"/>
  <c r="C96" i="39"/>
  <c r="D92" i="39"/>
  <c r="C92" i="39"/>
  <c r="D91" i="39"/>
  <c r="C91" i="39"/>
  <c r="D90" i="39"/>
  <c r="C90" i="39"/>
  <c r="D89" i="39"/>
  <c r="C89" i="39"/>
  <c r="D88" i="39"/>
  <c r="C88" i="39"/>
  <c r="D87" i="39"/>
  <c r="C87" i="39"/>
  <c r="D86" i="39"/>
  <c r="C86" i="39"/>
  <c r="D85" i="39"/>
  <c r="C85" i="39"/>
  <c r="D84" i="39"/>
  <c r="C84" i="39"/>
  <c r="D83" i="39"/>
  <c r="C83" i="39"/>
  <c r="D82" i="39"/>
  <c r="C82" i="39"/>
  <c r="D78" i="39"/>
  <c r="C78" i="39"/>
  <c r="D77" i="39"/>
  <c r="C77" i="39"/>
  <c r="D76" i="39"/>
  <c r="C76" i="39"/>
  <c r="D75" i="39"/>
  <c r="C75" i="39"/>
  <c r="D74" i="39"/>
  <c r="C74" i="39"/>
  <c r="D73" i="39"/>
  <c r="C73" i="39"/>
  <c r="D72" i="39"/>
  <c r="C72" i="39"/>
  <c r="D71" i="39"/>
  <c r="C71" i="39"/>
  <c r="D70" i="39"/>
  <c r="C70" i="39"/>
  <c r="D69" i="39"/>
  <c r="C69" i="39"/>
  <c r="D68" i="39"/>
  <c r="C68" i="39"/>
  <c r="D67" i="39"/>
  <c r="C67" i="39"/>
  <c r="D66" i="39"/>
  <c r="C66" i="39"/>
  <c r="D65" i="39"/>
  <c r="C65" i="39"/>
  <c r="D64" i="39"/>
  <c r="C64" i="39"/>
  <c r="D60" i="39"/>
  <c r="C60" i="39"/>
  <c r="D59" i="39"/>
  <c r="C59" i="39"/>
  <c r="D58" i="39"/>
  <c r="C58" i="39"/>
  <c r="D57" i="39"/>
  <c r="C57" i="39"/>
  <c r="D56" i="39"/>
  <c r="C56" i="39"/>
  <c r="D55" i="39"/>
  <c r="C55" i="39"/>
  <c r="D54" i="39"/>
  <c r="C54" i="39"/>
  <c r="D53" i="39"/>
  <c r="C53" i="39"/>
  <c r="D52" i="39"/>
  <c r="C52" i="39"/>
  <c r="D51" i="39"/>
  <c r="C51" i="39"/>
  <c r="D50" i="39"/>
  <c r="C50" i="39"/>
  <c r="D49" i="39"/>
  <c r="C49" i="39"/>
  <c r="D48" i="39"/>
  <c r="C48" i="39"/>
  <c r="D47" i="39"/>
  <c r="C47" i="39"/>
  <c r="D46" i="39"/>
  <c r="C46" i="39"/>
  <c r="D45" i="39"/>
  <c r="C45" i="39"/>
  <c r="D44" i="39"/>
  <c r="C44" i="39"/>
  <c r="D43" i="39"/>
  <c r="C43" i="39"/>
  <c r="D42" i="39"/>
  <c r="C42" i="39"/>
  <c r="D41" i="39"/>
  <c r="C41" i="39"/>
  <c r="D40" i="39"/>
  <c r="C40" i="39"/>
  <c r="D39" i="39"/>
  <c r="C39" i="39"/>
  <c r="D38" i="39"/>
  <c r="C38" i="39"/>
  <c r="D37" i="39"/>
  <c r="C37" i="39"/>
  <c r="D36" i="39"/>
  <c r="C36" i="39"/>
  <c r="D35" i="39"/>
  <c r="C35" i="39"/>
  <c r="D34" i="39"/>
  <c r="C34" i="39"/>
  <c r="D33" i="39"/>
  <c r="C33" i="39"/>
  <c r="D32" i="39"/>
  <c r="C32" i="39"/>
  <c r="D31" i="39"/>
  <c r="C31" i="39"/>
  <c r="D30" i="39"/>
  <c r="C30" i="39"/>
  <c r="D29" i="39"/>
  <c r="C29" i="39"/>
  <c r="D28" i="39"/>
  <c r="C28" i="39"/>
  <c r="D27" i="39"/>
  <c r="C27" i="39"/>
  <c r="D26" i="39"/>
  <c r="C26" i="39"/>
  <c r="D25" i="39"/>
  <c r="C25" i="39"/>
  <c r="D20" i="39"/>
  <c r="C20" i="39"/>
  <c r="D19" i="39"/>
  <c r="C19" i="39"/>
  <c r="D18" i="39"/>
  <c r="C18" i="39"/>
  <c r="D17" i="39"/>
  <c r="C17" i="39"/>
  <c r="D16" i="39"/>
  <c r="C16" i="39"/>
  <c r="D15" i="39"/>
  <c r="C15" i="39"/>
  <c r="D14" i="39"/>
  <c r="C14" i="39"/>
  <c r="D13" i="39"/>
  <c r="C13" i="39"/>
  <c r="D12" i="39"/>
  <c r="C12" i="39"/>
  <c r="D11" i="39"/>
  <c r="C11" i="39"/>
  <c r="D111" i="39" l="1"/>
  <c r="C206" i="39"/>
  <c r="D93" i="39"/>
  <c r="C197" i="39"/>
  <c r="D197" i="39"/>
  <c r="D206" i="39"/>
  <c r="D21" i="39"/>
  <c r="C102" i="39"/>
  <c r="C79" i="39"/>
  <c r="D102" i="39"/>
  <c r="C21" i="39"/>
  <c r="C93" i="39"/>
  <c r="D79" i="39"/>
  <c r="C119" i="39"/>
  <c r="C161" i="39"/>
  <c r="D119" i="39"/>
  <c r="D161" i="39"/>
  <c r="C228" i="39"/>
  <c r="D61" i="39"/>
  <c r="C111" i="39"/>
  <c r="C61" i="39"/>
  <c r="C208" i="39" l="1"/>
  <c r="C212" i="39" s="1"/>
  <c r="D208" i="39"/>
  <c r="D215" i="39" s="1"/>
  <c r="C215" i="39" l="1"/>
  <c r="G244" i="135"/>
  <c r="G243" i="135"/>
  <c r="G242" i="135"/>
  <c r="G241" i="135"/>
  <c r="C238" i="135"/>
  <c r="C237" i="135"/>
  <c r="C236" i="135"/>
  <c r="C235" i="135"/>
  <c r="C233" i="135"/>
  <c r="C232" i="135"/>
  <c r="C231" i="135"/>
  <c r="D228" i="135"/>
  <c r="C227" i="135"/>
  <c r="C226" i="135"/>
  <c r="C225" i="135"/>
  <c r="C224" i="135"/>
  <c r="C223" i="135"/>
  <c r="C222" i="135"/>
  <c r="C221" i="135"/>
  <c r="C220" i="135"/>
  <c r="C219" i="135"/>
  <c r="C211" i="135"/>
  <c r="D205" i="135"/>
  <c r="C205" i="135"/>
  <c r="D204" i="135"/>
  <c r="C204" i="135"/>
  <c r="D203" i="135"/>
  <c r="C203" i="135"/>
  <c r="D202" i="135"/>
  <c r="C202" i="135"/>
  <c r="D201" i="135"/>
  <c r="C201" i="135"/>
  <c r="D200" i="135"/>
  <c r="C200" i="135"/>
  <c r="D196" i="135"/>
  <c r="C196" i="135"/>
  <c r="D195" i="135"/>
  <c r="C195" i="135"/>
  <c r="D194" i="135"/>
  <c r="C194" i="135"/>
  <c r="D193" i="135"/>
  <c r="C193" i="135"/>
  <c r="D192" i="135"/>
  <c r="C192" i="135"/>
  <c r="D191" i="135"/>
  <c r="C191" i="135"/>
  <c r="D190" i="135"/>
  <c r="C190" i="135"/>
  <c r="D189" i="135"/>
  <c r="C189" i="135"/>
  <c r="D188" i="135"/>
  <c r="C188" i="135"/>
  <c r="D187" i="135"/>
  <c r="C187" i="135"/>
  <c r="D186" i="135"/>
  <c r="C186" i="135"/>
  <c r="D185" i="135"/>
  <c r="C185" i="135"/>
  <c r="D184" i="135"/>
  <c r="C184" i="135"/>
  <c r="D183" i="135"/>
  <c r="C183" i="135"/>
  <c r="D182" i="135"/>
  <c r="C182" i="135"/>
  <c r="D181" i="135"/>
  <c r="C181" i="135"/>
  <c r="D180" i="135"/>
  <c r="C180" i="135"/>
  <c r="D179" i="135"/>
  <c r="C179" i="135"/>
  <c r="D178" i="135"/>
  <c r="C178" i="135"/>
  <c r="D177" i="135"/>
  <c r="C177" i="135"/>
  <c r="D176" i="135"/>
  <c r="C176" i="135"/>
  <c r="D175" i="135"/>
  <c r="C175" i="135"/>
  <c r="D174" i="135"/>
  <c r="C174" i="135"/>
  <c r="D173" i="135"/>
  <c r="C173" i="135"/>
  <c r="D172" i="135"/>
  <c r="C172" i="135"/>
  <c r="D171" i="135"/>
  <c r="C171" i="135"/>
  <c r="D170" i="135"/>
  <c r="C170" i="135"/>
  <c r="D169" i="135"/>
  <c r="C169" i="135"/>
  <c r="D168" i="135"/>
  <c r="C168" i="135"/>
  <c r="D167" i="135"/>
  <c r="C167" i="135"/>
  <c r="D166" i="135"/>
  <c r="C166" i="135"/>
  <c r="D165" i="135"/>
  <c r="C165" i="135"/>
  <c r="D164" i="135"/>
  <c r="C164" i="135"/>
  <c r="D160" i="135"/>
  <c r="C160" i="135"/>
  <c r="D159" i="135"/>
  <c r="C159" i="135"/>
  <c r="D158" i="135"/>
  <c r="C158" i="135"/>
  <c r="D157" i="135"/>
  <c r="C157" i="135"/>
  <c r="D156" i="135"/>
  <c r="C156" i="135"/>
  <c r="D155" i="135"/>
  <c r="C155" i="135"/>
  <c r="D153" i="135"/>
  <c r="C153" i="135"/>
  <c r="D152" i="135"/>
  <c r="C152" i="135"/>
  <c r="D151" i="135"/>
  <c r="C151" i="135"/>
  <c r="D150" i="135"/>
  <c r="C150" i="135"/>
  <c r="D149" i="135"/>
  <c r="C149" i="135"/>
  <c r="D148" i="135"/>
  <c r="C148" i="135"/>
  <c r="D147" i="135"/>
  <c r="C147" i="135"/>
  <c r="D146" i="135"/>
  <c r="C146" i="135"/>
  <c r="D145" i="135"/>
  <c r="C145" i="135"/>
  <c r="D143" i="135"/>
  <c r="C143" i="135"/>
  <c r="D142" i="135"/>
  <c r="C142" i="135"/>
  <c r="D141" i="135"/>
  <c r="C141" i="135"/>
  <c r="D140" i="135"/>
  <c r="C140" i="135"/>
  <c r="D138" i="135"/>
  <c r="C138" i="135"/>
  <c r="D137" i="135"/>
  <c r="C137" i="135"/>
  <c r="D136" i="135"/>
  <c r="C136" i="135"/>
  <c r="D135" i="135"/>
  <c r="C135" i="135"/>
  <c r="D133" i="135"/>
  <c r="C133" i="135"/>
  <c r="D132" i="135"/>
  <c r="C132" i="135"/>
  <c r="D131" i="135"/>
  <c r="C131" i="135"/>
  <c r="D130" i="135"/>
  <c r="C130" i="135"/>
  <c r="D129" i="135"/>
  <c r="C129" i="135"/>
  <c r="D127" i="135"/>
  <c r="C127" i="135"/>
  <c r="D126" i="135"/>
  <c r="C126" i="135"/>
  <c r="D125" i="135"/>
  <c r="C125" i="135"/>
  <c r="D124" i="135"/>
  <c r="C124" i="135"/>
  <c r="D123" i="135"/>
  <c r="C123" i="135"/>
  <c r="D118" i="135"/>
  <c r="C118" i="135"/>
  <c r="D117" i="135"/>
  <c r="C117" i="135"/>
  <c r="D116" i="135"/>
  <c r="C116" i="135"/>
  <c r="D115" i="135"/>
  <c r="C115" i="135"/>
  <c r="D114" i="135"/>
  <c r="C114" i="135"/>
  <c r="D110" i="135"/>
  <c r="C110" i="135"/>
  <c r="D109" i="135"/>
  <c r="C109" i="135"/>
  <c r="D108" i="135"/>
  <c r="C108" i="135"/>
  <c r="D107" i="135"/>
  <c r="C107" i="135"/>
  <c r="D106" i="135"/>
  <c r="C106" i="135"/>
  <c r="D105" i="135"/>
  <c r="C105" i="135"/>
  <c r="D101" i="135"/>
  <c r="C101" i="135"/>
  <c r="D100" i="135"/>
  <c r="C100" i="135"/>
  <c r="D99" i="135"/>
  <c r="C99" i="135"/>
  <c r="D98" i="135"/>
  <c r="C98" i="135"/>
  <c r="D97" i="135"/>
  <c r="C97" i="135"/>
  <c r="D96" i="135"/>
  <c r="C96" i="135"/>
  <c r="D92" i="135"/>
  <c r="C92" i="135"/>
  <c r="D91" i="135"/>
  <c r="C91" i="135"/>
  <c r="D90" i="135"/>
  <c r="C90" i="135"/>
  <c r="D89" i="135"/>
  <c r="C89" i="135"/>
  <c r="D88" i="135"/>
  <c r="C88" i="135"/>
  <c r="D87" i="135"/>
  <c r="C87" i="135"/>
  <c r="D86" i="135"/>
  <c r="C86" i="135"/>
  <c r="D85" i="135"/>
  <c r="C85" i="135"/>
  <c r="D84" i="135"/>
  <c r="C84" i="135"/>
  <c r="D83" i="135"/>
  <c r="C83" i="135"/>
  <c r="D82" i="135"/>
  <c r="C82" i="135"/>
  <c r="D78" i="135"/>
  <c r="C78" i="135"/>
  <c r="D77" i="135"/>
  <c r="C77" i="135"/>
  <c r="D76" i="135"/>
  <c r="C76" i="135"/>
  <c r="D75" i="135"/>
  <c r="C75" i="135"/>
  <c r="D74" i="135"/>
  <c r="C74" i="135"/>
  <c r="D73" i="135"/>
  <c r="C73" i="135"/>
  <c r="D72" i="135"/>
  <c r="C72" i="135"/>
  <c r="D71" i="135"/>
  <c r="C71" i="135"/>
  <c r="D70" i="135"/>
  <c r="C70" i="135"/>
  <c r="D69" i="135"/>
  <c r="C69" i="135"/>
  <c r="D68" i="135"/>
  <c r="C68" i="135"/>
  <c r="D67" i="135"/>
  <c r="C67" i="135"/>
  <c r="D66" i="135"/>
  <c r="C66" i="135"/>
  <c r="D65" i="135"/>
  <c r="C65" i="135"/>
  <c r="D64" i="135"/>
  <c r="C64" i="135"/>
  <c r="D60" i="135"/>
  <c r="C60" i="135"/>
  <c r="D59" i="135"/>
  <c r="C59" i="135"/>
  <c r="D58" i="135"/>
  <c r="C58" i="135"/>
  <c r="D57" i="135"/>
  <c r="C57" i="135"/>
  <c r="D56" i="135"/>
  <c r="C56" i="135"/>
  <c r="D55" i="135"/>
  <c r="C55" i="135"/>
  <c r="D54" i="135"/>
  <c r="C54" i="135"/>
  <c r="D53" i="135"/>
  <c r="C53" i="135"/>
  <c r="D52" i="135"/>
  <c r="C52" i="135"/>
  <c r="D51" i="135"/>
  <c r="C51" i="135"/>
  <c r="D50" i="135"/>
  <c r="C50" i="135"/>
  <c r="D49" i="135"/>
  <c r="C49" i="135"/>
  <c r="D48" i="135"/>
  <c r="C48" i="135"/>
  <c r="D47" i="135"/>
  <c r="C47" i="135"/>
  <c r="D46" i="135"/>
  <c r="C46" i="135"/>
  <c r="D45" i="135"/>
  <c r="C45" i="135"/>
  <c r="D44" i="135"/>
  <c r="C44" i="135"/>
  <c r="D43" i="135"/>
  <c r="C43" i="135"/>
  <c r="D42" i="135"/>
  <c r="C42" i="135"/>
  <c r="D41" i="135"/>
  <c r="C41" i="135"/>
  <c r="D40" i="135"/>
  <c r="C40" i="135"/>
  <c r="D39" i="135"/>
  <c r="C39" i="135"/>
  <c r="D38" i="135"/>
  <c r="C38" i="135"/>
  <c r="D37" i="135"/>
  <c r="C37" i="135"/>
  <c r="D36" i="135"/>
  <c r="C36" i="135"/>
  <c r="D35" i="135"/>
  <c r="C35" i="135"/>
  <c r="D34" i="135"/>
  <c r="C34" i="135"/>
  <c r="D33" i="135"/>
  <c r="C33" i="135"/>
  <c r="D32" i="135"/>
  <c r="C32" i="135"/>
  <c r="D31" i="135"/>
  <c r="C31" i="135"/>
  <c r="D30" i="135"/>
  <c r="C30" i="135"/>
  <c r="D29" i="135"/>
  <c r="C29" i="135"/>
  <c r="D28" i="135"/>
  <c r="C28" i="135"/>
  <c r="D27" i="135"/>
  <c r="C27" i="135"/>
  <c r="D26" i="135"/>
  <c r="C26" i="135"/>
  <c r="D25" i="135"/>
  <c r="C25" i="135"/>
  <c r="D20" i="135"/>
  <c r="C20" i="135"/>
  <c r="D19" i="135"/>
  <c r="C19" i="135"/>
  <c r="D18" i="135"/>
  <c r="C18" i="135"/>
  <c r="D17" i="135"/>
  <c r="C17" i="135"/>
  <c r="D16" i="135"/>
  <c r="C16" i="135"/>
  <c r="D15" i="135"/>
  <c r="C15" i="135"/>
  <c r="D14" i="135"/>
  <c r="C14" i="135"/>
  <c r="D13" i="135"/>
  <c r="C13" i="135"/>
  <c r="D12" i="135"/>
  <c r="C12" i="135"/>
  <c r="D11" i="135"/>
  <c r="C11" i="135"/>
  <c r="C93" i="135" l="1"/>
  <c r="D102" i="135"/>
  <c r="C119" i="135"/>
  <c r="D93" i="135"/>
  <c r="D61" i="135"/>
  <c r="D79" i="135"/>
  <c r="D119" i="135"/>
  <c r="D161" i="135"/>
  <c r="C111" i="135"/>
  <c r="C161" i="135"/>
  <c r="C228" i="135"/>
  <c r="C21" i="135"/>
  <c r="D111" i="135"/>
  <c r="D21" i="135"/>
  <c r="C197" i="135"/>
  <c r="C206" i="135"/>
  <c r="C79" i="135"/>
  <c r="D197" i="135"/>
  <c r="D206" i="135"/>
  <c r="C102" i="135"/>
  <c r="C61" i="135"/>
  <c r="D208" i="135" l="1"/>
  <c r="D215" i="135" s="1"/>
  <c r="C208" i="135"/>
  <c r="C212" i="135" s="1"/>
  <c r="C215" i="135" l="1"/>
  <c r="G244" i="38"/>
  <c r="G243" i="38"/>
  <c r="G242" i="38"/>
  <c r="G241" i="38"/>
  <c r="C238" i="38"/>
  <c r="C237" i="38"/>
  <c r="C236" i="38"/>
  <c r="C235" i="38"/>
  <c r="C233" i="38"/>
  <c r="C232" i="38"/>
  <c r="C231" i="38"/>
  <c r="D228" i="38"/>
  <c r="C227" i="38"/>
  <c r="C226" i="38"/>
  <c r="C225" i="38"/>
  <c r="C224" i="38"/>
  <c r="C223" i="38"/>
  <c r="C222" i="38"/>
  <c r="C221" i="38"/>
  <c r="C220" i="38"/>
  <c r="C219" i="38"/>
  <c r="C211" i="38"/>
  <c r="D205" i="38"/>
  <c r="C205" i="38"/>
  <c r="D204" i="38"/>
  <c r="C204" i="38"/>
  <c r="D203" i="38"/>
  <c r="C203" i="38"/>
  <c r="D202" i="38"/>
  <c r="C202" i="38"/>
  <c r="D201" i="38"/>
  <c r="C201" i="38"/>
  <c r="D200" i="38"/>
  <c r="C200" i="38"/>
  <c r="D196" i="38"/>
  <c r="C196" i="38"/>
  <c r="D195" i="38"/>
  <c r="C195" i="38"/>
  <c r="D194" i="38"/>
  <c r="C194" i="38"/>
  <c r="D193" i="38"/>
  <c r="C193" i="38"/>
  <c r="D192" i="38"/>
  <c r="C192" i="38"/>
  <c r="D191" i="38"/>
  <c r="C191" i="38"/>
  <c r="D190" i="38"/>
  <c r="C190" i="38"/>
  <c r="D189" i="38"/>
  <c r="C189" i="38"/>
  <c r="D188" i="38"/>
  <c r="C188" i="38"/>
  <c r="D187" i="38"/>
  <c r="C187" i="38"/>
  <c r="D186" i="38"/>
  <c r="C186" i="38"/>
  <c r="D185" i="38"/>
  <c r="C185" i="38"/>
  <c r="D184" i="38"/>
  <c r="C184" i="38"/>
  <c r="D183" i="38"/>
  <c r="C183" i="38"/>
  <c r="D182" i="38"/>
  <c r="C182" i="38"/>
  <c r="D181" i="38"/>
  <c r="C181" i="38"/>
  <c r="D180" i="38"/>
  <c r="C180" i="38"/>
  <c r="D179" i="38"/>
  <c r="C179" i="38"/>
  <c r="D178" i="38"/>
  <c r="C178" i="38"/>
  <c r="D177" i="38"/>
  <c r="C177" i="38"/>
  <c r="D176" i="38"/>
  <c r="C176" i="38"/>
  <c r="D175" i="38"/>
  <c r="C175" i="38"/>
  <c r="D174" i="38"/>
  <c r="C174" i="38"/>
  <c r="D173" i="38"/>
  <c r="C173" i="38"/>
  <c r="D172" i="38"/>
  <c r="C172" i="38"/>
  <c r="D171" i="38"/>
  <c r="C171" i="38"/>
  <c r="D170" i="38"/>
  <c r="C170" i="38"/>
  <c r="D169" i="38"/>
  <c r="C169" i="38"/>
  <c r="D168" i="38"/>
  <c r="C168" i="38"/>
  <c r="D167" i="38"/>
  <c r="C167" i="38"/>
  <c r="D166" i="38"/>
  <c r="C166" i="38"/>
  <c r="D165" i="38"/>
  <c r="C165" i="38"/>
  <c r="D164" i="38"/>
  <c r="C164" i="38"/>
  <c r="D160" i="38"/>
  <c r="C160" i="38"/>
  <c r="D159" i="38"/>
  <c r="C159" i="38"/>
  <c r="D158" i="38"/>
  <c r="C158" i="38"/>
  <c r="D157" i="38"/>
  <c r="C157" i="38"/>
  <c r="D156" i="38"/>
  <c r="C156" i="38"/>
  <c r="D155" i="38"/>
  <c r="C155" i="38"/>
  <c r="D153" i="38"/>
  <c r="C153" i="38"/>
  <c r="D152" i="38"/>
  <c r="C152" i="38"/>
  <c r="D151" i="38"/>
  <c r="C151" i="38"/>
  <c r="D150" i="38"/>
  <c r="C150" i="38"/>
  <c r="D149" i="38"/>
  <c r="C149" i="38"/>
  <c r="D148" i="38"/>
  <c r="C148" i="38"/>
  <c r="D147" i="38"/>
  <c r="C147" i="38"/>
  <c r="D146" i="38"/>
  <c r="C146" i="38"/>
  <c r="D145" i="38"/>
  <c r="C145" i="38"/>
  <c r="D143" i="38"/>
  <c r="C143" i="38"/>
  <c r="D142" i="38"/>
  <c r="C142" i="38"/>
  <c r="D141" i="38"/>
  <c r="C141" i="38"/>
  <c r="D140" i="38"/>
  <c r="C140" i="38"/>
  <c r="D138" i="38"/>
  <c r="C138" i="38"/>
  <c r="D137" i="38"/>
  <c r="C137" i="38"/>
  <c r="D136" i="38"/>
  <c r="C136" i="38"/>
  <c r="D135" i="38"/>
  <c r="C135" i="38"/>
  <c r="D133" i="38"/>
  <c r="C133" i="38"/>
  <c r="D132" i="38"/>
  <c r="C132" i="38"/>
  <c r="D131" i="38"/>
  <c r="C131" i="38"/>
  <c r="D130" i="38"/>
  <c r="C130" i="38"/>
  <c r="D129" i="38"/>
  <c r="C129" i="38"/>
  <c r="D127" i="38"/>
  <c r="C127" i="38"/>
  <c r="D126" i="38"/>
  <c r="C126" i="38"/>
  <c r="D125" i="38"/>
  <c r="C125" i="38"/>
  <c r="D124" i="38"/>
  <c r="C124" i="38"/>
  <c r="D123" i="38"/>
  <c r="C123" i="38"/>
  <c r="D118" i="38"/>
  <c r="C118" i="38"/>
  <c r="D117" i="38"/>
  <c r="C117" i="38"/>
  <c r="D116" i="38"/>
  <c r="C116" i="38"/>
  <c r="D115" i="38"/>
  <c r="C115" i="38"/>
  <c r="D114" i="38"/>
  <c r="C114" i="38"/>
  <c r="D110" i="38"/>
  <c r="C110" i="38"/>
  <c r="D109" i="38"/>
  <c r="C109" i="38"/>
  <c r="D108" i="38"/>
  <c r="C108" i="38"/>
  <c r="D107" i="38"/>
  <c r="C107" i="38"/>
  <c r="D106" i="38"/>
  <c r="C106" i="38"/>
  <c r="D105" i="38"/>
  <c r="C105" i="38"/>
  <c r="D101" i="38"/>
  <c r="C101" i="38"/>
  <c r="D100" i="38"/>
  <c r="C100" i="38"/>
  <c r="D99" i="38"/>
  <c r="C99" i="38"/>
  <c r="D98" i="38"/>
  <c r="C98" i="38"/>
  <c r="D97" i="38"/>
  <c r="C97" i="38"/>
  <c r="D96" i="38"/>
  <c r="C96" i="38"/>
  <c r="D92" i="38"/>
  <c r="C92" i="38"/>
  <c r="D91" i="38"/>
  <c r="C91" i="38"/>
  <c r="D90" i="38"/>
  <c r="C90" i="38"/>
  <c r="D89" i="38"/>
  <c r="C89" i="38"/>
  <c r="D88" i="38"/>
  <c r="C88" i="38"/>
  <c r="D87" i="38"/>
  <c r="C87" i="38"/>
  <c r="D86" i="38"/>
  <c r="C86" i="38"/>
  <c r="D85" i="38"/>
  <c r="C85" i="38"/>
  <c r="D84" i="38"/>
  <c r="C84" i="38"/>
  <c r="D83" i="38"/>
  <c r="C83" i="38"/>
  <c r="D82" i="38"/>
  <c r="C82" i="38"/>
  <c r="D78" i="38"/>
  <c r="C78" i="38"/>
  <c r="D77" i="38"/>
  <c r="C77" i="38"/>
  <c r="D76" i="38"/>
  <c r="C76" i="38"/>
  <c r="D75" i="38"/>
  <c r="C75" i="38"/>
  <c r="D74" i="38"/>
  <c r="C74" i="38"/>
  <c r="D73" i="38"/>
  <c r="C73" i="38"/>
  <c r="D72" i="38"/>
  <c r="C72" i="38"/>
  <c r="D71" i="38"/>
  <c r="C71" i="38"/>
  <c r="D70" i="38"/>
  <c r="C70" i="38"/>
  <c r="D69" i="38"/>
  <c r="C69" i="38"/>
  <c r="D68" i="38"/>
  <c r="C68" i="38"/>
  <c r="D67" i="38"/>
  <c r="C67" i="38"/>
  <c r="D66" i="38"/>
  <c r="C66" i="38"/>
  <c r="D65" i="38"/>
  <c r="C65" i="38"/>
  <c r="D64" i="38"/>
  <c r="C64" i="38"/>
  <c r="D60" i="38"/>
  <c r="C60" i="38"/>
  <c r="D59" i="38"/>
  <c r="C59" i="38"/>
  <c r="D58" i="38"/>
  <c r="C58" i="38"/>
  <c r="D57" i="38"/>
  <c r="C57" i="38"/>
  <c r="D56" i="38"/>
  <c r="C56" i="38"/>
  <c r="D55" i="38"/>
  <c r="C55" i="38"/>
  <c r="D54" i="38"/>
  <c r="C54" i="38"/>
  <c r="D53" i="38"/>
  <c r="C53" i="38"/>
  <c r="D52" i="38"/>
  <c r="C52" i="38"/>
  <c r="D51" i="38"/>
  <c r="C51" i="38"/>
  <c r="D50" i="38"/>
  <c r="C50" i="38"/>
  <c r="D49" i="38"/>
  <c r="C49" i="38"/>
  <c r="D48" i="38"/>
  <c r="C48" i="38"/>
  <c r="D47" i="38"/>
  <c r="C47" i="38"/>
  <c r="D46" i="38"/>
  <c r="C46" i="38"/>
  <c r="D45" i="38"/>
  <c r="C45" i="38"/>
  <c r="D44" i="38"/>
  <c r="C44" i="38"/>
  <c r="D43" i="38"/>
  <c r="C43" i="38"/>
  <c r="D42" i="38"/>
  <c r="C42" i="38"/>
  <c r="D41" i="38"/>
  <c r="C41" i="38"/>
  <c r="D40" i="38"/>
  <c r="C40" i="38"/>
  <c r="D39" i="38"/>
  <c r="C39" i="38"/>
  <c r="D38" i="38"/>
  <c r="C38" i="38"/>
  <c r="D37" i="38"/>
  <c r="C37" i="38"/>
  <c r="D36" i="38"/>
  <c r="C36" i="38"/>
  <c r="D35" i="38"/>
  <c r="C35" i="38"/>
  <c r="D34" i="38"/>
  <c r="C34" i="38"/>
  <c r="D33" i="38"/>
  <c r="C33" i="38"/>
  <c r="D32" i="38"/>
  <c r="C32" i="38"/>
  <c r="D31" i="38"/>
  <c r="C31" i="38"/>
  <c r="D30" i="38"/>
  <c r="C30" i="38"/>
  <c r="D29" i="38"/>
  <c r="C29" i="38"/>
  <c r="D28" i="38"/>
  <c r="C28" i="38"/>
  <c r="D27" i="38"/>
  <c r="C27" i="38"/>
  <c r="D26" i="38"/>
  <c r="C26" i="38"/>
  <c r="D25" i="38"/>
  <c r="C25" i="38"/>
  <c r="D20" i="38"/>
  <c r="C20" i="38"/>
  <c r="D19" i="38"/>
  <c r="C19" i="38"/>
  <c r="D18" i="38"/>
  <c r="C18" i="38"/>
  <c r="D17" i="38"/>
  <c r="C17" i="38"/>
  <c r="D16" i="38"/>
  <c r="C16" i="38"/>
  <c r="D15" i="38"/>
  <c r="C15" i="38"/>
  <c r="D14" i="38"/>
  <c r="C14" i="38"/>
  <c r="D13" i="38"/>
  <c r="C13" i="38"/>
  <c r="D12" i="38"/>
  <c r="C12" i="38"/>
  <c r="D11" i="38"/>
  <c r="C11" i="38"/>
  <c r="C21" i="38" l="1"/>
  <c r="C102" i="38"/>
  <c r="D119" i="38"/>
  <c r="C93" i="38"/>
  <c r="C161" i="38"/>
  <c r="D93" i="38"/>
  <c r="D206" i="38"/>
  <c r="C228" i="38"/>
  <c r="D79" i="38"/>
  <c r="D102" i="38"/>
  <c r="D197" i="38"/>
  <c r="C197" i="38"/>
  <c r="C206" i="38"/>
  <c r="C119" i="38"/>
  <c r="D161" i="38"/>
  <c r="C79" i="38"/>
  <c r="C111" i="38"/>
  <c r="D21" i="38"/>
  <c r="D111" i="38"/>
  <c r="C61" i="38"/>
  <c r="D61" i="38"/>
  <c r="D208" i="38" l="1"/>
  <c r="D215" i="38" s="1"/>
  <c r="C208" i="38"/>
  <c r="C212" i="38" s="1"/>
  <c r="C215" i="38" l="1"/>
  <c r="G244" i="133"/>
  <c r="G243" i="133"/>
  <c r="G242" i="133"/>
  <c r="G241" i="133"/>
  <c r="C238" i="133"/>
  <c r="C237" i="133"/>
  <c r="C236" i="133"/>
  <c r="C235" i="133"/>
  <c r="C233" i="133"/>
  <c r="C232" i="133"/>
  <c r="C231" i="133"/>
  <c r="D228" i="133"/>
  <c r="C227" i="133"/>
  <c r="C226" i="133"/>
  <c r="C225" i="133"/>
  <c r="C224" i="133"/>
  <c r="C223" i="133"/>
  <c r="C222" i="133"/>
  <c r="C221" i="133"/>
  <c r="C220" i="133"/>
  <c r="C219" i="133"/>
  <c r="C211" i="133"/>
  <c r="D205" i="133"/>
  <c r="C205" i="133"/>
  <c r="D204" i="133"/>
  <c r="C204" i="133"/>
  <c r="D203" i="133"/>
  <c r="C203" i="133"/>
  <c r="D202" i="133"/>
  <c r="C202" i="133"/>
  <c r="D201" i="133"/>
  <c r="C201" i="133"/>
  <c r="D200" i="133"/>
  <c r="C200" i="133"/>
  <c r="D196" i="133"/>
  <c r="C196" i="133"/>
  <c r="D195" i="133"/>
  <c r="C195" i="133"/>
  <c r="D194" i="133"/>
  <c r="C194" i="133"/>
  <c r="D193" i="133"/>
  <c r="C193" i="133"/>
  <c r="D192" i="133"/>
  <c r="C192" i="133"/>
  <c r="D191" i="133"/>
  <c r="C191" i="133"/>
  <c r="D190" i="133"/>
  <c r="C190" i="133"/>
  <c r="D189" i="133"/>
  <c r="C189" i="133"/>
  <c r="D188" i="133"/>
  <c r="C188" i="133"/>
  <c r="D187" i="133"/>
  <c r="C187" i="133"/>
  <c r="D186" i="133"/>
  <c r="C186" i="133"/>
  <c r="D185" i="133"/>
  <c r="C185" i="133"/>
  <c r="D184" i="133"/>
  <c r="C184" i="133"/>
  <c r="D183" i="133"/>
  <c r="C183" i="133"/>
  <c r="D182" i="133"/>
  <c r="C182" i="133"/>
  <c r="D181" i="133"/>
  <c r="C181" i="133"/>
  <c r="D180" i="133"/>
  <c r="C180" i="133"/>
  <c r="D179" i="133"/>
  <c r="C179" i="133"/>
  <c r="D178" i="133"/>
  <c r="C178" i="133"/>
  <c r="D177" i="133"/>
  <c r="C177" i="133"/>
  <c r="D176" i="133"/>
  <c r="C176" i="133"/>
  <c r="D175" i="133"/>
  <c r="C175" i="133"/>
  <c r="D174" i="133"/>
  <c r="C174" i="133"/>
  <c r="D173" i="133"/>
  <c r="C173" i="133"/>
  <c r="D172" i="133"/>
  <c r="C172" i="133"/>
  <c r="D171" i="133"/>
  <c r="C171" i="133"/>
  <c r="D170" i="133"/>
  <c r="C170" i="133"/>
  <c r="D169" i="133"/>
  <c r="C169" i="133"/>
  <c r="D168" i="133"/>
  <c r="C168" i="133"/>
  <c r="D167" i="133"/>
  <c r="C167" i="133"/>
  <c r="D166" i="133"/>
  <c r="C166" i="133"/>
  <c r="D165" i="133"/>
  <c r="C165" i="133"/>
  <c r="D164" i="133"/>
  <c r="C164" i="133"/>
  <c r="D160" i="133"/>
  <c r="C160" i="133"/>
  <c r="D159" i="133"/>
  <c r="C159" i="133"/>
  <c r="D158" i="133"/>
  <c r="C158" i="133"/>
  <c r="D157" i="133"/>
  <c r="C157" i="133"/>
  <c r="D156" i="133"/>
  <c r="C156" i="133"/>
  <c r="D155" i="133"/>
  <c r="C155" i="133"/>
  <c r="D153" i="133"/>
  <c r="C153" i="133"/>
  <c r="D152" i="133"/>
  <c r="C152" i="133"/>
  <c r="D151" i="133"/>
  <c r="C151" i="133"/>
  <c r="D150" i="133"/>
  <c r="C150" i="133"/>
  <c r="D149" i="133"/>
  <c r="C149" i="133"/>
  <c r="D148" i="133"/>
  <c r="C148" i="133"/>
  <c r="D147" i="133"/>
  <c r="C147" i="133"/>
  <c r="D146" i="133"/>
  <c r="C146" i="133"/>
  <c r="D145" i="133"/>
  <c r="C145" i="133"/>
  <c r="D143" i="133"/>
  <c r="C143" i="133"/>
  <c r="D142" i="133"/>
  <c r="C142" i="133"/>
  <c r="D141" i="133"/>
  <c r="C141" i="133"/>
  <c r="D140" i="133"/>
  <c r="C140" i="133"/>
  <c r="D138" i="133"/>
  <c r="C138" i="133"/>
  <c r="D137" i="133"/>
  <c r="C137" i="133"/>
  <c r="D136" i="133"/>
  <c r="C136" i="133"/>
  <c r="D135" i="133"/>
  <c r="C135" i="133"/>
  <c r="D133" i="133"/>
  <c r="C133" i="133"/>
  <c r="D132" i="133"/>
  <c r="C132" i="133"/>
  <c r="D131" i="133"/>
  <c r="C131" i="133"/>
  <c r="D130" i="133"/>
  <c r="C130" i="133"/>
  <c r="D129" i="133"/>
  <c r="C129" i="133"/>
  <c r="D127" i="133"/>
  <c r="C127" i="133"/>
  <c r="D126" i="133"/>
  <c r="C126" i="133"/>
  <c r="D125" i="133"/>
  <c r="C125" i="133"/>
  <c r="D124" i="133"/>
  <c r="C124" i="133"/>
  <c r="D123" i="133"/>
  <c r="C123" i="133"/>
  <c r="D118" i="133"/>
  <c r="C118" i="133"/>
  <c r="D117" i="133"/>
  <c r="C117" i="133"/>
  <c r="D116" i="133"/>
  <c r="C116" i="133"/>
  <c r="D115" i="133"/>
  <c r="C115" i="133"/>
  <c r="D114" i="133"/>
  <c r="C114" i="133"/>
  <c r="D110" i="133"/>
  <c r="C110" i="133"/>
  <c r="D109" i="133"/>
  <c r="C109" i="133"/>
  <c r="D108" i="133"/>
  <c r="C108" i="133"/>
  <c r="D107" i="133"/>
  <c r="C107" i="133"/>
  <c r="D106" i="133"/>
  <c r="C106" i="133"/>
  <c r="D105" i="133"/>
  <c r="C105" i="133"/>
  <c r="D101" i="133"/>
  <c r="C101" i="133"/>
  <c r="D100" i="133"/>
  <c r="C100" i="133"/>
  <c r="D99" i="133"/>
  <c r="C99" i="133"/>
  <c r="D98" i="133"/>
  <c r="C98" i="133"/>
  <c r="D97" i="133"/>
  <c r="C97" i="133"/>
  <c r="D96" i="133"/>
  <c r="C96" i="133"/>
  <c r="D92" i="133"/>
  <c r="C92" i="133"/>
  <c r="D91" i="133"/>
  <c r="C91" i="133"/>
  <c r="D90" i="133"/>
  <c r="C90" i="133"/>
  <c r="D89" i="133"/>
  <c r="C89" i="133"/>
  <c r="D88" i="133"/>
  <c r="C88" i="133"/>
  <c r="D87" i="133"/>
  <c r="C87" i="133"/>
  <c r="D86" i="133"/>
  <c r="C86" i="133"/>
  <c r="D85" i="133"/>
  <c r="C85" i="133"/>
  <c r="D84" i="133"/>
  <c r="C84" i="133"/>
  <c r="D83" i="133"/>
  <c r="C83" i="133"/>
  <c r="D82" i="133"/>
  <c r="C82" i="133"/>
  <c r="D78" i="133"/>
  <c r="C78" i="133"/>
  <c r="D77" i="133"/>
  <c r="C77" i="133"/>
  <c r="D76" i="133"/>
  <c r="C76" i="133"/>
  <c r="D75" i="133"/>
  <c r="C75" i="133"/>
  <c r="D74" i="133"/>
  <c r="C74" i="133"/>
  <c r="D73" i="133"/>
  <c r="C73" i="133"/>
  <c r="D72" i="133"/>
  <c r="C72" i="133"/>
  <c r="D71" i="133"/>
  <c r="C71" i="133"/>
  <c r="D70" i="133"/>
  <c r="C70" i="133"/>
  <c r="D69" i="133"/>
  <c r="C69" i="133"/>
  <c r="D68" i="133"/>
  <c r="C68" i="133"/>
  <c r="D67" i="133"/>
  <c r="C67" i="133"/>
  <c r="D66" i="133"/>
  <c r="C66" i="133"/>
  <c r="D65" i="133"/>
  <c r="C65" i="133"/>
  <c r="D64" i="133"/>
  <c r="C64" i="133"/>
  <c r="D60" i="133"/>
  <c r="C60" i="133"/>
  <c r="D59" i="133"/>
  <c r="C59" i="133"/>
  <c r="D58" i="133"/>
  <c r="C58" i="133"/>
  <c r="D57" i="133"/>
  <c r="C57" i="133"/>
  <c r="D56" i="133"/>
  <c r="C56" i="133"/>
  <c r="D55" i="133"/>
  <c r="C55" i="133"/>
  <c r="D54" i="133"/>
  <c r="C54" i="133"/>
  <c r="D53" i="133"/>
  <c r="C53" i="133"/>
  <c r="D52" i="133"/>
  <c r="C52" i="133"/>
  <c r="D51" i="133"/>
  <c r="C51" i="133"/>
  <c r="D50" i="133"/>
  <c r="C50" i="133"/>
  <c r="D49" i="133"/>
  <c r="C49" i="133"/>
  <c r="D48" i="133"/>
  <c r="C48" i="133"/>
  <c r="D47" i="133"/>
  <c r="C47" i="133"/>
  <c r="D46" i="133"/>
  <c r="C46" i="133"/>
  <c r="D45" i="133"/>
  <c r="C45" i="133"/>
  <c r="D44" i="133"/>
  <c r="C44" i="133"/>
  <c r="D43" i="133"/>
  <c r="C43" i="133"/>
  <c r="D42" i="133"/>
  <c r="C42" i="133"/>
  <c r="D41" i="133"/>
  <c r="C41" i="133"/>
  <c r="D40" i="133"/>
  <c r="C40" i="133"/>
  <c r="D39" i="133"/>
  <c r="C39" i="133"/>
  <c r="D38" i="133"/>
  <c r="C38" i="133"/>
  <c r="D37" i="133"/>
  <c r="C37" i="133"/>
  <c r="D36" i="133"/>
  <c r="C36" i="133"/>
  <c r="D35" i="133"/>
  <c r="C35" i="133"/>
  <c r="D34" i="133"/>
  <c r="C34" i="133"/>
  <c r="D33" i="133"/>
  <c r="C33" i="133"/>
  <c r="D32" i="133"/>
  <c r="C32" i="133"/>
  <c r="D31" i="133"/>
  <c r="C31" i="133"/>
  <c r="D30" i="133"/>
  <c r="C30" i="133"/>
  <c r="D29" i="133"/>
  <c r="C29" i="133"/>
  <c r="D28" i="133"/>
  <c r="C28" i="133"/>
  <c r="D27" i="133"/>
  <c r="C27" i="133"/>
  <c r="D26" i="133"/>
  <c r="C26" i="133"/>
  <c r="D25" i="133"/>
  <c r="C25" i="133"/>
  <c r="D20" i="133"/>
  <c r="C20" i="133"/>
  <c r="D19" i="133"/>
  <c r="C19" i="133"/>
  <c r="D18" i="133"/>
  <c r="C18" i="133"/>
  <c r="D17" i="133"/>
  <c r="C17" i="133"/>
  <c r="D16" i="133"/>
  <c r="C16" i="133"/>
  <c r="D15" i="133"/>
  <c r="C15" i="133"/>
  <c r="D14" i="133"/>
  <c r="C14" i="133"/>
  <c r="D13" i="133"/>
  <c r="C13" i="133"/>
  <c r="D12" i="133"/>
  <c r="C12" i="133"/>
  <c r="D11" i="133"/>
  <c r="C11" i="133"/>
  <c r="D79" i="133" l="1"/>
  <c r="D111" i="133"/>
  <c r="D197" i="133"/>
  <c r="C206" i="133"/>
  <c r="C21" i="133"/>
  <c r="C102" i="133"/>
  <c r="D21" i="133"/>
  <c r="D102" i="133"/>
  <c r="D119" i="133"/>
  <c r="D206" i="133"/>
  <c r="C119" i="133"/>
  <c r="D93" i="133"/>
  <c r="D161" i="133"/>
  <c r="C228" i="133"/>
  <c r="C93" i="133"/>
  <c r="C161" i="133"/>
  <c r="C79" i="133"/>
  <c r="C111" i="133"/>
  <c r="C197" i="133"/>
  <c r="C61" i="133"/>
  <c r="D61" i="133"/>
  <c r="D208" i="133" l="1"/>
  <c r="D215" i="133" s="1"/>
  <c r="C208" i="133"/>
  <c r="C212" i="133" s="1"/>
  <c r="C215" i="133" l="1"/>
  <c r="G244" i="152"/>
  <c r="G243" i="152"/>
  <c r="G242" i="152"/>
  <c r="G241" i="152"/>
  <c r="C238" i="152"/>
  <c r="C237" i="152"/>
  <c r="C236" i="152"/>
  <c r="C235" i="152"/>
  <c r="C233" i="152"/>
  <c r="C232" i="152"/>
  <c r="C231" i="152"/>
  <c r="D228" i="152"/>
  <c r="C227" i="152"/>
  <c r="C226" i="152"/>
  <c r="C225" i="152"/>
  <c r="C224" i="152"/>
  <c r="C223" i="152"/>
  <c r="C222" i="152"/>
  <c r="C221" i="152"/>
  <c r="C220" i="152"/>
  <c r="C219" i="152"/>
  <c r="C211" i="152"/>
  <c r="D205" i="152"/>
  <c r="C205" i="152"/>
  <c r="D204" i="152"/>
  <c r="C204" i="152"/>
  <c r="D203" i="152"/>
  <c r="C203" i="152"/>
  <c r="D202" i="152"/>
  <c r="C202" i="152"/>
  <c r="D201" i="152"/>
  <c r="C201" i="152"/>
  <c r="D200" i="152"/>
  <c r="C200" i="152"/>
  <c r="D196" i="152"/>
  <c r="C196" i="152"/>
  <c r="D195" i="152"/>
  <c r="C195" i="152"/>
  <c r="D194" i="152"/>
  <c r="C194" i="152"/>
  <c r="D193" i="152"/>
  <c r="C193" i="152"/>
  <c r="D192" i="152"/>
  <c r="C192" i="152"/>
  <c r="D191" i="152"/>
  <c r="C191" i="152"/>
  <c r="D190" i="152"/>
  <c r="C190" i="152"/>
  <c r="D189" i="152"/>
  <c r="C189" i="152"/>
  <c r="D188" i="152"/>
  <c r="C188" i="152"/>
  <c r="D187" i="152"/>
  <c r="C187" i="152"/>
  <c r="D186" i="152"/>
  <c r="C186" i="152"/>
  <c r="D185" i="152"/>
  <c r="C185" i="152"/>
  <c r="D184" i="152"/>
  <c r="C184" i="152"/>
  <c r="D183" i="152"/>
  <c r="C183" i="152"/>
  <c r="D182" i="152"/>
  <c r="C182" i="152"/>
  <c r="D181" i="152"/>
  <c r="C181" i="152"/>
  <c r="D180" i="152"/>
  <c r="C180" i="152"/>
  <c r="D179" i="152"/>
  <c r="C179" i="152"/>
  <c r="D178" i="152"/>
  <c r="C178" i="152"/>
  <c r="D177" i="152"/>
  <c r="C177" i="152"/>
  <c r="D176" i="152"/>
  <c r="C176" i="152"/>
  <c r="D175" i="152"/>
  <c r="C175" i="152"/>
  <c r="D174" i="152"/>
  <c r="C174" i="152"/>
  <c r="D173" i="152"/>
  <c r="C173" i="152"/>
  <c r="D172" i="152"/>
  <c r="C172" i="152"/>
  <c r="D171" i="152"/>
  <c r="C171" i="152"/>
  <c r="D170" i="152"/>
  <c r="C170" i="152"/>
  <c r="D169" i="152"/>
  <c r="C169" i="152"/>
  <c r="D168" i="152"/>
  <c r="C168" i="152"/>
  <c r="D167" i="152"/>
  <c r="C167" i="152"/>
  <c r="D166" i="152"/>
  <c r="C166" i="152"/>
  <c r="D165" i="152"/>
  <c r="C165" i="152"/>
  <c r="D164" i="152"/>
  <c r="C164" i="152"/>
  <c r="D160" i="152"/>
  <c r="C160" i="152"/>
  <c r="D159" i="152"/>
  <c r="C159" i="152"/>
  <c r="D158" i="152"/>
  <c r="C158" i="152"/>
  <c r="D157" i="152"/>
  <c r="C157" i="152"/>
  <c r="D156" i="152"/>
  <c r="C156" i="152"/>
  <c r="D155" i="152"/>
  <c r="C155" i="152"/>
  <c r="D153" i="152"/>
  <c r="C153" i="152"/>
  <c r="D152" i="152"/>
  <c r="C152" i="152"/>
  <c r="D151" i="152"/>
  <c r="C151" i="152"/>
  <c r="D150" i="152"/>
  <c r="C150" i="152"/>
  <c r="D149" i="152"/>
  <c r="C149" i="152"/>
  <c r="D148" i="152"/>
  <c r="C148" i="152"/>
  <c r="D147" i="152"/>
  <c r="C147" i="152"/>
  <c r="D146" i="152"/>
  <c r="C146" i="152"/>
  <c r="D145" i="152"/>
  <c r="C145" i="152"/>
  <c r="D143" i="152"/>
  <c r="C143" i="152"/>
  <c r="D142" i="152"/>
  <c r="C142" i="152"/>
  <c r="D141" i="152"/>
  <c r="C141" i="152"/>
  <c r="D140" i="152"/>
  <c r="C140" i="152"/>
  <c r="D138" i="152"/>
  <c r="C138" i="152"/>
  <c r="D137" i="152"/>
  <c r="C137" i="152"/>
  <c r="D136" i="152"/>
  <c r="C136" i="152"/>
  <c r="D135" i="152"/>
  <c r="C135" i="152"/>
  <c r="D133" i="152"/>
  <c r="C133" i="152"/>
  <c r="D132" i="152"/>
  <c r="C132" i="152"/>
  <c r="D131" i="152"/>
  <c r="C131" i="152"/>
  <c r="D130" i="152"/>
  <c r="C130" i="152"/>
  <c r="D129" i="152"/>
  <c r="C129" i="152"/>
  <c r="D127" i="152"/>
  <c r="C127" i="152"/>
  <c r="D126" i="152"/>
  <c r="C126" i="152"/>
  <c r="D125" i="152"/>
  <c r="C125" i="152"/>
  <c r="D124" i="152"/>
  <c r="C124" i="152"/>
  <c r="D123" i="152"/>
  <c r="C123" i="152"/>
  <c r="D118" i="152"/>
  <c r="C118" i="152"/>
  <c r="D117" i="152"/>
  <c r="C117" i="152"/>
  <c r="D116" i="152"/>
  <c r="C116" i="152"/>
  <c r="D115" i="152"/>
  <c r="C115" i="152"/>
  <c r="D114" i="152"/>
  <c r="C114" i="152"/>
  <c r="D110" i="152"/>
  <c r="C110" i="152"/>
  <c r="D109" i="152"/>
  <c r="C109" i="152"/>
  <c r="D108" i="152"/>
  <c r="C108" i="152"/>
  <c r="D107" i="152"/>
  <c r="C107" i="152"/>
  <c r="D106" i="152"/>
  <c r="C106" i="152"/>
  <c r="D105" i="152"/>
  <c r="C105" i="152"/>
  <c r="D101" i="152"/>
  <c r="C101" i="152"/>
  <c r="D100" i="152"/>
  <c r="C100" i="152"/>
  <c r="D99" i="152"/>
  <c r="C99" i="152"/>
  <c r="D98" i="152"/>
  <c r="C98" i="152"/>
  <c r="D97" i="152"/>
  <c r="C97" i="152"/>
  <c r="D96" i="152"/>
  <c r="C96" i="152"/>
  <c r="D92" i="152"/>
  <c r="C92" i="152"/>
  <c r="D91" i="152"/>
  <c r="C91" i="152"/>
  <c r="D90" i="152"/>
  <c r="C90" i="152"/>
  <c r="D89" i="152"/>
  <c r="C89" i="152"/>
  <c r="D88" i="152"/>
  <c r="C88" i="152"/>
  <c r="D87" i="152"/>
  <c r="C87" i="152"/>
  <c r="D86" i="152"/>
  <c r="C86" i="152"/>
  <c r="D85" i="152"/>
  <c r="C85" i="152"/>
  <c r="D84" i="152"/>
  <c r="C84" i="152"/>
  <c r="D83" i="152"/>
  <c r="C83" i="152"/>
  <c r="D82" i="152"/>
  <c r="C82" i="152"/>
  <c r="D78" i="152"/>
  <c r="C78" i="152"/>
  <c r="D77" i="152"/>
  <c r="C77" i="152"/>
  <c r="D76" i="152"/>
  <c r="C76" i="152"/>
  <c r="D75" i="152"/>
  <c r="C75" i="152"/>
  <c r="D74" i="152"/>
  <c r="C74" i="152"/>
  <c r="D73" i="152"/>
  <c r="C73" i="152"/>
  <c r="D72" i="152"/>
  <c r="C72" i="152"/>
  <c r="D71" i="152"/>
  <c r="C71" i="152"/>
  <c r="D70" i="152"/>
  <c r="C70" i="152"/>
  <c r="D69" i="152"/>
  <c r="C69" i="152"/>
  <c r="D68" i="152"/>
  <c r="C68" i="152"/>
  <c r="D67" i="152"/>
  <c r="C67" i="152"/>
  <c r="D66" i="152"/>
  <c r="C66" i="152"/>
  <c r="D65" i="152"/>
  <c r="C65" i="152"/>
  <c r="D64" i="152"/>
  <c r="C64" i="152"/>
  <c r="D60" i="152"/>
  <c r="C60" i="152"/>
  <c r="D59" i="152"/>
  <c r="C59" i="152"/>
  <c r="D58" i="152"/>
  <c r="C58" i="152"/>
  <c r="D57" i="152"/>
  <c r="C57" i="152"/>
  <c r="D56" i="152"/>
  <c r="C56" i="152"/>
  <c r="D55" i="152"/>
  <c r="C55" i="152"/>
  <c r="D54" i="152"/>
  <c r="C54" i="152"/>
  <c r="D53" i="152"/>
  <c r="C53" i="152"/>
  <c r="D52" i="152"/>
  <c r="C52" i="152"/>
  <c r="D51" i="152"/>
  <c r="C51" i="152"/>
  <c r="D50" i="152"/>
  <c r="C50" i="152"/>
  <c r="D49" i="152"/>
  <c r="C49" i="152"/>
  <c r="D48" i="152"/>
  <c r="C48" i="152"/>
  <c r="D47" i="152"/>
  <c r="C47" i="152"/>
  <c r="D46" i="152"/>
  <c r="C46" i="152"/>
  <c r="D45" i="152"/>
  <c r="C45" i="152"/>
  <c r="D44" i="152"/>
  <c r="C44" i="152"/>
  <c r="D43" i="152"/>
  <c r="C43" i="152"/>
  <c r="D42" i="152"/>
  <c r="C42" i="152"/>
  <c r="D41" i="152"/>
  <c r="C41" i="152"/>
  <c r="D40" i="152"/>
  <c r="C40" i="152"/>
  <c r="D39" i="152"/>
  <c r="C39" i="152"/>
  <c r="D38" i="152"/>
  <c r="C38" i="152"/>
  <c r="D37" i="152"/>
  <c r="C37" i="152"/>
  <c r="D36" i="152"/>
  <c r="C36" i="152"/>
  <c r="D35" i="152"/>
  <c r="C35" i="152"/>
  <c r="D34" i="152"/>
  <c r="C34" i="152"/>
  <c r="D33" i="152"/>
  <c r="C33" i="152"/>
  <c r="D32" i="152"/>
  <c r="C32" i="152"/>
  <c r="D31" i="152"/>
  <c r="C31" i="152"/>
  <c r="D30" i="152"/>
  <c r="C30" i="152"/>
  <c r="D29" i="152"/>
  <c r="C29" i="152"/>
  <c r="D28" i="152"/>
  <c r="C28" i="152"/>
  <c r="D27" i="152"/>
  <c r="C27" i="152"/>
  <c r="D26" i="152"/>
  <c r="C26" i="152"/>
  <c r="D25" i="152"/>
  <c r="C25" i="152"/>
  <c r="D20" i="152"/>
  <c r="C20" i="152"/>
  <c r="D19" i="152"/>
  <c r="C19" i="152"/>
  <c r="D18" i="152"/>
  <c r="C18" i="152"/>
  <c r="D17" i="152"/>
  <c r="C17" i="152"/>
  <c r="D16" i="152"/>
  <c r="C16" i="152"/>
  <c r="D15" i="152"/>
  <c r="C15" i="152"/>
  <c r="D14" i="152"/>
  <c r="C14" i="152"/>
  <c r="D13" i="152"/>
  <c r="C13" i="152"/>
  <c r="D12" i="152"/>
  <c r="C12" i="152"/>
  <c r="D11" i="152"/>
  <c r="C11" i="152"/>
  <c r="D79" i="152" l="1"/>
  <c r="D119" i="152"/>
  <c r="C21" i="152"/>
  <c r="C93" i="152"/>
  <c r="C102" i="152"/>
  <c r="C161" i="152"/>
  <c r="D161" i="152"/>
  <c r="D206" i="152"/>
  <c r="C111" i="152"/>
  <c r="C228" i="152"/>
  <c r="C79" i="152"/>
  <c r="C119" i="152"/>
  <c r="D21" i="152"/>
  <c r="D102" i="152"/>
  <c r="D111" i="152"/>
  <c r="D197" i="152"/>
  <c r="C197" i="152"/>
  <c r="C206" i="152"/>
  <c r="D93" i="152"/>
  <c r="C61" i="152"/>
  <c r="D61" i="152"/>
  <c r="C208" i="152" l="1"/>
  <c r="C212" i="152" s="1"/>
  <c r="D208" i="152"/>
  <c r="D215" i="152" s="1"/>
  <c r="C215" i="152" l="1"/>
  <c r="G244" i="120"/>
  <c r="G243" i="120"/>
  <c r="G242" i="120"/>
  <c r="G241" i="120"/>
  <c r="G244" i="37" l="1"/>
  <c r="G243" i="37"/>
  <c r="G242" i="37"/>
  <c r="G241" i="37"/>
  <c r="C238" i="37"/>
  <c r="C237" i="37"/>
  <c r="C236" i="37"/>
  <c r="C235" i="37"/>
  <c r="C233" i="37"/>
  <c r="C232" i="37"/>
  <c r="C231" i="37"/>
  <c r="D228" i="37"/>
  <c r="C227" i="37"/>
  <c r="C226" i="37"/>
  <c r="C225" i="37"/>
  <c r="C224" i="37"/>
  <c r="C223" i="37"/>
  <c r="C222" i="37"/>
  <c r="C221" i="37"/>
  <c r="C220" i="37"/>
  <c r="C219" i="37"/>
  <c r="C211" i="37"/>
  <c r="D205" i="37"/>
  <c r="C205" i="37"/>
  <c r="D204" i="37"/>
  <c r="C204" i="37"/>
  <c r="D203" i="37"/>
  <c r="C203" i="37"/>
  <c r="D202" i="37"/>
  <c r="C202" i="37"/>
  <c r="D201" i="37"/>
  <c r="C201" i="37"/>
  <c r="D200" i="37"/>
  <c r="C200" i="37"/>
  <c r="D196" i="37"/>
  <c r="C196" i="37"/>
  <c r="D195" i="37"/>
  <c r="C195" i="37"/>
  <c r="D194" i="37"/>
  <c r="C194" i="37"/>
  <c r="D193" i="37"/>
  <c r="C193" i="37"/>
  <c r="D192" i="37"/>
  <c r="C192" i="37"/>
  <c r="D191" i="37"/>
  <c r="C191" i="37"/>
  <c r="D190" i="37"/>
  <c r="C190" i="37"/>
  <c r="D189" i="37"/>
  <c r="C189" i="37"/>
  <c r="D188" i="37"/>
  <c r="C188" i="37"/>
  <c r="D187" i="37"/>
  <c r="C187" i="37"/>
  <c r="D186" i="37"/>
  <c r="C186" i="37"/>
  <c r="D185" i="37"/>
  <c r="C185" i="37"/>
  <c r="D184" i="37"/>
  <c r="C184" i="37"/>
  <c r="D183" i="37"/>
  <c r="C183" i="37"/>
  <c r="D182" i="37"/>
  <c r="C182" i="37"/>
  <c r="D181" i="37"/>
  <c r="C181" i="37"/>
  <c r="D180" i="37"/>
  <c r="C180" i="37"/>
  <c r="D179" i="37"/>
  <c r="C179" i="37"/>
  <c r="D178" i="37"/>
  <c r="C178" i="37"/>
  <c r="D177" i="37"/>
  <c r="C177" i="37"/>
  <c r="D176" i="37"/>
  <c r="C176" i="37"/>
  <c r="D175" i="37"/>
  <c r="C175" i="37"/>
  <c r="D174" i="37"/>
  <c r="C174" i="37"/>
  <c r="D173" i="37"/>
  <c r="C173" i="37"/>
  <c r="D172" i="37"/>
  <c r="C172" i="37"/>
  <c r="D171" i="37"/>
  <c r="C171" i="37"/>
  <c r="D170" i="37"/>
  <c r="C170" i="37"/>
  <c r="D169" i="37"/>
  <c r="C169" i="37"/>
  <c r="D168" i="37"/>
  <c r="C168" i="37"/>
  <c r="D167" i="37"/>
  <c r="C167" i="37"/>
  <c r="D166" i="37"/>
  <c r="C166" i="37"/>
  <c r="D165" i="37"/>
  <c r="C165" i="37"/>
  <c r="D164" i="37"/>
  <c r="C164" i="37"/>
  <c r="D160" i="37"/>
  <c r="C160" i="37"/>
  <c r="D159" i="37"/>
  <c r="C159" i="37"/>
  <c r="D158" i="37"/>
  <c r="C158" i="37"/>
  <c r="D157" i="37"/>
  <c r="C157" i="37"/>
  <c r="D156" i="37"/>
  <c r="C156" i="37"/>
  <c r="D155" i="37"/>
  <c r="C155" i="37"/>
  <c r="D153" i="37"/>
  <c r="C153" i="37"/>
  <c r="D152" i="37"/>
  <c r="C152" i="37"/>
  <c r="D151" i="37"/>
  <c r="C151" i="37"/>
  <c r="D150" i="37"/>
  <c r="C150" i="37"/>
  <c r="D149" i="37"/>
  <c r="C149" i="37"/>
  <c r="D148" i="37"/>
  <c r="C148" i="37"/>
  <c r="D147" i="37"/>
  <c r="C147" i="37"/>
  <c r="D146" i="37"/>
  <c r="C146" i="37"/>
  <c r="D145" i="37"/>
  <c r="C145" i="37"/>
  <c r="D143" i="37"/>
  <c r="C143" i="37"/>
  <c r="D142" i="37"/>
  <c r="C142" i="37"/>
  <c r="D141" i="37"/>
  <c r="C141" i="37"/>
  <c r="D140" i="37"/>
  <c r="C140" i="37"/>
  <c r="D138" i="37"/>
  <c r="C138" i="37"/>
  <c r="D137" i="37"/>
  <c r="C137" i="37"/>
  <c r="D136" i="37"/>
  <c r="C136" i="37"/>
  <c r="D135" i="37"/>
  <c r="C135" i="37"/>
  <c r="D133" i="37"/>
  <c r="C133" i="37"/>
  <c r="D132" i="37"/>
  <c r="C132" i="37"/>
  <c r="D131" i="37"/>
  <c r="C131" i="37"/>
  <c r="D130" i="37"/>
  <c r="C130" i="37"/>
  <c r="D129" i="37"/>
  <c r="C129" i="37"/>
  <c r="D127" i="37"/>
  <c r="C127" i="37"/>
  <c r="D126" i="37"/>
  <c r="C126" i="37"/>
  <c r="D125" i="37"/>
  <c r="C125" i="37"/>
  <c r="D124" i="37"/>
  <c r="C124" i="37"/>
  <c r="D123" i="37"/>
  <c r="C123" i="37"/>
  <c r="D118" i="37"/>
  <c r="C118" i="37"/>
  <c r="D117" i="37"/>
  <c r="C117" i="37"/>
  <c r="D116" i="37"/>
  <c r="C116" i="37"/>
  <c r="D115" i="37"/>
  <c r="C115" i="37"/>
  <c r="D114" i="37"/>
  <c r="C114" i="37"/>
  <c r="D110" i="37"/>
  <c r="C110" i="37"/>
  <c r="D109" i="37"/>
  <c r="C109" i="37"/>
  <c r="D108" i="37"/>
  <c r="C108" i="37"/>
  <c r="D107" i="37"/>
  <c r="C107" i="37"/>
  <c r="D106" i="37"/>
  <c r="C106" i="37"/>
  <c r="D105" i="37"/>
  <c r="C105" i="37"/>
  <c r="D101" i="37"/>
  <c r="C101" i="37"/>
  <c r="D100" i="37"/>
  <c r="C100" i="37"/>
  <c r="D99" i="37"/>
  <c r="C99" i="37"/>
  <c r="D98" i="37"/>
  <c r="C98" i="37"/>
  <c r="D97" i="37"/>
  <c r="C97" i="37"/>
  <c r="D96" i="37"/>
  <c r="C96" i="37"/>
  <c r="D92" i="37"/>
  <c r="C92" i="37"/>
  <c r="D91" i="37"/>
  <c r="C91" i="37"/>
  <c r="D90" i="37"/>
  <c r="C90" i="37"/>
  <c r="D89" i="37"/>
  <c r="C89" i="37"/>
  <c r="D88" i="37"/>
  <c r="C88" i="37"/>
  <c r="D87" i="37"/>
  <c r="C87" i="37"/>
  <c r="D86" i="37"/>
  <c r="C86" i="37"/>
  <c r="D85" i="37"/>
  <c r="C85" i="37"/>
  <c r="D84" i="37"/>
  <c r="C84" i="37"/>
  <c r="D83" i="37"/>
  <c r="C83" i="37"/>
  <c r="D82" i="37"/>
  <c r="C82" i="37"/>
  <c r="D78" i="37"/>
  <c r="C78" i="37"/>
  <c r="D77" i="37"/>
  <c r="C77" i="37"/>
  <c r="D76" i="37"/>
  <c r="C76" i="37"/>
  <c r="D75" i="37"/>
  <c r="C75" i="37"/>
  <c r="D74" i="37"/>
  <c r="C74" i="37"/>
  <c r="D73" i="37"/>
  <c r="C73" i="37"/>
  <c r="D72" i="37"/>
  <c r="C72" i="37"/>
  <c r="D71" i="37"/>
  <c r="C71" i="37"/>
  <c r="D70" i="37"/>
  <c r="C70" i="37"/>
  <c r="D69" i="37"/>
  <c r="C69" i="37"/>
  <c r="D68" i="37"/>
  <c r="C68" i="37"/>
  <c r="D67" i="37"/>
  <c r="C67" i="37"/>
  <c r="D66" i="37"/>
  <c r="C66" i="37"/>
  <c r="D65" i="37"/>
  <c r="C65" i="37"/>
  <c r="D64" i="37"/>
  <c r="C64" i="37"/>
  <c r="D60" i="37"/>
  <c r="C60" i="37"/>
  <c r="D59" i="37"/>
  <c r="C59" i="37"/>
  <c r="D58" i="37"/>
  <c r="C58" i="37"/>
  <c r="D57" i="37"/>
  <c r="C57" i="37"/>
  <c r="D56" i="37"/>
  <c r="C56" i="37"/>
  <c r="D55" i="37"/>
  <c r="C55" i="37"/>
  <c r="D54" i="37"/>
  <c r="C54" i="37"/>
  <c r="D53" i="37"/>
  <c r="C53" i="37"/>
  <c r="D52" i="37"/>
  <c r="C52" i="37"/>
  <c r="D51" i="37"/>
  <c r="C51" i="37"/>
  <c r="D50" i="37"/>
  <c r="C50" i="37"/>
  <c r="D49" i="37"/>
  <c r="C49" i="37"/>
  <c r="D48" i="37"/>
  <c r="C48" i="37"/>
  <c r="D47" i="37"/>
  <c r="C47" i="37"/>
  <c r="D46" i="37"/>
  <c r="C46" i="37"/>
  <c r="D45" i="37"/>
  <c r="C45" i="37"/>
  <c r="D44" i="37"/>
  <c r="C44" i="37"/>
  <c r="D43" i="37"/>
  <c r="C43" i="37"/>
  <c r="D42" i="37"/>
  <c r="C42" i="37"/>
  <c r="D41" i="37"/>
  <c r="C41" i="37"/>
  <c r="D40" i="37"/>
  <c r="C40" i="37"/>
  <c r="D39" i="37"/>
  <c r="C39" i="37"/>
  <c r="D38" i="37"/>
  <c r="C38" i="37"/>
  <c r="D37" i="37"/>
  <c r="C37" i="37"/>
  <c r="D36" i="37"/>
  <c r="C36" i="37"/>
  <c r="D35" i="37"/>
  <c r="C35" i="37"/>
  <c r="D34" i="37"/>
  <c r="C34" i="37"/>
  <c r="D33" i="37"/>
  <c r="C33" i="37"/>
  <c r="D32" i="37"/>
  <c r="C32" i="37"/>
  <c r="D31" i="37"/>
  <c r="C31" i="37"/>
  <c r="D30" i="37"/>
  <c r="C30" i="37"/>
  <c r="D29" i="37"/>
  <c r="C29" i="37"/>
  <c r="D28" i="37"/>
  <c r="C28" i="37"/>
  <c r="D27" i="37"/>
  <c r="C27" i="37"/>
  <c r="D26" i="37"/>
  <c r="C26" i="37"/>
  <c r="D25" i="37"/>
  <c r="C25" i="37"/>
  <c r="D20" i="37"/>
  <c r="C20" i="37"/>
  <c r="D19" i="37"/>
  <c r="C19" i="37"/>
  <c r="D18" i="37"/>
  <c r="C18" i="37"/>
  <c r="D17" i="37"/>
  <c r="C17" i="37"/>
  <c r="D16" i="37"/>
  <c r="C16" i="37"/>
  <c r="D15" i="37"/>
  <c r="C15" i="37"/>
  <c r="D14" i="37"/>
  <c r="C14" i="37"/>
  <c r="D13" i="37"/>
  <c r="C13" i="37"/>
  <c r="D12" i="37"/>
  <c r="C12" i="37"/>
  <c r="D11" i="37"/>
  <c r="C11" i="37"/>
  <c r="D93" i="37" l="1"/>
  <c r="C197" i="37"/>
  <c r="C21" i="37"/>
  <c r="C93" i="37"/>
  <c r="D197" i="37"/>
  <c r="D206" i="37"/>
  <c r="C206" i="37"/>
  <c r="D21" i="37"/>
  <c r="C102" i="37"/>
  <c r="C119" i="37"/>
  <c r="C79" i="37"/>
  <c r="C61" i="37"/>
  <c r="D119" i="37"/>
  <c r="D102" i="37"/>
  <c r="D61" i="37"/>
  <c r="C111" i="37"/>
  <c r="C228" i="37"/>
  <c r="D79" i="37"/>
  <c r="D111" i="37"/>
  <c r="C161" i="37"/>
  <c r="D161" i="37"/>
  <c r="C208" i="37" l="1"/>
  <c r="C212" i="37" s="1"/>
  <c r="D208" i="37"/>
  <c r="D215" i="37" s="1"/>
  <c r="G244" i="90"/>
  <c r="G243" i="90"/>
  <c r="G242" i="90"/>
  <c r="G241" i="90"/>
  <c r="C238" i="90"/>
  <c r="C237" i="90"/>
  <c r="C236" i="90"/>
  <c r="C235" i="90"/>
  <c r="C233" i="90"/>
  <c r="C232" i="90"/>
  <c r="C231" i="90"/>
  <c r="D228" i="90"/>
  <c r="C227" i="90"/>
  <c r="C226" i="90"/>
  <c r="C225" i="90"/>
  <c r="C224" i="90"/>
  <c r="C223" i="90"/>
  <c r="C222" i="90"/>
  <c r="C221" i="90"/>
  <c r="C220" i="90"/>
  <c r="C219" i="90"/>
  <c r="C211" i="90"/>
  <c r="D205" i="90"/>
  <c r="C205" i="90"/>
  <c r="D204" i="90"/>
  <c r="C204" i="90"/>
  <c r="D203" i="90"/>
  <c r="C203" i="90"/>
  <c r="D202" i="90"/>
  <c r="C202" i="90"/>
  <c r="D201" i="90"/>
  <c r="C201" i="90"/>
  <c r="D200" i="90"/>
  <c r="C200" i="90"/>
  <c r="D196" i="90"/>
  <c r="C196" i="90"/>
  <c r="D195" i="90"/>
  <c r="C195" i="90"/>
  <c r="D194" i="90"/>
  <c r="C194" i="90"/>
  <c r="D193" i="90"/>
  <c r="C193" i="90"/>
  <c r="D192" i="90"/>
  <c r="C192" i="90"/>
  <c r="D191" i="90"/>
  <c r="C191" i="90"/>
  <c r="D190" i="90"/>
  <c r="C190" i="90"/>
  <c r="D189" i="90"/>
  <c r="C189" i="90"/>
  <c r="D188" i="90"/>
  <c r="C188" i="90"/>
  <c r="D187" i="90"/>
  <c r="C187" i="90"/>
  <c r="D186" i="90"/>
  <c r="C186" i="90"/>
  <c r="D185" i="90"/>
  <c r="C185" i="90"/>
  <c r="D184" i="90"/>
  <c r="C184" i="90"/>
  <c r="D183" i="90"/>
  <c r="C183" i="90"/>
  <c r="D182" i="90"/>
  <c r="C182" i="90"/>
  <c r="D181" i="90"/>
  <c r="C181" i="90"/>
  <c r="D180" i="90"/>
  <c r="C180" i="90"/>
  <c r="D179" i="90"/>
  <c r="C179" i="90"/>
  <c r="D178" i="90"/>
  <c r="C178" i="90"/>
  <c r="D177" i="90"/>
  <c r="C177" i="90"/>
  <c r="D176" i="90"/>
  <c r="C176" i="90"/>
  <c r="D175" i="90"/>
  <c r="C175" i="90"/>
  <c r="D174" i="90"/>
  <c r="C174" i="90"/>
  <c r="D173" i="90"/>
  <c r="C173" i="90"/>
  <c r="D172" i="90"/>
  <c r="C172" i="90"/>
  <c r="D171" i="90"/>
  <c r="C171" i="90"/>
  <c r="D170" i="90"/>
  <c r="C170" i="90"/>
  <c r="D169" i="90"/>
  <c r="C169" i="90"/>
  <c r="D168" i="90"/>
  <c r="C168" i="90"/>
  <c r="D167" i="90"/>
  <c r="C167" i="90"/>
  <c r="D166" i="90"/>
  <c r="C166" i="90"/>
  <c r="D165" i="90"/>
  <c r="C165" i="90"/>
  <c r="D164" i="90"/>
  <c r="C164" i="90"/>
  <c r="D160" i="90"/>
  <c r="C160" i="90"/>
  <c r="D159" i="90"/>
  <c r="C159" i="90"/>
  <c r="D158" i="90"/>
  <c r="C158" i="90"/>
  <c r="D157" i="90"/>
  <c r="C157" i="90"/>
  <c r="D156" i="90"/>
  <c r="C156" i="90"/>
  <c r="D155" i="90"/>
  <c r="C155" i="90"/>
  <c r="D153" i="90"/>
  <c r="C153" i="90"/>
  <c r="D152" i="90"/>
  <c r="C152" i="90"/>
  <c r="D151" i="90"/>
  <c r="C151" i="90"/>
  <c r="D150" i="90"/>
  <c r="C150" i="90"/>
  <c r="D149" i="90"/>
  <c r="C149" i="90"/>
  <c r="D148" i="90"/>
  <c r="C148" i="90"/>
  <c r="D147" i="90"/>
  <c r="C147" i="90"/>
  <c r="D146" i="90"/>
  <c r="C146" i="90"/>
  <c r="D145" i="90"/>
  <c r="C145" i="90"/>
  <c r="D143" i="90"/>
  <c r="C143" i="90"/>
  <c r="D142" i="90"/>
  <c r="C142" i="90"/>
  <c r="D141" i="90"/>
  <c r="C141" i="90"/>
  <c r="D140" i="90"/>
  <c r="C140" i="90"/>
  <c r="D138" i="90"/>
  <c r="C138" i="90"/>
  <c r="D137" i="90"/>
  <c r="C137" i="90"/>
  <c r="D136" i="90"/>
  <c r="C136" i="90"/>
  <c r="D135" i="90"/>
  <c r="C135" i="90"/>
  <c r="D133" i="90"/>
  <c r="C133" i="90"/>
  <c r="D132" i="90"/>
  <c r="C132" i="90"/>
  <c r="D131" i="90"/>
  <c r="C131" i="90"/>
  <c r="D130" i="90"/>
  <c r="C130" i="90"/>
  <c r="D129" i="90"/>
  <c r="C129" i="90"/>
  <c r="D127" i="90"/>
  <c r="C127" i="90"/>
  <c r="D126" i="90"/>
  <c r="C126" i="90"/>
  <c r="D125" i="90"/>
  <c r="C125" i="90"/>
  <c r="D124" i="90"/>
  <c r="C124" i="90"/>
  <c r="D123" i="90"/>
  <c r="C123" i="90"/>
  <c r="D118" i="90"/>
  <c r="C118" i="90"/>
  <c r="D117" i="90"/>
  <c r="C117" i="90"/>
  <c r="D116" i="90"/>
  <c r="C116" i="90"/>
  <c r="D115" i="90"/>
  <c r="C115" i="90"/>
  <c r="D114" i="90"/>
  <c r="C114" i="90"/>
  <c r="D110" i="90"/>
  <c r="C110" i="90"/>
  <c r="D109" i="90"/>
  <c r="C109" i="90"/>
  <c r="D108" i="90"/>
  <c r="C108" i="90"/>
  <c r="D107" i="90"/>
  <c r="C107" i="90"/>
  <c r="D106" i="90"/>
  <c r="C106" i="90"/>
  <c r="D105" i="90"/>
  <c r="C105" i="90"/>
  <c r="D101" i="90"/>
  <c r="C101" i="90"/>
  <c r="D100" i="90"/>
  <c r="C100" i="90"/>
  <c r="D99" i="90"/>
  <c r="C99" i="90"/>
  <c r="D98" i="90"/>
  <c r="C98" i="90"/>
  <c r="D97" i="90"/>
  <c r="C97" i="90"/>
  <c r="D96" i="90"/>
  <c r="C96" i="90"/>
  <c r="D92" i="90"/>
  <c r="C92" i="90"/>
  <c r="D91" i="90"/>
  <c r="C91" i="90"/>
  <c r="D90" i="90"/>
  <c r="C90" i="90"/>
  <c r="D89" i="90"/>
  <c r="C89" i="90"/>
  <c r="D88" i="90"/>
  <c r="C88" i="90"/>
  <c r="D87" i="90"/>
  <c r="C87" i="90"/>
  <c r="D86" i="90"/>
  <c r="C86" i="90"/>
  <c r="D85" i="90"/>
  <c r="C85" i="90"/>
  <c r="D84" i="90"/>
  <c r="C84" i="90"/>
  <c r="D83" i="90"/>
  <c r="C83" i="90"/>
  <c r="D82" i="90"/>
  <c r="C82" i="90"/>
  <c r="D78" i="90"/>
  <c r="C78" i="90"/>
  <c r="D77" i="90"/>
  <c r="C77" i="90"/>
  <c r="D76" i="90"/>
  <c r="C76" i="90"/>
  <c r="D75" i="90"/>
  <c r="C75" i="90"/>
  <c r="D74" i="90"/>
  <c r="C74" i="90"/>
  <c r="D73" i="90"/>
  <c r="C73" i="90"/>
  <c r="D72" i="90"/>
  <c r="C72" i="90"/>
  <c r="D71" i="90"/>
  <c r="C71" i="90"/>
  <c r="D70" i="90"/>
  <c r="C70" i="90"/>
  <c r="D69" i="90"/>
  <c r="C69" i="90"/>
  <c r="D68" i="90"/>
  <c r="C68" i="90"/>
  <c r="D67" i="90"/>
  <c r="C67" i="90"/>
  <c r="D66" i="90"/>
  <c r="C66" i="90"/>
  <c r="D65" i="90"/>
  <c r="C65" i="90"/>
  <c r="D64" i="90"/>
  <c r="C64" i="90"/>
  <c r="D60" i="90"/>
  <c r="C60" i="90"/>
  <c r="D59" i="90"/>
  <c r="C59" i="90"/>
  <c r="D58" i="90"/>
  <c r="C58" i="90"/>
  <c r="D57" i="90"/>
  <c r="C57" i="90"/>
  <c r="D56" i="90"/>
  <c r="C56" i="90"/>
  <c r="D55" i="90"/>
  <c r="C55" i="90"/>
  <c r="D54" i="90"/>
  <c r="C54" i="90"/>
  <c r="D53" i="90"/>
  <c r="C53" i="90"/>
  <c r="D52" i="90"/>
  <c r="C52" i="90"/>
  <c r="D51" i="90"/>
  <c r="C51" i="90"/>
  <c r="D50" i="90"/>
  <c r="C50" i="90"/>
  <c r="D49" i="90"/>
  <c r="C49" i="90"/>
  <c r="D48" i="90"/>
  <c r="C48" i="90"/>
  <c r="D47" i="90"/>
  <c r="C47" i="90"/>
  <c r="D46" i="90"/>
  <c r="C46" i="90"/>
  <c r="D45" i="90"/>
  <c r="C45" i="90"/>
  <c r="D44" i="90"/>
  <c r="C44" i="90"/>
  <c r="D43" i="90"/>
  <c r="C43" i="90"/>
  <c r="D42" i="90"/>
  <c r="C42" i="90"/>
  <c r="D41" i="90"/>
  <c r="C41" i="90"/>
  <c r="D40" i="90"/>
  <c r="C40" i="90"/>
  <c r="D39" i="90"/>
  <c r="C39" i="90"/>
  <c r="D38" i="90"/>
  <c r="C38" i="90"/>
  <c r="D37" i="90"/>
  <c r="C37" i="90"/>
  <c r="D36" i="90"/>
  <c r="C36" i="90"/>
  <c r="D35" i="90"/>
  <c r="C35" i="90"/>
  <c r="D34" i="90"/>
  <c r="C34" i="90"/>
  <c r="D33" i="90"/>
  <c r="C33" i="90"/>
  <c r="D32" i="90"/>
  <c r="C32" i="90"/>
  <c r="D31" i="90"/>
  <c r="C31" i="90"/>
  <c r="D30" i="90"/>
  <c r="C30" i="90"/>
  <c r="D29" i="90"/>
  <c r="C29" i="90"/>
  <c r="D28" i="90"/>
  <c r="C28" i="90"/>
  <c r="D27" i="90"/>
  <c r="C27" i="90"/>
  <c r="D26" i="90"/>
  <c r="C26" i="90"/>
  <c r="D25" i="90"/>
  <c r="C25" i="90"/>
  <c r="D20" i="90"/>
  <c r="C20" i="90"/>
  <c r="D19" i="90"/>
  <c r="C19" i="90"/>
  <c r="D18" i="90"/>
  <c r="C18" i="90"/>
  <c r="D17" i="90"/>
  <c r="C17" i="90"/>
  <c r="D16" i="90"/>
  <c r="C16" i="90"/>
  <c r="D15" i="90"/>
  <c r="C15" i="90"/>
  <c r="D14" i="90"/>
  <c r="C14" i="90"/>
  <c r="D13" i="90"/>
  <c r="C13" i="90"/>
  <c r="D12" i="90"/>
  <c r="C12" i="90"/>
  <c r="D11" i="90"/>
  <c r="C11" i="90"/>
  <c r="C215" i="37" l="1"/>
  <c r="D79" i="90"/>
  <c r="D111" i="90"/>
  <c r="D93" i="90"/>
  <c r="D119" i="90"/>
  <c r="C21" i="90"/>
  <c r="C161" i="90"/>
  <c r="C111" i="90"/>
  <c r="D161" i="90"/>
  <c r="C228" i="90"/>
  <c r="C197" i="90"/>
  <c r="C79" i="90"/>
  <c r="C102" i="90"/>
  <c r="D197" i="90"/>
  <c r="D206" i="90"/>
  <c r="C206" i="90"/>
  <c r="D102" i="90"/>
  <c r="D21" i="90"/>
  <c r="C93" i="90"/>
  <c r="C119" i="90"/>
  <c r="C61" i="90"/>
  <c r="D61" i="90"/>
  <c r="D208" i="90" l="1"/>
  <c r="D215" i="90" s="1"/>
  <c r="C208" i="90"/>
  <c r="C212" i="90" s="1"/>
  <c r="G244" i="24"/>
  <c r="G243" i="24"/>
  <c r="G242" i="24"/>
  <c r="G241" i="24"/>
  <c r="C238" i="24"/>
  <c r="C237" i="24"/>
  <c r="C236" i="24"/>
  <c r="C235" i="24"/>
  <c r="C233" i="24"/>
  <c r="C232" i="24"/>
  <c r="C231" i="24"/>
  <c r="D228" i="24"/>
  <c r="C227" i="24"/>
  <c r="C226" i="24"/>
  <c r="C225" i="24"/>
  <c r="C224" i="24"/>
  <c r="C223" i="24"/>
  <c r="C222" i="24"/>
  <c r="C221" i="24"/>
  <c r="C220" i="24"/>
  <c r="C219" i="24"/>
  <c r="C211" i="24"/>
  <c r="D205" i="24"/>
  <c r="C205" i="24"/>
  <c r="D204" i="24"/>
  <c r="C204" i="24"/>
  <c r="D203" i="24"/>
  <c r="C203" i="24"/>
  <c r="D202" i="24"/>
  <c r="C202" i="24"/>
  <c r="D201" i="24"/>
  <c r="C201" i="24"/>
  <c r="D200" i="24"/>
  <c r="C200" i="24"/>
  <c r="D196" i="24"/>
  <c r="C196" i="24"/>
  <c r="D195" i="24"/>
  <c r="C195" i="24"/>
  <c r="D194" i="24"/>
  <c r="C194" i="24"/>
  <c r="D193" i="24"/>
  <c r="C193" i="24"/>
  <c r="D192" i="24"/>
  <c r="C192" i="24"/>
  <c r="D191" i="24"/>
  <c r="C191" i="24"/>
  <c r="D190" i="24"/>
  <c r="C190" i="24"/>
  <c r="D189" i="24"/>
  <c r="C189" i="24"/>
  <c r="D188" i="24"/>
  <c r="C188" i="24"/>
  <c r="D187" i="24"/>
  <c r="C187" i="24"/>
  <c r="D186" i="24"/>
  <c r="C186" i="24"/>
  <c r="D185" i="24"/>
  <c r="C185" i="24"/>
  <c r="D184" i="24"/>
  <c r="C184" i="24"/>
  <c r="D183" i="24"/>
  <c r="C183" i="24"/>
  <c r="D182" i="24"/>
  <c r="C182" i="24"/>
  <c r="D181" i="24"/>
  <c r="C181" i="24"/>
  <c r="D180" i="24"/>
  <c r="C180" i="24"/>
  <c r="D179" i="24"/>
  <c r="C179" i="24"/>
  <c r="D178" i="24"/>
  <c r="C178" i="24"/>
  <c r="D177" i="24"/>
  <c r="C177" i="24"/>
  <c r="D176" i="24"/>
  <c r="C176" i="24"/>
  <c r="D175" i="24"/>
  <c r="C175" i="24"/>
  <c r="D174" i="24"/>
  <c r="C174" i="24"/>
  <c r="D173" i="24"/>
  <c r="C173" i="24"/>
  <c r="D172" i="24"/>
  <c r="C172" i="24"/>
  <c r="D171" i="24"/>
  <c r="C171" i="24"/>
  <c r="D170" i="24"/>
  <c r="C170" i="24"/>
  <c r="D169" i="24"/>
  <c r="C169" i="24"/>
  <c r="D168" i="24"/>
  <c r="C168" i="24"/>
  <c r="D167" i="24"/>
  <c r="C167" i="24"/>
  <c r="D166" i="24"/>
  <c r="C166" i="24"/>
  <c r="D165" i="24"/>
  <c r="C165" i="24"/>
  <c r="D164" i="24"/>
  <c r="C164" i="24"/>
  <c r="D160" i="24"/>
  <c r="C160" i="24"/>
  <c r="D159" i="24"/>
  <c r="C159" i="24"/>
  <c r="D158" i="24"/>
  <c r="C158" i="24"/>
  <c r="D157" i="24"/>
  <c r="C157" i="24"/>
  <c r="D156" i="24"/>
  <c r="C156" i="24"/>
  <c r="D155" i="24"/>
  <c r="C155" i="24"/>
  <c r="D153" i="24"/>
  <c r="C153" i="24"/>
  <c r="D152" i="24"/>
  <c r="C152" i="24"/>
  <c r="D151" i="24"/>
  <c r="C151" i="24"/>
  <c r="D150" i="24"/>
  <c r="C150" i="24"/>
  <c r="D149" i="24"/>
  <c r="C149" i="24"/>
  <c r="D148" i="24"/>
  <c r="C148" i="24"/>
  <c r="D147" i="24"/>
  <c r="C147" i="24"/>
  <c r="D146" i="24"/>
  <c r="C146" i="24"/>
  <c r="D145" i="24"/>
  <c r="C145" i="24"/>
  <c r="D143" i="24"/>
  <c r="C143" i="24"/>
  <c r="D142" i="24"/>
  <c r="C142" i="24"/>
  <c r="D141" i="24"/>
  <c r="C141" i="24"/>
  <c r="D140" i="24"/>
  <c r="C140" i="24"/>
  <c r="D138" i="24"/>
  <c r="C138" i="24"/>
  <c r="D137" i="24"/>
  <c r="C137" i="24"/>
  <c r="D136" i="24"/>
  <c r="C136" i="24"/>
  <c r="D135" i="24"/>
  <c r="C135" i="24"/>
  <c r="D133" i="24"/>
  <c r="C133" i="24"/>
  <c r="D132" i="24"/>
  <c r="C132" i="24"/>
  <c r="D131" i="24"/>
  <c r="C131" i="24"/>
  <c r="D130" i="24"/>
  <c r="C130" i="24"/>
  <c r="D129" i="24"/>
  <c r="C129" i="24"/>
  <c r="D127" i="24"/>
  <c r="C127" i="24"/>
  <c r="D126" i="24"/>
  <c r="C126" i="24"/>
  <c r="D125" i="24"/>
  <c r="C125" i="24"/>
  <c r="D124" i="24"/>
  <c r="C124" i="24"/>
  <c r="D123" i="24"/>
  <c r="C123" i="24"/>
  <c r="D118" i="24"/>
  <c r="C118" i="24"/>
  <c r="D117" i="24"/>
  <c r="C117" i="24"/>
  <c r="D116" i="24"/>
  <c r="C116" i="24"/>
  <c r="D115" i="24"/>
  <c r="C115" i="24"/>
  <c r="D114" i="24"/>
  <c r="C114" i="24"/>
  <c r="D110" i="24"/>
  <c r="C110" i="24"/>
  <c r="D109" i="24"/>
  <c r="C109" i="24"/>
  <c r="D108" i="24"/>
  <c r="C108" i="24"/>
  <c r="D107" i="24"/>
  <c r="C107" i="24"/>
  <c r="D106" i="24"/>
  <c r="C106" i="24"/>
  <c r="D105" i="24"/>
  <c r="C105" i="24"/>
  <c r="D101" i="24"/>
  <c r="C101" i="24"/>
  <c r="D100" i="24"/>
  <c r="C100" i="24"/>
  <c r="D99" i="24"/>
  <c r="C99" i="24"/>
  <c r="D98" i="24"/>
  <c r="C98" i="24"/>
  <c r="D97" i="24"/>
  <c r="C97" i="24"/>
  <c r="D96" i="24"/>
  <c r="C96" i="24"/>
  <c r="D92" i="24"/>
  <c r="C92" i="24"/>
  <c r="D91" i="24"/>
  <c r="C91" i="24"/>
  <c r="D90" i="24"/>
  <c r="C90" i="24"/>
  <c r="D89" i="24"/>
  <c r="C89" i="24"/>
  <c r="D88" i="24"/>
  <c r="C88" i="24"/>
  <c r="D87" i="24"/>
  <c r="C87" i="24"/>
  <c r="D86" i="24"/>
  <c r="C86" i="24"/>
  <c r="D85" i="24"/>
  <c r="C85" i="24"/>
  <c r="D84" i="24"/>
  <c r="C84" i="24"/>
  <c r="D83" i="24"/>
  <c r="C83" i="24"/>
  <c r="D82" i="24"/>
  <c r="C82" i="24"/>
  <c r="D78" i="24"/>
  <c r="C78" i="24"/>
  <c r="D77" i="24"/>
  <c r="C77" i="24"/>
  <c r="D76" i="24"/>
  <c r="C76" i="24"/>
  <c r="D75" i="24"/>
  <c r="C75" i="24"/>
  <c r="D74" i="24"/>
  <c r="C74" i="24"/>
  <c r="D73" i="24"/>
  <c r="C73" i="24"/>
  <c r="D72" i="24"/>
  <c r="C72" i="24"/>
  <c r="D71" i="24"/>
  <c r="C71" i="24"/>
  <c r="D70" i="24"/>
  <c r="C70" i="24"/>
  <c r="D69" i="24"/>
  <c r="C69" i="24"/>
  <c r="D68" i="24"/>
  <c r="C68" i="24"/>
  <c r="D67" i="24"/>
  <c r="C67" i="24"/>
  <c r="D66" i="24"/>
  <c r="C66" i="24"/>
  <c r="D65" i="24"/>
  <c r="C65" i="24"/>
  <c r="D64" i="24"/>
  <c r="C64" i="24"/>
  <c r="D60" i="24"/>
  <c r="C60" i="24"/>
  <c r="D59" i="24"/>
  <c r="C59" i="24"/>
  <c r="D58" i="24"/>
  <c r="C58" i="24"/>
  <c r="D57" i="24"/>
  <c r="C57" i="24"/>
  <c r="D56" i="24"/>
  <c r="C56" i="24"/>
  <c r="D55" i="24"/>
  <c r="C55" i="24"/>
  <c r="D54" i="24"/>
  <c r="C54" i="24"/>
  <c r="D53" i="24"/>
  <c r="C53" i="24"/>
  <c r="D52" i="24"/>
  <c r="C52" i="24"/>
  <c r="D51" i="24"/>
  <c r="C51" i="24"/>
  <c r="D50" i="24"/>
  <c r="C50" i="24"/>
  <c r="D49" i="24"/>
  <c r="C49" i="24"/>
  <c r="D48" i="24"/>
  <c r="C48" i="24"/>
  <c r="D47" i="24"/>
  <c r="C47" i="24"/>
  <c r="D46" i="24"/>
  <c r="C46" i="24"/>
  <c r="D45" i="24"/>
  <c r="C45" i="24"/>
  <c r="D44" i="24"/>
  <c r="C44" i="24"/>
  <c r="D43" i="24"/>
  <c r="C43" i="24"/>
  <c r="D42" i="24"/>
  <c r="C42" i="24"/>
  <c r="D41" i="24"/>
  <c r="C41" i="24"/>
  <c r="D40" i="24"/>
  <c r="C40" i="24"/>
  <c r="D39" i="24"/>
  <c r="C39" i="24"/>
  <c r="D38" i="24"/>
  <c r="C38" i="24"/>
  <c r="D37" i="24"/>
  <c r="C37" i="24"/>
  <c r="D36" i="24"/>
  <c r="C36" i="24"/>
  <c r="D35" i="24"/>
  <c r="C35" i="24"/>
  <c r="D34" i="24"/>
  <c r="C34" i="24"/>
  <c r="D33" i="24"/>
  <c r="C33" i="24"/>
  <c r="D32" i="24"/>
  <c r="C32" i="24"/>
  <c r="D31" i="24"/>
  <c r="C31" i="24"/>
  <c r="D30" i="24"/>
  <c r="C30" i="24"/>
  <c r="D29" i="24"/>
  <c r="C29" i="24"/>
  <c r="D28" i="24"/>
  <c r="C28" i="24"/>
  <c r="D27" i="24"/>
  <c r="C27" i="24"/>
  <c r="D26" i="24"/>
  <c r="C26" i="24"/>
  <c r="D25" i="24"/>
  <c r="C25" i="24"/>
  <c r="D20" i="24"/>
  <c r="C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D13" i="24"/>
  <c r="C13" i="24"/>
  <c r="D12" i="24"/>
  <c r="C12" i="24"/>
  <c r="D11" i="24"/>
  <c r="C11" i="24"/>
  <c r="C215" i="90" l="1"/>
  <c r="D119" i="24"/>
  <c r="C111" i="24"/>
  <c r="D79" i="24"/>
  <c r="C61" i="24"/>
  <c r="C79" i="24"/>
  <c r="C119" i="24"/>
  <c r="D206" i="24"/>
  <c r="C197" i="24"/>
  <c r="C206" i="24"/>
  <c r="C228" i="24"/>
  <c r="D111" i="24"/>
  <c r="C21" i="24"/>
  <c r="C93" i="24"/>
  <c r="C102" i="24"/>
  <c r="D197" i="24"/>
  <c r="D61" i="24"/>
  <c r="C161" i="24"/>
  <c r="D161" i="24"/>
  <c r="D21" i="24"/>
  <c r="D93" i="24"/>
  <c r="D102" i="24"/>
  <c r="C208" i="24" l="1"/>
  <c r="C212" i="24" s="1"/>
  <c r="D208" i="24"/>
  <c r="D215" i="24" s="1"/>
  <c r="G244" i="141"/>
  <c r="G243" i="141"/>
  <c r="G242" i="141"/>
  <c r="G241" i="141"/>
  <c r="C238" i="141"/>
  <c r="C237" i="141"/>
  <c r="C236" i="141"/>
  <c r="C235" i="141"/>
  <c r="C233" i="141"/>
  <c r="C232" i="141"/>
  <c r="C231" i="141"/>
  <c r="D228" i="141"/>
  <c r="C227" i="141"/>
  <c r="C226" i="141"/>
  <c r="C225" i="141"/>
  <c r="C224" i="141"/>
  <c r="C223" i="141"/>
  <c r="C222" i="141"/>
  <c r="C221" i="141"/>
  <c r="C220" i="141"/>
  <c r="C219" i="141"/>
  <c r="C211" i="141"/>
  <c r="D205" i="141"/>
  <c r="C205" i="141"/>
  <c r="D204" i="141"/>
  <c r="C204" i="141"/>
  <c r="D203" i="141"/>
  <c r="C203" i="141"/>
  <c r="D202" i="141"/>
  <c r="C202" i="141"/>
  <c r="D201" i="141"/>
  <c r="C201" i="141"/>
  <c r="D200" i="141"/>
  <c r="C200" i="141"/>
  <c r="D196" i="141"/>
  <c r="C196" i="141"/>
  <c r="D195" i="141"/>
  <c r="C195" i="141"/>
  <c r="D194" i="141"/>
  <c r="C194" i="141"/>
  <c r="D193" i="141"/>
  <c r="C193" i="141"/>
  <c r="D192" i="141"/>
  <c r="C192" i="141"/>
  <c r="D191" i="141"/>
  <c r="C191" i="141"/>
  <c r="D190" i="141"/>
  <c r="C190" i="141"/>
  <c r="D189" i="141"/>
  <c r="C189" i="141"/>
  <c r="D188" i="141"/>
  <c r="C188" i="141"/>
  <c r="D187" i="141"/>
  <c r="C187" i="141"/>
  <c r="D186" i="141"/>
  <c r="C186" i="141"/>
  <c r="D185" i="141"/>
  <c r="C185" i="141"/>
  <c r="D184" i="141"/>
  <c r="C184" i="141"/>
  <c r="D183" i="141"/>
  <c r="C183" i="141"/>
  <c r="D182" i="141"/>
  <c r="C182" i="141"/>
  <c r="D181" i="141"/>
  <c r="C181" i="141"/>
  <c r="D180" i="141"/>
  <c r="C180" i="141"/>
  <c r="D179" i="141"/>
  <c r="C179" i="141"/>
  <c r="D178" i="141"/>
  <c r="C178" i="141"/>
  <c r="D177" i="141"/>
  <c r="C177" i="141"/>
  <c r="D176" i="141"/>
  <c r="C176" i="141"/>
  <c r="D175" i="141"/>
  <c r="C175" i="141"/>
  <c r="D174" i="141"/>
  <c r="C174" i="141"/>
  <c r="D173" i="141"/>
  <c r="C173" i="141"/>
  <c r="D172" i="141"/>
  <c r="C172" i="141"/>
  <c r="D171" i="141"/>
  <c r="C171" i="141"/>
  <c r="D170" i="141"/>
  <c r="C170" i="141"/>
  <c r="D169" i="141"/>
  <c r="C169" i="141"/>
  <c r="D168" i="141"/>
  <c r="C168" i="141"/>
  <c r="D167" i="141"/>
  <c r="C167" i="141"/>
  <c r="D166" i="141"/>
  <c r="C166" i="141"/>
  <c r="D165" i="141"/>
  <c r="C165" i="141"/>
  <c r="D164" i="141"/>
  <c r="C164" i="141"/>
  <c r="D160" i="141"/>
  <c r="C160" i="141"/>
  <c r="D159" i="141"/>
  <c r="C159" i="141"/>
  <c r="D158" i="141"/>
  <c r="C158" i="141"/>
  <c r="D157" i="141"/>
  <c r="C157" i="141"/>
  <c r="D156" i="141"/>
  <c r="C156" i="141"/>
  <c r="D155" i="141"/>
  <c r="C155" i="141"/>
  <c r="D153" i="141"/>
  <c r="C153" i="141"/>
  <c r="D152" i="141"/>
  <c r="C152" i="141"/>
  <c r="D151" i="141"/>
  <c r="C151" i="141"/>
  <c r="D150" i="141"/>
  <c r="C150" i="141"/>
  <c r="D149" i="141"/>
  <c r="C149" i="141"/>
  <c r="D148" i="141"/>
  <c r="C148" i="141"/>
  <c r="D147" i="141"/>
  <c r="C147" i="141"/>
  <c r="D146" i="141"/>
  <c r="C146" i="141"/>
  <c r="D145" i="141"/>
  <c r="C145" i="141"/>
  <c r="D143" i="141"/>
  <c r="C143" i="141"/>
  <c r="D142" i="141"/>
  <c r="C142" i="141"/>
  <c r="D141" i="141"/>
  <c r="C141" i="141"/>
  <c r="D140" i="141"/>
  <c r="C140" i="141"/>
  <c r="D138" i="141"/>
  <c r="C138" i="141"/>
  <c r="D137" i="141"/>
  <c r="C137" i="141"/>
  <c r="D136" i="141"/>
  <c r="C136" i="141"/>
  <c r="D135" i="141"/>
  <c r="C135" i="141"/>
  <c r="D133" i="141"/>
  <c r="C133" i="141"/>
  <c r="D132" i="141"/>
  <c r="C132" i="141"/>
  <c r="D131" i="141"/>
  <c r="C131" i="141"/>
  <c r="D130" i="141"/>
  <c r="C130" i="141"/>
  <c r="D129" i="141"/>
  <c r="C129" i="141"/>
  <c r="D127" i="141"/>
  <c r="C127" i="141"/>
  <c r="D126" i="141"/>
  <c r="C126" i="141"/>
  <c r="D125" i="141"/>
  <c r="C125" i="141"/>
  <c r="D124" i="141"/>
  <c r="C124" i="141"/>
  <c r="D123" i="141"/>
  <c r="C123" i="141"/>
  <c r="D118" i="141"/>
  <c r="C118" i="141"/>
  <c r="D117" i="141"/>
  <c r="C117" i="141"/>
  <c r="D116" i="141"/>
  <c r="C116" i="141"/>
  <c r="D115" i="141"/>
  <c r="C115" i="141"/>
  <c r="D114" i="141"/>
  <c r="C114" i="141"/>
  <c r="D110" i="141"/>
  <c r="C110" i="141"/>
  <c r="D109" i="141"/>
  <c r="C109" i="141"/>
  <c r="D108" i="141"/>
  <c r="C108" i="141"/>
  <c r="D107" i="141"/>
  <c r="C107" i="141"/>
  <c r="D106" i="141"/>
  <c r="C106" i="141"/>
  <c r="D105" i="141"/>
  <c r="C105" i="141"/>
  <c r="D101" i="141"/>
  <c r="C101" i="141"/>
  <c r="D100" i="141"/>
  <c r="C100" i="141"/>
  <c r="D99" i="141"/>
  <c r="C99" i="141"/>
  <c r="D98" i="141"/>
  <c r="C98" i="141"/>
  <c r="D97" i="141"/>
  <c r="C97" i="141"/>
  <c r="D96" i="141"/>
  <c r="C96" i="141"/>
  <c r="D92" i="141"/>
  <c r="C92" i="141"/>
  <c r="D91" i="141"/>
  <c r="C91" i="141"/>
  <c r="D90" i="141"/>
  <c r="C90" i="141"/>
  <c r="D89" i="141"/>
  <c r="C89" i="141"/>
  <c r="D88" i="141"/>
  <c r="C88" i="141"/>
  <c r="D87" i="141"/>
  <c r="C87" i="141"/>
  <c r="D86" i="141"/>
  <c r="C86" i="141"/>
  <c r="D85" i="141"/>
  <c r="C85" i="141"/>
  <c r="D84" i="141"/>
  <c r="C84" i="141"/>
  <c r="D83" i="141"/>
  <c r="C83" i="141"/>
  <c r="D82" i="141"/>
  <c r="C82" i="141"/>
  <c r="D78" i="141"/>
  <c r="C78" i="141"/>
  <c r="D77" i="141"/>
  <c r="C77" i="141"/>
  <c r="D76" i="141"/>
  <c r="C76" i="141"/>
  <c r="D75" i="141"/>
  <c r="C75" i="141"/>
  <c r="D74" i="141"/>
  <c r="C74" i="141"/>
  <c r="D73" i="141"/>
  <c r="C73" i="141"/>
  <c r="D72" i="141"/>
  <c r="C72" i="141"/>
  <c r="D71" i="141"/>
  <c r="C71" i="141"/>
  <c r="D70" i="141"/>
  <c r="C70" i="141"/>
  <c r="D69" i="141"/>
  <c r="C69" i="141"/>
  <c r="D68" i="141"/>
  <c r="C68" i="141"/>
  <c r="D67" i="141"/>
  <c r="C67" i="141"/>
  <c r="D66" i="141"/>
  <c r="C66" i="141"/>
  <c r="D65" i="141"/>
  <c r="C65" i="141"/>
  <c r="D64" i="141"/>
  <c r="C64" i="141"/>
  <c r="D60" i="141"/>
  <c r="C60" i="141"/>
  <c r="D59" i="141"/>
  <c r="C59" i="141"/>
  <c r="D58" i="141"/>
  <c r="C58" i="141"/>
  <c r="D57" i="141"/>
  <c r="C57" i="141"/>
  <c r="D56" i="141"/>
  <c r="C56" i="141"/>
  <c r="D55" i="141"/>
  <c r="C55" i="141"/>
  <c r="D54" i="141"/>
  <c r="C54" i="141"/>
  <c r="D53" i="141"/>
  <c r="C53" i="141"/>
  <c r="D52" i="141"/>
  <c r="C52" i="141"/>
  <c r="D51" i="141"/>
  <c r="C51" i="141"/>
  <c r="D50" i="141"/>
  <c r="C50" i="141"/>
  <c r="D49" i="141"/>
  <c r="C49" i="141"/>
  <c r="D48" i="141"/>
  <c r="C48" i="141"/>
  <c r="D47" i="141"/>
  <c r="C47" i="141"/>
  <c r="D46" i="141"/>
  <c r="C46" i="141"/>
  <c r="D45" i="141"/>
  <c r="C45" i="141"/>
  <c r="D44" i="141"/>
  <c r="C44" i="141"/>
  <c r="D43" i="141"/>
  <c r="C43" i="141"/>
  <c r="D42" i="141"/>
  <c r="C42" i="141"/>
  <c r="D41" i="141"/>
  <c r="C41" i="141"/>
  <c r="D40" i="141"/>
  <c r="C40" i="141"/>
  <c r="D39" i="141"/>
  <c r="C39" i="141"/>
  <c r="D38" i="141"/>
  <c r="C38" i="141"/>
  <c r="D37" i="141"/>
  <c r="C37" i="141"/>
  <c r="D36" i="141"/>
  <c r="C36" i="141"/>
  <c r="D35" i="141"/>
  <c r="C35" i="141"/>
  <c r="D34" i="141"/>
  <c r="C34" i="141"/>
  <c r="D33" i="141"/>
  <c r="C33" i="141"/>
  <c r="D32" i="141"/>
  <c r="C32" i="141"/>
  <c r="D31" i="141"/>
  <c r="C31" i="141"/>
  <c r="D30" i="141"/>
  <c r="C30" i="141"/>
  <c r="D29" i="141"/>
  <c r="C29" i="141"/>
  <c r="D28" i="141"/>
  <c r="C28" i="141"/>
  <c r="D27" i="141"/>
  <c r="C27" i="141"/>
  <c r="D26" i="141"/>
  <c r="C26" i="141"/>
  <c r="D25" i="141"/>
  <c r="C25" i="141"/>
  <c r="D20" i="141"/>
  <c r="C20" i="141"/>
  <c r="D19" i="141"/>
  <c r="C19" i="141"/>
  <c r="D18" i="141"/>
  <c r="C18" i="141"/>
  <c r="D17" i="141"/>
  <c r="C17" i="141"/>
  <c r="D16" i="141"/>
  <c r="C16" i="141"/>
  <c r="D15" i="141"/>
  <c r="C15" i="141"/>
  <c r="D14" i="141"/>
  <c r="C14" i="141"/>
  <c r="D13" i="141"/>
  <c r="C13" i="141"/>
  <c r="D12" i="141"/>
  <c r="C12" i="141"/>
  <c r="D11" i="141"/>
  <c r="C11" i="141"/>
  <c r="C111" i="141" l="1"/>
  <c r="C215" i="24"/>
  <c r="D161" i="141"/>
  <c r="C228" i="141"/>
  <c r="D93" i="141"/>
  <c r="D111" i="141"/>
  <c r="C93" i="141"/>
  <c r="D119" i="141"/>
  <c r="C21" i="141"/>
  <c r="C206" i="141"/>
  <c r="C161" i="141"/>
  <c r="D21" i="141"/>
  <c r="C197" i="141"/>
  <c r="C79" i="141"/>
  <c r="C102" i="141"/>
  <c r="D197" i="141"/>
  <c r="D206" i="141"/>
  <c r="D79" i="141"/>
  <c r="D102" i="141"/>
  <c r="C119" i="141"/>
  <c r="D61" i="141"/>
  <c r="C61" i="141"/>
  <c r="C208" i="141" l="1"/>
  <c r="C212" i="141" s="1"/>
  <c r="D208" i="141"/>
  <c r="D215" i="141" s="1"/>
  <c r="C215" i="141" l="1"/>
  <c r="G244" i="32"/>
  <c r="G243" i="32"/>
  <c r="G242" i="32"/>
  <c r="G241" i="32"/>
  <c r="C238" i="32"/>
  <c r="C237" i="32"/>
  <c r="C236" i="32"/>
  <c r="C235" i="32"/>
  <c r="C233" i="32"/>
  <c r="C232" i="32"/>
  <c r="C231" i="32"/>
  <c r="D228" i="32"/>
  <c r="C227" i="32"/>
  <c r="C226" i="32"/>
  <c r="C225" i="32"/>
  <c r="C224" i="32"/>
  <c r="C223" i="32"/>
  <c r="C222" i="32"/>
  <c r="C221" i="32"/>
  <c r="C220" i="32"/>
  <c r="C219" i="32"/>
  <c r="C211" i="32"/>
  <c r="D205" i="32"/>
  <c r="C205" i="32"/>
  <c r="D204" i="32"/>
  <c r="C204" i="32"/>
  <c r="D203" i="32"/>
  <c r="C203" i="32"/>
  <c r="D202" i="32"/>
  <c r="C202" i="32"/>
  <c r="D201" i="32"/>
  <c r="C201" i="32"/>
  <c r="D200" i="32"/>
  <c r="C200" i="32"/>
  <c r="D196" i="32"/>
  <c r="C196" i="32"/>
  <c r="D195" i="32"/>
  <c r="C195" i="32"/>
  <c r="D194" i="32"/>
  <c r="C194" i="32"/>
  <c r="D193" i="32"/>
  <c r="C193" i="32"/>
  <c r="D192" i="32"/>
  <c r="C192" i="32"/>
  <c r="D191" i="32"/>
  <c r="C191" i="32"/>
  <c r="D190" i="32"/>
  <c r="C190" i="32"/>
  <c r="D189" i="32"/>
  <c r="C189" i="32"/>
  <c r="D188" i="32"/>
  <c r="C188" i="32"/>
  <c r="D187" i="32"/>
  <c r="C187" i="32"/>
  <c r="D186" i="32"/>
  <c r="C186" i="32"/>
  <c r="D185" i="32"/>
  <c r="C185" i="32"/>
  <c r="D184" i="32"/>
  <c r="C184" i="32"/>
  <c r="D183" i="32"/>
  <c r="C183" i="32"/>
  <c r="D182" i="32"/>
  <c r="C182" i="32"/>
  <c r="D181" i="32"/>
  <c r="C181" i="32"/>
  <c r="D180" i="32"/>
  <c r="C180" i="32"/>
  <c r="D179" i="32"/>
  <c r="C179" i="32"/>
  <c r="D178" i="32"/>
  <c r="C178" i="32"/>
  <c r="D177" i="32"/>
  <c r="C177" i="32"/>
  <c r="D176" i="32"/>
  <c r="C176" i="32"/>
  <c r="D175" i="32"/>
  <c r="C175" i="32"/>
  <c r="D174" i="32"/>
  <c r="C174" i="32"/>
  <c r="D173" i="32"/>
  <c r="C173" i="32"/>
  <c r="D172" i="32"/>
  <c r="C172" i="32"/>
  <c r="D171" i="32"/>
  <c r="C171" i="32"/>
  <c r="D170" i="32"/>
  <c r="C170" i="32"/>
  <c r="D169" i="32"/>
  <c r="C169" i="32"/>
  <c r="D168" i="32"/>
  <c r="C168" i="32"/>
  <c r="D167" i="32"/>
  <c r="C167" i="32"/>
  <c r="D166" i="32"/>
  <c r="C166" i="32"/>
  <c r="D165" i="32"/>
  <c r="C165" i="32"/>
  <c r="D164" i="32"/>
  <c r="C164" i="32"/>
  <c r="D160" i="32"/>
  <c r="C160" i="32"/>
  <c r="D159" i="32"/>
  <c r="C159" i="32"/>
  <c r="D158" i="32"/>
  <c r="C158" i="32"/>
  <c r="D157" i="32"/>
  <c r="C157" i="32"/>
  <c r="D156" i="32"/>
  <c r="C156" i="32"/>
  <c r="D155" i="32"/>
  <c r="C155" i="32"/>
  <c r="D153" i="32"/>
  <c r="C153" i="32"/>
  <c r="D152" i="32"/>
  <c r="C152" i="32"/>
  <c r="D151" i="32"/>
  <c r="C151" i="32"/>
  <c r="D150" i="32"/>
  <c r="C150" i="32"/>
  <c r="D149" i="32"/>
  <c r="C149" i="32"/>
  <c r="D148" i="32"/>
  <c r="C148" i="32"/>
  <c r="D147" i="32"/>
  <c r="C147" i="32"/>
  <c r="D146" i="32"/>
  <c r="C146" i="32"/>
  <c r="D145" i="32"/>
  <c r="C145" i="32"/>
  <c r="D143" i="32"/>
  <c r="C143" i="32"/>
  <c r="D142" i="32"/>
  <c r="C142" i="32"/>
  <c r="D141" i="32"/>
  <c r="C141" i="32"/>
  <c r="D140" i="32"/>
  <c r="C140" i="32"/>
  <c r="D138" i="32"/>
  <c r="C138" i="32"/>
  <c r="D137" i="32"/>
  <c r="C137" i="32"/>
  <c r="D136" i="32"/>
  <c r="C136" i="32"/>
  <c r="D135" i="32"/>
  <c r="C135" i="32"/>
  <c r="D133" i="32"/>
  <c r="C133" i="32"/>
  <c r="D132" i="32"/>
  <c r="C132" i="32"/>
  <c r="D131" i="32"/>
  <c r="C131" i="32"/>
  <c r="D130" i="32"/>
  <c r="C130" i="32"/>
  <c r="D129" i="32"/>
  <c r="C129" i="32"/>
  <c r="D127" i="32"/>
  <c r="C127" i="32"/>
  <c r="D126" i="32"/>
  <c r="C126" i="32"/>
  <c r="D125" i="32"/>
  <c r="C125" i="32"/>
  <c r="D124" i="32"/>
  <c r="C124" i="32"/>
  <c r="D123" i="32"/>
  <c r="C123" i="32"/>
  <c r="D118" i="32"/>
  <c r="C118" i="32"/>
  <c r="D117" i="32"/>
  <c r="C117" i="32"/>
  <c r="D116" i="32"/>
  <c r="C116" i="32"/>
  <c r="D115" i="32"/>
  <c r="C115" i="32"/>
  <c r="D114" i="32"/>
  <c r="C114" i="32"/>
  <c r="D110" i="32"/>
  <c r="C110" i="32"/>
  <c r="D109" i="32"/>
  <c r="C109" i="32"/>
  <c r="D108" i="32"/>
  <c r="C108" i="32"/>
  <c r="D107" i="32"/>
  <c r="C107" i="32"/>
  <c r="D106" i="32"/>
  <c r="C106" i="32"/>
  <c r="D105" i="32"/>
  <c r="C105" i="32"/>
  <c r="D101" i="32"/>
  <c r="C101" i="32"/>
  <c r="D100" i="32"/>
  <c r="C100" i="32"/>
  <c r="D99" i="32"/>
  <c r="C99" i="32"/>
  <c r="D98" i="32"/>
  <c r="C98" i="32"/>
  <c r="D97" i="32"/>
  <c r="C97" i="32"/>
  <c r="D96" i="32"/>
  <c r="C96" i="32"/>
  <c r="D92" i="32"/>
  <c r="C92" i="32"/>
  <c r="D91" i="32"/>
  <c r="C91" i="32"/>
  <c r="D90" i="32"/>
  <c r="C90" i="32"/>
  <c r="D89" i="32"/>
  <c r="C89" i="32"/>
  <c r="D88" i="32"/>
  <c r="C88" i="32"/>
  <c r="D87" i="32"/>
  <c r="C87" i="32"/>
  <c r="D86" i="32"/>
  <c r="C86" i="32"/>
  <c r="D85" i="32"/>
  <c r="C85" i="32"/>
  <c r="D84" i="32"/>
  <c r="C84" i="32"/>
  <c r="D83" i="32"/>
  <c r="C83" i="32"/>
  <c r="D82" i="32"/>
  <c r="C82" i="32"/>
  <c r="D78" i="32"/>
  <c r="C78" i="32"/>
  <c r="D77" i="32"/>
  <c r="C77" i="32"/>
  <c r="D76" i="32"/>
  <c r="C76" i="32"/>
  <c r="D75" i="32"/>
  <c r="C75" i="32"/>
  <c r="D74" i="32"/>
  <c r="C74" i="32"/>
  <c r="D73" i="32"/>
  <c r="C73" i="32"/>
  <c r="D72" i="32"/>
  <c r="C72" i="32"/>
  <c r="D71" i="32"/>
  <c r="C71" i="32"/>
  <c r="D70" i="32"/>
  <c r="C70" i="32"/>
  <c r="D69" i="32"/>
  <c r="C69" i="32"/>
  <c r="D68" i="32"/>
  <c r="C68" i="32"/>
  <c r="D67" i="32"/>
  <c r="C67" i="32"/>
  <c r="D66" i="32"/>
  <c r="C66" i="32"/>
  <c r="D65" i="32"/>
  <c r="C65" i="32"/>
  <c r="D64" i="32"/>
  <c r="C64" i="32"/>
  <c r="D60" i="32"/>
  <c r="C60" i="32"/>
  <c r="D59" i="32"/>
  <c r="C59" i="32"/>
  <c r="D58" i="32"/>
  <c r="C58" i="32"/>
  <c r="D57" i="32"/>
  <c r="C57" i="32"/>
  <c r="D56" i="32"/>
  <c r="C56" i="32"/>
  <c r="D55" i="32"/>
  <c r="C55" i="32"/>
  <c r="D54" i="32"/>
  <c r="C54" i="32"/>
  <c r="D53" i="32"/>
  <c r="C53" i="32"/>
  <c r="D52" i="32"/>
  <c r="C52" i="32"/>
  <c r="D51" i="32"/>
  <c r="C51" i="32"/>
  <c r="D50" i="32"/>
  <c r="C50" i="32"/>
  <c r="D49" i="32"/>
  <c r="C49" i="32"/>
  <c r="D48" i="32"/>
  <c r="C48" i="32"/>
  <c r="D47" i="32"/>
  <c r="C47" i="32"/>
  <c r="D46" i="32"/>
  <c r="C46" i="32"/>
  <c r="D45" i="32"/>
  <c r="C45" i="32"/>
  <c r="D44" i="32"/>
  <c r="C44" i="32"/>
  <c r="D43" i="32"/>
  <c r="C43" i="32"/>
  <c r="D42" i="32"/>
  <c r="C42" i="32"/>
  <c r="D41" i="32"/>
  <c r="C41" i="32"/>
  <c r="D40" i="32"/>
  <c r="C40" i="32"/>
  <c r="D39" i="32"/>
  <c r="C39" i="32"/>
  <c r="D38" i="32"/>
  <c r="C38" i="32"/>
  <c r="D37" i="32"/>
  <c r="C37" i="32"/>
  <c r="D36" i="32"/>
  <c r="C36" i="32"/>
  <c r="D35" i="32"/>
  <c r="C35" i="32"/>
  <c r="D34" i="32"/>
  <c r="C34" i="32"/>
  <c r="D33" i="32"/>
  <c r="C33" i="32"/>
  <c r="D32" i="32"/>
  <c r="C32" i="32"/>
  <c r="D31" i="32"/>
  <c r="C31" i="32"/>
  <c r="D30" i="32"/>
  <c r="C30" i="32"/>
  <c r="D29" i="32"/>
  <c r="C29" i="32"/>
  <c r="D28" i="32"/>
  <c r="C28" i="32"/>
  <c r="D27" i="32"/>
  <c r="C27" i="32"/>
  <c r="D26" i="32"/>
  <c r="C26" i="32"/>
  <c r="D25" i="32"/>
  <c r="C25" i="32"/>
  <c r="D20" i="32"/>
  <c r="C20" i="32"/>
  <c r="D19" i="32"/>
  <c r="C19" i="32"/>
  <c r="D18" i="32"/>
  <c r="C18" i="32"/>
  <c r="D17" i="32"/>
  <c r="C17" i="32"/>
  <c r="D16" i="32"/>
  <c r="C16" i="32"/>
  <c r="D15" i="32"/>
  <c r="C15" i="32"/>
  <c r="D14" i="32"/>
  <c r="C14" i="32"/>
  <c r="D13" i="32"/>
  <c r="C13" i="32"/>
  <c r="D12" i="32"/>
  <c r="C12" i="32"/>
  <c r="D11" i="32"/>
  <c r="C11" i="32"/>
  <c r="D161" i="32" l="1"/>
  <c r="D119" i="32"/>
  <c r="C93" i="32"/>
  <c r="C161" i="32"/>
  <c r="C111" i="32"/>
  <c r="D61" i="32"/>
  <c r="C79" i="32"/>
  <c r="D102" i="32"/>
  <c r="D79" i="32"/>
  <c r="C119" i="32"/>
  <c r="C228" i="32"/>
  <c r="D111" i="32"/>
  <c r="C21" i="32"/>
  <c r="C197" i="32"/>
  <c r="C206" i="32"/>
  <c r="D21" i="32"/>
  <c r="D93" i="32"/>
  <c r="C102" i="32"/>
  <c r="D197" i="32"/>
  <c r="D206" i="32"/>
  <c r="C61" i="32"/>
  <c r="C208" i="32" l="1"/>
  <c r="C212" i="32" s="1"/>
  <c r="D208" i="32"/>
  <c r="D215" i="32" s="1"/>
  <c r="C215" i="32" l="1"/>
  <c r="G244" i="79"/>
  <c r="G243" i="79"/>
  <c r="G242" i="79"/>
  <c r="G241" i="79"/>
  <c r="C238" i="79"/>
  <c r="C237" i="79"/>
  <c r="C236" i="79"/>
  <c r="C235" i="79"/>
  <c r="C233" i="79"/>
  <c r="C232" i="79"/>
  <c r="C231" i="79"/>
  <c r="D228" i="79"/>
  <c r="C227" i="79"/>
  <c r="C226" i="79"/>
  <c r="C225" i="79"/>
  <c r="C224" i="79"/>
  <c r="C223" i="79"/>
  <c r="C222" i="79"/>
  <c r="C221" i="79"/>
  <c r="C220" i="79"/>
  <c r="C219" i="79"/>
  <c r="C211" i="79"/>
  <c r="D205" i="79"/>
  <c r="C205" i="79"/>
  <c r="D204" i="79"/>
  <c r="C204" i="79"/>
  <c r="D203" i="79"/>
  <c r="C203" i="79"/>
  <c r="D202" i="79"/>
  <c r="C202" i="79"/>
  <c r="D201" i="79"/>
  <c r="C201" i="79"/>
  <c r="D200" i="79"/>
  <c r="C200" i="79"/>
  <c r="D196" i="79"/>
  <c r="C196" i="79"/>
  <c r="D195" i="79"/>
  <c r="C195" i="79"/>
  <c r="D194" i="79"/>
  <c r="C194" i="79"/>
  <c r="D193" i="79"/>
  <c r="C193" i="79"/>
  <c r="D192" i="79"/>
  <c r="C192" i="79"/>
  <c r="D191" i="79"/>
  <c r="C191" i="79"/>
  <c r="D190" i="79"/>
  <c r="C190" i="79"/>
  <c r="D189" i="79"/>
  <c r="C189" i="79"/>
  <c r="D188" i="79"/>
  <c r="C188" i="79"/>
  <c r="D187" i="79"/>
  <c r="C187" i="79"/>
  <c r="D186" i="79"/>
  <c r="C186" i="79"/>
  <c r="D185" i="79"/>
  <c r="C185" i="79"/>
  <c r="D184" i="79"/>
  <c r="C184" i="79"/>
  <c r="D183" i="79"/>
  <c r="C183" i="79"/>
  <c r="D182" i="79"/>
  <c r="C182" i="79"/>
  <c r="D181" i="79"/>
  <c r="C181" i="79"/>
  <c r="D180" i="79"/>
  <c r="C180" i="79"/>
  <c r="D179" i="79"/>
  <c r="C179" i="79"/>
  <c r="D178" i="79"/>
  <c r="C178" i="79"/>
  <c r="D177" i="79"/>
  <c r="C177" i="79"/>
  <c r="D176" i="79"/>
  <c r="C176" i="79"/>
  <c r="D175" i="79"/>
  <c r="C175" i="79"/>
  <c r="D174" i="79"/>
  <c r="C174" i="79"/>
  <c r="D173" i="79"/>
  <c r="C173" i="79"/>
  <c r="D172" i="79"/>
  <c r="C172" i="79"/>
  <c r="D171" i="79"/>
  <c r="C171" i="79"/>
  <c r="D170" i="79"/>
  <c r="C170" i="79"/>
  <c r="D169" i="79"/>
  <c r="C169" i="79"/>
  <c r="D168" i="79"/>
  <c r="C168" i="79"/>
  <c r="D167" i="79"/>
  <c r="C167" i="79"/>
  <c r="D166" i="79"/>
  <c r="C166" i="79"/>
  <c r="D165" i="79"/>
  <c r="C165" i="79"/>
  <c r="D164" i="79"/>
  <c r="C164" i="79"/>
  <c r="D160" i="79"/>
  <c r="C160" i="79"/>
  <c r="D159" i="79"/>
  <c r="C159" i="79"/>
  <c r="D158" i="79"/>
  <c r="C158" i="79"/>
  <c r="D157" i="79"/>
  <c r="C157" i="79"/>
  <c r="D156" i="79"/>
  <c r="C156" i="79"/>
  <c r="D155" i="79"/>
  <c r="C155" i="79"/>
  <c r="D153" i="79"/>
  <c r="C153" i="79"/>
  <c r="D152" i="79"/>
  <c r="C152" i="79"/>
  <c r="D151" i="79"/>
  <c r="C151" i="79"/>
  <c r="D150" i="79"/>
  <c r="C150" i="79"/>
  <c r="D149" i="79"/>
  <c r="C149" i="79"/>
  <c r="D148" i="79"/>
  <c r="C148" i="79"/>
  <c r="D147" i="79"/>
  <c r="C147" i="79"/>
  <c r="D146" i="79"/>
  <c r="C146" i="79"/>
  <c r="D145" i="79"/>
  <c r="C145" i="79"/>
  <c r="D143" i="79"/>
  <c r="C143" i="79"/>
  <c r="D142" i="79"/>
  <c r="C142" i="79"/>
  <c r="D141" i="79"/>
  <c r="C141" i="79"/>
  <c r="D140" i="79"/>
  <c r="C140" i="79"/>
  <c r="D138" i="79"/>
  <c r="C138" i="79"/>
  <c r="D137" i="79"/>
  <c r="C137" i="79"/>
  <c r="D136" i="79"/>
  <c r="C136" i="79"/>
  <c r="D135" i="79"/>
  <c r="C135" i="79"/>
  <c r="D133" i="79"/>
  <c r="C133" i="79"/>
  <c r="D132" i="79"/>
  <c r="C132" i="79"/>
  <c r="D131" i="79"/>
  <c r="C131" i="79"/>
  <c r="D130" i="79"/>
  <c r="C130" i="79"/>
  <c r="D129" i="79"/>
  <c r="C129" i="79"/>
  <c r="D127" i="79"/>
  <c r="C127" i="79"/>
  <c r="D126" i="79"/>
  <c r="C126" i="79"/>
  <c r="D125" i="79"/>
  <c r="C125" i="79"/>
  <c r="D124" i="79"/>
  <c r="C124" i="79"/>
  <c r="D123" i="79"/>
  <c r="C123" i="79"/>
  <c r="D118" i="79"/>
  <c r="C118" i="79"/>
  <c r="D117" i="79"/>
  <c r="C117" i="79"/>
  <c r="D116" i="79"/>
  <c r="C116" i="79"/>
  <c r="D115" i="79"/>
  <c r="C115" i="79"/>
  <c r="D114" i="79"/>
  <c r="C114" i="79"/>
  <c r="D110" i="79"/>
  <c r="C110" i="79"/>
  <c r="D109" i="79"/>
  <c r="C109" i="79"/>
  <c r="D108" i="79"/>
  <c r="C108" i="79"/>
  <c r="D107" i="79"/>
  <c r="C107" i="79"/>
  <c r="D106" i="79"/>
  <c r="C106" i="79"/>
  <c r="D105" i="79"/>
  <c r="C105" i="79"/>
  <c r="D101" i="79"/>
  <c r="C101" i="79"/>
  <c r="D100" i="79"/>
  <c r="C100" i="79"/>
  <c r="D99" i="79"/>
  <c r="C99" i="79"/>
  <c r="D98" i="79"/>
  <c r="C98" i="79"/>
  <c r="D97" i="79"/>
  <c r="C97" i="79"/>
  <c r="D96" i="79"/>
  <c r="C96" i="79"/>
  <c r="D92" i="79"/>
  <c r="C92" i="79"/>
  <c r="D91" i="79"/>
  <c r="C91" i="79"/>
  <c r="D90" i="79"/>
  <c r="C90" i="79"/>
  <c r="D89" i="79"/>
  <c r="C89" i="79"/>
  <c r="D88" i="79"/>
  <c r="C88" i="79"/>
  <c r="D87" i="79"/>
  <c r="C87" i="79"/>
  <c r="D86" i="79"/>
  <c r="C86" i="79"/>
  <c r="D85" i="79"/>
  <c r="C85" i="79"/>
  <c r="D84" i="79"/>
  <c r="C84" i="79"/>
  <c r="D83" i="79"/>
  <c r="C83" i="79"/>
  <c r="D82" i="79"/>
  <c r="C82" i="79"/>
  <c r="D78" i="79"/>
  <c r="C78" i="79"/>
  <c r="D77" i="79"/>
  <c r="C77" i="79"/>
  <c r="D76" i="79"/>
  <c r="C76" i="79"/>
  <c r="D75" i="79"/>
  <c r="C75" i="79"/>
  <c r="D74" i="79"/>
  <c r="C74" i="79"/>
  <c r="D73" i="79"/>
  <c r="C73" i="79"/>
  <c r="D72" i="79"/>
  <c r="C72" i="79"/>
  <c r="D71" i="79"/>
  <c r="C71" i="79"/>
  <c r="D70" i="79"/>
  <c r="C70" i="79"/>
  <c r="D69" i="79"/>
  <c r="C69" i="79"/>
  <c r="D68" i="79"/>
  <c r="C68" i="79"/>
  <c r="D67" i="79"/>
  <c r="C67" i="79"/>
  <c r="D66" i="79"/>
  <c r="C66" i="79"/>
  <c r="D65" i="79"/>
  <c r="C65" i="79"/>
  <c r="D64" i="79"/>
  <c r="C64" i="79"/>
  <c r="D60" i="79"/>
  <c r="C60" i="79"/>
  <c r="D59" i="79"/>
  <c r="C59" i="79"/>
  <c r="D58" i="79"/>
  <c r="C58" i="79"/>
  <c r="D57" i="79"/>
  <c r="C57" i="79"/>
  <c r="D56" i="79"/>
  <c r="C56" i="79"/>
  <c r="D55" i="79"/>
  <c r="C55" i="79"/>
  <c r="D54" i="79"/>
  <c r="C54" i="79"/>
  <c r="D53" i="79"/>
  <c r="C53" i="79"/>
  <c r="D52" i="79"/>
  <c r="C52" i="79"/>
  <c r="D51" i="79"/>
  <c r="C51" i="79"/>
  <c r="D50" i="79"/>
  <c r="C50" i="79"/>
  <c r="D49" i="79"/>
  <c r="C49" i="79"/>
  <c r="D48" i="79"/>
  <c r="C48" i="79"/>
  <c r="D47" i="79"/>
  <c r="C47" i="79"/>
  <c r="D46" i="79"/>
  <c r="C46" i="79"/>
  <c r="D45" i="79"/>
  <c r="C45" i="79"/>
  <c r="D44" i="79"/>
  <c r="C44" i="79"/>
  <c r="D43" i="79"/>
  <c r="C43" i="79"/>
  <c r="D42" i="79"/>
  <c r="C42" i="79"/>
  <c r="D41" i="79"/>
  <c r="C41" i="79"/>
  <c r="D40" i="79"/>
  <c r="C40" i="79"/>
  <c r="D39" i="79"/>
  <c r="C39" i="79"/>
  <c r="D38" i="79"/>
  <c r="C38" i="79"/>
  <c r="D37" i="79"/>
  <c r="C37" i="79"/>
  <c r="D36" i="79"/>
  <c r="C36" i="79"/>
  <c r="D35" i="79"/>
  <c r="C35" i="79"/>
  <c r="D34" i="79"/>
  <c r="C34" i="79"/>
  <c r="D33" i="79"/>
  <c r="C33" i="79"/>
  <c r="D32" i="79"/>
  <c r="C32" i="79"/>
  <c r="D31" i="79"/>
  <c r="C31" i="79"/>
  <c r="D30" i="79"/>
  <c r="C30" i="79"/>
  <c r="D29" i="79"/>
  <c r="C29" i="79"/>
  <c r="D28" i="79"/>
  <c r="C28" i="79"/>
  <c r="D27" i="79"/>
  <c r="C27" i="79"/>
  <c r="D26" i="79"/>
  <c r="C26" i="79"/>
  <c r="D25" i="79"/>
  <c r="C25" i="79"/>
  <c r="D20" i="79"/>
  <c r="C20" i="79"/>
  <c r="D19" i="79"/>
  <c r="C19" i="79"/>
  <c r="D18" i="79"/>
  <c r="C18" i="79"/>
  <c r="D17" i="79"/>
  <c r="C17" i="79"/>
  <c r="D16" i="79"/>
  <c r="C16" i="79"/>
  <c r="D15" i="79"/>
  <c r="C15" i="79"/>
  <c r="D14" i="79"/>
  <c r="C14" i="79"/>
  <c r="D13" i="79"/>
  <c r="C13" i="79"/>
  <c r="D12" i="79"/>
  <c r="C12" i="79"/>
  <c r="D11" i="79"/>
  <c r="C11" i="79"/>
  <c r="D21" i="79" l="1"/>
  <c r="D93" i="79"/>
  <c r="D102" i="79"/>
  <c r="C21" i="79"/>
  <c r="C93" i="79"/>
  <c r="C102" i="79"/>
  <c r="C79" i="79"/>
  <c r="C119" i="79"/>
  <c r="D79" i="79"/>
  <c r="D119" i="79"/>
  <c r="C111" i="79"/>
  <c r="D111" i="79"/>
  <c r="C161" i="79"/>
  <c r="C197" i="79"/>
  <c r="C206" i="79"/>
  <c r="D161" i="79"/>
  <c r="C228" i="79"/>
  <c r="D197" i="79"/>
  <c r="D206" i="79"/>
  <c r="C61" i="79"/>
  <c r="D61" i="79"/>
  <c r="D208" i="79" l="1"/>
  <c r="D215" i="79" s="1"/>
  <c r="C208" i="79"/>
  <c r="C212" i="79" s="1"/>
  <c r="C215" i="79" l="1"/>
  <c r="G244" i="31"/>
  <c r="G243" i="31"/>
  <c r="G242" i="31"/>
  <c r="G241" i="31"/>
  <c r="C238" i="31"/>
  <c r="C237" i="31"/>
  <c r="C236" i="31"/>
  <c r="C235" i="31"/>
  <c r="C233" i="31"/>
  <c r="C232" i="31"/>
  <c r="C231" i="31"/>
  <c r="D228" i="31"/>
  <c r="C227" i="31"/>
  <c r="C226" i="31"/>
  <c r="C225" i="31"/>
  <c r="C224" i="31"/>
  <c r="C223" i="31"/>
  <c r="C222" i="31"/>
  <c r="C221" i="31"/>
  <c r="C220" i="31"/>
  <c r="C219" i="31"/>
  <c r="C211" i="31"/>
  <c r="D205" i="31"/>
  <c r="C205" i="31"/>
  <c r="D204" i="31"/>
  <c r="C204" i="31"/>
  <c r="D203" i="31"/>
  <c r="C203" i="31"/>
  <c r="D202" i="31"/>
  <c r="C202" i="31"/>
  <c r="D201" i="31"/>
  <c r="C201" i="31"/>
  <c r="D200" i="31"/>
  <c r="C200" i="31"/>
  <c r="D196" i="31"/>
  <c r="C196" i="31"/>
  <c r="D195" i="31"/>
  <c r="C195" i="31"/>
  <c r="D194" i="31"/>
  <c r="C194" i="31"/>
  <c r="D193" i="31"/>
  <c r="C193" i="31"/>
  <c r="D192" i="31"/>
  <c r="C192" i="31"/>
  <c r="D191" i="31"/>
  <c r="C191" i="31"/>
  <c r="D190" i="31"/>
  <c r="C190" i="31"/>
  <c r="D189" i="31"/>
  <c r="C189" i="31"/>
  <c r="D188" i="31"/>
  <c r="C188" i="31"/>
  <c r="D187" i="31"/>
  <c r="C187" i="31"/>
  <c r="D186" i="31"/>
  <c r="C186" i="31"/>
  <c r="D185" i="31"/>
  <c r="C185" i="31"/>
  <c r="D184" i="31"/>
  <c r="C184" i="31"/>
  <c r="D183" i="31"/>
  <c r="C183" i="31"/>
  <c r="D182" i="31"/>
  <c r="C182" i="31"/>
  <c r="D181" i="31"/>
  <c r="C181" i="31"/>
  <c r="D180" i="31"/>
  <c r="C180" i="31"/>
  <c r="D179" i="31"/>
  <c r="C179" i="31"/>
  <c r="D178" i="31"/>
  <c r="C178" i="31"/>
  <c r="D177" i="31"/>
  <c r="C177" i="31"/>
  <c r="D176" i="31"/>
  <c r="C176" i="31"/>
  <c r="D175" i="31"/>
  <c r="C175" i="31"/>
  <c r="D174" i="31"/>
  <c r="C174" i="31"/>
  <c r="D173" i="31"/>
  <c r="C173" i="31"/>
  <c r="D172" i="31"/>
  <c r="C172" i="31"/>
  <c r="D171" i="31"/>
  <c r="C171" i="31"/>
  <c r="D170" i="31"/>
  <c r="C170" i="31"/>
  <c r="D169" i="31"/>
  <c r="C169" i="31"/>
  <c r="D168" i="31"/>
  <c r="C168" i="31"/>
  <c r="D167" i="31"/>
  <c r="C167" i="31"/>
  <c r="D166" i="31"/>
  <c r="C166" i="31"/>
  <c r="D165" i="31"/>
  <c r="C165" i="31"/>
  <c r="D164" i="31"/>
  <c r="C164" i="31"/>
  <c r="D160" i="31"/>
  <c r="C160" i="31"/>
  <c r="D159" i="31"/>
  <c r="C159" i="31"/>
  <c r="D158" i="31"/>
  <c r="C158" i="31"/>
  <c r="D157" i="31"/>
  <c r="C157" i="31"/>
  <c r="D156" i="31"/>
  <c r="C156" i="31"/>
  <c r="D155" i="31"/>
  <c r="C155" i="31"/>
  <c r="D153" i="31"/>
  <c r="C153" i="31"/>
  <c r="D152" i="31"/>
  <c r="C152" i="31"/>
  <c r="D151" i="31"/>
  <c r="C151" i="31"/>
  <c r="D150" i="31"/>
  <c r="C150" i="31"/>
  <c r="D149" i="31"/>
  <c r="C149" i="31"/>
  <c r="D148" i="31"/>
  <c r="C148" i="31"/>
  <c r="D147" i="31"/>
  <c r="C147" i="31"/>
  <c r="D146" i="31"/>
  <c r="C146" i="31"/>
  <c r="D145" i="31"/>
  <c r="C145" i="31"/>
  <c r="D143" i="31"/>
  <c r="C143" i="31"/>
  <c r="D142" i="31"/>
  <c r="C142" i="31"/>
  <c r="D141" i="31"/>
  <c r="C141" i="31"/>
  <c r="D140" i="31"/>
  <c r="C140" i="31"/>
  <c r="D138" i="31"/>
  <c r="C138" i="31"/>
  <c r="D137" i="31"/>
  <c r="C137" i="31"/>
  <c r="D136" i="31"/>
  <c r="C136" i="31"/>
  <c r="D135" i="31"/>
  <c r="C135" i="31"/>
  <c r="D133" i="31"/>
  <c r="C133" i="31"/>
  <c r="D132" i="31"/>
  <c r="C132" i="31"/>
  <c r="D131" i="31"/>
  <c r="C131" i="31"/>
  <c r="D130" i="31"/>
  <c r="C130" i="31"/>
  <c r="D129" i="31"/>
  <c r="C129" i="31"/>
  <c r="D127" i="31"/>
  <c r="C127" i="31"/>
  <c r="D126" i="31"/>
  <c r="C126" i="31"/>
  <c r="D125" i="31"/>
  <c r="C125" i="31"/>
  <c r="D124" i="31"/>
  <c r="C124" i="31"/>
  <c r="D123" i="31"/>
  <c r="C123" i="31"/>
  <c r="D118" i="31"/>
  <c r="C118" i="31"/>
  <c r="D117" i="31"/>
  <c r="C117" i="31"/>
  <c r="D116" i="31"/>
  <c r="C116" i="31"/>
  <c r="D115" i="31"/>
  <c r="C115" i="31"/>
  <c r="D114" i="31"/>
  <c r="C114" i="31"/>
  <c r="D110" i="31"/>
  <c r="C110" i="31"/>
  <c r="D109" i="31"/>
  <c r="C109" i="31"/>
  <c r="D108" i="31"/>
  <c r="C108" i="31"/>
  <c r="D107" i="31"/>
  <c r="C107" i="31"/>
  <c r="D106" i="31"/>
  <c r="C106" i="31"/>
  <c r="D105" i="31"/>
  <c r="C105" i="31"/>
  <c r="D101" i="31"/>
  <c r="C101" i="31"/>
  <c r="D100" i="31"/>
  <c r="C100" i="31"/>
  <c r="D99" i="31"/>
  <c r="C99" i="31"/>
  <c r="D98" i="31"/>
  <c r="C98" i="31"/>
  <c r="D97" i="31"/>
  <c r="C97" i="31"/>
  <c r="D96" i="31"/>
  <c r="C96" i="31"/>
  <c r="D92" i="31"/>
  <c r="C92" i="31"/>
  <c r="D91" i="31"/>
  <c r="C91" i="31"/>
  <c r="D90" i="31"/>
  <c r="C90" i="31"/>
  <c r="D89" i="31"/>
  <c r="C89" i="31"/>
  <c r="D88" i="31"/>
  <c r="C88" i="31"/>
  <c r="D87" i="31"/>
  <c r="C87" i="31"/>
  <c r="D86" i="31"/>
  <c r="C86" i="31"/>
  <c r="D85" i="31"/>
  <c r="C85" i="31"/>
  <c r="D84" i="31"/>
  <c r="C84" i="31"/>
  <c r="D83" i="31"/>
  <c r="C83" i="31"/>
  <c r="D82" i="31"/>
  <c r="C82" i="31"/>
  <c r="D78" i="31"/>
  <c r="C78" i="31"/>
  <c r="D77" i="31"/>
  <c r="C77" i="31"/>
  <c r="D76" i="31"/>
  <c r="C76" i="31"/>
  <c r="D75" i="31"/>
  <c r="C75" i="31"/>
  <c r="D74" i="31"/>
  <c r="C74" i="31"/>
  <c r="D73" i="31"/>
  <c r="C73" i="31"/>
  <c r="D72" i="31"/>
  <c r="C72" i="31"/>
  <c r="D71" i="31"/>
  <c r="C71" i="31"/>
  <c r="D70" i="31"/>
  <c r="C70" i="31"/>
  <c r="D69" i="31"/>
  <c r="C69" i="31"/>
  <c r="D68" i="31"/>
  <c r="C68" i="31"/>
  <c r="D67" i="31"/>
  <c r="C67" i="31"/>
  <c r="D66" i="31"/>
  <c r="C66" i="31"/>
  <c r="D65" i="31"/>
  <c r="C65" i="31"/>
  <c r="D64" i="31"/>
  <c r="C64" i="31"/>
  <c r="D60" i="31"/>
  <c r="C60" i="31"/>
  <c r="D59" i="31"/>
  <c r="C59" i="31"/>
  <c r="D58" i="31"/>
  <c r="C58" i="31"/>
  <c r="D57" i="31"/>
  <c r="C57" i="31"/>
  <c r="D56" i="31"/>
  <c r="C56" i="31"/>
  <c r="D55" i="31"/>
  <c r="C55" i="31"/>
  <c r="D54" i="31"/>
  <c r="C54" i="31"/>
  <c r="D53" i="31"/>
  <c r="C53" i="31"/>
  <c r="D52" i="31"/>
  <c r="C52" i="31"/>
  <c r="D51" i="31"/>
  <c r="C51" i="31"/>
  <c r="D50" i="31"/>
  <c r="C50" i="31"/>
  <c r="D49" i="31"/>
  <c r="C49" i="31"/>
  <c r="D48" i="31"/>
  <c r="C48" i="31"/>
  <c r="D47" i="31"/>
  <c r="C47" i="31"/>
  <c r="D46" i="31"/>
  <c r="C46" i="31"/>
  <c r="D45" i="31"/>
  <c r="C45" i="31"/>
  <c r="D44" i="31"/>
  <c r="C44" i="31"/>
  <c r="D43" i="31"/>
  <c r="C43" i="31"/>
  <c r="D42" i="31"/>
  <c r="C42" i="31"/>
  <c r="D41" i="31"/>
  <c r="C41" i="31"/>
  <c r="D40" i="31"/>
  <c r="C40" i="31"/>
  <c r="D39" i="31"/>
  <c r="C39" i="31"/>
  <c r="D38" i="31"/>
  <c r="C38" i="31"/>
  <c r="D37" i="31"/>
  <c r="C37" i="31"/>
  <c r="D36" i="31"/>
  <c r="C36" i="31"/>
  <c r="D35" i="31"/>
  <c r="C35" i="31"/>
  <c r="D34" i="31"/>
  <c r="C34" i="31"/>
  <c r="D33" i="31"/>
  <c r="C33" i="31"/>
  <c r="D32" i="31"/>
  <c r="C32" i="31"/>
  <c r="D31" i="31"/>
  <c r="C31" i="31"/>
  <c r="D30" i="31"/>
  <c r="C30" i="31"/>
  <c r="D29" i="31"/>
  <c r="C29" i="31"/>
  <c r="D28" i="31"/>
  <c r="C28" i="31"/>
  <c r="D27" i="31"/>
  <c r="C27" i="31"/>
  <c r="D26" i="31"/>
  <c r="C26" i="31"/>
  <c r="D25" i="31"/>
  <c r="C25" i="31"/>
  <c r="D20" i="31"/>
  <c r="C20" i="31"/>
  <c r="D19" i="31"/>
  <c r="C19" i="31"/>
  <c r="D18" i="31"/>
  <c r="C18" i="31"/>
  <c r="D17" i="31"/>
  <c r="C17" i="31"/>
  <c r="D16" i="31"/>
  <c r="C16" i="31"/>
  <c r="D15" i="31"/>
  <c r="C15" i="31"/>
  <c r="D14" i="31"/>
  <c r="C14" i="31"/>
  <c r="D13" i="31"/>
  <c r="C13" i="31"/>
  <c r="D12" i="31"/>
  <c r="C12" i="31"/>
  <c r="D11" i="31"/>
  <c r="C11" i="31"/>
  <c r="C21" i="31" l="1"/>
  <c r="C102" i="31"/>
  <c r="D21" i="31"/>
  <c r="D102" i="31"/>
  <c r="D119" i="31"/>
  <c r="C93" i="31"/>
  <c r="C161" i="31"/>
  <c r="D161" i="31"/>
  <c r="C79" i="31"/>
  <c r="C111" i="31"/>
  <c r="C228" i="31"/>
  <c r="D93" i="31"/>
  <c r="D79" i="31"/>
  <c r="D111" i="31"/>
  <c r="D197" i="31"/>
  <c r="C119" i="31"/>
  <c r="C197" i="31"/>
  <c r="C206" i="31"/>
  <c r="D206" i="31"/>
  <c r="C61" i="31"/>
  <c r="D61" i="31"/>
  <c r="D208" i="31" l="1"/>
  <c r="D215" i="31" s="1"/>
  <c r="C208" i="31"/>
  <c r="C212" i="31" s="1"/>
  <c r="C215" i="31" l="1"/>
  <c r="G244" i="64"/>
  <c r="G243" i="64"/>
  <c r="G242" i="64"/>
  <c r="G241" i="64"/>
  <c r="C238" i="64"/>
  <c r="C237" i="64"/>
  <c r="C236" i="64"/>
  <c r="C235" i="64"/>
  <c r="C233" i="64"/>
  <c r="C232" i="64"/>
  <c r="C231" i="64"/>
  <c r="D228" i="64"/>
  <c r="C227" i="64"/>
  <c r="C226" i="64"/>
  <c r="C225" i="64"/>
  <c r="C224" i="64"/>
  <c r="C223" i="64"/>
  <c r="C222" i="64"/>
  <c r="C221" i="64"/>
  <c r="C220" i="64"/>
  <c r="C219" i="64"/>
  <c r="C211" i="64"/>
  <c r="D205" i="64"/>
  <c r="C205" i="64"/>
  <c r="D204" i="64"/>
  <c r="C204" i="64"/>
  <c r="D203" i="64"/>
  <c r="C203" i="64"/>
  <c r="D202" i="64"/>
  <c r="C202" i="64"/>
  <c r="D201" i="64"/>
  <c r="C201" i="64"/>
  <c r="D200" i="64"/>
  <c r="C200" i="64"/>
  <c r="D196" i="64"/>
  <c r="C196" i="64"/>
  <c r="D195" i="64"/>
  <c r="C195" i="64"/>
  <c r="D194" i="64"/>
  <c r="C194" i="64"/>
  <c r="D193" i="64"/>
  <c r="C193" i="64"/>
  <c r="D192" i="64"/>
  <c r="C192" i="64"/>
  <c r="D191" i="64"/>
  <c r="C191" i="64"/>
  <c r="D190" i="64"/>
  <c r="C190" i="64"/>
  <c r="D189" i="64"/>
  <c r="C189" i="64"/>
  <c r="D188" i="64"/>
  <c r="C188" i="64"/>
  <c r="D187" i="64"/>
  <c r="C187" i="64"/>
  <c r="D186" i="64"/>
  <c r="C186" i="64"/>
  <c r="D185" i="64"/>
  <c r="C185" i="64"/>
  <c r="D184" i="64"/>
  <c r="C184" i="64"/>
  <c r="D183" i="64"/>
  <c r="C183" i="64"/>
  <c r="D182" i="64"/>
  <c r="C182" i="64"/>
  <c r="D181" i="64"/>
  <c r="C181" i="64"/>
  <c r="D180" i="64"/>
  <c r="C180" i="64"/>
  <c r="D179" i="64"/>
  <c r="C179" i="64"/>
  <c r="D178" i="64"/>
  <c r="C178" i="64"/>
  <c r="D177" i="64"/>
  <c r="C177" i="64"/>
  <c r="D176" i="64"/>
  <c r="C176" i="64"/>
  <c r="D175" i="64"/>
  <c r="C175" i="64"/>
  <c r="D174" i="64"/>
  <c r="C174" i="64"/>
  <c r="D173" i="64"/>
  <c r="C173" i="64"/>
  <c r="D172" i="64"/>
  <c r="C172" i="64"/>
  <c r="D171" i="64"/>
  <c r="C171" i="64"/>
  <c r="D170" i="64"/>
  <c r="C170" i="64"/>
  <c r="D169" i="64"/>
  <c r="C169" i="64"/>
  <c r="D168" i="64"/>
  <c r="C168" i="64"/>
  <c r="D167" i="64"/>
  <c r="C167" i="64"/>
  <c r="D166" i="64"/>
  <c r="C166" i="64"/>
  <c r="D165" i="64"/>
  <c r="C165" i="64"/>
  <c r="D164" i="64"/>
  <c r="C164" i="64"/>
  <c r="D160" i="64"/>
  <c r="C160" i="64"/>
  <c r="D159" i="64"/>
  <c r="C159" i="64"/>
  <c r="D158" i="64"/>
  <c r="C158" i="64"/>
  <c r="D157" i="64"/>
  <c r="C157" i="64"/>
  <c r="D156" i="64"/>
  <c r="C156" i="64"/>
  <c r="D155" i="64"/>
  <c r="C155" i="64"/>
  <c r="D153" i="64"/>
  <c r="C153" i="64"/>
  <c r="D152" i="64"/>
  <c r="C152" i="64"/>
  <c r="D151" i="64"/>
  <c r="C151" i="64"/>
  <c r="D150" i="64"/>
  <c r="C150" i="64"/>
  <c r="D149" i="64"/>
  <c r="C149" i="64"/>
  <c r="D148" i="64"/>
  <c r="C148" i="64"/>
  <c r="D147" i="64"/>
  <c r="C147" i="64"/>
  <c r="D146" i="64"/>
  <c r="C146" i="64"/>
  <c r="D145" i="64"/>
  <c r="C145" i="64"/>
  <c r="D143" i="64"/>
  <c r="C143" i="64"/>
  <c r="D142" i="64"/>
  <c r="C142" i="64"/>
  <c r="D141" i="64"/>
  <c r="C141" i="64"/>
  <c r="D140" i="64"/>
  <c r="C140" i="64"/>
  <c r="D138" i="64"/>
  <c r="C138" i="64"/>
  <c r="D137" i="64"/>
  <c r="C137" i="64"/>
  <c r="D136" i="64"/>
  <c r="C136" i="64"/>
  <c r="D135" i="64"/>
  <c r="C135" i="64"/>
  <c r="D133" i="64"/>
  <c r="C133" i="64"/>
  <c r="D132" i="64"/>
  <c r="C132" i="64"/>
  <c r="D131" i="64"/>
  <c r="C131" i="64"/>
  <c r="D130" i="64"/>
  <c r="C130" i="64"/>
  <c r="D129" i="64"/>
  <c r="C129" i="64"/>
  <c r="D127" i="64"/>
  <c r="C127" i="64"/>
  <c r="D126" i="64"/>
  <c r="C126" i="64"/>
  <c r="D125" i="64"/>
  <c r="C125" i="64"/>
  <c r="D124" i="64"/>
  <c r="C124" i="64"/>
  <c r="D123" i="64"/>
  <c r="C123" i="64"/>
  <c r="D118" i="64"/>
  <c r="C118" i="64"/>
  <c r="D117" i="64"/>
  <c r="C117" i="64"/>
  <c r="D116" i="64"/>
  <c r="C116" i="64"/>
  <c r="D115" i="64"/>
  <c r="C115" i="64"/>
  <c r="D114" i="64"/>
  <c r="C114" i="64"/>
  <c r="D110" i="64"/>
  <c r="C110" i="64"/>
  <c r="D109" i="64"/>
  <c r="C109" i="64"/>
  <c r="D108" i="64"/>
  <c r="C108" i="64"/>
  <c r="D107" i="64"/>
  <c r="C107" i="64"/>
  <c r="D106" i="64"/>
  <c r="C106" i="64"/>
  <c r="D105" i="64"/>
  <c r="C105" i="64"/>
  <c r="D101" i="64"/>
  <c r="C101" i="64"/>
  <c r="D100" i="64"/>
  <c r="C100" i="64"/>
  <c r="D99" i="64"/>
  <c r="C99" i="64"/>
  <c r="D98" i="64"/>
  <c r="C98" i="64"/>
  <c r="D97" i="64"/>
  <c r="C97" i="64"/>
  <c r="D96" i="64"/>
  <c r="C96" i="64"/>
  <c r="D92" i="64"/>
  <c r="C92" i="64"/>
  <c r="D91" i="64"/>
  <c r="C91" i="64"/>
  <c r="D90" i="64"/>
  <c r="C90" i="64"/>
  <c r="D89" i="64"/>
  <c r="C89" i="64"/>
  <c r="D88" i="64"/>
  <c r="C88" i="64"/>
  <c r="D87" i="64"/>
  <c r="C87" i="64"/>
  <c r="D86" i="64"/>
  <c r="C86" i="64"/>
  <c r="D85" i="64"/>
  <c r="C85" i="64"/>
  <c r="D84" i="64"/>
  <c r="C84" i="64"/>
  <c r="D83" i="64"/>
  <c r="C83" i="64"/>
  <c r="D82" i="64"/>
  <c r="C82" i="64"/>
  <c r="D78" i="64"/>
  <c r="C78" i="64"/>
  <c r="D77" i="64"/>
  <c r="C77" i="64"/>
  <c r="D76" i="64"/>
  <c r="C76" i="64"/>
  <c r="D75" i="64"/>
  <c r="C75" i="64"/>
  <c r="D74" i="64"/>
  <c r="C74" i="64"/>
  <c r="D73" i="64"/>
  <c r="C73" i="64"/>
  <c r="D72" i="64"/>
  <c r="C72" i="64"/>
  <c r="D71" i="64"/>
  <c r="C71" i="64"/>
  <c r="D70" i="64"/>
  <c r="C70" i="64"/>
  <c r="D69" i="64"/>
  <c r="C69" i="64"/>
  <c r="D68" i="64"/>
  <c r="C68" i="64"/>
  <c r="D67" i="64"/>
  <c r="C67" i="64"/>
  <c r="D66" i="64"/>
  <c r="C66" i="64"/>
  <c r="D65" i="64"/>
  <c r="C65" i="64"/>
  <c r="D64" i="64"/>
  <c r="C64" i="64"/>
  <c r="D60" i="64"/>
  <c r="C60" i="64"/>
  <c r="D59" i="64"/>
  <c r="C59" i="64"/>
  <c r="D58" i="64"/>
  <c r="C58" i="64"/>
  <c r="D57" i="64"/>
  <c r="C57" i="64"/>
  <c r="D56" i="64"/>
  <c r="C56" i="64"/>
  <c r="D55" i="64"/>
  <c r="C55" i="64"/>
  <c r="D54" i="64"/>
  <c r="C54" i="64"/>
  <c r="D53" i="64"/>
  <c r="C53" i="64"/>
  <c r="D52" i="64"/>
  <c r="C52" i="64"/>
  <c r="D51" i="64"/>
  <c r="C51" i="64"/>
  <c r="D50" i="64"/>
  <c r="C50" i="64"/>
  <c r="D49" i="64"/>
  <c r="C49" i="64"/>
  <c r="D48" i="64"/>
  <c r="C48" i="64"/>
  <c r="D47" i="64"/>
  <c r="C47" i="64"/>
  <c r="D46" i="64"/>
  <c r="C46" i="64"/>
  <c r="D45" i="64"/>
  <c r="C45" i="64"/>
  <c r="D44" i="64"/>
  <c r="C44" i="64"/>
  <c r="D43" i="64"/>
  <c r="C43" i="64"/>
  <c r="D42" i="64"/>
  <c r="C42" i="64"/>
  <c r="D41" i="64"/>
  <c r="C41" i="64"/>
  <c r="D40" i="64"/>
  <c r="C40" i="64"/>
  <c r="D39" i="64"/>
  <c r="C39" i="64"/>
  <c r="D38" i="64"/>
  <c r="C38" i="64"/>
  <c r="D37" i="64"/>
  <c r="C37" i="64"/>
  <c r="D36" i="64"/>
  <c r="C36" i="64"/>
  <c r="D35" i="64"/>
  <c r="C35" i="64"/>
  <c r="D34" i="64"/>
  <c r="C34" i="64"/>
  <c r="D33" i="64"/>
  <c r="C33" i="64"/>
  <c r="D32" i="64"/>
  <c r="C32" i="64"/>
  <c r="D31" i="64"/>
  <c r="C31" i="64"/>
  <c r="D30" i="64"/>
  <c r="C30" i="64"/>
  <c r="D29" i="64"/>
  <c r="C29" i="64"/>
  <c r="D28" i="64"/>
  <c r="C28" i="64"/>
  <c r="D27" i="64"/>
  <c r="C27" i="64"/>
  <c r="D26" i="64"/>
  <c r="C26" i="64"/>
  <c r="D25" i="64"/>
  <c r="C25" i="64"/>
  <c r="D20" i="64"/>
  <c r="C20" i="64"/>
  <c r="D19" i="64"/>
  <c r="C19" i="64"/>
  <c r="D18" i="64"/>
  <c r="C18" i="64"/>
  <c r="D17" i="64"/>
  <c r="C17" i="64"/>
  <c r="D16" i="64"/>
  <c r="C16" i="64"/>
  <c r="D15" i="64"/>
  <c r="C15" i="64"/>
  <c r="D14" i="64"/>
  <c r="C14" i="64"/>
  <c r="D13" i="64"/>
  <c r="C13" i="64"/>
  <c r="D12" i="64"/>
  <c r="C12" i="64"/>
  <c r="D11" i="64"/>
  <c r="C11" i="64"/>
  <c r="C93" i="64" l="1"/>
  <c r="D93" i="64"/>
  <c r="D79" i="64"/>
  <c r="C102" i="64"/>
  <c r="C119" i="64"/>
  <c r="D102" i="64"/>
  <c r="C197" i="64"/>
  <c r="C79" i="64"/>
  <c r="D111" i="64"/>
  <c r="C161" i="64"/>
  <c r="D119" i="64"/>
  <c r="C228" i="64"/>
  <c r="C21" i="64"/>
  <c r="C111" i="64"/>
  <c r="C206" i="64"/>
  <c r="D161" i="64"/>
  <c r="D21" i="64"/>
  <c r="D197" i="64"/>
  <c r="D206" i="64"/>
  <c r="D61" i="64"/>
  <c r="C61" i="64"/>
  <c r="C208" i="64" l="1"/>
  <c r="C212" i="64" s="1"/>
  <c r="D208" i="64"/>
  <c r="D215" i="64" s="1"/>
  <c r="C215" i="64" l="1"/>
  <c r="G244" i="113"/>
  <c r="G243" i="113"/>
  <c r="G242" i="113"/>
  <c r="G241" i="113"/>
  <c r="C238" i="113"/>
  <c r="C237" i="113"/>
  <c r="C236" i="113"/>
  <c r="C235" i="113"/>
  <c r="C233" i="113"/>
  <c r="C232" i="113"/>
  <c r="C231" i="113"/>
  <c r="D228" i="113"/>
  <c r="C227" i="113"/>
  <c r="C226" i="113"/>
  <c r="C225" i="113"/>
  <c r="C224" i="113"/>
  <c r="C223" i="113"/>
  <c r="C222" i="113"/>
  <c r="C221" i="113"/>
  <c r="C220" i="113"/>
  <c r="C219" i="113"/>
  <c r="C211" i="113"/>
  <c r="D205" i="113"/>
  <c r="C205" i="113"/>
  <c r="D204" i="113"/>
  <c r="C204" i="113"/>
  <c r="D203" i="113"/>
  <c r="C203" i="113"/>
  <c r="D202" i="113"/>
  <c r="C202" i="113"/>
  <c r="D201" i="113"/>
  <c r="C201" i="113"/>
  <c r="D200" i="113"/>
  <c r="C200" i="113"/>
  <c r="D196" i="113"/>
  <c r="C196" i="113"/>
  <c r="D195" i="113"/>
  <c r="C195" i="113"/>
  <c r="D194" i="113"/>
  <c r="C194" i="113"/>
  <c r="D193" i="113"/>
  <c r="C193" i="113"/>
  <c r="D192" i="113"/>
  <c r="C192" i="113"/>
  <c r="D191" i="113"/>
  <c r="C191" i="113"/>
  <c r="D190" i="113"/>
  <c r="C190" i="113"/>
  <c r="D189" i="113"/>
  <c r="C189" i="113"/>
  <c r="D188" i="113"/>
  <c r="C188" i="113"/>
  <c r="D187" i="113"/>
  <c r="C187" i="113"/>
  <c r="D186" i="113"/>
  <c r="C186" i="113"/>
  <c r="D185" i="113"/>
  <c r="C185" i="113"/>
  <c r="D184" i="113"/>
  <c r="C184" i="113"/>
  <c r="D183" i="113"/>
  <c r="C183" i="113"/>
  <c r="D182" i="113"/>
  <c r="C182" i="113"/>
  <c r="D181" i="113"/>
  <c r="C181" i="113"/>
  <c r="D180" i="113"/>
  <c r="C180" i="113"/>
  <c r="D179" i="113"/>
  <c r="C179" i="113"/>
  <c r="D178" i="113"/>
  <c r="C178" i="113"/>
  <c r="D177" i="113"/>
  <c r="C177" i="113"/>
  <c r="D176" i="113"/>
  <c r="C176" i="113"/>
  <c r="D175" i="113"/>
  <c r="C175" i="113"/>
  <c r="D174" i="113"/>
  <c r="C174" i="113"/>
  <c r="D173" i="113"/>
  <c r="C173" i="113"/>
  <c r="D172" i="113"/>
  <c r="C172" i="113"/>
  <c r="D171" i="113"/>
  <c r="C171" i="113"/>
  <c r="D170" i="113"/>
  <c r="C170" i="113"/>
  <c r="D169" i="113"/>
  <c r="C169" i="113"/>
  <c r="D168" i="113"/>
  <c r="C168" i="113"/>
  <c r="D167" i="113"/>
  <c r="C167" i="113"/>
  <c r="D166" i="113"/>
  <c r="C166" i="113"/>
  <c r="D165" i="113"/>
  <c r="C165" i="113"/>
  <c r="D164" i="113"/>
  <c r="C164" i="113"/>
  <c r="D160" i="113"/>
  <c r="C160" i="113"/>
  <c r="D159" i="113"/>
  <c r="C159" i="113"/>
  <c r="D158" i="113"/>
  <c r="C158" i="113"/>
  <c r="D157" i="113"/>
  <c r="C157" i="113"/>
  <c r="D156" i="113"/>
  <c r="C156" i="113"/>
  <c r="D155" i="113"/>
  <c r="C155" i="113"/>
  <c r="D153" i="113"/>
  <c r="C153" i="113"/>
  <c r="D152" i="113"/>
  <c r="C152" i="113"/>
  <c r="D151" i="113"/>
  <c r="C151" i="113"/>
  <c r="D150" i="113"/>
  <c r="C150" i="113"/>
  <c r="D149" i="113"/>
  <c r="C149" i="113"/>
  <c r="D148" i="113"/>
  <c r="C148" i="113"/>
  <c r="D147" i="113"/>
  <c r="C147" i="113"/>
  <c r="D146" i="113"/>
  <c r="C146" i="113"/>
  <c r="D145" i="113"/>
  <c r="C145" i="113"/>
  <c r="D143" i="113"/>
  <c r="C143" i="113"/>
  <c r="D142" i="113"/>
  <c r="C142" i="113"/>
  <c r="D141" i="113"/>
  <c r="C141" i="113"/>
  <c r="D140" i="113"/>
  <c r="C140" i="113"/>
  <c r="D138" i="113"/>
  <c r="C138" i="113"/>
  <c r="D137" i="113"/>
  <c r="C137" i="113"/>
  <c r="D136" i="113"/>
  <c r="C136" i="113"/>
  <c r="D135" i="113"/>
  <c r="C135" i="113"/>
  <c r="D133" i="113"/>
  <c r="C133" i="113"/>
  <c r="D132" i="113"/>
  <c r="C132" i="113"/>
  <c r="D131" i="113"/>
  <c r="C131" i="113"/>
  <c r="D130" i="113"/>
  <c r="C130" i="113"/>
  <c r="D129" i="113"/>
  <c r="C129" i="113"/>
  <c r="D127" i="113"/>
  <c r="C127" i="113"/>
  <c r="D126" i="113"/>
  <c r="C126" i="113"/>
  <c r="D125" i="113"/>
  <c r="C125" i="113"/>
  <c r="D124" i="113"/>
  <c r="C124" i="113"/>
  <c r="D123" i="113"/>
  <c r="C123" i="113"/>
  <c r="D118" i="113"/>
  <c r="C118" i="113"/>
  <c r="D117" i="113"/>
  <c r="C117" i="113"/>
  <c r="D116" i="113"/>
  <c r="C116" i="113"/>
  <c r="D115" i="113"/>
  <c r="C115" i="113"/>
  <c r="D114" i="113"/>
  <c r="C114" i="113"/>
  <c r="D110" i="113"/>
  <c r="C110" i="113"/>
  <c r="D109" i="113"/>
  <c r="C109" i="113"/>
  <c r="D108" i="113"/>
  <c r="C108" i="113"/>
  <c r="D107" i="113"/>
  <c r="C107" i="113"/>
  <c r="D106" i="113"/>
  <c r="C106" i="113"/>
  <c r="D105" i="113"/>
  <c r="C105" i="113"/>
  <c r="D101" i="113"/>
  <c r="C101" i="113"/>
  <c r="D100" i="113"/>
  <c r="C100" i="113"/>
  <c r="D99" i="113"/>
  <c r="C99" i="113"/>
  <c r="D98" i="113"/>
  <c r="C98" i="113"/>
  <c r="D97" i="113"/>
  <c r="C97" i="113"/>
  <c r="D96" i="113"/>
  <c r="C96" i="113"/>
  <c r="D92" i="113"/>
  <c r="C92" i="113"/>
  <c r="D91" i="113"/>
  <c r="C91" i="113"/>
  <c r="D90" i="113"/>
  <c r="C90" i="113"/>
  <c r="D89" i="113"/>
  <c r="C89" i="113"/>
  <c r="D88" i="113"/>
  <c r="C88" i="113"/>
  <c r="D87" i="113"/>
  <c r="C87" i="113"/>
  <c r="D86" i="113"/>
  <c r="C86" i="113"/>
  <c r="D85" i="113"/>
  <c r="C85" i="113"/>
  <c r="D84" i="113"/>
  <c r="C84" i="113"/>
  <c r="D83" i="113"/>
  <c r="C83" i="113"/>
  <c r="D82" i="113"/>
  <c r="C82" i="113"/>
  <c r="D78" i="113"/>
  <c r="C78" i="113"/>
  <c r="D77" i="113"/>
  <c r="C77" i="113"/>
  <c r="D76" i="113"/>
  <c r="C76" i="113"/>
  <c r="D75" i="113"/>
  <c r="C75" i="113"/>
  <c r="D74" i="113"/>
  <c r="C74" i="113"/>
  <c r="D73" i="113"/>
  <c r="C73" i="113"/>
  <c r="D72" i="113"/>
  <c r="C72" i="113"/>
  <c r="D71" i="113"/>
  <c r="C71" i="113"/>
  <c r="D70" i="113"/>
  <c r="C70" i="113"/>
  <c r="D69" i="113"/>
  <c r="C69" i="113"/>
  <c r="D68" i="113"/>
  <c r="C68" i="113"/>
  <c r="D67" i="113"/>
  <c r="C67" i="113"/>
  <c r="D66" i="113"/>
  <c r="C66" i="113"/>
  <c r="D65" i="113"/>
  <c r="C65" i="113"/>
  <c r="D64" i="113"/>
  <c r="C64" i="113"/>
  <c r="D60" i="113"/>
  <c r="C60" i="113"/>
  <c r="D59" i="113"/>
  <c r="C59" i="113"/>
  <c r="D58" i="113"/>
  <c r="C58" i="113"/>
  <c r="D57" i="113"/>
  <c r="C57" i="113"/>
  <c r="D56" i="113"/>
  <c r="C56" i="113"/>
  <c r="D55" i="113"/>
  <c r="C55" i="113"/>
  <c r="D54" i="113"/>
  <c r="C54" i="113"/>
  <c r="D53" i="113"/>
  <c r="C53" i="113"/>
  <c r="D52" i="113"/>
  <c r="C52" i="113"/>
  <c r="D51" i="113"/>
  <c r="C51" i="113"/>
  <c r="D50" i="113"/>
  <c r="C50" i="113"/>
  <c r="D49" i="113"/>
  <c r="C49" i="113"/>
  <c r="D48" i="113"/>
  <c r="C48" i="113"/>
  <c r="D47" i="113"/>
  <c r="C47" i="113"/>
  <c r="D46" i="113"/>
  <c r="C46" i="113"/>
  <c r="D45" i="113"/>
  <c r="C45" i="113"/>
  <c r="D44" i="113"/>
  <c r="C44" i="113"/>
  <c r="D43" i="113"/>
  <c r="C43" i="113"/>
  <c r="D42" i="113"/>
  <c r="C42" i="113"/>
  <c r="D41" i="113"/>
  <c r="C41" i="113"/>
  <c r="D40" i="113"/>
  <c r="C40" i="113"/>
  <c r="D39" i="113"/>
  <c r="C39" i="113"/>
  <c r="D38" i="113"/>
  <c r="C38" i="113"/>
  <c r="D37" i="113"/>
  <c r="C37" i="113"/>
  <c r="D36" i="113"/>
  <c r="C36" i="113"/>
  <c r="D35" i="113"/>
  <c r="C35" i="113"/>
  <c r="D34" i="113"/>
  <c r="C34" i="113"/>
  <c r="D33" i="113"/>
  <c r="C33" i="113"/>
  <c r="D32" i="113"/>
  <c r="C32" i="113"/>
  <c r="D31" i="113"/>
  <c r="C31" i="113"/>
  <c r="D30" i="113"/>
  <c r="C30" i="113"/>
  <c r="D29" i="113"/>
  <c r="C29" i="113"/>
  <c r="D28" i="113"/>
  <c r="C28" i="113"/>
  <c r="D27" i="113"/>
  <c r="C27" i="113"/>
  <c r="D26" i="113"/>
  <c r="C26" i="113"/>
  <c r="D25" i="113"/>
  <c r="C25" i="113"/>
  <c r="D20" i="113"/>
  <c r="C20" i="113"/>
  <c r="D19" i="113"/>
  <c r="C19" i="113"/>
  <c r="D18" i="113"/>
  <c r="C18" i="113"/>
  <c r="D17" i="113"/>
  <c r="C17" i="113"/>
  <c r="D16" i="113"/>
  <c r="C16" i="113"/>
  <c r="D15" i="113"/>
  <c r="C15" i="113"/>
  <c r="D14" i="113"/>
  <c r="C14" i="113"/>
  <c r="D13" i="113"/>
  <c r="C13" i="113"/>
  <c r="D12" i="113"/>
  <c r="C12" i="113"/>
  <c r="D11" i="113"/>
  <c r="C11" i="113"/>
  <c r="D161" i="113" l="1"/>
  <c r="C111" i="113"/>
  <c r="D79" i="113"/>
  <c r="D119" i="113"/>
  <c r="C228" i="113"/>
  <c r="D61" i="113"/>
  <c r="D111" i="113"/>
  <c r="C197" i="113"/>
  <c r="C206" i="113"/>
  <c r="D197" i="113"/>
  <c r="D206" i="113"/>
  <c r="C21" i="113"/>
  <c r="C93" i="113"/>
  <c r="C102" i="113"/>
  <c r="D21" i="113"/>
  <c r="D93" i="113"/>
  <c r="D102" i="113"/>
  <c r="C79" i="113"/>
  <c r="C119" i="113"/>
  <c r="C161" i="113"/>
  <c r="C61" i="113"/>
  <c r="C208" i="113" l="1"/>
  <c r="C212" i="113" s="1"/>
  <c r="D208" i="113"/>
  <c r="D215" i="113" s="1"/>
  <c r="G244" i="72"/>
  <c r="G243" i="72"/>
  <c r="G242" i="72"/>
  <c r="G241" i="72"/>
  <c r="C238" i="72"/>
  <c r="C237" i="72"/>
  <c r="C236" i="72"/>
  <c r="C235" i="72"/>
  <c r="C233" i="72"/>
  <c r="C232" i="72"/>
  <c r="C231" i="72"/>
  <c r="D228" i="72"/>
  <c r="C227" i="72"/>
  <c r="C226" i="72"/>
  <c r="C225" i="72"/>
  <c r="C224" i="72"/>
  <c r="C223" i="72"/>
  <c r="C222" i="72"/>
  <c r="C221" i="72"/>
  <c r="C220" i="72"/>
  <c r="C219" i="72"/>
  <c r="C211" i="72"/>
  <c r="D205" i="72"/>
  <c r="C205" i="72"/>
  <c r="D204" i="72"/>
  <c r="C204" i="72"/>
  <c r="D203" i="72"/>
  <c r="C203" i="72"/>
  <c r="D202" i="72"/>
  <c r="C202" i="72"/>
  <c r="D201" i="72"/>
  <c r="C201" i="72"/>
  <c r="D200" i="72"/>
  <c r="C200" i="72"/>
  <c r="D196" i="72"/>
  <c r="C196" i="72"/>
  <c r="D195" i="72"/>
  <c r="C195" i="72"/>
  <c r="D194" i="72"/>
  <c r="C194" i="72"/>
  <c r="D193" i="72"/>
  <c r="C193" i="72"/>
  <c r="D192" i="72"/>
  <c r="C192" i="72"/>
  <c r="D191" i="72"/>
  <c r="C191" i="72"/>
  <c r="D190" i="72"/>
  <c r="C190" i="72"/>
  <c r="D189" i="72"/>
  <c r="C189" i="72"/>
  <c r="D188" i="72"/>
  <c r="C188" i="72"/>
  <c r="D187" i="72"/>
  <c r="C187" i="72"/>
  <c r="D186" i="72"/>
  <c r="C186" i="72"/>
  <c r="D185" i="72"/>
  <c r="C185" i="72"/>
  <c r="D184" i="72"/>
  <c r="C184" i="72"/>
  <c r="D183" i="72"/>
  <c r="C183" i="72"/>
  <c r="D182" i="72"/>
  <c r="C182" i="72"/>
  <c r="D181" i="72"/>
  <c r="C181" i="72"/>
  <c r="D180" i="72"/>
  <c r="C180" i="72"/>
  <c r="D179" i="72"/>
  <c r="C179" i="72"/>
  <c r="D178" i="72"/>
  <c r="C178" i="72"/>
  <c r="D177" i="72"/>
  <c r="C177" i="72"/>
  <c r="D176" i="72"/>
  <c r="C176" i="72"/>
  <c r="D175" i="72"/>
  <c r="C175" i="72"/>
  <c r="D174" i="72"/>
  <c r="C174" i="72"/>
  <c r="D173" i="72"/>
  <c r="C173" i="72"/>
  <c r="D172" i="72"/>
  <c r="C172" i="72"/>
  <c r="D171" i="72"/>
  <c r="C171" i="72"/>
  <c r="D170" i="72"/>
  <c r="C170" i="72"/>
  <c r="D169" i="72"/>
  <c r="C169" i="72"/>
  <c r="D168" i="72"/>
  <c r="C168" i="72"/>
  <c r="D167" i="72"/>
  <c r="C167" i="72"/>
  <c r="D166" i="72"/>
  <c r="C166" i="72"/>
  <c r="D165" i="72"/>
  <c r="C165" i="72"/>
  <c r="D164" i="72"/>
  <c r="C164" i="72"/>
  <c r="D160" i="72"/>
  <c r="C160" i="72"/>
  <c r="D159" i="72"/>
  <c r="C159" i="72"/>
  <c r="D158" i="72"/>
  <c r="C158" i="72"/>
  <c r="D157" i="72"/>
  <c r="C157" i="72"/>
  <c r="D156" i="72"/>
  <c r="C156" i="72"/>
  <c r="D155" i="72"/>
  <c r="C155" i="72"/>
  <c r="D153" i="72"/>
  <c r="C153" i="72"/>
  <c r="D152" i="72"/>
  <c r="C152" i="72"/>
  <c r="D151" i="72"/>
  <c r="C151" i="72"/>
  <c r="D150" i="72"/>
  <c r="C150" i="72"/>
  <c r="D149" i="72"/>
  <c r="C149" i="72"/>
  <c r="D148" i="72"/>
  <c r="C148" i="72"/>
  <c r="D147" i="72"/>
  <c r="C147" i="72"/>
  <c r="D146" i="72"/>
  <c r="C146" i="72"/>
  <c r="D145" i="72"/>
  <c r="C145" i="72"/>
  <c r="D143" i="72"/>
  <c r="C143" i="72"/>
  <c r="D142" i="72"/>
  <c r="C142" i="72"/>
  <c r="D141" i="72"/>
  <c r="C141" i="72"/>
  <c r="D140" i="72"/>
  <c r="C140" i="72"/>
  <c r="D138" i="72"/>
  <c r="C138" i="72"/>
  <c r="D137" i="72"/>
  <c r="C137" i="72"/>
  <c r="D136" i="72"/>
  <c r="C136" i="72"/>
  <c r="D135" i="72"/>
  <c r="C135" i="72"/>
  <c r="D133" i="72"/>
  <c r="C133" i="72"/>
  <c r="D132" i="72"/>
  <c r="C132" i="72"/>
  <c r="D131" i="72"/>
  <c r="C131" i="72"/>
  <c r="D130" i="72"/>
  <c r="C130" i="72"/>
  <c r="D129" i="72"/>
  <c r="C129" i="72"/>
  <c r="D127" i="72"/>
  <c r="C127" i="72"/>
  <c r="D126" i="72"/>
  <c r="C126" i="72"/>
  <c r="D125" i="72"/>
  <c r="C125" i="72"/>
  <c r="D124" i="72"/>
  <c r="C124" i="72"/>
  <c r="D123" i="72"/>
  <c r="C123" i="72"/>
  <c r="D118" i="72"/>
  <c r="C118" i="72"/>
  <c r="D117" i="72"/>
  <c r="C117" i="72"/>
  <c r="D116" i="72"/>
  <c r="C116" i="72"/>
  <c r="D115" i="72"/>
  <c r="C115" i="72"/>
  <c r="D114" i="72"/>
  <c r="C114" i="72"/>
  <c r="D110" i="72"/>
  <c r="C110" i="72"/>
  <c r="D109" i="72"/>
  <c r="C109" i="72"/>
  <c r="D108" i="72"/>
  <c r="C108" i="72"/>
  <c r="D107" i="72"/>
  <c r="C107" i="72"/>
  <c r="D106" i="72"/>
  <c r="C106" i="72"/>
  <c r="D105" i="72"/>
  <c r="C105" i="72"/>
  <c r="D101" i="72"/>
  <c r="C101" i="72"/>
  <c r="D100" i="72"/>
  <c r="C100" i="72"/>
  <c r="D99" i="72"/>
  <c r="C99" i="72"/>
  <c r="D98" i="72"/>
  <c r="C98" i="72"/>
  <c r="D97" i="72"/>
  <c r="C97" i="72"/>
  <c r="D96" i="72"/>
  <c r="C96" i="72"/>
  <c r="D92" i="72"/>
  <c r="C92" i="72"/>
  <c r="D91" i="72"/>
  <c r="C91" i="72"/>
  <c r="D90" i="72"/>
  <c r="C90" i="72"/>
  <c r="D89" i="72"/>
  <c r="C89" i="72"/>
  <c r="D88" i="72"/>
  <c r="C88" i="72"/>
  <c r="D87" i="72"/>
  <c r="C87" i="72"/>
  <c r="D86" i="72"/>
  <c r="C86" i="72"/>
  <c r="D85" i="72"/>
  <c r="C85" i="72"/>
  <c r="D84" i="72"/>
  <c r="C84" i="72"/>
  <c r="D83" i="72"/>
  <c r="C83" i="72"/>
  <c r="D82" i="72"/>
  <c r="C82" i="72"/>
  <c r="D78" i="72"/>
  <c r="C78" i="72"/>
  <c r="D77" i="72"/>
  <c r="C77" i="72"/>
  <c r="D76" i="72"/>
  <c r="C76" i="72"/>
  <c r="D75" i="72"/>
  <c r="C75" i="72"/>
  <c r="D74" i="72"/>
  <c r="C74" i="72"/>
  <c r="D73" i="72"/>
  <c r="C73" i="72"/>
  <c r="D72" i="72"/>
  <c r="C72" i="72"/>
  <c r="D71" i="72"/>
  <c r="C71" i="72"/>
  <c r="D70" i="72"/>
  <c r="C70" i="72"/>
  <c r="D69" i="72"/>
  <c r="C69" i="72"/>
  <c r="D68" i="72"/>
  <c r="C68" i="72"/>
  <c r="D67" i="72"/>
  <c r="C67" i="72"/>
  <c r="D66" i="72"/>
  <c r="C66" i="72"/>
  <c r="D65" i="72"/>
  <c r="C65" i="72"/>
  <c r="D64" i="72"/>
  <c r="C64" i="72"/>
  <c r="D60" i="72"/>
  <c r="C60" i="72"/>
  <c r="D59" i="72"/>
  <c r="C59" i="72"/>
  <c r="D58" i="72"/>
  <c r="C58" i="72"/>
  <c r="D57" i="72"/>
  <c r="C57" i="72"/>
  <c r="D56" i="72"/>
  <c r="C56" i="72"/>
  <c r="D55" i="72"/>
  <c r="C55" i="72"/>
  <c r="D54" i="72"/>
  <c r="C54" i="72"/>
  <c r="D53" i="72"/>
  <c r="C53" i="72"/>
  <c r="D52" i="72"/>
  <c r="C52" i="72"/>
  <c r="D51" i="72"/>
  <c r="C51" i="72"/>
  <c r="D50" i="72"/>
  <c r="C50" i="72"/>
  <c r="D49" i="72"/>
  <c r="C49" i="72"/>
  <c r="D48" i="72"/>
  <c r="C48" i="72"/>
  <c r="D47" i="72"/>
  <c r="C47" i="72"/>
  <c r="D46" i="72"/>
  <c r="C46" i="72"/>
  <c r="D45" i="72"/>
  <c r="C45" i="72"/>
  <c r="D44" i="72"/>
  <c r="C44" i="72"/>
  <c r="D43" i="72"/>
  <c r="C43" i="72"/>
  <c r="D42" i="72"/>
  <c r="C42" i="72"/>
  <c r="D41" i="72"/>
  <c r="C41" i="72"/>
  <c r="D40" i="72"/>
  <c r="C40" i="72"/>
  <c r="D39" i="72"/>
  <c r="C39" i="72"/>
  <c r="D38" i="72"/>
  <c r="C38" i="72"/>
  <c r="D37" i="72"/>
  <c r="C37" i="72"/>
  <c r="D36" i="72"/>
  <c r="C36" i="72"/>
  <c r="D35" i="72"/>
  <c r="C35" i="72"/>
  <c r="D34" i="72"/>
  <c r="C34" i="72"/>
  <c r="D33" i="72"/>
  <c r="C33" i="72"/>
  <c r="D32" i="72"/>
  <c r="C32" i="72"/>
  <c r="D31" i="72"/>
  <c r="C31" i="72"/>
  <c r="D30" i="72"/>
  <c r="C30" i="72"/>
  <c r="D29" i="72"/>
  <c r="C29" i="72"/>
  <c r="D28" i="72"/>
  <c r="C28" i="72"/>
  <c r="D27" i="72"/>
  <c r="C27" i="72"/>
  <c r="D26" i="72"/>
  <c r="C26" i="72"/>
  <c r="D25" i="72"/>
  <c r="C25" i="72"/>
  <c r="D20" i="72"/>
  <c r="C20" i="72"/>
  <c r="D19" i="72"/>
  <c r="C19" i="72"/>
  <c r="D18" i="72"/>
  <c r="C18" i="72"/>
  <c r="D17" i="72"/>
  <c r="C17" i="72"/>
  <c r="D16" i="72"/>
  <c r="C16" i="72"/>
  <c r="D15" i="72"/>
  <c r="C15" i="72"/>
  <c r="D14" i="72"/>
  <c r="C14" i="72"/>
  <c r="D13" i="72"/>
  <c r="C13" i="72"/>
  <c r="D12" i="72"/>
  <c r="C12" i="72"/>
  <c r="D11" i="72"/>
  <c r="C11" i="72"/>
  <c r="C215" i="113" l="1"/>
  <c r="D93" i="72"/>
  <c r="C161" i="72"/>
  <c r="D79" i="72"/>
  <c r="C119" i="72"/>
  <c r="C21" i="72"/>
  <c r="C93" i="72"/>
  <c r="D197" i="72"/>
  <c r="D206" i="72"/>
  <c r="D21" i="72"/>
  <c r="C102" i="72"/>
  <c r="C79" i="72"/>
  <c r="D102" i="72"/>
  <c r="D119" i="72"/>
  <c r="D161" i="72"/>
  <c r="C228" i="72"/>
  <c r="C111" i="72"/>
  <c r="D111" i="72"/>
  <c r="C197" i="72"/>
  <c r="C206" i="72"/>
  <c r="C61" i="72"/>
  <c r="D61" i="72"/>
  <c r="C208" i="72" l="1"/>
  <c r="C212" i="72" s="1"/>
  <c r="D208" i="72"/>
  <c r="D215" i="72" s="1"/>
  <c r="C215" i="72" l="1"/>
  <c r="G244" i="28"/>
  <c r="G243" i="28"/>
  <c r="G242" i="28"/>
  <c r="G241" i="28"/>
  <c r="G244" i="65" l="1"/>
  <c r="G243" i="65"/>
  <c r="G242" i="65"/>
  <c r="G241" i="65"/>
  <c r="C238" i="65"/>
  <c r="C237" i="65"/>
  <c r="C236" i="65"/>
  <c r="C235" i="65"/>
  <c r="C233" i="65"/>
  <c r="C232" i="65"/>
  <c r="C231" i="65"/>
  <c r="D228" i="65"/>
  <c r="C227" i="65"/>
  <c r="C226" i="65"/>
  <c r="C225" i="65"/>
  <c r="C224" i="65"/>
  <c r="C223" i="65"/>
  <c r="C222" i="65"/>
  <c r="C221" i="65"/>
  <c r="C220" i="65"/>
  <c r="C219" i="65"/>
  <c r="C211" i="65"/>
  <c r="D205" i="65"/>
  <c r="C205" i="65"/>
  <c r="D204" i="65"/>
  <c r="C204" i="65"/>
  <c r="D203" i="65"/>
  <c r="C203" i="65"/>
  <c r="D202" i="65"/>
  <c r="C202" i="65"/>
  <c r="D201" i="65"/>
  <c r="C201" i="65"/>
  <c r="D200" i="65"/>
  <c r="C200" i="65"/>
  <c r="D196" i="65"/>
  <c r="C196" i="65"/>
  <c r="D195" i="65"/>
  <c r="C195" i="65"/>
  <c r="D194" i="65"/>
  <c r="C194" i="65"/>
  <c r="D193" i="65"/>
  <c r="C193" i="65"/>
  <c r="D192" i="65"/>
  <c r="C192" i="65"/>
  <c r="D191" i="65"/>
  <c r="C191" i="65"/>
  <c r="D190" i="65"/>
  <c r="C190" i="65"/>
  <c r="D189" i="65"/>
  <c r="C189" i="65"/>
  <c r="D188" i="65"/>
  <c r="C188" i="65"/>
  <c r="D187" i="65"/>
  <c r="C187" i="65"/>
  <c r="D186" i="65"/>
  <c r="C186" i="65"/>
  <c r="D185" i="65"/>
  <c r="C185" i="65"/>
  <c r="D184" i="65"/>
  <c r="C184" i="65"/>
  <c r="D183" i="65"/>
  <c r="C183" i="65"/>
  <c r="D182" i="65"/>
  <c r="C182" i="65"/>
  <c r="D181" i="65"/>
  <c r="C181" i="65"/>
  <c r="D180" i="65"/>
  <c r="C180" i="65"/>
  <c r="D179" i="65"/>
  <c r="C179" i="65"/>
  <c r="D178" i="65"/>
  <c r="C178" i="65"/>
  <c r="D177" i="65"/>
  <c r="C177" i="65"/>
  <c r="D176" i="65"/>
  <c r="C176" i="65"/>
  <c r="D175" i="65"/>
  <c r="C175" i="65"/>
  <c r="D174" i="65"/>
  <c r="C174" i="65"/>
  <c r="D173" i="65"/>
  <c r="C173" i="65"/>
  <c r="D172" i="65"/>
  <c r="C172" i="65"/>
  <c r="D171" i="65"/>
  <c r="C171" i="65"/>
  <c r="D170" i="65"/>
  <c r="C170" i="65"/>
  <c r="D169" i="65"/>
  <c r="C169" i="65"/>
  <c r="D168" i="65"/>
  <c r="C168" i="65"/>
  <c r="D167" i="65"/>
  <c r="C167" i="65"/>
  <c r="D166" i="65"/>
  <c r="C166" i="65"/>
  <c r="D165" i="65"/>
  <c r="C165" i="65"/>
  <c r="D164" i="65"/>
  <c r="C164" i="65"/>
  <c r="D160" i="65"/>
  <c r="C160" i="65"/>
  <c r="D159" i="65"/>
  <c r="C159" i="65"/>
  <c r="D158" i="65"/>
  <c r="C158" i="65"/>
  <c r="D157" i="65"/>
  <c r="C157" i="65"/>
  <c r="D156" i="65"/>
  <c r="C156" i="65"/>
  <c r="D155" i="65"/>
  <c r="C155" i="65"/>
  <c r="D153" i="65"/>
  <c r="C153" i="65"/>
  <c r="D152" i="65"/>
  <c r="C152" i="65"/>
  <c r="D151" i="65"/>
  <c r="C151" i="65"/>
  <c r="D150" i="65"/>
  <c r="C150" i="65"/>
  <c r="D149" i="65"/>
  <c r="C149" i="65"/>
  <c r="D148" i="65"/>
  <c r="C148" i="65"/>
  <c r="D147" i="65"/>
  <c r="C147" i="65"/>
  <c r="D146" i="65"/>
  <c r="C146" i="65"/>
  <c r="D145" i="65"/>
  <c r="C145" i="65"/>
  <c r="D143" i="65"/>
  <c r="C143" i="65"/>
  <c r="D142" i="65"/>
  <c r="C142" i="65"/>
  <c r="D141" i="65"/>
  <c r="C141" i="65"/>
  <c r="D140" i="65"/>
  <c r="C140" i="65"/>
  <c r="D138" i="65"/>
  <c r="C138" i="65"/>
  <c r="D137" i="65"/>
  <c r="C137" i="65"/>
  <c r="D136" i="65"/>
  <c r="C136" i="65"/>
  <c r="D135" i="65"/>
  <c r="C135" i="65"/>
  <c r="D133" i="65"/>
  <c r="C133" i="65"/>
  <c r="D132" i="65"/>
  <c r="C132" i="65"/>
  <c r="D131" i="65"/>
  <c r="C131" i="65"/>
  <c r="D130" i="65"/>
  <c r="C130" i="65"/>
  <c r="D129" i="65"/>
  <c r="C129" i="65"/>
  <c r="D127" i="65"/>
  <c r="C127" i="65"/>
  <c r="D126" i="65"/>
  <c r="C126" i="65"/>
  <c r="D125" i="65"/>
  <c r="C125" i="65"/>
  <c r="D124" i="65"/>
  <c r="C124" i="65"/>
  <c r="D123" i="65"/>
  <c r="C123" i="65"/>
  <c r="D118" i="65"/>
  <c r="C118" i="65"/>
  <c r="D117" i="65"/>
  <c r="C117" i="65"/>
  <c r="D116" i="65"/>
  <c r="C116" i="65"/>
  <c r="D115" i="65"/>
  <c r="C115" i="65"/>
  <c r="D114" i="65"/>
  <c r="C114" i="65"/>
  <c r="D110" i="65"/>
  <c r="C110" i="65"/>
  <c r="D109" i="65"/>
  <c r="C109" i="65"/>
  <c r="D108" i="65"/>
  <c r="C108" i="65"/>
  <c r="D107" i="65"/>
  <c r="C107" i="65"/>
  <c r="D106" i="65"/>
  <c r="C106" i="65"/>
  <c r="D105" i="65"/>
  <c r="C105" i="65"/>
  <c r="D101" i="65"/>
  <c r="C101" i="65"/>
  <c r="D100" i="65"/>
  <c r="C100" i="65"/>
  <c r="D99" i="65"/>
  <c r="C99" i="65"/>
  <c r="D98" i="65"/>
  <c r="C98" i="65"/>
  <c r="D97" i="65"/>
  <c r="C97" i="65"/>
  <c r="D96" i="65"/>
  <c r="C96" i="65"/>
  <c r="D92" i="65"/>
  <c r="C92" i="65"/>
  <c r="D91" i="65"/>
  <c r="C91" i="65"/>
  <c r="D90" i="65"/>
  <c r="C90" i="65"/>
  <c r="D89" i="65"/>
  <c r="C89" i="65"/>
  <c r="D88" i="65"/>
  <c r="C88" i="65"/>
  <c r="D87" i="65"/>
  <c r="C87" i="65"/>
  <c r="D86" i="65"/>
  <c r="C86" i="65"/>
  <c r="D85" i="65"/>
  <c r="C85" i="65"/>
  <c r="D84" i="65"/>
  <c r="C84" i="65"/>
  <c r="D83" i="65"/>
  <c r="C83" i="65"/>
  <c r="D82" i="65"/>
  <c r="C82" i="65"/>
  <c r="D78" i="65"/>
  <c r="C78" i="65"/>
  <c r="D77" i="65"/>
  <c r="C77" i="65"/>
  <c r="D76" i="65"/>
  <c r="C76" i="65"/>
  <c r="D75" i="65"/>
  <c r="C75" i="65"/>
  <c r="D74" i="65"/>
  <c r="C74" i="65"/>
  <c r="D73" i="65"/>
  <c r="C73" i="65"/>
  <c r="D72" i="65"/>
  <c r="C72" i="65"/>
  <c r="D71" i="65"/>
  <c r="C71" i="65"/>
  <c r="D70" i="65"/>
  <c r="C70" i="65"/>
  <c r="D69" i="65"/>
  <c r="C69" i="65"/>
  <c r="D68" i="65"/>
  <c r="C68" i="65"/>
  <c r="D67" i="65"/>
  <c r="C67" i="65"/>
  <c r="D66" i="65"/>
  <c r="C66" i="65"/>
  <c r="D65" i="65"/>
  <c r="C65" i="65"/>
  <c r="D64" i="65"/>
  <c r="C64" i="65"/>
  <c r="D60" i="65"/>
  <c r="C60" i="65"/>
  <c r="D59" i="65"/>
  <c r="C59" i="65"/>
  <c r="D58" i="65"/>
  <c r="C58" i="65"/>
  <c r="D57" i="65"/>
  <c r="C57" i="65"/>
  <c r="D56" i="65"/>
  <c r="C56" i="65"/>
  <c r="D55" i="65"/>
  <c r="C55" i="65"/>
  <c r="D54" i="65"/>
  <c r="C54" i="65"/>
  <c r="D53" i="65"/>
  <c r="C53" i="65"/>
  <c r="D52" i="65"/>
  <c r="C52" i="65"/>
  <c r="D51" i="65"/>
  <c r="C51" i="65"/>
  <c r="D50" i="65"/>
  <c r="C50" i="65"/>
  <c r="D49" i="65"/>
  <c r="C49" i="65"/>
  <c r="D48" i="65"/>
  <c r="C48" i="65"/>
  <c r="D47" i="65"/>
  <c r="C47" i="65"/>
  <c r="D46" i="65"/>
  <c r="C46" i="65"/>
  <c r="D45" i="65"/>
  <c r="C45" i="65"/>
  <c r="D44" i="65"/>
  <c r="C44" i="65"/>
  <c r="D43" i="65"/>
  <c r="C43" i="65"/>
  <c r="D42" i="65"/>
  <c r="C42" i="65"/>
  <c r="D41" i="65"/>
  <c r="C41" i="65"/>
  <c r="D40" i="65"/>
  <c r="C40" i="65"/>
  <c r="D39" i="65"/>
  <c r="C39" i="65"/>
  <c r="D38" i="65"/>
  <c r="C38" i="65"/>
  <c r="D37" i="65"/>
  <c r="C37" i="65"/>
  <c r="D36" i="65"/>
  <c r="C36" i="65"/>
  <c r="D35" i="65"/>
  <c r="C35" i="65"/>
  <c r="D34" i="65"/>
  <c r="C34" i="65"/>
  <c r="D33" i="65"/>
  <c r="C33" i="65"/>
  <c r="D32" i="65"/>
  <c r="C32" i="65"/>
  <c r="D31" i="65"/>
  <c r="C31" i="65"/>
  <c r="D30" i="65"/>
  <c r="C30" i="65"/>
  <c r="D29" i="65"/>
  <c r="C29" i="65"/>
  <c r="D28" i="65"/>
  <c r="C28" i="65"/>
  <c r="D27" i="65"/>
  <c r="C27" i="65"/>
  <c r="D26" i="65"/>
  <c r="C26" i="65"/>
  <c r="D25" i="65"/>
  <c r="C25" i="65"/>
  <c r="D20" i="65"/>
  <c r="C20" i="65"/>
  <c r="D19" i="65"/>
  <c r="C19" i="65"/>
  <c r="D18" i="65"/>
  <c r="C18" i="65"/>
  <c r="D17" i="65"/>
  <c r="C17" i="65"/>
  <c r="D16" i="65"/>
  <c r="C16" i="65"/>
  <c r="D15" i="65"/>
  <c r="C15" i="65"/>
  <c r="D14" i="65"/>
  <c r="C14" i="65"/>
  <c r="D13" i="65"/>
  <c r="C13" i="65"/>
  <c r="D12" i="65"/>
  <c r="C12" i="65"/>
  <c r="D11" i="65"/>
  <c r="C11" i="65"/>
  <c r="C21" i="65" l="1"/>
  <c r="C119" i="65"/>
  <c r="C197" i="65"/>
  <c r="C206" i="65"/>
  <c r="D79" i="65"/>
  <c r="C102" i="65"/>
  <c r="D197" i="65"/>
  <c r="D93" i="65"/>
  <c r="D119" i="65"/>
  <c r="C161" i="65"/>
  <c r="C93" i="65"/>
  <c r="D206" i="65"/>
  <c r="D61" i="65"/>
  <c r="C111" i="65"/>
  <c r="D161" i="65"/>
  <c r="C228" i="65"/>
  <c r="D21" i="65"/>
  <c r="C79" i="65"/>
  <c r="D102" i="65"/>
  <c r="D111" i="65"/>
  <c r="C61" i="65"/>
  <c r="C208" i="65" l="1"/>
  <c r="C212" i="65" s="1"/>
  <c r="D208" i="65"/>
  <c r="D215" i="65" s="1"/>
  <c r="C215" i="65" l="1"/>
  <c r="G244" i="119"/>
  <c r="G243" i="119"/>
  <c r="G242" i="119"/>
  <c r="G241" i="119"/>
  <c r="C238" i="119"/>
  <c r="C237" i="119"/>
  <c r="C236" i="119"/>
  <c r="C235" i="119"/>
  <c r="C233" i="119"/>
  <c r="C232" i="119"/>
  <c r="C231" i="119"/>
  <c r="D228" i="119"/>
  <c r="C227" i="119"/>
  <c r="C226" i="119"/>
  <c r="C225" i="119"/>
  <c r="C224" i="119"/>
  <c r="C223" i="119"/>
  <c r="C222" i="119"/>
  <c r="C221" i="119"/>
  <c r="C220" i="119"/>
  <c r="C219" i="119"/>
  <c r="C211" i="119"/>
  <c r="D205" i="119"/>
  <c r="C205" i="119"/>
  <c r="D204" i="119"/>
  <c r="C204" i="119"/>
  <c r="D203" i="119"/>
  <c r="C203" i="119"/>
  <c r="D202" i="119"/>
  <c r="C202" i="119"/>
  <c r="D201" i="119"/>
  <c r="C201" i="119"/>
  <c r="D200" i="119"/>
  <c r="C200" i="119"/>
  <c r="D196" i="119"/>
  <c r="C196" i="119"/>
  <c r="D195" i="119"/>
  <c r="C195" i="119"/>
  <c r="D194" i="119"/>
  <c r="C194" i="119"/>
  <c r="D193" i="119"/>
  <c r="C193" i="119"/>
  <c r="D192" i="119"/>
  <c r="C192" i="119"/>
  <c r="D191" i="119"/>
  <c r="C191" i="119"/>
  <c r="D190" i="119"/>
  <c r="C190" i="119"/>
  <c r="D189" i="119"/>
  <c r="C189" i="119"/>
  <c r="D188" i="119"/>
  <c r="C188" i="119"/>
  <c r="D187" i="119"/>
  <c r="C187" i="119"/>
  <c r="D186" i="119"/>
  <c r="C186" i="119"/>
  <c r="D185" i="119"/>
  <c r="C185" i="119"/>
  <c r="D184" i="119"/>
  <c r="C184" i="119"/>
  <c r="D183" i="119"/>
  <c r="C183" i="119"/>
  <c r="D182" i="119"/>
  <c r="C182" i="119"/>
  <c r="D181" i="119"/>
  <c r="C181" i="119"/>
  <c r="D180" i="119"/>
  <c r="C180" i="119"/>
  <c r="D179" i="119"/>
  <c r="C179" i="119"/>
  <c r="D178" i="119"/>
  <c r="C178" i="119"/>
  <c r="D177" i="119"/>
  <c r="C177" i="119"/>
  <c r="D176" i="119"/>
  <c r="C176" i="119"/>
  <c r="D175" i="119"/>
  <c r="C175" i="119"/>
  <c r="D174" i="119"/>
  <c r="C174" i="119"/>
  <c r="D173" i="119"/>
  <c r="C173" i="119"/>
  <c r="D172" i="119"/>
  <c r="C172" i="119"/>
  <c r="D171" i="119"/>
  <c r="C171" i="119"/>
  <c r="D170" i="119"/>
  <c r="C170" i="119"/>
  <c r="D169" i="119"/>
  <c r="C169" i="119"/>
  <c r="D168" i="119"/>
  <c r="C168" i="119"/>
  <c r="D167" i="119"/>
  <c r="C167" i="119"/>
  <c r="D166" i="119"/>
  <c r="C166" i="119"/>
  <c r="D165" i="119"/>
  <c r="C165" i="119"/>
  <c r="D164" i="119"/>
  <c r="C164" i="119"/>
  <c r="D160" i="119"/>
  <c r="C160" i="119"/>
  <c r="D159" i="119"/>
  <c r="C159" i="119"/>
  <c r="D158" i="119"/>
  <c r="C158" i="119"/>
  <c r="D157" i="119"/>
  <c r="C157" i="119"/>
  <c r="D156" i="119"/>
  <c r="C156" i="119"/>
  <c r="D155" i="119"/>
  <c r="C155" i="119"/>
  <c r="D153" i="119"/>
  <c r="C153" i="119"/>
  <c r="D152" i="119"/>
  <c r="C152" i="119"/>
  <c r="D151" i="119"/>
  <c r="C151" i="119"/>
  <c r="D150" i="119"/>
  <c r="C150" i="119"/>
  <c r="D149" i="119"/>
  <c r="C149" i="119"/>
  <c r="D148" i="119"/>
  <c r="C148" i="119"/>
  <c r="D147" i="119"/>
  <c r="C147" i="119"/>
  <c r="D146" i="119"/>
  <c r="C146" i="119"/>
  <c r="D145" i="119"/>
  <c r="C145" i="119"/>
  <c r="D143" i="119"/>
  <c r="C143" i="119"/>
  <c r="D142" i="119"/>
  <c r="C142" i="119"/>
  <c r="D141" i="119"/>
  <c r="C141" i="119"/>
  <c r="D140" i="119"/>
  <c r="C140" i="119"/>
  <c r="D138" i="119"/>
  <c r="C138" i="119"/>
  <c r="D137" i="119"/>
  <c r="C137" i="119"/>
  <c r="D136" i="119"/>
  <c r="C136" i="119"/>
  <c r="D135" i="119"/>
  <c r="C135" i="119"/>
  <c r="D133" i="119"/>
  <c r="C133" i="119"/>
  <c r="D132" i="119"/>
  <c r="C132" i="119"/>
  <c r="D131" i="119"/>
  <c r="C131" i="119"/>
  <c r="D130" i="119"/>
  <c r="C130" i="119"/>
  <c r="D129" i="119"/>
  <c r="C129" i="119"/>
  <c r="D127" i="119"/>
  <c r="C127" i="119"/>
  <c r="D126" i="119"/>
  <c r="C126" i="119"/>
  <c r="D125" i="119"/>
  <c r="C125" i="119"/>
  <c r="D124" i="119"/>
  <c r="C124" i="119"/>
  <c r="D123" i="119"/>
  <c r="C123" i="119"/>
  <c r="D118" i="119"/>
  <c r="C118" i="119"/>
  <c r="D117" i="119"/>
  <c r="C117" i="119"/>
  <c r="D116" i="119"/>
  <c r="C116" i="119"/>
  <c r="D115" i="119"/>
  <c r="C115" i="119"/>
  <c r="D114" i="119"/>
  <c r="C114" i="119"/>
  <c r="D110" i="119"/>
  <c r="C110" i="119"/>
  <c r="D109" i="119"/>
  <c r="C109" i="119"/>
  <c r="D108" i="119"/>
  <c r="C108" i="119"/>
  <c r="D107" i="119"/>
  <c r="C107" i="119"/>
  <c r="D106" i="119"/>
  <c r="C106" i="119"/>
  <c r="D105" i="119"/>
  <c r="C105" i="119"/>
  <c r="D101" i="119"/>
  <c r="C101" i="119"/>
  <c r="D100" i="119"/>
  <c r="C100" i="119"/>
  <c r="D99" i="119"/>
  <c r="C99" i="119"/>
  <c r="D98" i="119"/>
  <c r="C98" i="119"/>
  <c r="D97" i="119"/>
  <c r="C97" i="119"/>
  <c r="D96" i="119"/>
  <c r="C96" i="119"/>
  <c r="D92" i="119"/>
  <c r="C92" i="119"/>
  <c r="D91" i="119"/>
  <c r="C91" i="119"/>
  <c r="D90" i="119"/>
  <c r="C90" i="119"/>
  <c r="D89" i="119"/>
  <c r="C89" i="119"/>
  <c r="D88" i="119"/>
  <c r="C88" i="119"/>
  <c r="D87" i="119"/>
  <c r="C87" i="119"/>
  <c r="D86" i="119"/>
  <c r="C86" i="119"/>
  <c r="D85" i="119"/>
  <c r="C85" i="119"/>
  <c r="D84" i="119"/>
  <c r="C84" i="119"/>
  <c r="D83" i="119"/>
  <c r="C83" i="119"/>
  <c r="D82" i="119"/>
  <c r="C82" i="119"/>
  <c r="D78" i="119"/>
  <c r="C78" i="119"/>
  <c r="D77" i="119"/>
  <c r="C77" i="119"/>
  <c r="D76" i="119"/>
  <c r="C76" i="119"/>
  <c r="D75" i="119"/>
  <c r="C75" i="119"/>
  <c r="D74" i="119"/>
  <c r="C74" i="119"/>
  <c r="D73" i="119"/>
  <c r="C73" i="119"/>
  <c r="D72" i="119"/>
  <c r="C72" i="119"/>
  <c r="D71" i="119"/>
  <c r="C71" i="119"/>
  <c r="D70" i="119"/>
  <c r="C70" i="119"/>
  <c r="D69" i="119"/>
  <c r="C69" i="119"/>
  <c r="D68" i="119"/>
  <c r="C68" i="119"/>
  <c r="D67" i="119"/>
  <c r="C67" i="119"/>
  <c r="D66" i="119"/>
  <c r="C66" i="119"/>
  <c r="D65" i="119"/>
  <c r="C65" i="119"/>
  <c r="D64" i="119"/>
  <c r="C64" i="119"/>
  <c r="D60" i="119"/>
  <c r="C60" i="119"/>
  <c r="D59" i="119"/>
  <c r="C59" i="119"/>
  <c r="D58" i="119"/>
  <c r="C58" i="119"/>
  <c r="D57" i="119"/>
  <c r="C57" i="119"/>
  <c r="D56" i="119"/>
  <c r="C56" i="119"/>
  <c r="D55" i="119"/>
  <c r="C55" i="119"/>
  <c r="D54" i="119"/>
  <c r="C54" i="119"/>
  <c r="D53" i="119"/>
  <c r="C53" i="119"/>
  <c r="D52" i="119"/>
  <c r="C52" i="119"/>
  <c r="D51" i="119"/>
  <c r="C51" i="119"/>
  <c r="D50" i="119"/>
  <c r="C50" i="119"/>
  <c r="D49" i="119"/>
  <c r="C49" i="119"/>
  <c r="D48" i="119"/>
  <c r="C48" i="119"/>
  <c r="D47" i="119"/>
  <c r="C47" i="119"/>
  <c r="D46" i="119"/>
  <c r="C46" i="119"/>
  <c r="D45" i="119"/>
  <c r="C45" i="119"/>
  <c r="D44" i="119"/>
  <c r="C44" i="119"/>
  <c r="D43" i="119"/>
  <c r="C43" i="119"/>
  <c r="D42" i="119"/>
  <c r="C42" i="119"/>
  <c r="D41" i="119"/>
  <c r="C41" i="119"/>
  <c r="D40" i="119"/>
  <c r="C40" i="119"/>
  <c r="D39" i="119"/>
  <c r="C39" i="119"/>
  <c r="D38" i="119"/>
  <c r="C38" i="119"/>
  <c r="D37" i="119"/>
  <c r="C37" i="119"/>
  <c r="D36" i="119"/>
  <c r="C36" i="119"/>
  <c r="D35" i="119"/>
  <c r="C35" i="119"/>
  <c r="D34" i="119"/>
  <c r="C34" i="119"/>
  <c r="D33" i="119"/>
  <c r="C33" i="119"/>
  <c r="D32" i="119"/>
  <c r="C32" i="119"/>
  <c r="D31" i="119"/>
  <c r="C31" i="119"/>
  <c r="D30" i="119"/>
  <c r="C30" i="119"/>
  <c r="D29" i="119"/>
  <c r="C29" i="119"/>
  <c r="D28" i="119"/>
  <c r="C28" i="119"/>
  <c r="D27" i="119"/>
  <c r="C27" i="119"/>
  <c r="D26" i="119"/>
  <c r="C26" i="119"/>
  <c r="D25" i="119"/>
  <c r="C25" i="119"/>
  <c r="D20" i="119"/>
  <c r="C20" i="119"/>
  <c r="D19" i="119"/>
  <c r="C19" i="119"/>
  <c r="D18" i="119"/>
  <c r="C18" i="119"/>
  <c r="D17" i="119"/>
  <c r="C17" i="119"/>
  <c r="D16" i="119"/>
  <c r="C16" i="119"/>
  <c r="D15" i="119"/>
  <c r="C15" i="119"/>
  <c r="D14" i="119"/>
  <c r="C14" i="119"/>
  <c r="D13" i="119"/>
  <c r="C13" i="119"/>
  <c r="D12" i="119"/>
  <c r="C12" i="119"/>
  <c r="D11" i="119"/>
  <c r="C11" i="119"/>
  <c r="C79" i="119" l="1"/>
  <c r="C119" i="119"/>
  <c r="D161" i="119"/>
  <c r="D93" i="119"/>
  <c r="D119" i="119"/>
  <c r="C161" i="119"/>
  <c r="C21" i="119"/>
  <c r="C93" i="119"/>
  <c r="C102" i="119"/>
  <c r="C206" i="119"/>
  <c r="D21" i="119"/>
  <c r="D102" i="119"/>
  <c r="C228" i="119"/>
  <c r="D111" i="119"/>
  <c r="C197" i="119"/>
  <c r="C111" i="119"/>
  <c r="D79" i="119"/>
  <c r="D197" i="119"/>
  <c r="D206" i="119"/>
  <c r="C61" i="119"/>
  <c r="D61" i="119"/>
  <c r="C208" i="119" l="1"/>
  <c r="C212" i="119" s="1"/>
  <c r="D208" i="119"/>
  <c r="D215" i="119" s="1"/>
  <c r="C215" i="119" l="1"/>
  <c r="G244" i="25"/>
  <c r="G243" i="25"/>
  <c r="G242" i="25"/>
  <c r="G241" i="25"/>
  <c r="C238" i="25"/>
  <c r="C237" i="25"/>
  <c r="C236" i="25"/>
  <c r="C235" i="25"/>
  <c r="C233" i="25"/>
  <c r="C232" i="25"/>
  <c r="C231" i="25"/>
  <c r="D228" i="25"/>
  <c r="C227" i="25"/>
  <c r="C226" i="25"/>
  <c r="C225" i="25"/>
  <c r="C224" i="25"/>
  <c r="C223" i="25"/>
  <c r="C222" i="25"/>
  <c r="C221" i="25"/>
  <c r="C220" i="25"/>
  <c r="C219" i="25"/>
  <c r="C211" i="25"/>
  <c r="D205" i="25"/>
  <c r="C205" i="25"/>
  <c r="D204" i="25"/>
  <c r="C204" i="25"/>
  <c r="D203" i="25"/>
  <c r="C203" i="25"/>
  <c r="D202" i="25"/>
  <c r="C202" i="25"/>
  <c r="D201" i="25"/>
  <c r="C201" i="25"/>
  <c r="D200" i="25"/>
  <c r="C200" i="25"/>
  <c r="D196" i="25"/>
  <c r="C196" i="25"/>
  <c r="D195" i="25"/>
  <c r="C195" i="25"/>
  <c r="D194" i="25"/>
  <c r="C194" i="25"/>
  <c r="D193" i="25"/>
  <c r="C193" i="25"/>
  <c r="D192" i="25"/>
  <c r="C192" i="25"/>
  <c r="D191" i="25"/>
  <c r="C191" i="25"/>
  <c r="D190" i="25"/>
  <c r="C190" i="25"/>
  <c r="D189" i="25"/>
  <c r="C189" i="25"/>
  <c r="D188" i="25"/>
  <c r="C188" i="25"/>
  <c r="D187" i="25"/>
  <c r="C187" i="25"/>
  <c r="D186" i="25"/>
  <c r="C186" i="25"/>
  <c r="D185" i="25"/>
  <c r="C185" i="25"/>
  <c r="D184" i="25"/>
  <c r="C184" i="25"/>
  <c r="D183" i="25"/>
  <c r="C183" i="25"/>
  <c r="D182" i="25"/>
  <c r="C182" i="25"/>
  <c r="D181" i="25"/>
  <c r="C181" i="25"/>
  <c r="D180" i="25"/>
  <c r="C180" i="25"/>
  <c r="D179" i="25"/>
  <c r="C179" i="25"/>
  <c r="D178" i="25"/>
  <c r="C178" i="25"/>
  <c r="D177" i="25"/>
  <c r="C177" i="25"/>
  <c r="D176" i="25"/>
  <c r="C176" i="25"/>
  <c r="D175" i="25"/>
  <c r="C175" i="25"/>
  <c r="D174" i="25"/>
  <c r="C174" i="25"/>
  <c r="D173" i="25"/>
  <c r="C173" i="25"/>
  <c r="D172" i="25"/>
  <c r="C172" i="25"/>
  <c r="D171" i="25"/>
  <c r="C171" i="25"/>
  <c r="D170" i="25"/>
  <c r="C170" i="25"/>
  <c r="D169" i="25"/>
  <c r="C169" i="25"/>
  <c r="D168" i="25"/>
  <c r="C168" i="25"/>
  <c r="D167" i="25"/>
  <c r="C167" i="25"/>
  <c r="D166" i="25"/>
  <c r="C166" i="25"/>
  <c r="D165" i="25"/>
  <c r="C165" i="25"/>
  <c r="D164" i="25"/>
  <c r="C164" i="25"/>
  <c r="D160" i="25"/>
  <c r="C160" i="25"/>
  <c r="D159" i="25"/>
  <c r="C159" i="25"/>
  <c r="D158" i="25"/>
  <c r="C158" i="25"/>
  <c r="D157" i="25"/>
  <c r="C157" i="25"/>
  <c r="D156" i="25"/>
  <c r="C156" i="25"/>
  <c r="D155" i="25"/>
  <c r="C155" i="25"/>
  <c r="D153" i="25"/>
  <c r="C153" i="25"/>
  <c r="D152" i="25"/>
  <c r="C152" i="25"/>
  <c r="D151" i="25"/>
  <c r="C151" i="25"/>
  <c r="D150" i="25"/>
  <c r="C150" i="25"/>
  <c r="D149" i="25"/>
  <c r="C149" i="25"/>
  <c r="D148" i="25"/>
  <c r="C148" i="25"/>
  <c r="D147" i="25"/>
  <c r="C147" i="25"/>
  <c r="D146" i="25"/>
  <c r="C146" i="25"/>
  <c r="D145" i="25"/>
  <c r="C145" i="25"/>
  <c r="D143" i="25"/>
  <c r="C143" i="25"/>
  <c r="D142" i="25"/>
  <c r="C142" i="25"/>
  <c r="D141" i="25"/>
  <c r="C141" i="25"/>
  <c r="D140" i="25"/>
  <c r="C140" i="25"/>
  <c r="D138" i="25"/>
  <c r="C138" i="25"/>
  <c r="D137" i="25"/>
  <c r="C137" i="25"/>
  <c r="D136" i="25"/>
  <c r="C136" i="25"/>
  <c r="D135" i="25"/>
  <c r="C135" i="25"/>
  <c r="D133" i="25"/>
  <c r="C133" i="25"/>
  <c r="D132" i="25"/>
  <c r="C132" i="25"/>
  <c r="D131" i="25"/>
  <c r="C131" i="25"/>
  <c r="D130" i="25"/>
  <c r="C130" i="25"/>
  <c r="D129" i="25"/>
  <c r="C129" i="25"/>
  <c r="D127" i="25"/>
  <c r="C127" i="25"/>
  <c r="D126" i="25"/>
  <c r="C126" i="25"/>
  <c r="D125" i="25"/>
  <c r="C125" i="25"/>
  <c r="D124" i="25"/>
  <c r="C124" i="25"/>
  <c r="D123" i="25"/>
  <c r="C123" i="25"/>
  <c r="D118" i="25"/>
  <c r="C118" i="25"/>
  <c r="D117" i="25"/>
  <c r="C117" i="25"/>
  <c r="D116" i="25"/>
  <c r="C116" i="25"/>
  <c r="D115" i="25"/>
  <c r="C115" i="25"/>
  <c r="D114" i="25"/>
  <c r="C114" i="25"/>
  <c r="D110" i="25"/>
  <c r="C110" i="25"/>
  <c r="D109" i="25"/>
  <c r="C109" i="25"/>
  <c r="D108" i="25"/>
  <c r="C108" i="25"/>
  <c r="D107" i="25"/>
  <c r="C107" i="25"/>
  <c r="D106" i="25"/>
  <c r="C106" i="25"/>
  <c r="D105" i="25"/>
  <c r="C105" i="25"/>
  <c r="D101" i="25"/>
  <c r="C101" i="25"/>
  <c r="D100" i="25"/>
  <c r="C100" i="25"/>
  <c r="D99" i="25"/>
  <c r="C99" i="25"/>
  <c r="D98" i="25"/>
  <c r="C98" i="25"/>
  <c r="D97" i="25"/>
  <c r="C97" i="25"/>
  <c r="D96" i="25"/>
  <c r="C96" i="25"/>
  <c r="D92" i="25"/>
  <c r="C92" i="25"/>
  <c r="D91" i="25"/>
  <c r="C91" i="25"/>
  <c r="D90" i="25"/>
  <c r="C90" i="25"/>
  <c r="D89" i="25"/>
  <c r="C89" i="25"/>
  <c r="D88" i="25"/>
  <c r="C88" i="25"/>
  <c r="D87" i="25"/>
  <c r="C87" i="25"/>
  <c r="D86" i="25"/>
  <c r="C86" i="25"/>
  <c r="D85" i="25"/>
  <c r="C85" i="25"/>
  <c r="D84" i="25"/>
  <c r="C84" i="25"/>
  <c r="D83" i="25"/>
  <c r="C83" i="25"/>
  <c r="D82" i="25"/>
  <c r="C82" i="25"/>
  <c r="D78" i="25"/>
  <c r="C78" i="25"/>
  <c r="D77" i="25"/>
  <c r="C77" i="25"/>
  <c r="D76" i="25"/>
  <c r="C76" i="25"/>
  <c r="D75" i="25"/>
  <c r="C75" i="25"/>
  <c r="D74" i="25"/>
  <c r="C74" i="25"/>
  <c r="D73" i="25"/>
  <c r="C73" i="25"/>
  <c r="D72" i="25"/>
  <c r="C72" i="25"/>
  <c r="D71" i="25"/>
  <c r="C71" i="25"/>
  <c r="D70" i="25"/>
  <c r="C70" i="25"/>
  <c r="D69" i="25"/>
  <c r="C69" i="25"/>
  <c r="D68" i="25"/>
  <c r="C68" i="25"/>
  <c r="D67" i="25"/>
  <c r="C67" i="25"/>
  <c r="D66" i="25"/>
  <c r="C66" i="25"/>
  <c r="D65" i="25"/>
  <c r="C65" i="25"/>
  <c r="D64" i="25"/>
  <c r="C64" i="25"/>
  <c r="D60" i="25"/>
  <c r="C60" i="25"/>
  <c r="D59" i="25"/>
  <c r="C59" i="25"/>
  <c r="D58" i="25"/>
  <c r="C58" i="25"/>
  <c r="D57" i="25"/>
  <c r="C57" i="25"/>
  <c r="D56" i="25"/>
  <c r="C56" i="25"/>
  <c r="D55" i="25"/>
  <c r="C55" i="25"/>
  <c r="D54" i="25"/>
  <c r="C54" i="25"/>
  <c r="D53" i="25"/>
  <c r="C53" i="25"/>
  <c r="D52" i="25"/>
  <c r="C52" i="25"/>
  <c r="D51" i="25"/>
  <c r="C51" i="25"/>
  <c r="D50" i="25"/>
  <c r="C50" i="25"/>
  <c r="D49" i="25"/>
  <c r="C49" i="25"/>
  <c r="D48" i="25"/>
  <c r="C48" i="25"/>
  <c r="D47" i="25"/>
  <c r="C47" i="25"/>
  <c r="D46" i="25"/>
  <c r="C46" i="25"/>
  <c r="D45" i="25"/>
  <c r="C45" i="25"/>
  <c r="D44" i="25"/>
  <c r="C44" i="25"/>
  <c r="D43" i="25"/>
  <c r="C43" i="25"/>
  <c r="D42" i="25"/>
  <c r="C42" i="25"/>
  <c r="D41" i="25"/>
  <c r="C41" i="25"/>
  <c r="D40" i="25"/>
  <c r="C40" i="25"/>
  <c r="D39" i="25"/>
  <c r="C39" i="25"/>
  <c r="D38" i="25"/>
  <c r="C38" i="25"/>
  <c r="D37" i="25"/>
  <c r="C37" i="25"/>
  <c r="D36" i="25"/>
  <c r="C36" i="25"/>
  <c r="D35" i="25"/>
  <c r="C35" i="25"/>
  <c r="D34" i="25"/>
  <c r="C34" i="25"/>
  <c r="D33" i="25"/>
  <c r="C33" i="25"/>
  <c r="D32" i="25"/>
  <c r="C32" i="25"/>
  <c r="D31" i="25"/>
  <c r="C31" i="25"/>
  <c r="D30" i="25"/>
  <c r="C30" i="25"/>
  <c r="D29" i="25"/>
  <c r="C29" i="25"/>
  <c r="D28" i="25"/>
  <c r="C28" i="25"/>
  <c r="D27" i="25"/>
  <c r="C27" i="25"/>
  <c r="D26" i="25"/>
  <c r="C26" i="25"/>
  <c r="D25" i="25"/>
  <c r="C25" i="25"/>
  <c r="D20" i="25"/>
  <c r="C20" i="25"/>
  <c r="D19" i="25"/>
  <c r="C19" i="25"/>
  <c r="D18" i="25"/>
  <c r="C18" i="25"/>
  <c r="D17" i="25"/>
  <c r="C17" i="25"/>
  <c r="D16" i="25"/>
  <c r="C16" i="25"/>
  <c r="D15" i="25"/>
  <c r="C15" i="25"/>
  <c r="D14" i="25"/>
  <c r="C14" i="25"/>
  <c r="D13" i="25"/>
  <c r="C13" i="25"/>
  <c r="D12" i="25"/>
  <c r="C12" i="25"/>
  <c r="D11" i="25"/>
  <c r="C11" i="25"/>
  <c r="C119" i="25" l="1"/>
  <c r="D93" i="25"/>
  <c r="D119" i="25"/>
  <c r="D161" i="25"/>
  <c r="C161" i="25"/>
  <c r="C111" i="25"/>
  <c r="D111" i="25"/>
  <c r="C79" i="25"/>
  <c r="D102" i="25"/>
  <c r="D79" i="25"/>
  <c r="C228" i="25"/>
  <c r="C21" i="25"/>
  <c r="C93" i="25"/>
  <c r="C197" i="25"/>
  <c r="C206" i="25"/>
  <c r="D21" i="25"/>
  <c r="C102" i="25"/>
  <c r="D197" i="25"/>
  <c r="D206" i="25"/>
  <c r="C61" i="25"/>
  <c r="D61" i="25"/>
  <c r="C208" i="25" l="1"/>
  <c r="C212" i="25" s="1"/>
  <c r="D208" i="25"/>
  <c r="D215" i="25" s="1"/>
  <c r="C215" i="25" l="1"/>
  <c r="G244" i="155"/>
  <c r="G243" i="155"/>
  <c r="G242" i="155"/>
  <c r="G241" i="155"/>
  <c r="C238" i="155"/>
  <c r="C237" i="155"/>
  <c r="C236" i="155"/>
  <c r="C235" i="155"/>
  <c r="C233" i="155"/>
  <c r="C232" i="155"/>
  <c r="C231" i="155"/>
  <c r="D228" i="155"/>
  <c r="C227" i="155"/>
  <c r="C226" i="155"/>
  <c r="C225" i="155"/>
  <c r="C224" i="155"/>
  <c r="C223" i="155"/>
  <c r="C222" i="155"/>
  <c r="C221" i="155"/>
  <c r="C220" i="155"/>
  <c r="C219" i="155"/>
  <c r="C211" i="155"/>
  <c r="D205" i="155"/>
  <c r="C205" i="155"/>
  <c r="D204" i="155"/>
  <c r="C204" i="155"/>
  <c r="D203" i="155"/>
  <c r="C203" i="155"/>
  <c r="D202" i="155"/>
  <c r="C202" i="155"/>
  <c r="D201" i="155"/>
  <c r="C201" i="155"/>
  <c r="D200" i="155"/>
  <c r="C200" i="155"/>
  <c r="D196" i="155"/>
  <c r="C196" i="155"/>
  <c r="D195" i="155"/>
  <c r="C195" i="155"/>
  <c r="D194" i="155"/>
  <c r="C194" i="155"/>
  <c r="D193" i="155"/>
  <c r="C193" i="155"/>
  <c r="D192" i="155"/>
  <c r="C192" i="155"/>
  <c r="D191" i="155"/>
  <c r="C191" i="155"/>
  <c r="D190" i="155"/>
  <c r="C190" i="155"/>
  <c r="D189" i="155"/>
  <c r="C189" i="155"/>
  <c r="D188" i="155"/>
  <c r="C188" i="155"/>
  <c r="D187" i="155"/>
  <c r="C187" i="155"/>
  <c r="D186" i="155"/>
  <c r="C186" i="155"/>
  <c r="D185" i="155"/>
  <c r="C185" i="155"/>
  <c r="D184" i="155"/>
  <c r="C184" i="155"/>
  <c r="D183" i="155"/>
  <c r="C183" i="155"/>
  <c r="D182" i="155"/>
  <c r="C182" i="155"/>
  <c r="D181" i="155"/>
  <c r="C181" i="155"/>
  <c r="D180" i="155"/>
  <c r="C180" i="155"/>
  <c r="D179" i="155"/>
  <c r="C179" i="155"/>
  <c r="D178" i="155"/>
  <c r="C178" i="155"/>
  <c r="D177" i="155"/>
  <c r="C177" i="155"/>
  <c r="D176" i="155"/>
  <c r="C176" i="155"/>
  <c r="D175" i="155"/>
  <c r="C175" i="155"/>
  <c r="D174" i="155"/>
  <c r="C174" i="155"/>
  <c r="D173" i="155"/>
  <c r="C173" i="155"/>
  <c r="D172" i="155"/>
  <c r="C172" i="155"/>
  <c r="D171" i="155"/>
  <c r="C171" i="155"/>
  <c r="D170" i="155"/>
  <c r="C170" i="155"/>
  <c r="D169" i="155"/>
  <c r="C169" i="155"/>
  <c r="D168" i="155"/>
  <c r="C168" i="155"/>
  <c r="D167" i="155"/>
  <c r="C167" i="155"/>
  <c r="D166" i="155"/>
  <c r="C166" i="155"/>
  <c r="D165" i="155"/>
  <c r="C165" i="155"/>
  <c r="D164" i="155"/>
  <c r="C164" i="155"/>
  <c r="D160" i="155"/>
  <c r="C160" i="155"/>
  <c r="D159" i="155"/>
  <c r="C159" i="155"/>
  <c r="D158" i="155"/>
  <c r="C158" i="155"/>
  <c r="D157" i="155"/>
  <c r="C157" i="155"/>
  <c r="D156" i="155"/>
  <c r="C156" i="155"/>
  <c r="D155" i="155"/>
  <c r="C155" i="155"/>
  <c r="D153" i="155"/>
  <c r="C153" i="155"/>
  <c r="D152" i="155"/>
  <c r="C152" i="155"/>
  <c r="D151" i="155"/>
  <c r="C151" i="155"/>
  <c r="D150" i="155"/>
  <c r="C150" i="155"/>
  <c r="D149" i="155"/>
  <c r="C149" i="155"/>
  <c r="D148" i="155"/>
  <c r="C148" i="155"/>
  <c r="D147" i="155"/>
  <c r="C147" i="155"/>
  <c r="D146" i="155"/>
  <c r="C146" i="155"/>
  <c r="D145" i="155"/>
  <c r="C145" i="155"/>
  <c r="D143" i="155"/>
  <c r="C143" i="155"/>
  <c r="D142" i="155"/>
  <c r="C142" i="155"/>
  <c r="D141" i="155"/>
  <c r="C141" i="155"/>
  <c r="D140" i="155"/>
  <c r="C140" i="155"/>
  <c r="D138" i="155"/>
  <c r="C138" i="155"/>
  <c r="D137" i="155"/>
  <c r="C137" i="155"/>
  <c r="D136" i="155"/>
  <c r="C136" i="155"/>
  <c r="D135" i="155"/>
  <c r="C135" i="155"/>
  <c r="D133" i="155"/>
  <c r="C133" i="155"/>
  <c r="D132" i="155"/>
  <c r="C132" i="155"/>
  <c r="D131" i="155"/>
  <c r="C131" i="155"/>
  <c r="D130" i="155"/>
  <c r="C130" i="155"/>
  <c r="D129" i="155"/>
  <c r="C129" i="155"/>
  <c r="D127" i="155"/>
  <c r="C127" i="155"/>
  <c r="D126" i="155"/>
  <c r="C126" i="155"/>
  <c r="D125" i="155"/>
  <c r="C125" i="155"/>
  <c r="D124" i="155"/>
  <c r="C124" i="155"/>
  <c r="D123" i="155"/>
  <c r="C123" i="155"/>
  <c r="D118" i="155"/>
  <c r="C118" i="155"/>
  <c r="D117" i="155"/>
  <c r="C117" i="155"/>
  <c r="D116" i="155"/>
  <c r="C116" i="155"/>
  <c r="D115" i="155"/>
  <c r="C115" i="155"/>
  <c r="D114" i="155"/>
  <c r="C114" i="155"/>
  <c r="D110" i="155"/>
  <c r="C110" i="155"/>
  <c r="D109" i="155"/>
  <c r="C109" i="155"/>
  <c r="D108" i="155"/>
  <c r="C108" i="155"/>
  <c r="D107" i="155"/>
  <c r="C107" i="155"/>
  <c r="D106" i="155"/>
  <c r="C106" i="155"/>
  <c r="D105" i="155"/>
  <c r="C105" i="155"/>
  <c r="D101" i="155"/>
  <c r="C101" i="155"/>
  <c r="D100" i="155"/>
  <c r="C100" i="155"/>
  <c r="D99" i="155"/>
  <c r="C99" i="155"/>
  <c r="D98" i="155"/>
  <c r="C98" i="155"/>
  <c r="D97" i="155"/>
  <c r="C97" i="155"/>
  <c r="D96" i="155"/>
  <c r="C96" i="155"/>
  <c r="D92" i="155"/>
  <c r="C92" i="155"/>
  <c r="D91" i="155"/>
  <c r="C91" i="155"/>
  <c r="D90" i="155"/>
  <c r="C90" i="155"/>
  <c r="D89" i="155"/>
  <c r="C89" i="155"/>
  <c r="D88" i="155"/>
  <c r="C88" i="155"/>
  <c r="D87" i="155"/>
  <c r="C87" i="155"/>
  <c r="D86" i="155"/>
  <c r="C86" i="155"/>
  <c r="D85" i="155"/>
  <c r="C85" i="155"/>
  <c r="D84" i="155"/>
  <c r="C84" i="155"/>
  <c r="D83" i="155"/>
  <c r="C83" i="155"/>
  <c r="D82" i="155"/>
  <c r="C82" i="155"/>
  <c r="D78" i="155"/>
  <c r="C78" i="155"/>
  <c r="D77" i="155"/>
  <c r="C77" i="155"/>
  <c r="D76" i="155"/>
  <c r="C76" i="155"/>
  <c r="D75" i="155"/>
  <c r="C75" i="155"/>
  <c r="D74" i="155"/>
  <c r="C74" i="155"/>
  <c r="D73" i="155"/>
  <c r="C73" i="155"/>
  <c r="D72" i="155"/>
  <c r="C72" i="155"/>
  <c r="D71" i="155"/>
  <c r="C71" i="155"/>
  <c r="D70" i="155"/>
  <c r="C70" i="155"/>
  <c r="D69" i="155"/>
  <c r="C69" i="155"/>
  <c r="D68" i="155"/>
  <c r="C68" i="155"/>
  <c r="D67" i="155"/>
  <c r="C67" i="155"/>
  <c r="D66" i="155"/>
  <c r="C66" i="155"/>
  <c r="D65" i="155"/>
  <c r="C65" i="155"/>
  <c r="D64" i="155"/>
  <c r="C64" i="155"/>
  <c r="D60" i="155"/>
  <c r="C60" i="155"/>
  <c r="D59" i="155"/>
  <c r="C59" i="155"/>
  <c r="D58" i="155"/>
  <c r="C58" i="155"/>
  <c r="D57" i="155"/>
  <c r="C57" i="155"/>
  <c r="D56" i="155"/>
  <c r="C56" i="155"/>
  <c r="D55" i="155"/>
  <c r="C55" i="155"/>
  <c r="D54" i="155"/>
  <c r="C54" i="155"/>
  <c r="D53" i="155"/>
  <c r="C53" i="155"/>
  <c r="D52" i="155"/>
  <c r="C52" i="155"/>
  <c r="D51" i="155"/>
  <c r="C51" i="155"/>
  <c r="D50" i="155"/>
  <c r="C50" i="155"/>
  <c r="D49" i="155"/>
  <c r="C49" i="155"/>
  <c r="D48" i="155"/>
  <c r="C48" i="155"/>
  <c r="D47" i="155"/>
  <c r="C47" i="155"/>
  <c r="D46" i="155"/>
  <c r="C46" i="155"/>
  <c r="D45" i="155"/>
  <c r="C45" i="155"/>
  <c r="D44" i="155"/>
  <c r="C44" i="155"/>
  <c r="D43" i="155"/>
  <c r="C43" i="155"/>
  <c r="D42" i="155"/>
  <c r="C42" i="155"/>
  <c r="D41" i="155"/>
  <c r="C41" i="155"/>
  <c r="D40" i="155"/>
  <c r="C40" i="155"/>
  <c r="D39" i="155"/>
  <c r="C39" i="155"/>
  <c r="D38" i="155"/>
  <c r="C38" i="155"/>
  <c r="D37" i="155"/>
  <c r="C37" i="155"/>
  <c r="D36" i="155"/>
  <c r="C36" i="155"/>
  <c r="D35" i="155"/>
  <c r="C35" i="155"/>
  <c r="D34" i="155"/>
  <c r="C34" i="155"/>
  <c r="D33" i="155"/>
  <c r="C33" i="155"/>
  <c r="D32" i="155"/>
  <c r="C32" i="155"/>
  <c r="D31" i="155"/>
  <c r="C31" i="155"/>
  <c r="D30" i="155"/>
  <c r="C30" i="155"/>
  <c r="D29" i="155"/>
  <c r="C29" i="155"/>
  <c r="D28" i="155"/>
  <c r="C28" i="155"/>
  <c r="D27" i="155"/>
  <c r="C27" i="155"/>
  <c r="D26" i="155"/>
  <c r="C26" i="155"/>
  <c r="D25" i="155"/>
  <c r="C25" i="155"/>
  <c r="D20" i="155"/>
  <c r="C20" i="155"/>
  <c r="D19" i="155"/>
  <c r="C19" i="155"/>
  <c r="D18" i="155"/>
  <c r="C18" i="155"/>
  <c r="D17" i="155"/>
  <c r="C17" i="155"/>
  <c r="D16" i="155"/>
  <c r="C16" i="155"/>
  <c r="D15" i="155"/>
  <c r="C15" i="155"/>
  <c r="D14" i="155"/>
  <c r="C14" i="155"/>
  <c r="D13" i="155"/>
  <c r="C13" i="155"/>
  <c r="D12" i="155"/>
  <c r="C12" i="155"/>
  <c r="D11" i="155"/>
  <c r="C11" i="155"/>
  <c r="C79" i="155" l="1"/>
  <c r="C119" i="155"/>
  <c r="C161" i="155"/>
  <c r="D79" i="155"/>
  <c r="D119" i="155"/>
  <c r="C21" i="155"/>
  <c r="C93" i="155"/>
  <c r="C102" i="155"/>
  <c r="D21" i="155"/>
  <c r="D93" i="155"/>
  <c r="D102" i="155"/>
  <c r="D206" i="155"/>
  <c r="C228" i="155"/>
  <c r="C111" i="155"/>
  <c r="D161" i="155"/>
  <c r="C197" i="155"/>
  <c r="C206" i="155"/>
  <c r="D111" i="155"/>
  <c r="D197" i="155"/>
  <c r="C61" i="155"/>
  <c r="D61" i="155"/>
  <c r="C208" i="155" l="1"/>
  <c r="C212" i="155" s="1"/>
  <c r="D208" i="155"/>
  <c r="D215" i="155" s="1"/>
  <c r="C215" i="155" l="1"/>
  <c r="C238" i="156"/>
  <c r="C237" i="156"/>
  <c r="C236" i="156"/>
  <c r="C235" i="156"/>
  <c r="C233" i="156"/>
  <c r="C232" i="156"/>
  <c r="C231" i="156"/>
  <c r="D228" i="156"/>
  <c r="C227" i="156"/>
  <c r="C226" i="156"/>
  <c r="C225" i="156"/>
  <c r="C224" i="156"/>
  <c r="C223" i="156"/>
  <c r="C222" i="156"/>
  <c r="C221" i="156"/>
  <c r="C220" i="156"/>
  <c r="C219" i="156"/>
  <c r="C211" i="156"/>
  <c r="D205" i="156"/>
  <c r="C205" i="156"/>
  <c r="D204" i="156"/>
  <c r="C204" i="156"/>
  <c r="D203" i="156"/>
  <c r="C203" i="156"/>
  <c r="D202" i="156"/>
  <c r="C202" i="156"/>
  <c r="D201" i="156"/>
  <c r="C201" i="156"/>
  <c r="D200" i="156"/>
  <c r="C200" i="156"/>
  <c r="D196" i="156"/>
  <c r="C196" i="156"/>
  <c r="D195" i="156"/>
  <c r="C195" i="156"/>
  <c r="D194" i="156"/>
  <c r="C194" i="156"/>
  <c r="D193" i="156"/>
  <c r="C193" i="156"/>
  <c r="D192" i="156"/>
  <c r="C192" i="156"/>
  <c r="D191" i="156"/>
  <c r="C191" i="156"/>
  <c r="D190" i="156"/>
  <c r="C190" i="156"/>
  <c r="D189" i="156"/>
  <c r="C189" i="156"/>
  <c r="D188" i="156"/>
  <c r="C188" i="156"/>
  <c r="D187" i="156"/>
  <c r="C187" i="156"/>
  <c r="D186" i="156"/>
  <c r="C186" i="156"/>
  <c r="D185" i="156"/>
  <c r="C185" i="156"/>
  <c r="D184" i="156"/>
  <c r="C184" i="156"/>
  <c r="D183" i="156"/>
  <c r="C183" i="156"/>
  <c r="D182" i="156"/>
  <c r="C182" i="156"/>
  <c r="D181" i="156"/>
  <c r="C181" i="156"/>
  <c r="D180" i="156"/>
  <c r="C180" i="156"/>
  <c r="D179" i="156"/>
  <c r="C179" i="156"/>
  <c r="D178" i="156"/>
  <c r="C178" i="156"/>
  <c r="D177" i="156"/>
  <c r="C177" i="156"/>
  <c r="D176" i="156"/>
  <c r="C176" i="156"/>
  <c r="D175" i="156"/>
  <c r="C175" i="156"/>
  <c r="D174" i="156"/>
  <c r="C174" i="156"/>
  <c r="D173" i="156"/>
  <c r="C173" i="156"/>
  <c r="D172" i="156"/>
  <c r="C172" i="156"/>
  <c r="D171" i="156"/>
  <c r="C171" i="156"/>
  <c r="D170" i="156"/>
  <c r="C170" i="156"/>
  <c r="D169" i="156"/>
  <c r="C169" i="156"/>
  <c r="D168" i="156"/>
  <c r="C168" i="156"/>
  <c r="D167" i="156"/>
  <c r="C167" i="156"/>
  <c r="D166" i="156"/>
  <c r="C166" i="156"/>
  <c r="D165" i="156"/>
  <c r="C165" i="156"/>
  <c r="D164" i="156"/>
  <c r="C164" i="156"/>
  <c r="D160" i="156"/>
  <c r="C160" i="156"/>
  <c r="D159" i="156"/>
  <c r="C159" i="156"/>
  <c r="D158" i="156"/>
  <c r="C158" i="156"/>
  <c r="D157" i="156"/>
  <c r="C157" i="156"/>
  <c r="D156" i="156"/>
  <c r="C156" i="156"/>
  <c r="D155" i="156"/>
  <c r="C155" i="156"/>
  <c r="D153" i="156"/>
  <c r="C153" i="156"/>
  <c r="D152" i="156"/>
  <c r="C152" i="156"/>
  <c r="D151" i="156"/>
  <c r="C151" i="156"/>
  <c r="D150" i="156"/>
  <c r="C150" i="156"/>
  <c r="D149" i="156"/>
  <c r="C149" i="156"/>
  <c r="D148" i="156"/>
  <c r="C148" i="156"/>
  <c r="D147" i="156"/>
  <c r="C147" i="156"/>
  <c r="D146" i="156"/>
  <c r="C146" i="156"/>
  <c r="D145" i="156"/>
  <c r="C145" i="156"/>
  <c r="D143" i="156"/>
  <c r="C143" i="156"/>
  <c r="D142" i="156"/>
  <c r="C142" i="156"/>
  <c r="D141" i="156"/>
  <c r="C141" i="156"/>
  <c r="D140" i="156"/>
  <c r="C140" i="156"/>
  <c r="D138" i="156"/>
  <c r="C138" i="156"/>
  <c r="D137" i="156"/>
  <c r="C137" i="156"/>
  <c r="D136" i="156"/>
  <c r="C136" i="156"/>
  <c r="D135" i="156"/>
  <c r="C135" i="156"/>
  <c r="D133" i="156"/>
  <c r="C133" i="156"/>
  <c r="D132" i="156"/>
  <c r="C132" i="156"/>
  <c r="D131" i="156"/>
  <c r="C131" i="156"/>
  <c r="D130" i="156"/>
  <c r="C130" i="156"/>
  <c r="D129" i="156"/>
  <c r="C129" i="156"/>
  <c r="D127" i="156"/>
  <c r="C127" i="156"/>
  <c r="D126" i="156"/>
  <c r="C126" i="156"/>
  <c r="D125" i="156"/>
  <c r="C125" i="156"/>
  <c r="D124" i="156"/>
  <c r="C124" i="156"/>
  <c r="D123" i="156"/>
  <c r="C123" i="156"/>
  <c r="D118" i="156"/>
  <c r="C118" i="156"/>
  <c r="D117" i="156"/>
  <c r="C117" i="156"/>
  <c r="D116" i="156"/>
  <c r="C116" i="156"/>
  <c r="D115" i="156"/>
  <c r="C115" i="156"/>
  <c r="D114" i="156"/>
  <c r="C114" i="156"/>
  <c r="D110" i="156"/>
  <c r="C110" i="156"/>
  <c r="D109" i="156"/>
  <c r="C109" i="156"/>
  <c r="D108" i="156"/>
  <c r="C108" i="156"/>
  <c r="D107" i="156"/>
  <c r="C107" i="156"/>
  <c r="D106" i="156"/>
  <c r="C106" i="156"/>
  <c r="D105" i="156"/>
  <c r="C105" i="156"/>
  <c r="D101" i="156"/>
  <c r="C101" i="156"/>
  <c r="D100" i="156"/>
  <c r="C100" i="156"/>
  <c r="D99" i="156"/>
  <c r="C99" i="156"/>
  <c r="D98" i="156"/>
  <c r="C98" i="156"/>
  <c r="D97" i="156"/>
  <c r="C97" i="156"/>
  <c r="D96" i="156"/>
  <c r="C96" i="156"/>
  <c r="D92" i="156"/>
  <c r="C92" i="156"/>
  <c r="D91" i="156"/>
  <c r="C91" i="156"/>
  <c r="D90" i="156"/>
  <c r="C90" i="156"/>
  <c r="D89" i="156"/>
  <c r="C89" i="156"/>
  <c r="D88" i="156"/>
  <c r="C88" i="156"/>
  <c r="D87" i="156"/>
  <c r="C87" i="156"/>
  <c r="D86" i="156"/>
  <c r="C86" i="156"/>
  <c r="D85" i="156"/>
  <c r="C85" i="156"/>
  <c r="D84" i="156"/>
  <c r="C84" i="156"/>
  <c r="D83" i="156"/>
  <c r="C83" i="156"/>
  <c r="D82" i="156"/>
  <c r="C82" i="156"/>
  <c r="D78" i="156"/>
  <c r="C78" i="156"/>
  <c r="D77" i="156"/>
  <c r="C77" i="156"/>
  <c r="D76" i="156"/>
  <c r="C76" i="156"/>
  <c r="D75" i="156"/>
  <c r="C75" i="156"/>
  <c r="D74" i="156"/>
  <c r="C74" i="156"/>
  <c r="D73" i="156"/>
  <c r="C73" i="156"/>
  <c r="D72" i="156"/>
  <c r="C72" i="156"/>
  <c r="D71" i="156"/>
  <c r="C71" i="156"/>
  <c r="D70" i="156"/>
  <c r="C70" i="156"/>
  <c r="D69" i="156"/>
  <c r="C69" i="156"/>
  <c r="D68" i="156"/>
  <c r="C68" i="156"/>
  <c r="D67" i="156"/>
  <c r="C67" i="156"/>
  <c r="D66" i="156"/>
  <c r="C66" i="156"/>
  <c r="D65" i="156"/>
  <c r="C65" i="156"/>
  <c r="D64" i="156"/>
  <c r="C64" i="156"/>
  <c r="D60" i="156"/>
  <c r="C60" i="156"/>
  <c r="D59" i="156"/>
  <c r="C59" i="156"/>
  <c r="D58" i="156"/>
  <c r="C58" i="156"/>
  <c r="D57" i="156"/>
  <c r="C57" i="156"/>
  <c r="D56" i="156"/>
  <c r="C56" i="156"/>
  <c r="D55" i="156"/>
  <c r="C55" i="156"/>
  <c r="D54" i="156"/>
  <c r="C54" i="156"/>
  <c r="D53" i="156"/>
  <c r="C53" i="156"/>
  <c r="D52" i="156"/>
  <c r="C52" i="156"/>
  <c r="D51" i="156"/>
  <c r="C51" i="156"/>
  <c r="D50" i="156"/>
  <c r="C50" i="156"/>
  <c r="D49" i="156"/>
  <c r="C49" i="156"/>
  <c r="D48" i="156"/>
  <c r="C48" i="156"/>
  <c r="D47" i="156"/>
  <c r="C47" i="156"/>
  <c r="D46" i="156"/>
  <c r="C46" i="156"/>
  <c r="D45" i="156"/>
  <c r="C45" i="156"/>
  <c r="D44" i="156"/>
  <c r="C44" i="156"/>
  <c r="D43" i="156"/>
  <c r="C43" i="156"/>
  <c r="D42" i="156"/>
  <c r="C42" i="156"/>
  <c r="D41" i="156"/>
  <c r="C41" i="156"/>
  <c r="D40" i="156"/>
  <c r="C40" i="156"/>
  <c r="D39" i="156"/>
  <c r="C39" i="156"/>
  <c r="D38" i="156"/>
  <c r="C38" i="156"/>
  <c r="D37" i="156"/>
  <c r="C37" i="156"/>
  <c r="D36" i="156"/>
  <c r="C36" i="156"/>
  <c r="D35" i="156"/>
  <c r="C35" i="156"/>
  <c r="D34" i="156"/>
  <c r="C34" i="156"/>
  <c r="D33" i="156"/>
  <c r="C33" i="156"/>
  <c r="D32" i="156"/>
  <c r="C32" i="156"/>
  <c r="D31" i="156"/>
  <c r="C31" i="156"/>
  <c r="D30" i="156"/>
  <c r="C30" i="156"/>
  <c r="D29" i="156"/>
  <c r="C29" i="156"/>
  <c r="D28" i="156"/>
  <c r="C28" i="156"/>
  <c r="D27" i="156"/>
  <c r="C27" i="156"/>
  <c r="D26" i="156"/>
  <c r="C26" i="156"/>
  <c r="D25" i="156"/>
  <c r="C25" i="156"/>
  <c r="D20" i="156"/>
  <c r="C20" i="156"/>
  <c r="D19" i="156"/>
  <c r="C19" i="156"/>
  <c r="D18" i="156"/>
  <c r="C18" i="156"/>
  <c r="D17" i="156"/>
  <c r="C17" i="156"/>
  <c r="D16" i="156"/>
  <c r="C16" i="156"/>
  <c r="D15" i="156"/>
  <c r="C15" i="156"/>
  <c r="D14" i="156"/>
  <c r="C14" i="156"/>
  <c r="D13" i="156"/>
  <c r="C13" i="156"/>
  <c r="D12" i="156"/>
  <c r="C12" i="156"/>
  <c r="D11" i="156"/>
  <c r="C11" i="156"/>
  <c r="D119" i="156" l="1"/>
  <c r="C206" i="156"/>
  <c r="D197" i="156"/>
  <c r="C93" i="156"/>
  <c r="C197" i="156"/>
  <c r="C21" i="156"/>
  <c r="D61" i="156"/>
  <c r="D111" i="156"/>
  <c r="C79" i="156"/>
  <c r="C119" i="156"/>
  <c r="C102" i="156"/>
  <c r="D21" i="156"/>
  <c r="D102" i="156"/>
  <c r="D79" i="156"/>
  <c r="C161" i="156"/>
  <c r="D206" i="156"/>
  <c r="D93" i="156"/>
  <c r="C61" i="156"/>
  <c r="C111" i="156"/>
  <c r="D161" i="156"/>
  <c r="C228" i="156"/>
  <c r="C208" i="156" l="1"/>
  <c r="C212" i="156" s="1"/>
  <c r="D208" i="156"/>
  <c r="D215" i="156" s="1"/>
  <c r="C215" i="156" l="1"/>
  <c r="G244" i="20"/>
  <c r="G243" i="20"/>
  <c r="G242" i="20"/>
  <c r="G241" i="20"/>
  <c r="C238" i="20"/>
  <c r="C237" i="20"/>
  <c r="C236" i="20"/>
  <c r="C235" i="20"/>
  <c r="C233" i="20"/>
  <c r="C232" i="20"/>
  <c r="C231" i="20"/>
  <c r="D228" i="20"/>
  <c r="C227" i="20"/>
  <c r="C226" i="20"/>
  <c r="C225" i="20"/>
  <c r="C224" i="20"/>
  <c r="C223" i="20"/>
  <c r="C222" i="20"/>
  <c r="C221" i="20"/>
  <c r="C220" i="20"/>
  <c r="C219" i="20"/>
  <c r="C211" i="20"/>
  <c r="D205" i="20"/>
  <c r="C205" i="20"/>
  <c r="D204" i="20"/>
  <c r="C204" i="20"/>
  <c r="D203" i="20"/>
  <c r="C203" i="20"/>
  <c r="D202" i="20"/>
  <c r="C202" i="20"/>
  <c r="D201" i="20"/>
  <c r="C201" i="20"/>
  <c r="D200" i="20"/>
  <c r="C200" i="20"/>
  <c r="D196" i="20"/>
  <c r="C196" i="20"/>
  <c r="D195" i="20"/>
  <c r="C195" i="20"/>
  <c r="D194" i="20"/>
  <c r="C194" i="20"/>
  <c r="D193" i="20"/>
  <c r="C193" i="20"/>
  <c r="D192" i="20"/>
  <c r="C192" i="20"/>
  <c r="D191" i="20"/>
  <c r="C191" i="20"/>
  <c r="D190" i="20"/>
  <c r="C190" i="20"/>
  <c r="D189" i="20"/>
  <c r="C189" i="20"/>
  <c r="D188" i="20"/>
  <c r="C188" i="20"/>
  <c r="D187" i="20"/>
  <c r="C187" i="20"/>
  <c r="D186" i="20"/>
  <c r="C186" i="20"/>
  <c r="D185" i="20"/>
  <c r="C185" i="20"/>
  <c r="D184" i="20"/>
  <c r="C184" i="20"/>
  <c r="D183" i="20"/>
  <c r="C183" i="20"/>
  <c r="D182" i="20"/>
  <c r="C182" i="20"/>
  <c r="D181" i="20"/>
  <c r="C181" i="20"/>
  <c r="D180" i="20"/>
  <c r="C180" i="20"/>
  <c r="D179" i="20"/>
  <c r="C179" i="20"/>
  <c r="D178" i="20"/>
  <c r="C178" i="20"/>
  <c r="D177" i="20"/>
  <c r="C177" i="20"/>
  <c r="D176" i="20"/>
  <c r="C176" i="20"/>
  <c r="D175" i="20"/>
  <c r="C175" i="20"/>
  <c r="D174" i="20"/>
  <c r="C174" i="20"/>
  <c r="D173" i="20"/>
  <c r="C173" i="20"/>
  <c r="D172" i="20"/>
  <c r="C172" i="20"/>
  <c r="D171" i="20"/>
  <c r="C171" i="20"/>
  <c r="D170" i="20"/>
  <c r="C170" i="20"/>
  <c r="D169" i="20"/>
  <c r="C169" i="20"/>
  <c r="D168" i="20"/>
  <c r="C168" i="20"/>
  <c r="D167" i="20"/>
  <c r="C167" i="20"/>
  <c r="D166" i="20"/>
  <c r="C166" i="20"/>
  <c r="D165" i="20"/>
  <c r="C165" i="20"/>
  <c r="D164" i="20"/>
  <c r="C164" i="20"/>
  <c r="D160" i="20"/>
  <c r="C160" i="20"/>
  <c r="D159" i="20"/>
  <c r="C159" i="20"/>
  <c r="D158" i="20"/>
  <c r="C158" i="20"/>
  <c r="D157" i="20"/>
  <c r="C157" i="20"/>
  <c r="D156" i="20"/>
  <c r="C156" i="20"/>
  <c r="D155" i="20"/>
  <c r="C155" i="20"/>
  <c r="D153" i="20"/>
  <c r="C153" i="20"/>
  <c r="D152" i="20"/>
  <c r="C152" i="20"/>
  <c r="D151" i="20"/>
  <c r="C151" i="20"/>
  <c r="D150" i="20"/>
  <c r="C150" i="20"/>
  <c r="D149" i="20"/>
  <c r="C149" i="20"/>
  <c r="D148" i="20"/>
  <c r="C148" i="20"/>
  <c r="D147" i="20"/>
  <c r="C147" i="20"/>
  <c r="D146" i="20"/>
  <c r="C146" i="20"/>
  <c r="D145" i="20"/>
  <c r="C145" i="20"/>
  <c r="D143" i="20"/>
  <c r="C143" i="20"/>
  <c r="D142" i="20"/>
  <c r="C142" i="20"/>
  <c r="D141" i="20"/>
  <c r="C141" i="20"/>
  <c r="D140" i="20"/>
  <c r="C140" i="20"/>
  <c r="D138" i="20"/>
  <c r="C138" i="20"/>
  <c r="D137" i="20"/>
  <c r="C137" i="20"/>
  <c r="D136" i="20"/>
  <c r="C136" i="20"/>
  <c r="D135" i="20"/>
  <c r="C135" i="20"/>
  <c r="D133" i="20"/>
  <c r="C133" i="20"/>
  <c r="D132" i="20"/>
  <c r="C132" i="20"/>
  <c r="D131" i="20"/>
  <c r="C131" i="20"/>
  <c r="D130" i="20"/>
  <c r="C130" i="20"/>
  <c r="D129" i="20"/>
  <c r="C129" i="20"/>
  <c r="D127" i="20"/>
  <c r="C127" i="20"/>
  <c r="D126" i="20"/>
  <c r="C126" i="20"/>
  <c r="D125" i="20"/>
  <c r="C125" i="20"/>
  <c r="D124" i="20"/>
  <c r="C124" i="20"/>
  <c r="D123" i="20"/>
  <c r="C123" i="20"/>
  <c r="D118" i="20"/>
  <c r="C118" i="20"/>
  <c r="D117" i="20"/>
  <c r="C117" i="20"/>
  <c r="D116" i="20"/>
  <c r="C116" i="20"/>
  <c r="D115" i="20"/>
  <c r="C115" i="20"/>
  <c r="D114" i="20"/>
  <c r="C114" i="20"/>
  <c r="D110" i="20"/>
  <c r="C110" i="20"/>
  <c r="D109" i="20"/>
  <c r="C109" i="20"/>
  <c r="D108" i="20"/>
  <c r="C108" i="20"/>
  <c r="D107" i="20"/>
  <c r="C107" i="20"/>
  <c r="D106" i="20"/>
  <c r="C106" i="20"/>
  <c r="D105" i="20"/>
  <c r="C105" i="20"/>
  <c r="D101" i="20"/>
  <c r="C101" i="20"/>
  <c r="D100" i="20"/>
  <c r="C100" i="20"/>
  <c r="D99" i="20"/>
  <c r="C99" i="20"/>
  <c r="D98" i="20"/>
  <c r="C98" i="20"/>
  <c r="D97" i="20"/>
  <c r="C97" i="20"/>
  <c r="D96" i="20"/>
  <c r="C96" i="20"/>
  <c r="D92" i="20"/>
  <c r="C92" i="20"/>
  <c r="D91" i="20"/>
  <c r="C91" i="20"/>
  <c r="D90" i="20"/>
  <c r="C90" i="20"/>
  <c r="D89" i="20"/>
  <c r="C89" i="20"/>
  <c r="D88" i="20"/>
  <c r="C88" i="20"/>
  <c r="D87" i="20"/>
  <c r="C87" i="20"/>
  <c r="D86" i="20"/>
  <c r="C86" i="20"/>
  <c r="D85" i="20"/>
  <c r="C85" i="20"/>
  <c r="D84" i="20"/>
  <c r="C84" i="20"/>
  <c r="D83" i="20"/>
  <c r="C83" i="20"/>
  <c r="D82" i="20"/>
  <c r="C82" i="20"/>
  <c r="D78" i="20"/>
  <c r="C78" i="20"/>
  <c r="D77" i="20"/>
  <c r="C77" i="20"/>
  <c r="D76" i="20"/>
  <c r="C76" i="20"/>
  <c r="D75" i="20"/>
  <c r="C75" i="20"/>
  <c r="D74" i="20"/>
  <c r="C74" i="20"/>
  <c r="D73" i="20"/>
  <c r="C73" i="20"/>
  <c r="D72" i="20"/>
  <c r="C72" i="20"/>
  <c r="D71" i="20"/>
  <c r="C71" i="20"/>
  <c r="D70" i="20"/>
  <c r="C70" i="20"/>
  <c r="D69" i="20"/>
  <c r="C69" i="20"/>
  <c r="D68" i="20"/>
  <c r="C68" i="20"/>
  <c r="D67" i="20"/>
  <c r="C67" i="20"/>
  <c r="D66" i="20"/>
  <c r="C66" i="20"/>
  <c r="D65" i="20"/>
  <c r="C65" i="20"/>
  <c r="D64" i="20"/>
  <c r="C64" i="20"/>
  <c r="D60" i="20"/>
  <c r="C60" i="20"/>
  <c r="D59" i="20"/>
  <c r="C59" i="20"/>
  <c r="D58" i="20"/>
  <c r="C58" i="20"/>
  <c r="D57" i="20"/>
  <c r="C57" i="20"/>
  <c r="D56" i="20"/>
  <c r="C56" i="20"/>
  <c r="D55" i="20"/>
  <c r="C55" i="20"/>
  <c r="D54" i="20"/>
  <c r="C54" i="20"/>
  <c r="D53" i="20"/>
  <c r="C53" i="20"/>
  <c r="D52" i="20"/>
  <c r="C52" i="20"/>
  <c r="D51" i="20"/>
  <c r="C51" i="20"/>
  <c r="D50" i="20"/>
  <c r="C50" i="20"/>
  <c r="D49" i="20"/>
  <c r="C49" i="20"/>
  <c r="D48" i="20"/>
  <c r="C48" i="20"/>
  <c r="D47" i="20"/>
  <c r="C47" i="20"/>
  <c r="D46" i="20"/>
  <c r="C46" i="20"/>
  <c r="D45" i="20"/>
  <c r="C45" i="20"/>
  <c r="D44" i="20"/>
  <c r="C44" i="20"/>
  <c r="D43" i="20"/>
  <c r="C43" i="20"/>
  <c r="D42" i="20"/>
  <c r="C42" i="20"/>
  <c r="D41" i="20"/>
  <c r="C41" i="20"/>
  <c r="D40" i="20"/>
  <c r="C40" i="20"/>
  <c r="D39" i="20"/>
  <c r="C39" i="20"/>
  <c r="D38" i="20"/>
  <c r="C38" i="20"/>
  <c r="D37" i="20"/>
  <c r="C37" i="20"/>
  <c r="D36" i="20"/>
  <c r="C36" i="20"/>
  <c r="D35" i="20"/>
  <c r="C35" i="20"/>
  <c r="D34" i="20"/>
  <c r="C34" i="20"/>
  <c r="D33" i="20"/>
  <c r="C33" i="20"/>
  <c r="D32" i="20"/>
  <c r="C32" i="20"/>
  <c r="D31" i="20"/>
  <c r="C31" i="20"/>
  <c r="D30" i="20"/>
  <c r="C30" i="20"/>
  <c r="D29" i="20"/>
  <c r="C29" i="20"/>
  <c r="D28" i="20"/>
  <c r="C28" i="20"/>
  <c r="D27" i="20"/>
  <c r="C27" i="20"/>
  <c r="D26" i="20"/>
  <c r="C26" i="20"/>
  <c r="D25" i="20"/>
  <c r="C25" i="20"/>
  <c r="D20" i="20"/>
  <c r="C20" i="20"/>
  <c r="D19" i="20"/>
  <c r="C19" i="20"/>
  <c r="D18" i="20"/>
  <c r="C18" i="20"/>
  <c r="D17" i="20"/>
  <c r="C17" i="20"/>
  <c r="D16" i="20"/>
  <c r="C16" i="20"/>
  <c r="D15" i="20"/>
  <c r="C15" i="20"/>
  <c r="D14" i="20"/>
  <c r="C14" i="20"/>
  <c r="D13" i="20"/>
  <c r="C13" i="20"/>
  <c r="D12" i="20"/>
  <c r="C12" i="20"/>
  <c r="D11" i="20"/>
  <c r="C11" i="20"/>
  <c r="C21" i="20" l="1"/>
  <c r="C93" i="20"/>
  <c r="D161" i="20"/>
  <c r="D93" i="20"/>
  <c r="C111" i="20"/>
  <c r="C119" i="20"/>
  <c r="C206" i="20"/>
  <c r="D21" i="20"/>
  <c r="D102" i="20"/>
  <c r="D119" i="20"/>
  <c r="C228" i="20"/>
  <c r="C161" i="20"/>
  <c r="D79" i="20"/>
  <c r="D197" i="20"/>
  <c r="C102" i="20"/>
  <c r="C197" i="20"/>
  <c r="C79" i="20"/>
  <c r="D111" i="20"/>
  <c r="D206" i="20"/>
  <c r="C61" i="20"/>
  <c r="D61" i="20"/>
  <c r="D208" i="20" l="1"/>
  <c r="D215" i="20" s="1"/>
  <c r="C208" i="20"/>
  <c r="C212" i="20" s="1"/>
  <c r="C215" i="20" l="1"/>
  <c r="G244" i="42"/>
  <c r="G243" i="42"/>
  <c r="G242" i="42"/>
  <c r="G241" i="42"/>
  <c r="C238" i="42"/>
  <c r="C237" i="42"/>
  <c r="C236" i="42"/>
  <c r="C235" i="42"/>
  <c r="C233" i="42"/>
  <c r="C232" i="42"/>
  <c r="C231" i="42"/>
  <c r="D228" i="42"/>
  <c r="C227" i="42"/>
  <c r="C226" i="42"/>
  <c r="C225" i="42"/>
  <c r="C224" i="42"/>
  <c r="C223" i="42"/>
  <c r="C222" i="42"/>
  <c r="C221" i="42"/>
  <c r="C220" i="42"/>
  <c r="C219" i="42"/>
  <c r="C211" i="42"/>
  <c r="D205" i="42"/>
  <c r="C205" i="42"/>
  <c r="D204" i="42"/>
  <c r="C204" i="42"/>
  <c r="D203" i="42"/>
  <c r="C203" i="42"/>
  <c r="D202" i="42"/>
  <c r="C202" i="42"/>
  <c r="D201" i="42"/>
  <c r="C201" i="42"/>
  <c r="D200" i="42"/>
  <c r="C200" i="42"/>
  <c r="D196" i="42"/>
  <c r="C196" i="42"/>
  <c r="D195" i="42"/>
  <c r="C195" i="42"/>
  <c r="D194" i="42"/>
  <c r="C194" i="42"/>
  <c r="D193" i="42"/>
  <c r="C193" i="42"/>
  <c r="D192" i="42"/>
  <c r="C192" i="42"/>
  <c r="D191" i="42"/>
  <c r="C191" i="42"/>
  <c r="D190" i="42"/>
  <c r="C190" i="42"/>
  <c r="D189" i="42"/>
  <c r="C189" i="42"/>
  <c r="D188" i="42"/>
  <c r="C188" i="42"/>
  <c r="D187" i="42"/>
  <c r="C187" i="42"/>
  <c r="D186" i="42"/>
  <c r="C186" i="42"/>
  <c r="D185" i="42"/>
  <c r="C185" i="42"/>
  <c r="D184" i="42"/>
  <c r="C184" i="42"/>
  <c r="D183" i="42"/>
  <c r="C183" i="42"/>
  <c r="D182" i="42"/>
  <c r="C182" i="42"/>
  <c r="D181" i="42"/>
  <c r="C181" i="42"/>
  <c r="D180" i="42"/>
  <c r="C180" i="42"/>
  <c r="D179" i="42"/>
  <c r="C179" i="42"/>
  <c r="D178" i="42"/>
  <c r="C178" i="42"/>
  <c r="D177" i="42"/>
  <c r="C177" i="42"/>
  <c r="D176" i="42"/>
  <c r="C176" i="42"/>
  <c r="D175" i="42"/>
  <c r="C175" i="42"/>
  <c r="D174" i="42"/>
  <c r="C174" i="42"/>
  <c r="D173" i="42"/>
  <c r="C173" i="42"/>
  <c r="D172" i="42"/>
  <c r="C172" i="42"/>
  <c r="D171" i="42"/>
  <c r="C171" i="42"/>
  <c r="D170" i="42"/>
  <c r="C170" i="42"/>
  <c r="D169" i="42"/>
  <c r="C169" i="42"/>
  <c r="D168" i="42"/>
  <c r="C168" i="42"/>
  <c r="D167" i="42"/>
  <c r="C167" i="42"/>
  <c r="D166" i="42"/>
  <c r="C166" i="42"/>
  <c r="D165" i="42"/>
  <c r="C165" i="42"/>
  <c r="D164" i="42"/>
  <c r="C164" i="42"/>
  <c r="D160" i="42"/>
  <c r="C160" i="42"/>
  <c r="D159" i="42"/>
  <c r="C159" i="42"/>
  <c r="D158" i="42"/>
  <c r="C158" i="42"/>
  <c r="D157" i="42"/>
  <c r="C157" i="42"/>
  <c r="D156" i="42"/>
  <c r="C156" i="42"/>
  <c r="D155" i="42"/>
  <c r="C155" i="42"/>
  <c r="D153" i="42"/>
  <c r="C153" i="42"/>
  <c r="D152" i="42"/>
  <c r="C152" i="42"/>
  <c r="D151" i="42"/>
  <c r="C151" i="42"/>
  <c r="D150" i="42"/>
  <c r="C150" i="42"/>
  <c r="D149" i="42"/>
  <c r="C149" i="42"/>
  <c r="D148" i="42"/>
  <c r="C148" i="42"/>
  <c r="D147" i="42"/>
  <c r="C147" i="42"/>
  <c r="D146" i="42"/>
  <c r="C146" i="42"/>
  <c r="D145" i="42"/>
  <c r="C145" i="42"/>
  <c r="D143" i="42"/>
  <c r="C143" i="42"/>
  <c r="D142" i="42"/>
  <c r="C142" i="42"/>
  <c r="D141" i="42"/>
  <c r="C141" i="42"/>
  <c r="D140" i="42"/>
  <c r="C140" i="42"/>
  <c r="D138" i="42"/>
  <c r="C138" i="42"/>
  <c r="D137" i="42"/>
  <c r="C137" i="42"/>
  <c r="D136" i="42"/>
  <c r="C136" i="42"/>
  <c r="D135" i="42"/>
  <c r="C135" i="42"/>
  <c r="D133" i="42"/>
  <c r="C133" i="42"/>
  <c r="D132" i="42"/>
  <c r="C132" i="42"/>
  <c r="D131" i="42"/>
  <c r="C131" i="42"/>
  <c r="D130" i="42"/>
  <c r="C130" i="42"/>
  <c r="D129" i="42"/>
  <c r="C129" i="42"/>
  <c r="D127" i="42"/>
  <c r="C127" i="42"/>
  <c r="D126" i="42"/>
  <c r="C126" i="42"/>
  <c r="D125" i="42"/>
  <c r="C125" i="42"/>
  <c r="D124" i="42"/>
  <c r="C124" i="42"/>
  <c r="D123" i="42"/>
  <c r="C123" i="42"/>
  <c r="D118" i="42"/>
  <c r="C118" i="42"/>
  <c r="D117" i="42"/>
  <c r="C117" i="42"/>
  <c r="D116" i="42"/>
  <c r="C116" i="42"/>
  <c r="D115" i="42"/>
  <c r="C115" i="42"/>
  <c r="D114" i="42"/>
  <c r="C114" i="42"/>
  <c r="D110" i="42"/>
  <c r="C110" i="42"/>
  <c r="D109" i="42"/>
  <c r="C109" i="42"/>
  <c r="D108" i="42"/>
  <c r="C108" i="42"/>
  <c r="D107" i="42"/>
  <c r="C107" i="42"/>
  <c r="D106" i="42"/>
  <c r="C106" i="42"/>
  <c r="D105" i="42"/>
  <c r="C105" i="42"/>
  <c r="D101" i="42"/>
  <c r="C101" i="42"/>
  <c r="D100" i="42"/>
  <c r="C100" i="42"/>
  <c r="D99" i="42"/>
  <c r="C99" i="42"/>
  <c r="D98" i="42"/>
  <c r="C98" i="42"/>
  <c r="D97" i="42"/>
  <c r="C97" i="42"/>
  <c r="D96" i="42"/>
  <c r="C96" i="42"/>
  <c r="D92" i="42"/>
  <c r="C92" i="42"/>
  <c r="D91" i="42"/>
  <c r="C91" i="42"/>
  <c r="D90" i="42"/>
  <c r="C90" i="42"/>
  <c r="D89" i="42"/>
  <c r="C89" i="42"/>
  <c r="D88" i="42"/>
  <c r="C88" i="42"/>
  <c r="D87" i="42"/>
  <c r="C87" i="42"/>
  <c r="D86" i="42"/>
  <c r="C86" i="42"/>
  <c r="D85" i="42"/>
  <c r="C85" i="42"/>
  <c r="D84" i="42"/>
  <c r="C84" i="42"/>
  <c r="D83" i="42"/>
  <c r="C83" i="42"/>
  <c r="D82" i="42"/>
  <c r="C82" i="42"/>
  <c r="D78" i="42"/>
  <c r="C78" i="42"/>
  <c r="D77" i="42"/>
  <c r="C77" i="42"/>
  <c r="D76" i="42"/>
  <c r="C76" i="42"/>
  <c r="D75" i="42"/>
  <c r="C75" i="42"/>
  <c r="D74" i="42"/>
  <c r="C74" i="42"/>
  <c r="D73" i="42"/>
  <c r="C73" i="42"/>
  <c r="D72" i="42"/>
  <c r="C72" i="42"/>
  <c r="D71" i="42"/>
  <c r="C71" i="42"/>
  <c r="D70" i="42"/>
  <c r="C70" i="42"/>
  <c r="D69" i="42"/>
  <c r="C69" i="42"/>
  <c r="D68" i="42"/>
  <c r="C68" i="42"/>
  <c r="D67" i="42"/>
  <c r="C67" i="42"/>
  <c r="D66" i="42"/>
  <c r="C66" i="42"/>
  <c r="D65" i="42"/>
  <c r="C65" i="42"/>
  <c r="D64" i="42"/>
  <c r="C64" i="42"/>
  <c r="D60" i="42"/>
  <c r="C60" i="42"/>
  <c r="D59" i="42"/>
  <c r="C59" i="42"/>
  <c r="D58" i="42"/>
  <c r="C58" i="42"/>
  <c r="D57" i="42"/>
  <c r="C57" i="42"/>
  <c r="D56" i="42"/>
  <c r="C56" i="42"/>
  <c r="D55" i="42"/>
  <c r="C55" i="42"/>
  <c r="D54" i="42"/>
  <c r="C54" i="42"/>
  <c r="D53" i="42"/>
  <c r="C53" i="42"/>
  <c r="D52" i="42"/>
  <c r="C52" i="42"/>
  <c r="D51" i="42"/>
  <c r="C51" i="42"/>
  <c r="D50" i="42"/>
  <c r="C50" i="42"/>
  <c r="D49" i="42"/>
  <c r="C49" i="42"/>
  <c r="D48" i="42"/>
  <c r="C48" i="42"/>
  <c r="D47" i="42"/>
  <c r="C47" i="42"/>
  <c r="D46" i="42"/>
  <c r="C46" i="42"/>
  <c r="D45" i="42"/>
  <c r="C45" i="42"/>
  <c r="D44" i="42"/>
  <c r="C44" i="42"/>
  <c r="D43" i="42"/>
  <c r="C43" i="42"/>
  <c r="D42" i="42"/>
  <c r="C42" i="42"/>
  <c r="D41" i="42"/>
  <c r="C41" i="42"/>
  <c r="D40" i="42"/>
  <c r="C40" i="42"/>
  <c r="D39" i="42"/>
  <c r="C39" i="42"/>
  <c r="D38" i="42"/>
  <c r="C38" i="42"/>
  <c r="D37" i="42"/>
  <c r="C37" i="42"/>
  <c r="D36" i="42"/>
  <c r="C36" i="42"/>
  <c r="D35" i="42"/>
  <c r="C35" i="42"/>
  <c r="D34" i="42"/>
  <c r="C34" i="42"/>
  <c r="D33" i="42"/>
  <c r="C33" i="42"/>
  <c r="D32" i="42"/>
  <c r="C32" i="42"/>
  <c r="D31" i="42"/>
  <c r="C31" i="42"/>
  <c r="D30" i="42"/>
  <c r="C30" i="42"/>
  <c r="D29" i="42"/>
  <c r="C29" i="42"/>
  <c r="D28" i="42"/>
  <c r="C28" i="42"/>
  <c r="D27" i="42"/>
  <c r="C27" i="42"/>
  <c r="D26" i="42"/>
  <c r="C26" i="42"/>
  <c r="D25" i="42"/>
  <c r="C25" i="42"/>
  <c r="D20" i="42"/>
  <c r="C20" i="42"/>
  <c r="D19" i="42"/>
  <c r="C19" i="42"/>
  <c r="D18" i="42"/>
  <c r="C18" i="42"/>
  <c r="D17" i="42"/>
  <c r="C17" i="42"/>
  <c r="D16" i="42"/>
  <c r="C16" i="42"/>
  <c r="D15" i="42"/>
  <c r="C15" i="42"/>
  <c r="D14" i="42"/>
  <c r="C14" i="42"/>
  <c r="D13" i="42"/>
  <c r="C13" i="42"/>
  <c r="D12" i="42"/>
  <c r="C12" i="42"/>
  <c r="D11" i="42"/>
  <c r="C11" i="42"/>
  <c r="C93" i="42" l="1"/>
  <c r="C119" i="42"/>
  <c r="C161" i="42"/>
  <c r="D102" i="42"/>
  <c r="D93" i="42"/>
  <c r="D79" i="42"/>
  <c r="D161" i="42"/>
  <c r="C228" i="42"/>
  <c r="C111" i="42"/>
  <c r="D21" i="42"/>
  <c r="C197" i="42"/>
  <c r="C206" i="42"/>
  <c r="D119" i="42"/>
  <c r="C79" i="42"/>
  <c r="D197" i="42"/>
  <c r="D206" i="42"/>
  <c r="C21" i="42"/>
  <c r="D111" i="42"/>
  <c r="C102" i="42"/>
  <c r="D61" i="42"/>
  <c r="C61" i="42"/>
  <c r="D208" i="42" l="1"/>
  <c r="D215" i="42" s="1"/>
  <c r="C208" i="42"/>
  <c r="C212" i="42" s="1"/>
  <c r="C215" i="42" l="1"/>
  <c r="G244" i="157"/>
  <c r="G243" i="157"/>
  <c r="G242" i="157"/>
  <c r="G241" i="157"/>
  <c r="C238" i="157"/>
  <c r="C237" i="157"/>
  <c r="C236" i="157"/>
  <c r="C235" i="157"/>
  <c r="C233" i="157"/>
  <c r="C232" i="157"/>
  <c r="C231" i="157"/>
  <c r="D228" i="157"/>
  <c r="C227" i="157"/>
  <c r="C226" i="157"/>
  <c r="C225" i="157"/>
  <c r="C224" i="157"/>
  <c r="C223" i="157"/>
  <c r="C222" i="157"/>
  <c r="C221" i="157"/>
  <c r="C220" i="157"/>
  <c r="C219" i="157"/>
  <c r="C211" i="157"/>
  <c r="D205" i="157"/>
  <c r="C205" i="157"/>
  <c r="D204" i="157"/>
  <c r="C204" i="157"/>
  <c r="D203" i="157"/>
  <c r="C203" i="157"/>
  <c r="D202" i="157"/>
  <c r="C202" i="157"/>
  <c r="D201" i="157"/>
  <c r="C201" i="157"/>
  <c r="D200" i="157"/>
  <c r="C200" i="157"/>
  <c r="D196" i="157"/>
  <c r="C196" i="157"/>
  <c r="D195" i="157"/>
  <c r="C195" i="157"/>
  <c r="D194" i="157"/>
  <c r="C194" i="157"/>
  <c r="D193" i="157"/>
  <c r="C193" i="157"/>
  <c r="D192" i="157"/>
  <c r="C192" i="157"/>
  <c r="D191" i="157"/>
  <c r="C191" i="157"/>
  <c r="D190" i="157"/>
  <c r="C190" i="157"/>
  <c r="D189" i="157"/>
  <c r="C189" i="157"/>
  <c r="D188" i="157"/>
  <c r="C188" i="157"/>
  <c r="D187" i="157"/>
  <c r="C187" i="157"/>
  <c r="D186" i="157"/>
  <c r="C186" i="157"/>
  <c r="D185" i="157"/>
  <c r="C185" i="157"/>
  <c r="D184" i="157"/>
  <c r="C184" i="157"/>
  <c r="D183" i="157"/>
  <c r="C183" i="157"/>
  <c r="D182" i="157"/>
  <c r="C182" i="157"/>
  <c r="D181" i="157"/>
  <c r="C181" i="157"/>
  <c r="D180" i="157"/>
  <c r="C180" i="157"/>
  <c r="D179" i="157"/>
  <c r="C179" i="157"/>
  <c r="D178" i="157"/>
  <c r="C178" i="157"/>
  <c r="D177" i="157"/>
  <c r="C177" i="157"/>
  <c r="D176" i="157"/>
  <c r="C176" i="157"/>
  <c r="D175" i="157"/>
  <c r="C175" i="157"/>
  <c r="D174" i="157"/>
  <c r="C174" i="157"/>
  <c r="D173" i="157"/>
  <c r="C173" i="157"/>
  <c r="D172" i="157"/>
  <c r="C172" i="157"/>
  <c r="D171" i="157"/>
  <c r="C171" i="157"/>
  <c r="D170" i="157"/>
  <c r="C170" i="157"/>
  <c r="D169" i="157"/>
  <c r="C169" i="157"/>
  <c r="D168" i="157"/>
  <c r="C168" i="157"/>
  <c r="D167" i="157"/>
  <c r="C167" i="157"/>
  <c r="D166" i="157"/>
  <c r="C166" i="157"/>
  <c r="D165" i="157"/>
  <c r="C165" i="157"/>
  <c r="D164" i="157"/>
  <c r="C164" i="157"/>
  <c r="D160" i="157"/>
  <c r="C160" i="157"/>
  <c r="D159" i="157"/>
  <c r="C159" i="157"/>
  <c r="D158" i="157"/>
  <c r="C158" i="157"/>
  <c r="D157" i="157"/>
  <c r="C157" i="157"/>
  <c r="D156" i="157"/>
  <c r="C156" i="157"/>
  <c r="D155" i="157"/>
  <c r="C155" i="157"/>
  <c r="D153" i="157"/>
  <c r="C153" i="157"/>
  <c r="D152" i="157"/>
  <c r="C152" i="157"/>
  <c r="D151" i="157"/>
  <c r="C151" i="157"/>
  <c r="D150" i="157"/>
  <c r="C150" i="157"/>
  <c r="D149" i="157"/>
  <c r="C149" i="157"/>
  <c r="D148" i="157"/>
  <c r="C148" i="157"/>
  <c r="D147" i="157"/>
  <c r="C147" i="157"/>
  <c r="D146" i="157"/>
  <c r="C146" i="157"/>
  <c r="D145" i="157"/>
  <c r="C145" i="157"/>
  <c r="D143" i="157"/>
  <c r="C143" i="157"/>
  <c r="D142" i="157"/>
  <c r="C142" i="157"/>
  <c r="D141" i="157"/>
  <c r="C141" i="157"/>
  <c r="D140" i="157"/>
  <c r="C140" i="157"/>
  <c r="D138" i="157"/>
  <c r="C138" i="157"/>
  <c r="D137" i="157"/>
  <c r="C137" i="157"/>
  <c r="D136" i="157"/>
  <c r="C136" i="157"/>
  <c r="D135" i="157"/>
  <c r="C135" i="157"/>
  <c r="D133" i="157"/>
  <c r="C133" i="157"/>
  <c r="D132" i="157"/>
  <c r="C132" i="157"/>
  <c r="D131" i="157"/>
  <c r="C131" i="157"/>
  <c r="D130" i="157"/>
  <c r="C130" i="157"/>
  <c r="D129" i="157"/>
  <c r="C129" i="157"/>
  <c r="D127" i="157"/>
  <c r="C127" i="157"/>
  <c r="D126" i="157"/>
  <c r="C126" i="157"/>
  <c r="D125" i="157"/>
  <c r="C125" i="157"/>
  <c r="D124" i="157"/>
  <c r="C124" i="157"/>
  <c r="D123" i="157"/>
  <c r="C123" i="157"/>
  <c r="D118" i="157"/>
  <c r="C118" i="157"/>
  <c r="D117" i="157"/>
  <c r="C117" i="157"/>
  <c r="D116" i="157"/>
  <c r="C116" i="157"/>
  <c r="D115" i="157"/>
  <c r="C115" i="157"/>
  <c r="D114" i="157"/>
  <c r="C114" i="157"/>
  <c r="D110" i="157"/>
  <c r="C110" i="157"/>
  <c r="D109" i="157"/>
  <c r="C109" i="157"/>
  <c r="D108" i="157"/>
  <c r="C108" i="157"/>
  <c r="D107" i="157"/>
  <c r="C107" i="157"/>
  <c r="D106" i="157"/>
  <c r="C106" i="157"/>
  <c r="D105" i="157"/>
  <c r="C105" i="157"/>
  <c r="D101" i="157"/>
  <c r="C101" i="157"/>
  <c r="D100" i="157"/>
  <c r="C100" i="157"/>
  <c r="D99" i="157"/>
  <c r="C99" i="157"/>
  <c r="D98" i="157"/>
  <c r="C98" i="157"/>
  <c r="D97" i="157"/>
  <c r="C97" i="157"/>
  <c r="D96" i="157"/>
  <c r="C96" i="157"/>
  <c r="D92" i="157"/>
  <c r="C92" i="157"/>
  <c r="D91" i="157"/>
  <c r="C91" i="157"/>
  <c r="D90" i="157"/>
  <c r="C90" i="157"/>
  <c r="D89" i="157"/>
  <c r="C89" i="157"/>
  <c r="D88" i="157"/>
  <c r="C88" i="157"/>
  <c r="D87" i="157"/>
  <c r="C87" i="157"/>
  <c r="D86" i="157"/>
  <c r="C86" i="157"/>
  <c r="D85" i="157"/>
  <c r="C85" i="157"/>
  <c r="D84" i="157"/>
  <c r="C84" i="157"/>
  <c r="D83" i="157"/>
  <c r="C83" i="157"/>
  <c r="D82" i="157"/>
  <c r="C82" i="157"/>
  <c r="D78" i="157"/>
  <c r="C78" i="157"/>
  <c r="D77" i="157"/>
  <c r="C77" i="157"/>
  <c r="D76" i="157"/>
  <c r="C76" i="157"/>
  <c r="D75" i="157"/>
  <c r="C75" i="157"/>
  <c r="D74" i="157"/>
  <c r="C74" i="157"/>
  <c r="D73" i="157"/>
  <c r="C73" i="157"/>
  <c r="D72" i="157"/>
  <c r="C72" i="157"/>
  <c r="D71" i="157"/>
  <c r="C71" i="157"/>
  <c r="D70" i="157"/>
  <c r="C70" i="157"/>
  <c r="D69" i="157"/>
  <c r="C69" i="157"/>
  <c r="D68" i="157"/>
  <c r="C68" i="157"/>
  <c r="D67" i="157"/>
  <c r="C67" i="157"/>
  <c r="D66" i="157"/>
  <c r="C66" i="157"/>
  <c r="D65" i="157"/>
  <c r="C65" i="157"/>
  <c r="D64" i="157"/>
  <c r="C64" i="157"/>
  <c r="D60" i="157"/>
  <c r="C60" i="157"/>
  <c r="D59" i="157"/>
  <c r="C59" i="157"/>
  <c r="D58" i="157"/>
  <c r="C58" i="157"/>
  <c r="D57" i="157"/>
  <c r="C57" i="157"/>
  <c r="D56" i="157"/>
  <c r="C56" i="157"/>
  <c r="D55" i="157"/>
  <c r="C55" i="157"/>
  <c r="D54" i="157"/>
  <c r="C54" i="157"/>
  <c r="D53" i="157"/>
  <c r="C53" i="157"/>
  <c r="D52" i="157"/>
  <c r="C52" i="157"/>
  <c r="D51" i="157"/>
  <c r="C51" i="157"/>
  <c r="D50" i="157"/>
  <c r="C50" i="157"/>
  <c r="D49" i="157"/>
  <c r="C49" i="157"/>
  <c r="D48" i="157"/>
  <c r="C48" i="157"/>
  <c r="D47" i="157"/>
  <c r="C47" i="157"/>
  <c r="D46" i="157"/>
  <c r="C46" i="157"/>
  <c r="D45" i="157"/>
  <c r="C45" i="157"/>
  <c r="D44" i="157"/>
  <c r="C44" i="157"/>
  <c r="D43" i="157"/>
  <c r="C43" i="157"/>
  <c r="D42" i="157"/>
  <c r="C42" i="157"/>
  <c r="D41" i="157"/>
  <c r="C41" i="157"/>
  <c r="D40" i="157"/>
  <c r="C40" i="157"/>
  <c r="D39" i="157"/>
  <c r="C39" i="157"/>
  <c r="D38" i="157"/>
  <c r="C38" i="157"/>
  <c r="D37" i="157"/>
  <c r="C37" i="157"/>
  <c r="D36" i="157"/>
  <c r="C36" i="157"/>
  <c r="D35" i="157"/>
  <c r="C35" i="157"/>
  <c r="D34" i="157"/>
  <c r="C34" i="157"/>
  <c r="D33" i="157"/>
  <c r="C33" i="157"/>
  <c r="D32" i="157"/>
  <c r="C32" i="157"/>
  <c r="D31" i="157"/>
  <c r="C31" i="157"/>
  <c r="D30" i="157"/>
  <c r="C30" i="157"/>
  <c r="D29" i="157"/>
  <c r="C29" i="157"/>
  <c r="D28" i="157"/>
  <c r="C28" i="157"/>
  <c r="D27" i="157"/>
  <c r="C27" i="157"/>
  <c r="D26" i="157"/>
  <c r="C26" i="157"/>
  <c r="D25" i="157"/>
  <c r="C25" i="157"/>
  <c r="D20" i="157"/>
  <c r="C20" i="157"/>
  <c r="D19" i="157"/>
  <c r="C19" i="157"/>
  <c r="D18" i="157"/>
  <c r="C18" i="157"/>
  <c r="D17" i="157"/>
  <c r="C17" i="157"/>
  <c r="D16" i="157"/>
  <c r="C16" i="157"/>
  <c r="D15" i="157"/>
  <c r="C15" i="157"/>
  <c r="D14" i="157"/>
  <c r="C14" i="157"/>
  <c r="D13" i="157"/>
  <c r="C13" i="157"/>
  <c r="D12" i="157"/>
  <c r="C12" i="157"/>
  <c r="D11" i="157"/>
  <c r="C11" i="157"/>
  <c r="C21" i="157" l="1"/>
  <c r="D119" i="157"/>
  <c r="C161" i="157"/>
  <c r="D21" i="157"/>
  <c r="C93" i="157"/>
  <c r="C206" i="157"/>
  <c r="C119" i="157"/>
  <c r="D111" i="157"/>
  <c r="D61" i="157"/>
  <c r="D93" i="157"/>
  <c r="D161" i="157"/>
  <c r="D102" i="157"/>
  <c r="C102" i="157"/>
  <c r="C197" i="157"/>
  <c r="C228" i="157"/>
  <c r="C79" i="157"/>
  <c r="C111" i="157"/>
  <c r="D79" i="157"/>
  <c r="D197" i="157"/>
  <c r="D206" i="157"/>
  <c r="C61" i="157"/>
  <c r="C208" i="157" l="1"/>
  <c r="C212" i="157" s="1"/>
  <c r="D208" i="157"/>
  <c r="D215" i="157" s="1"/>
  <c r="C215" i="157" l="1"/>
  <c r="K200" i="159"/>
  <c r="J200" i="159"/>
  <c r="K137" i="159"/>
  <c r="K136" i="159"/>
  <c r="K135" i="159"/>
  <c r="J137" i="159"/>
  <c r="J136" i="159"/>
  <c r="J135" i="159"/>
  <c r="K126" i="159"/>
  <c r="J126" i="159"/>
  <c r="K124" i="159" l="1"/>
  <c r="J124" i="159"/>
  <c r="K114" i="159"/>
  <c r="J114" i="159"/>
  <c r="K105" i="159"/>
  <c r="J105" i="159"/>
  <c r="K96" i="159"/>
  <c r="J96" i="159"/>
  <c r="K82" i="159"/>
  <c r="J82" i="159"/>
  <c r="K27" i="159"/>
  <c r="J27" i="159"/>
  <c r="C238" i="159" l="1"/>
  <c r="C237" i="159"/>
  <c r="C236" i="159"/>
  <c r="C235" i="159"/>
  <c r="C233" i="159"/>
  <c r="C232" i="159"/>
  <c r="C231" i="159"/>
  <c r="D228" i="159"/>
  <c r="C227" i="159"/>
  <c r="C226" i="159"/>
  <c r="C225" i="159"/>
  <c r="C224" i="159"/>
  <c r="C223" i="159"/>
  <c r="C222" i="159"/>
  <c r="C221" i="159"/>
  <c r="C220" i="159"/>
  <c r="C219" i="159"/>
  <c r="C211" i="159"/>
  <c r="D205" i="159"/>
  <c r="C205" i="159"/>
  <c r="D204" i="159"/>
  <c r="C204" i="159"/>
  <c r="D203" i="159"/>
  <c r="C203" i="159"/>
  <c r="D202" i="159"/>
  <c r="C202" i="159"/>
  <c r="D201" i="159"/>
  <c r="C201" i="159"/>
  <c r="D200" i="159"/>
  <c r="C200" i="159"/>
  <c r="D196" i="159"/>
  <c r="C196" i="159"/>
  <c r="D195" i="159"/>
  <c r="C195" i="159"/>
  <c r="D194" i="159"/>
  <c r="C194" i="159"/>
  <c r="D193" i="159"/>
  <c r="C193" i="159"/>
  <c r="D192" i="159"/>
  <c r="C192" i="159"/>
  <c r="D191" i="159"/>
  <c r="C191" i="159"/>
  <c r="D190" i="159"/>
  <c r="C190" i="159"/>
  <c r="D189" i="159"/>
  <c r="C189" i="159"/>
  <c r="D188" i="159"/>
  <c r="C188" i="159"/>
  <c r="D187" i="159"/>
  <c r="C187" i="159"/>
  <c r="D186" i="159"/>
  <c r="C186" i="159"/>
  <c r="D185" i="159"/>
  <c r="C185" i="159"/>
  <c r="D184" i="159"/>
  <c r="C184" i="159"/>
  <c r="D183" i="159"/>
  <c r="C183" i="159"/>
  <c r="D182" i="159"/>
  <c r="C182" i="159"/>
  <c r="D181" i="159"/>
  <c r="C181" i="159"/>
  <c r="D180" i="159"/>
  <c r="C180" i="159"/>
  <c r="D179" i="159"/>
  <c r="C179" i="159"/>
  <c r="D178" i="159"/>
  <c r="C178" i="159"/>
  <c r="D177" i="159"/>
  <c r="C177" i="159"/>
  <c r="D176" i="159"/>
  <c r="C176" i="159"/>
  <c r="D175" i="159"/>
  <c r="C175" i="159"/>
  <c r="D174" i="159"/>
  <c r="C174" i="159"/>
  <c r="D173" i="159"/>
  <c r="C173" i="159"/>
  <c r="D172" i="159"/>
  <c r="C172" i="159"/>
  <c r="D171" i="159"/>
  <c r="C171" i="159"/>
  <c r="D170" i="159"/>
  <c r="C170" i="159"/>
  <c r="D169" i="159"/>
  <c r="C169" i="159"/>
  <c r="D168" i="159"/>
  <c r="C168" i="159"/>
  <c r="D167" i="159"/>
  <c r="C167" i="159"/>
  <c r="D166" i="159"/>
  <c r="C166" i="159"/>
  <c r="D165" i="159"/>
  <c r="C165" i="159"/>
  <c r="D164" i="159"/>
  <c r="C164" i="159"/>
  <c r="D160" i="159"/>
  <c r="C160" i="159"/>
  <c r="D159" i="159"/>
  <c r="C159" i="159"/>
  <c r="D158" i="159"/>
  <c r="C158" i="159"/>
  <c r="D157" i="159"/>
  <c r="C157" i="159"/>
  <c r="D156" i="159"/>
  <c r="C156" i="159"/>
  <c r="D155" i="159"/>
  <c r="C155" i="159"/>
  <c r="D153" i="159"/>
  <c r="C153" i="159"/>
  <c r="D152" i="159"/>
  <c r="C152" i="159"/>
  <c r="D151" i="159"/>
  <c r="C151" i="159"/>
  <c r="D150" i="159"/>
  <c r="C150" i="159"/>
  <c r="D149" i="159"/>
  <c r="C149" i="159"/>
  <c r="D148" i="159"/>
  <c r="C148" i="159"/>
  <c r="D147" i="159"/>
  <c r="C147" i="159"/>
  <c r="D146" i="159"/>
  <c r="C146" i="159"/>
  <c r="D145" i="159"/>
  <c r="C145" i="159"/>
  <c r="D143" i="159"/>
  <c r="C143" i="159"/>
  <c r="D142" i="159"/>
  <c r="C142" i="159"/>
  <c r="D141" i="159"/>
  <c r="C141" i="159"/>
  <c r="D140" i="159"/>
  <c r="C140" i="159"/>
  <c r="D138" i="159"/>
  <c r="C138" i="159"/>
  <c r="D137" i="159"/>
  <c r="C137" i="159"/>
  <c r="D136" i="159"/>
  <c r="C136" i="159"/>
  <c r="D135" i="159"/>
  <c r="C135" i="159"/>
  <c r="D133" i="159"/>
  <c r="C133" i="159"/>
  <c r="D132" i="159"/>
  <c r="C132" i="159"/>
  <c r="D131" i="159"/>
  <c r="C131" i="159"/>
  <c r="D130" i="159"/>
  <c r="C130" i="159"/>
  <c r="D129" i="159"/>
  <c r="C129" i="159"/>
  <c r="D127" i="159"/>
  <c r="C127" i="159"/>
  <c r="D126" i="159"/>
  <c r="C126" i="159"/>
  <c r="D125" i="159"/>
  <c r="C125" i="159"/>
  <c r="D124" i="159"/>
  <c r="C124" i="159"/>
  <c r="D123" i="159"/>
  <c r="C123" i="159"/>
  <c r="D118" i="159"/>
  <c r="C118" i="159"/>
  <c r="D117" i="159"/>
  <c r="C117" i="159"/>
  <c r="D116" i="159"/>
  <c r="C116" i="159"/>
  <c r="D115" i="159"/>
  <c r="C115" i="159"/>
  <c r="D114" i="159"/>
  <c r="C114" i="159"/>
  <c r="D110" i="159"/>
  <c r="C110" i="159"/>
  <c r="D109" i="159"/>
  <c r="C109" i="159"/>
  <c r="D108" i="159"/>
  <c r="C108" i="159"/>
  <c r="D107" i="159"/>
  <c r="C107" i="159"/>
  <c r="D106" i="159"/>
  <c r="C106" i="159"/>
  <c r="D105" i="159"/>
  <c r="C105" i="159"/>
  <c r="D101" i="159"/>
  <c r="C101" i="159"/>
  <c r="D100" i="159"/>
  <c r="C100" i="159"/>
  <c r="D99" i="159"/>
  <c r="C99" i="159"/>
  <c r="D98" i="159"/>
  <c r="C98" i="159"/>
  <c r="D97" i="159"/>
  <c r="C97" i="159"/>
  <c r="D96" i="159"/>
  <c r="C96" i="159"/>
  <c r="D92" i="159"/>
  <c r="C92" i="159"/>
  <c r="D91" i="159"/>
  <c r="C91" i="159"/>
  <c r="D90" i="159"/>
  <c r="C90" i="159"/>
  <c r="D89" i="159"/>
  <c r="C89" i="159"/>
  <c r="D88" i="159"/>
  <c r="C88" i="159"/>
  <c r="D87" i="159"/>
  <c r="C87" i="159"/>
  <c r="D86" i="159"/>
  <c r="C86" i="159"/>
  <c r="D85" i="159"/>
  <c r="C85" i="159"/>
  <c r="D84" i="159"/>
  <c r="C84" i="159"/>
  <c r="D83" i="159"/>
  <c r="C83" i="159"/>
  <c r="D82" i="159"/>
  <c r="C82" i="159"/>
  <c r="D78" i="159"/>
  <c r="C78" i="159"/>
  <c r="D77" i="159"/>
  <c r="C77" i="159"/>
  <c r="D76" i="159"/>
  <c r="C76" i="159"/>
  <c r="D75" i="159"/>
  <c r="C75" i="159"/>
  <c r="D74" i="159"/>
  <c r="C74" i="159"/>
  <c r="D73" i="159"/>
  <c r="C73" i="159"/>
  <c r="D72" i="159"/>
  <c r="C72" i="159"/>
  <c r="D71" i="159"/>
  <c r="C71" i="159"/>
  <c r="D70" i="159"/>
  <c r="C70" i="159"/>
  <c r="D69" i="159"/>
  <c r="C69" i="159"/>
  <c r="D68" i="159"/>
  <c r="C68" i="159"/>
  <c r="D67" i="159"/>
  <c r="C67" i="159"/>
  <c r="D66" i="159"/>
  <c r="C66" i="159"/>
  <c r="D65" i="159"/>
  <c r="C65" i="159"/>
  <c r="D64" i="159"/>
  <c r="C64" i="159"/>
  <c r="D60" i="159"/>
  <c r="C60" i="159"/>
  <c r="D59" i="159"/>
  <c r="C59" i="159"/>
  <c r="D58" i="159"/>
  <c r="C58" i="159"/>
  <c r="D57" i="159"/>
  <c r="C57" i="159"/>
  <c r="D56" i="159"/>
  <c r="C56" i="159"/>
  <c r="D55" i="159"/>
  <c r="C55" i="159"/>
  <c r="D54" i="159"/>
  <c r="C54" i="159"/>
  <c r="D53" i="159"/>
  <c r="C53" i="159"/>
  <c r="D52" i="159"/>
  <c r="C52" i="159"/>
  <c r="D51" i="159"/>
  <c r="C51" i="159"/>
  <c r="D50" i="159"/>
  <c r="C50" i="159"/>
  <c r="D49" i="159"/>
  <c r="C49" i="159"/>
  <c r="D48" i="159"/>
  <c r="C48" i="159"/>
  <c r="D47" i="159"/>
  <c r="C47" i="159"/>
  <c r="D46" i="159"/>
  <c r="C46" i="159"/>
  <c r="D45" i="159"/>
  <c r="C45" i="159"/>
  <c r="D44" i="159"/>
  <c r="C44" i="159"/>
  <c r="D43" i="159"/>
  <c r="C43" i="159"/>
  <c r="D42" i="159"/>
  <c r="C42" i="159"/>
  <c r="D41" i="159"/>
  <c r="C41" i="159"/>
  <c r="D40" i="159"/>
  <c r="C40" i="159"/>
  <c r="D39" i="159"/>
  <c r="C39" i="159"/>
  <c r="D38" i="159"/>
  <c r="C38" i="159"/>
  <c r="D37" i="159"/>
  <c r="C37" i="159"/>
  <c r="D36" i="159"/>
  <c r="C36" i="159"/>
  <c r="D35" i="159"/>
  <c r="C35" i="159"/>
  <c r="D34" i="159"/>
  <c r="C34" i="159"/>
  <c r="D33" i="159"/>
  <c r="C33" i="159"/>
  <c r="D32" i="159"/>
  <c r="C32" i="159"/>
  <c r="D31" i="159"/>
  <c r="C31" i="159"/>
  <c r="D30" i="159"/>
  <c r="C30" i="159"/>
  <c r="D29" i="159"/>
  <c r="C29" i="159"/>
  <c r="D28" i="159"/>
  <c r="C28" i="159"/>
  <c r="D27" i="159"/>
  <c r="C27" i="159"/>
  <c r="D26" i="159"/>
  <c r="C26" i="159"/>
  <c r="D25" i="159"/>
  <c r="C25" i="159"/>
  <c r="D20" i="159"/>
  <c r="C20" i="159"/>
  <c r="D19" i="159"/>
  <c r="C19" i="159"/>
  <c r="D18" i="159"/>
  <c r="C18" i="159"/>
  <c r="D17" i="159"/>
  <c r="C17" i="159"/>
  <c r="D16" i="159"/>
  <c r="C16" i="159"/>
  <c r="D15" i="159"/>
  <c r="C15" i="159"/>
  <c r="D14" i="159"/>
  <c r="C14" i="159"/>
  <c r="D13" i="159"/>
  <c r="C13" i="159"/>
  <c r="D12" i="159"/>
  <c r="C12" i="159"/>
  <c r="D11" i="159"/>
  <c r="C11" i="159"/>
  <c r="D197" i="159" l="1"/>
  <c r="D79" i="159"/>
  <c r="C79" i="159"/>
  <c r="C111" i="159"/>
  <c r="C21" i="159"/>
  <c r="D21" i="159"/>
  <c r="D102" i="159"/>
  <c r="D119" i="159"/>
  <c r="D111" i="159"/>
  <c r="C102" i="159"/>
  <c r="C93" i="159"/>
  <c r="C119" i="159"/>
  <c r="C161" i="159"/>
  <c r="C197" i="159"/>
  <c r="C206" i="159"/>
  <c r="D206" i="159"/>
  <c r="D93" i="159"/>
  <c r="D161" i="159"/>
  <c r="C228" i="159"/>
  <c r="C61" i="159"/>
  <c r="D61" i="159"/>
  <c r="C208" i="159" l="1"/>
  <c r="C212" i="159" s="1"/>
  <c r="D208" i="159"/>
  <c r="D215" i="159" s="1"/>
  <c r="C215" i="159" l="1"/>
  <c r="C238" i="158"/>
  <c r="C237" i="158"/>
  <c r="C236" i="158"/>
  <c r="C235" i="158"/>
  <c r="C233" i="158"/>
  <c r="C232" i="158"/>
  <c r="C231" i="158"/>
  <c r="D228" i="158"/>
  <c r="C227" i="158"/>
  <c r="C226" i="158"/>
  <c r="C225" i="158"/>
  <c r="C224" i="158"/>
  <c r="C223" i="158"/>
  <c r="C222" i="158"/>
  <c r="C221" i="158"/>
  <c r="C220" i="158"/>
  <c r="C219" i="158"/>
  <c r="C211" i="158"/>
  <c r="D205" i="158"/>
  <c r="C205" i="158"/>
  <c r="D204" i="158"/>
  <c r="C204" i="158"/>
  <c r="D203" i="158"/>
  <c r="C203" i="158"/>
  <c r="D202" i="158"/>
  <c r="C202" i="158"/>
  <c r="D201" i="158"/>
  <c r="C201" i="158"/>
  <c r="D200" i="158"/>
  <c r="C200" i="158"/>
  <c r="D196" i="158"/>
  <c r="C196" i="158"/>
  <c r="D195" i="158"/>
  <c r="C195" i="158"/>
  <c r="D194" i="158"/>
  <c r="C194" i="158"/>
  <c r="D193" i="158"/>
  <c r="C193" i="158"/>
  <c r="D192" i="158"/>
  <c r="C192" i="158"/>
  <c r="D191" i="158"/>
  <c r="C191" i="158"/>
  <c r="D190" i="158"/>
  <c r="C190" i="158"/>
  <c r="D189" i="158"/>
  <c r="C189" i="158"/>
  <c r="D188" i="158"/>
  <c r="C188" i="158"/>
  <c r="D187" i="158"/>
  <c r="C187" i="158"/>
  <c r="D186" i="158"/>
  <c r="C186" i="158"/>
  <c r="D185" i="158"/>
  <c r="C185" i="158"/>
  <c r="D184" i="158"/>
  <c r="C184" i="158"/>
  <c r="D183" i="158"/>
  <c r="C183" i="158"/>
  <c r="D182" i="158"/>
  <c r="C182" i="158"/>
  <c r="D181" i="158"/>
  <c r="C181" i="158"/>
  <c r="D180" i="158"/>
  <c r="C180" i="158"/>
  <c r="D179" i="158"/>
  <c r="C179" i="158"/>
  <c r="D178" i="158"/>
  <c r="C178" i="158"/>
  <c r="D177" i="158"/>
  <c r="C177" i="158"/>
  <c r="D176" i="158"/>
  <c r="C176" i="158"/>
  <c r="D175" i="158"/>
  <c r="C175" i="158"/>
  <c r="D174" i="158"/>
  <c r="C174" i="158"/>
  <c r="D173" i="158"/>
  <c r="C173" i="158"/>
  <c r="D172" i="158"/>
  <c r="C172" i="158"/>
  <c r="D171" i="158"/>
  <c r="C171" i="158"/>
  <c r="D170" i="158"/>
  <c r="C170" i="158"/>
  <c r="D169" i="158"/>
  <c r="C169" i="158"/>
  <c r="D168" i="158"/>
  <c r="C168" i="158"/>
  <c r="D167" i="158"/>
  <c r="C167" i="158"/>
  <c r="D166" i="158"/>
  <c r="C166" i="158"/>
  <c r="D165" i="158"/>
  <c r="C165" i="158"/>
  <c r="D164" i="158"/>
  <c r="C164" i="158"/>
  <c r="D160" i="158"/>
  <c r="C160" i="158"/>
  <c r="D159" i="158"/>
  <c r="C159" i="158"/>
  <c r="D158" i="158"/>
  <c r="C158" i="158"/>
  <c r="D157" i="158"/>
  <c r="C157" i="158"/>
  <c r="D156" i="158"/>
  <c r="C156" i="158"/>
  <c r="D155" i="158"/>
  <c r="C155" i="158"/>
  <c r="D153" i="158"/>
  <c r="C153" i="158"/>
  <c r="D152" i="158"/>
  <c r="C152" i="158"/>
  <c r="D151" i="158"/>
  <c r="C151" i="158"/>
  <c r="D150" i="158"/>
  <c r="C150" i="158"/>
  <c r="D149" i="158"/>
  <c r="C149" i="158"/>
  <c r="D148" i="158"/>
  <c r="C148" i="158"/>
  <c r="D147" i="158"/>
  <c r="C147" i="158"/>
  <c r="D146" i="158"/>
  <c r="C146" i="158"/>
  <c r="D145" i="158"/>
  <c r="C145" i="158"/>
  <c r="D143" i="158"/>
  <c r="C143" i="158"/>
  <c r="D142" i="158"/>
  <c r="C142" i="158"/>
  <c r="D141" i="158"/>
  <c r="C141" i="158"/>
  <c r="D140" i="158"/>
  <c r="C140" i="158"/>
  <c r="D138" i="158"/>
  <c r="C138" i="158"/>
  <c r="D137" i="158"/>
  <c r="C137" i="158"/>
  <c r="D136" i="158"/>
  <c r="C136" i="158"/>
  <c r="D135" i="158"/>
  <c r="C135" i="158"/>
  <c r="D133" i="158"/>
  <c r="C133" i="158"/>
  <c r="D132" i="158"/>
  <c r="C132" i="158"/>
  <c r="D131" i="158"/>
  <c r="C131" i="158"/>
  <c r="D130" i="158"/>
  <c r="C130" i="158"/>
  <c r="D129" i="158"/>
  <c r="C129" i="158"/>
  <c r="D127" i="158"/>
  <c r="C127" i="158"/>
  <c r="D126" i="158"/>
  <c r="C126" i="158"/>
  <c r="D125" i="158"/>
  <c r="C125" i="158"/>
  <c r="D124" i="158"/>
  <c r="C124" i="158"/>
  <c r="D123" i="158"/>
  <c r="C123" i="158"/>
  <c r="D118" i="158"/>
  <c r="C118" i="158"/>
  <c r="D117" i="158"/>
  <c r="C117" i="158"/>
  <c r="D116" i="158"/>
  <c r="C116" i="158"/>
  <c r="D115" i="158"/>
  <c r="C115" i="158"/>
  <c r="D114" i="158"/>
  <c r="C114" i="158"/>
  <c r="D110" i="158"/>
  <c r="C110" i="158"/>
  <c r="D109" i="158"/>
  <c r="C109" i="158"/>
  <c r="D108" i="158"/>
  <c r="C108" i="158"/>
  <c r="D107" i="158"/>
  <c r="C107" i="158"/>
  <c r="D106" i="158"/>
  <c r="C106" i="158"/>
  <c r="D105" i="158"/>
  <c r="C105" i="158"/>
  <c r="D101" i="158"/>
  <c r="C101" i="158"/>
  <c r="D100" i="158"/>
  <c r="C100" i="158"/>
  <c r="D99" i="158"/>
  <c r="C99" i="158"/>
  <c r="D98" i="158"/>
  <c r="C98" i="158"/>
  <c r="D97" i="158"/>
  <c r="C97" i="158"/>
  <c r="D96" i="158"/>
  <c r="C96" i="158"/>
  <c r="D92" i="158"/>
  <c r="C92" i="158"/>
  <c r="D91" i="158"/>
  <c r="C91" i="158"/>
  <c r="D90" i="158"/>
  <c r="C90" i="158"/>
  <c r="D89" i="158"/>
  <c r="C89" i="158"/>
  <c r="D88" i="158"/>
  <c r="C88" i="158"/>
  <c r="D87" i="158"/>
  <c r="C87" i="158"/>
  <c r="D86" i="158"/>
  <c r="C86" i="158"/>
  <c r="D85" i="158"/>
  <c r="C85" i="158"/>
  <c r="D84" i="158"/>
  <c r="C84" i="158"/>
  <c r="D83" i="158"/>
  <c r="C83" i="158"/>
  <c r="D82" i="158"/>
  <c r="C82" i="158"/>
  <c r="D78" i="158"/>
  <c r="C78" i="158"/>
  <c r="D77" i="158"/>
  <c r="C77" i="158"/>
  <c r="D76" i="158"/>
  <c r="C76" i="158"/>
  <c r="D75" i="158"/>
  <c r="C75" i="158"/>
  <c r="D74" i="158"/>
  <c r="C74" i="158"/>
  <c r="D73" i="158"/>
  <c r="C73" i="158"/>
  <c r="D72" i="158"/>
  <c r="C72" i="158"/>
  <c r="D71" i="158"/>
  <c r="C71" i="158"/>
  <c r="D70" i="158"/>
  <c r="C70" i="158"/>
  <c r="D69" i="158"/>
  <c r="C69" i="158"/>
  <c r="D68" i="158"/>
  <c r="C68" i="158"/>
  <c r="D67" i="158"/>
  <c r="C67" i="158"/>
  <c r="D66" i="158"/>
  <c r="C66" i="158"/>
  <c r="D65" i="158"/>
  <c r="C65" i="158"/>
  <c r="D64" i="158"/>
  <c r="C64" i="158"/>
  <c r="D60" i="158"/>
  <c r="C60" i="158"/>
  <c r="D59" i="158"/>
  <c r="C59" i="158"/>
  <c r="D58" i="158"/>
  <c r="C58" i="158"/>
  <c r="D57" i="158"/>
  <c r="C57" i="158"/>
  <c r="D56" i="158"/>
  <c r="C56" i="158"/>
  <c r="D55" i="158"/>
  <c r="C55" i="158"/>
  <c r="D54" i="158"/>
  <c r="C54" i="158"/>
  <c r="D53" i="158"/>
  <c r="C53" i="158"/>
  <c r="D52" i="158"/>
  <c r="C52" i="158"/>
  <c r="D51" i="158"/>
  <c r="C51" i="158"/>
  <c r="D50" i="158"/>
  <c r="C50" i="158"/>
  <c r="D49" i="158"/>
  <c r="C49" i="158"/>
  <c r="D48" i="158"/>
  <c r="C48" i="158"/>
  <c r="D47" i="158"/>
  <c r="C47" i="158"/>
  <c r="D46" i="158"/>
  <c r="C46" i="158"/>
  <c r="D45" i="158"/>
  <c r="C45" i="158"/>
  <c r="D44" i="158"/>
  <c r="C44" i="158"/>
  <c r="D43" i="158"/>
  <c r="C43" i="158"/>
  <c r="D42" i="158"/>
  <c r="C42" i="158"/>
  <c r="D41" i="158"/>
  <c r="C41" i="158"/>
  <c r="D40" i="158"/>
  <c r="C40" i="158"/>
  <c r="D39" i="158"/>
  <c r="C39" i="158"/>
  <c r="D38" i="158"/>
  <c r="C38" i="158"/>
  <c r="D37" i="158"/>
  <c r="C37" i="158"/>
  <c r="D36" i="158"/>
  <c r="C36" i="158"/>
  <c r="D35" i="158"/>
  <c r="C35" i="158"/>
  <c r="D34" i="158"/>
  <c r="C34" i="158"/>
  <c r="D33" i="158"/>
  <c r="C33" i="158"/>
  <c r="D32" i="158"/>
  <c r="C32" i="158"/>
  <c r="D31" i="158"/>
  <c r="C31" i="158"/>
  <c r="D30" i="158"/>
  <c r="C30" i="158"/>
  <c r="D29" i="158"/>
  <c r="C29" i="158"/>
  <c r="D28" i="158"/>
  <c r="C28" i="158"/>
  <c r="D27" i="158"/>
  <c r="C27" i="158"/>
  <c r="D26" i="158"/>
  <c r="C26" i="158"/>
  <c r="D25" i="158"/>
  <c r="C25" i="158"/>
  <c r="D20" i="158"/>
  <c r="C20" i="158"/>
  <c r="D19" i="158"/>
  <c r="C19" i="158"/>
  <c r="D18" i="158"/>
  <c r="C18" i="158"/>
  <c r="D17" i="158"/>
  <c r="C17" i="158"/>
  <c r="D16" i="158"/>
  <c r="C16" i="158"/>
  <c r="D15" i="158"/>
  <c r="C15" i="158"/>
  <c r="D14" i="158"/>
  <c r="C14" i="158"/>
  <c r="D13" i="158"/>
  <c r="C13" i="158"/>
  <c r="D12" i="158"/>
  <c r="C12" i="158"/>
  <c r="D11" i="158"/>
  <c r="C11" i="158"/>
  <c r="D61" i="158" l="1"/>
  <c r="D111" i="158"/>
  <c r="C119" i="158"/>
  <c r="C206" i="158"/>
  <c r="C93" i="158"/>
  <c r="C102" i="158"/>
  <c r="D197" i="158"/>
  <c r="D206" i="158"/>
  <c r="D21" i="158"/>
  <c r="D93" i="158"/>
  <c r="D102" i="158"/>
  <c r="C21" i="158"/>
  <c r="D79" i="158"/>
  <c r="D119" i="158"/>
  <c r="C161" i="158"/>
  <c r="C197" i="158"/>
  <c r="C79" i="158"/>
  <c r="C111" i="158"/>
  <c r="D161" i="158"/>
  <c r="C228" i="158"/>
  <c r="C61" i="158"/>
  <c r="D208" i="158" l="1"/>
  <c r="D215" i="158" s="1"/>
  <c r="C208" i="158"/>
  <c r="C212" i="158" s="1"/>
  <c r="C215" i="158" l="1"/>
  <c r="G244" i="16"/>
  <c r="G243" i="16"/>
  <c r="G242" i="16"/>
  <c r="G241" i="16"/>
  <c r="C238" i="16"/>
  <c r="C237" i="16"/>
  <c r="C236" i="16"/>
  <c r="C235" i="16"/>
  <c r="C233" i="16"/>
  <c r="C232" i="16"/>
  <c r="C231" i="16"/>
  <c r="D228" i="16"/>
  <c r="C227" i="16"/>
  <c r="C226" i="16"/>
  <c r="C225" i="16"/>
  <c r="C224" i="16"/>
  <c r="C223" i="16"/>
  <c r="C222" i="16"/>
  <c r="C221" i="16"/>
  <c r="C220" i="16"/>
  <c r="C219" i="16"/>
  <c r="C211" i="16"/>
  <c r="D205" i="16"/>
  <c r="C205" i="16"/>
  <c r="D204" i="16"/>
  <c r="C204" i="16"/>
  <c r="D203" i="16"/>
  <c r="C203" i="16"/>
  <c r="D202" i="16"/>
  <c r="C202" i="16"/>
  <c r="D201" i="16"/>
  <c r="C201" i="16"/>
  <c r="D200" i="16"/>
  <c r="C200" i="16"/>
  <c r="D196" i="16"/>
  <c r="C196" i="16"/>
  <c r="D195" i="16"/>
  <c r="C195" i="16"/>
  <c r="D194" i="16"/>
  <c r="C194" i="16"/>
  <c r="D193" i="16"/>
  <c r="C193" i="16"/>
  <c r="D192" i="16"/>
  <c r="C192" i="16"/>
  <c r="D191" i="16"/>
  <c r="C191" i="16"/>
  <c r="D190" i="16"/>
  <c r="C190" i="16"/>
  <c r="D189" i="16"/>
  <c r="C189" i="16"/>
  <c r="D188" i="16"/>
  <c r="C188" i="16"/>
  <c r="D187" i="16"/>
  <c r="C187" i="16"/>
  <c r="D186" i="16"/>
  <c r="C186" i="16"/>
  <c r="D185" i="16"/>
  <c r="C185" i="16"/>
  <c r="D184" i="16"/>
  <c r="C184" i="16"/>
  <c r="D183" i="16"/>
  <c r="C183" i="16"/>
  <c r="D182" i="16"/>
  <c r="C182" i="16"/>
  <c r="D181" i="16"/>
  <c r="C181" i="16"/>
  <c r="D180" i="16"/>
  <c r="C180" i="16"/>
  <c r="D179" i="16"/>
  <c r="C179" i="16"/>
  <c r="D178" i="16"/>
  <c r="C178" i="16"/>
  <c r="D177" i="16"/>
  <c r="C177" i="16"/>
  <c r="D176" i="16"/>
  <c r="C176" i="16"/>
  <c r="D175" i="16"/>
  <c r="C175" i="16"/>
  <c r="D174" i="16"/>
  <c r="C174" i="16"/>
  <c r="D173" i="16"/>
  <c r="C173" i="16"/>
  <c r="D172" i="16"/>
  <c r="C172" i="16"/>
  <c r="D171" i="16"/>
  <c r="C171" i="16"/>
  <c r="D170" i="16"/>
  <c r="C170" i="16"/>
  <c r="D169" i="16"/>
  <c r="C169" i="16"/>
  <c r="D168" i="16"/>
  <c r="C168" i="16"/>
  <c r="D167" i="16"/>
  <c r="C167" i="16"/>
  <c r="D166" i="16"/>
  <c r="C166" i="16"/>
  <c r="D165" i="16"/>
  <c r="C165" i="16"/>
  <c r="D164" i="16"/>
  <c r="C164" i="16"/>
  <c r="D160" i="16"/>
  <c r="C160" i="16"/>
  <c r="D159" i="16"/>
  <c r="C159" i="16"/>
  <c r="D158" i="16"/>
  <c r="C158" i="16"/>
  <c r="D157" i="16"/>
  <c r="C157" i="16"/>
  <c r="D156" i="16"/>
  <c r="C156" i="16"/>
  <c r="D155" i="16"/>
  <c r="C155" i="16"/>
  <c r="D153" i="16"/>
  <c r="C153" i="16"/>
  <c r="D152" i="16"/>
  <c r="C152" i="16"/>
  <c r="D151" i="16"/>
  <c r="C151" i="16"/>
  <c r="D150" i="16"/>
  <c r="C150" i="16"/>
  <c r="D149" i="16"/>
  <c r="C149" i="16"/>
  <c r="D148" i="16"/>
  <c r="C148" i="16"/>
  <c r="D147" i="16"/>
  <c r="C147" i="16"/>
  <c r="D146" i="16"/>
  <c r="C146" i="16"/>
  <c r="D145" i="16"/>
  <c r="C145" i="16"/>
  <c r="D143" i="16"/>
  <c r="C143" i="16"/>
  <c r="D142" i="16"/>
  <c r="C142" i="16"/>
  <c r="D141" i="16"/>
  <c r="C141" i="16"/>
  <c r="D140" i="16"/>
  <c r="C140" i="16"/>
  <c r="D138" i="16"/>
  <c r="C138" i="16"/>
  <c r="D137" i="16"/>
  <c r="C137" i="16"/>
  <c r="D136" i="16"/>
  <c r="C136" i="16"/>
  <c r="D135" i="16"/>
  <c r="C135" i="16"/>
  <c r="D133" i="16"/>
  <c r="C133" i="16"/>
  <c r="D132" i="16"/>
  <c r="C132" i="16"/>
  <c r="D131" i="16"/>
  <c r="C131" i="16"/>
  <c r="D130" i="16"/>
  <c r="C130" i="16"/>
  <c r="D129" i="16"/>
  <c r="C129" i="16"/>
  <c r="D127" i="16"/>
  <c r="C127" i="16"/>
  <c r="D126" i="16"/>
  <c r="C126" i="16"/>
  <c r="D125" i="16"/>
  <c r="C125" i="16"/>
  <c r="D124" i="16"/>
  <c r="C124" i="16"/>
  <c r="D123" i="16"/>
  <c r="C123" i="16"/>
  <c r="D118" i="16"/>
  <c r="C118" i="16"/>
  <c r="D117" i="16"/>
  <c r="C117" i="16"/>
  <c r="D116" i="16"/>
  <c r="C116" i="16"/>
  <c r="D115" i="16"/>
  <c r="C115" i="16"/>
  <c r="D114" i="16"/>
  <c r="C114" i="16"/>
  <c r="D110" i="16"/>
  <c r="C110" i="16"/>
  <c r="D109" i="16"/>
  <c r="C109" i="16"/>
  <c r="D108" i="16"/>
  <c r="C108" i="16"/>
  <c r="D107" i="16"/>
  <c r="C107" i="16"/>
  <c r="D106" i="16"/>
  <c r="C106" i="16"/>
  <c r="D105" i="16"/>
  <c r="C105" i="16"/>
  <c r="D101" i="16"/>
  <c r="C101" i="16"/>
  <c r="D100" i="16"/>
  <c r="C100" i="16"/>
  <c r="D99" i="16"/>
  <c r="C99" i="16"/>
  <c r="D98" i="16"/>
  <c r="C98" i="16"/>
  <c r="D97" i="16"/>
  <c r="C97" i="16"/>
  <c r="D96" i="16"/>
  <c r="C96" i="16"/>
  <c r="D92" i="16"/>
  <c r="C92" i="16"/>
  <c r="D91" i="16"/>
  <c r="C91" i="16"/>
  <c r="D90" i="16"/>
  <c r="C90" i="16"/>
  <c r="D89" i="16"/>
  <c r="C89" i="16"/>
  <c r="D88" i="16"/>
  <c r="C88" i="16"/>
  <c r="D87" i="16"/>
  <c r="C87" i="16"/>
  <c r="D86" i="16"/>
  <c r="C86" i="16"/>
  <c r="D85" i="16"/>
  <c r="C85" i="16"/>
  <c r="D84" i="16"/>
  <c r="C84" i="16"/>
  <c r="D83" i="16"/>
  <c r="C83" i="16"/>
  <c r="D82" i="16"/>
  <c r="C82" i="16"/>
  <c r="D78" i="16"/>
  <c r="C78" i="16"/>
  <c r="D77" i="16"/>
  <c r="C77" i="16"/>
  <c r="D76" i="16"/>
  <c r="C76" i="16"/>
  <c r="D75" i="16"/>
  <c r="C75" i="16"/>
  <c r="D74" i="16"/>
  <c r="C74" i="16"/>
  <c r="D73" i="16"/>
  <c r="C73" i="16"/>
  <c r="D72" i="16"/>
  <c r="C72" i="16"/>
  <c r="D71" i="16"/>
  <c r="C71" i="16"/>
  <c r="D70" i="16"/>
  <c r="C70" i="16"/>
  <c r="D69" i="16"/>
  <c r="C69" i="16"/>
  <c r="D68" i="16"/>
  <c r="C68" i="16"/>
  <c r="D67" i="16"/>
  <c r="C67" i="16"/>
  <c r="D66" i="16"/>
  <c r="C66" i="16"/>
  <c r="D65" i="16"/>
  <c r="C65" i="16"/>
  <c r="D64" i="16"/>
  <c r="C64" i="16"/>
  <c r="D60" i="16"/>
  <c r="C60" i="16"/>
  <c r="D59" i="16"/>
  <c r="C59" i="16"/>
  <c r="D58" i="16"/>
  <c r="C58" i="16"/>
  <c r="D57" i="16"/>
  <c r="C57" i="16"/>
  <c r="D56" i="16"/>
  <c r="C56" i="16"/>
  <c r="D55" i="16"/>
  <c r="C55" i="16"/>
  <c r="D54" i="16"/>
  <c r="C54" i="16"/>
  <c r="D53" i="16"/>
  <c r="C53" i="16"/>
  <c r="D52" i="16"/>
  <c r="C52" i="16"/>
  <c r="D51" i="16"/>
  <c r="C51" i="16"/>
  <c r="D50" i="16"/>
  <c r="C50" i="16"/>
  <c r="D49" i="16"/>
  <c r="C49" i="16"/>
  <c r="D48" i="16"/>
  <c r="C48" i="16"/>
  <c r="D47" i="16"/>
  <c r="C47" i="16"/>
  <c r="D46" i="16"/>
  <c r="C46" i="16"/>
  <c r="D45" i="16"/>
  <c r="C45" i="16"/>
  <c r="D44" i="16"/>
  <c r="C44" i="16"/>
  <c r="D43" i="16"/>
  <c r="C43" i="16"/>
  <c r="D42" i="16"/>
  <c r="C42" i="16"/>
  <c r="D41" i="16"/>
  <c r="C41" i="16"/>
  <c r="D40" i="16"/>
  <c r="C40" i="16"/>
  <c r="D39" i="16"/>
  <c r="C39" i="16"/>
  <c r="D38" i="16"/>
  <c r="C38" i="16"/>
  <c r="D37" i="16"/>
  <c r="C37" i="16"/>
  <c r="D36" i="16"/>
  <c r="C36" i="16"/>
  <c r="D35" i="16"/>
  <c r="C35" i="16"/>
  <c r="D34" i="16"/>
  <c r="C34" i="16"/>
  <c r="D33" i="16"/>
  <c r="C33" i="16"/>
  <c r="D32" i="16"/>
  <c r="C32" i="16"/>
  <c r="D31" i="16"/>
  <c r="C31" i="16"/>
  <c r="D30" i="16"/>
  <c r="C30" i="16"/>
  <c r="D29" i="16"/>
  <c r="C29" i="16"/>
  <c r="D28" i="16"/>
  <c r="C28" i="16"/>
  <c r="D27" i="16"/>
  <c r="C27" i="16"/>
  <c r="D26" i="16"/>
  <c r="C26" i="16"/>
  <c r="D25" i="16"/>
  <c r="C25" i="16"/>
  <c r="D20" i="16"/>
  <c r="C20" i="16"/>
  <c r="D19" i="16"/>
  <c r="C19" i="16"/>
  <c r="D18" i="16"/>
  <c r="C18" i="16"/>
  <c r="D17" i="16"/>
  <c r="C17" i="16"/>
  <c r="D16" i="16"/>
  <c r="C16" i="16"/>
  <c r="D15" i="16"/>
  <c r="C15" i="16"/>
  <c r="D14" i="16"/>
  <c r="C14" i="16"/>
  <c r="D13" i="16"/>
  <c r="C13" i="16"/>
  <c r="D12" i="16"/>
  <c r="C12" i="16"/>
  <c r="D11" i="16"/>
  <c r="C11" i="16"/>
  <c r="C111" i="16" l="1"/>
  <c r="C161" i="16"/>
  <c r="D93" i="16"/>
  <c r="D206" i="16"/>
  <c r="C79" i="16"/>
  <c r="C119" i="16"/>
  <c r="D21" i="16"/>
  <c r="D79" i="16"/>
  <c r="D102" i="16"/>
  <c r="D119" i="16"/>
  <c r="C228" i="16"/>
  <c r="D111" i="16"/>
  <c r="D161" i="16"/>
  <c r="D197" i="16"/>
  <c r="C197" i="16"/>
  <c r="C206" i="16"/>
  <c r="C21" i="16"/>
  <c r="C93" i="16"/>
  <c r="C102" i="16"/>
  <c r="C61" i="16"/>
  <c r="D61" i="16"/>
  <c r="D208" i="16" l="1"/>
  <c r="D215" i="16" s="1"/>
  <c r="C208" i="16"/>
  <c r="C212" i="16" s="1"/>
  <c r="C215" i="16" l="1"/>
  <c r="G244" i="27"/>
  <c r="G243" i="27"/>
  <c r="G242" i="27"/>
  <c r="G241" i="27"/>
  <c r="C238" i="27"/>
  <c r="C237" i="27"/>
  <c r="C236" i="27"/>
  <c r="C235" i="27"/>
  <c r="C233" i="27"/>
  <c r="C232" i="27"/>
  <c r="C231" i="27"/>
  <c r="D228" i="27"/>
  <c r="C227" i="27"/>
  <c r="C226" i="27"/>
  <c r="C225" i="27"/>
  <c r="C224" i="27"/>
  <c r="C223" i="27"/>
  <c r="C222" i="27"/>
  <c r="C221" i="27"/>
  <c r="C220" i="27"/>
  <c r="C219" i="27"/>
  <c r="C211" i="27"/>
  <c r="D205" i="27"/>
  <c r="C205" i="27"/>
  <c r="D204" i="27"/>
  <c r="C204" i="27"/>
  <c r="D203" i="27"/>
  <c r="C203" i="27"/>
  <c r="D202" i="27"/>
  <c r="C202" i="27"/>
  <c r="D201" i="27"/>
  <c r="C201" i="27"/>
  <c r="D200" i="27"/>
  <c r="C200" i="27"/>
  <c r="D196" i="27"/>
  <c r="C196" i="27"/>
  <c r="D195" i="27"/>
  <c r="C195" i="27"/>
  <c r="D194" i="27"/>
  <c r="C194" i="27"/>
  <c r="D193" i="27"/>
  <c r="C193" i="27"/>
  <c r="D192" i="27"/>
  <c r="C192" i="27"/>
  <c r="D191" i="27"/>
  <c r="C191" i="27"/>
  <c r="D190" i="27"/>
  <c r="C190" i="27"/>
  <c r="D189" i="27"/>
  <c r="C189" i="27"/>
  <c r="D188" i="27"/>
  <c r="C188" i="27"/>
  <c r="D187" i="27"/>
  <c r="C187" i="27"/>
  <c r="D186" i="27"/>
  <c r="C186" i="27"/>
  <c r="D185" i="27"/>
  <c r="C185" i="27"/>
  <c r="D184" i="27"/>
  <c r="C184" i="27"/>
  <c r="D183" i="27"/>
  <c r="C183" i="27"/>
  <c r="D182" i="27"/>
  <c r="C182" i="27"/>
  <c r="D181" i="27"/>
  <c r="C181" i="27"/>
  <c r="D180" i="27"/>
  <c r="C180" i="27"/>
  <c r="D179" i="27"/>
  <c r="C179" i="27"/>
  <c r="D178" i="27"/>
  <c r="C178" i="27"/>
  <c r="D177" i="27"/>
  <c r="C177" i="27"/>
  <c r="D176" i="27"/>
  <c r="C176" i="27"/>
  <c r="D175" i="27"/>
  <c r="C175" i="27"/>
  <c r="D174" i="27"/>
  <c r="C174" i="27"/>
  <c r="D173" i="27"/>
  <c r="C173" i="27"/>
  <c r="D172" i="27"/>
  <c r="C172" i="27"/>
  <c r="D171" i="27"/>
  <c r="C171" i="27"/>
  <c r="D170" i="27"/>
  <c r="C170" i="27"/>
  <c r="D169" i="27"/>
  <c r="C169" i="27"/>
  <c r="D168" i="27"/>
  <c r="C168" i="27"/>
  <c r="D167" i="27"/>
  <c r="C167" i="27"/>
  <c r="D166" i="27"/>
  <c r="C166" i="27"/>
  <c r="D165" i="27"/>
  <c r="C165" i="27"/>
  <c r="D164" i="27"/>
  <c r="C164" i="27"/>
  <c r="D160" i="27"/>
  <c r="C160" i="27"/>
  <c r="D159" i="27"/>
  <c r="C159" i="27"/>
  <c r="D158" i="27"/>
  <c r="C158" i="27"/>
  <c r="D157" i="27"/>
  <c r="C157" i="27"/>
  <c r="D156" i="27"/>
  <c r="C156" i="27"/>
  <c r="D155" i="27"/>
  <c r="C155" i="27"/>
  <c r="D153" i="27"/>
  <c r="C153" i="27"/>
  <c r="D152" i="27"/>
  <c r="C152" i="27"/>
  <c r="D151" i="27"/>
  <c r="C151" i="27"/>
  <c r="D150" i="27"/>
  <c r="C150" i="27"/>
  <c r="D149" i="27"/>
  <c r="C149" i="27"/>
  <c r="D148" i="27"/>
  <c r="C148" i="27"/>
  <c r="D147" i="27"/>
  <c r="C147" i="27"/>
  <c r="D146" i="27"/>
  <c r="C146" i="27"/>
  <c r="D145" i="27"/>
  <c r="C145" i="27"/>
  <c r="D143" i="27"/>
  <c r="C143" i="27"/>
  <c r="D142" i="27"/>
  <c r="C142" i="27"/>
  <c r="D141" i="27"/>
  <c r="C141" i="27"/>
  <c r="D140" i="27"/>
  <c r="C140" i="27"/>
  <c r="D138" i="27"/>
  <c r="C138" i="27"/>
  <c r="D137" i="27"/>
  <c r="C137" i="27"/>
  <c r="D136" i="27"/>
  <c r="C136" i="27"/>
  <c r="D135" i="27"/>
  <c r="C135" i="27"/>
  <c r="D133" i="27"/>
  <c r="C133" i="27"/>
  <c r="D132" i="27"/>
  <c r="C132" i="27"/>
  <c r="D131" i="27"/>
  <c r="C131" i="27"/>
  <c r="D130" i="27"/>
  <c r="C130" i="27"/>
  <c r="D129" i="27"/>
  <c r="C129" i="27"/>
  <c r="D127" i="27"/>
  <c r="C127" i="27"/>
  <c r="D126" i="27"/>
  <c r="C126" i="27"/>
  <c r="D125" i="27"/>
  <c r="C125" i="27"/>
  <c r="D124" i="27"/>
  <c r="C124" i="27"/>
  <c r="D123" i="27"/>
  <c r="C123" i="27"/>
  <c r="D118" i="27"/>
  <c r="C118" i="27"/>
  <c r="D117" i="27"/>
  <c r="C117" i="27"/>
  <c r="D116" i="27"/>
  <c r="C116" i="27"/>
  <c r="D115" i="27"/>
  <c r="C115" i="27"/>
  <c r="D114" i="27"/>
  <c r="C114" i="27"/>
  <c r="D110" i="27"/>
  <c r="C110" i="27"/>
  <c r="D109" i="27"/>
  <c r="C109" i="27"/>
  <c r="D108" i="27"/>
  <c r="C108" i="27"/>
  <c r="D107" i="27"/>
  <c r="C107" i="27"/>
  <c r="D106" i="27"/>
  <c r="C106" i="27"/>
  <c r="D105" i="27"/>
  <c r="C105" i="27"/>
  <c r="D101" i="27"/>
  <c r="C101" i="27"/>
  <c r="D100" i="27"/>
  <c r="C100" i="27"/>
  <c r="D99" i="27"/>
  <c r="C99" i="27"/>
  <c r="D98" i="27"/>
  <c r="C98" i="27"/>
  <c r="D97" i="27"/>
  <c r="C97" i="27"/>
  <c r="D96" i="27"/>
  <c r="C96" i="27"/>
  <c r="D92" i="27"/>
  <c r="C92" i="27"/>
  <c r="D91" i="27"/>
  <c r="C91" i="27"/>
  <c r="D90" i="27"/>
  <c r="C90" i="27"/>
  <c r="D89" i="27"/>
  <c r="C89" i="27"/>
  <c r="D88" i="27"/>
  <c r="C88" i="27"/>
  <c r="D87" i="27"/>
  <c r="C87" i="27"/>
  <c r="D86" i="27"/>
  <c r="C86" i="27"/>
  <c r="D85" i="27"/>
  <c r="C85" i="27"/>
  <c r="D84" i="27"/>
  <c r="C84" i="27"/>
  <c r="D83" i="27"/>
  <c r="C83" i="27"/>
  <c r="D82" i="27"/>
  <c r="C82" i="27"/>
  <c r="D78" i="27"/>
  <c r="C78" i="27"/>
  <c r="D77" i="27"/>
  <c r="C77" i="27"/>
  <c r="D76" i="27"/>
  <c r="C76" i="27"/>
  <c r="D75" i="27"/>
  <c r="C75" i="27"/>
  <c r="D74" i="27"/>
  <c r="C74" i="27"/>
  <c r="D73" i="27"/>
  <c r="C73" i="27"/>
  <c r="D72" i="27"/>
  <c r="C72" i="27"/>
  <c r="D71" i="27"/>
  <c r="C71" i="27"/>
  <c r="D70" i="27"/>
  <c r="C70" i="27"/>
  <c r="D69" i="27"/>
  <c r="C69" i="27"/>
  <c r="D68" i="27"/>
  <c r="C68" i="27"/>
  <c r="D67" i="27"/>
  <c r="C67" i="27"/>
  <c r="D66" i="27"/>
  <c r="C66" i="27"/>
  <c r="D65" i="27"/>
  <c r="C65" i="27"/>
  <c r="D64" i="27"/>
  <c r="C64" i="27"/>
  <c r="D60" i="27"/>
  <c r="C60" i="27"/>
  <c r="D59" i="27"/>
  <c r="C59" i="27"/>
  <c r="D58" i="27"/>
  <c r="C58" i="27"/>
  <c r="D57" i="27"/>
  <c r="C57" i="27"/>
  <c r="D56" i="27"/>
  <c r="C56" i="27"/>
  <c r="D55" i="27"/>
  <c r="C55" i="27"/>
  <c r="D54" i="27"/>
  <c r="C54" i="27"/>
  <c r="D53" i="27"/>
  <c r="C53" i="27"/>
  <c r="D52" i="27"/>
  <c r="C52" i="27"/>
  <c r="D51" i="27"/>
  <c r="C51" i="27"/>
  <c r="D50" i="27"/>
  <c r="C50" i="27"/>
  <c r="D49" i="27"/>
  <c r="C49" i="27"/>
  <c r="D48" i="27"/>
  <c r="C48" i="27"/>
  <c r="D47" i="27"/>
  <c r="C47" i="27"/>
  <c r="D46" i="27"/>
  <c r="C46" i="27"/>
  <c r="D45" i="27"/>
  <c r="C45" i="27"/>
  <c r="D44" i="27"/>
  <c r="C44" i="27"/>
  <c r="D43" i="27"/>
  <c r="C43" i="27"/>
  <c r="D42" i="27"/>
  <c r="C42" i="27"/>
  <c r="D41" i="27"/>
  <c r="C41" i="27"/>
  <c r="D40" i="27"/>
  <c r="C40" i="27"/>
  <c r="D39" i="27"/>
  <c r="C39" i="27"/>
  <c r="D38" i="27"/>
  <c r="C38" i="27"/>
  <c r="D37" i="27"/>
  <c r="C37" i="27"/>
  <c r="D36" i="27"/>
  <c r="C36" i="27"/>
  <c r="D35" i="27"/>
  <c r="C35" i="27"/>
  <c r="D34" i="27"/>
  <c r="C34" i="27"/>
  <c r="D33" i="27"/>
  <c r="C33" i="27"/>
  <c r="D32" i="27"/>
  <c r="C32" i="27"/>
  <c r="D31" i="27"/>
  <c r="C31" i="27"/>
  <c r="D30" i="27"/>
  <c r="C30" i="27"/>
  <c r="D29" i="27"/>
  <c r="C29" i="27"/>
  <c r="D28" i="27"/>
  <c r="C28" i="27"/>
  <c r="D27" i="27"/>
  <c r="C27" i="27"/>
  <c r="D26" i="27"/>
  <c r="C26" i="27"/>
  <c r="D25" i="27"/>
  <c r="C25" i="27"/>
  <c r="D20" i="27"/>
  <c r="C20" i="27"/>
  <c r="D19" i="27"/>
  <c r="C19" i="27"/>
  <c r="D18" i="27"/>
  <c r="C18" i="27"/>
  <c r="D17" i="27"/>
  <c r="C17" i="27"/>
  <c r="D16" i="27"/>
  <c r="C16" i="27"/>
  <c r="D15" i="27"/>
  <c r="C15" i="27"/>
  <c r="D14" i="27"/>
  <c r="C14" i="27"/>
  <c r="D13" i="27"/>
  <c r="C13" i="27"/>
  <c r="D12" i="27"/>
  <c r="C12" i="27"/>
  <c r="D11" i="27"/>
  <c r="C11" i="27"/>
  <c r="D79" i="27" l="1"/>
  <c r="D93" i="27"/>
  <c r="D102" i="27"/>
  <c r="D119" i="27"/>
  <c r="C79" i="27"/>
  <c r="C119" i="27"/>
  <c r="C161" i="27"/>
  <c r="C111" i="27"/>
  <c r="D161" i="27"/>
  <c r="C228" i="27"/>
  <c r="C21" i="27"/>
  <c r="C93" i="27"/>
  <c r="C197" i="27"/>
  <c r="C206" i="27"/>
  <c r="D111" i="27"/>
  <c r="D21" i="27"/>
  <c r="C102" i="27"/>
  <c r="D197" i="27"/>
  <c r="D206" i="27"/>
  <c r="D61" i="27"/>
  <c r="C61" i="27"/>
  <c r="C208" i="27" l="1"/>
  <c r="C212" i="27" s="1"/>
  <c r="D208" i="27"/>
  <c r="D215" i="27" s="1"/>
  <c r="C215" i="27" l="1"/>
  <c r="G244" i="111"/>
  <c r="G243" i="111"/>
  <c r="G242" i="111"/>
  <c r="G241" i="111"/>
  <c r="C238" i="111"/>
  <c r="C237" i="111"/>
  <c r="C236" i="111"/>
  <c r="C235" i="111"/>
  <c r="C233" i="111"/>
  <c r="C232" i="111"/>
  <c r="C231" i="111"/>
  <c r="D228" i="111"/>
  <c r="C227" i="111"/>
  <c r="C226" i="111"/>
  <c r="C225" i="111"/>
  <c r="C224" i="111"/>
  <c r="C223" i="111"/>
  <c r="C222" i="111"/>
  <c r="C221" i="111"/>
  <c r="C220" i="111"/>
  <c r="C219" i="111"/>
  <c r="C211" i="111"/>
  <c r="D205" i="111"/>
  <c r="C205" i="111"/>
  <c r="D204" i="111"/>
  <c r="C204" i="111"/>
  <c r="D203" i="111"/>
  <c r="C203" i="111"/>
  <c r="D202" i="111"/>
  <c r="C202" i="111"/>
  <c r="D201" i="111"/>
  <c r="C201" i="111"/>
  <c r="D200" i="111"/>
  <c r="C200" i="111"/>
  <c r="D196" i="111"/>
  <c r="C196" i="111"/>
  <c r="D195" i="111"/>
  <c r="C195" i="111"/>
  <c r="D194" i="111"/>
  <c r="C194" i="111"/>
  <c r="D193" i="111"/>
  <c r="C193" i="111"/>
  <c r="D192" i="111"/>
  <c r="C192" i="111"/>
  <c r="D191" i="111"/>
  <c r="C191" i="111"/>
  <c r="D190" i="111"/>
  <c r="C190" i="111"/>
  <c r="D189" i="111"/>
  <c r="C189" i="111"/>
  <c r="D188" i="111"/>
  <c r="C188" i="111"/>
  <c r="D187" i="111"/>
  <c r="C187" i="111"/>
  <c r="D186" i="111"/>
  <c r="C186" i="111"/>
  <c r="D185" i="111"/>
  <c r="C185" i="111"/>
  <c r="D184" i="111"/>
  <c r="C184" i="111"/>
  <c r="D183" i="111"/>
  <c r="C183" i="111"/>
  <c r="D182" i="111"/>
  <c r="C182" i="111"/>
  <c r="D181" i="111"/>
  <c r="C181" i="111"/>
  <c r="D180" i="111"/>
  <c r="C180" i="111"/>
  <c r="D179" i="111"/>
  <c r="C179" i="111"/>
  <c r="D178" i="111"/>
  <c r="C178" i="111"/>
  <c r="D177" i="111"/>
  <c r="C177" i="111"/>
  <c r="D176" i="111"/>
  <c r="C176" i="111"/>
  <c r="D175" i="111"/>
  <c r="C175" i="111"/>
  <c r="D174" i="111"/>
  <c r="C174" i="111"/>
  <c r="D173" i="111"/>
  <c r="C173" i="111"/>
  <c r="D172" i="111"/>
  <c r="C172" i="111"/>
  <c r="D171" i="111"/>
  <c r="C171" i="111"/>
  <c r="D170" i="111"/>
  <c r="C170" i="111"/>
  <c r="D169" i="111"/>
  <c r="C169" i="111"/>
  <c r="D168" i="111"/>
  <c r="C168" i="111"/>
  <c r="D167" i="111"/>
  <c r="C167" i="111"/>
  <c r="D166" i="111"/>
  <c r="C166" i="111"/>
  <c r="D165" i="111"/>
  <c r="C165" i="111"/>
  <c r="D164" i="111"/>
  <c r="C164" i="111"/>
  <c r="D160" i="111"/>
  <c r="C160" i="111"/>
  <c r="D159" i="111"/>
  <c r="C159" i="111"/>
  <c r="D158" i="111"/>
  <c r="C158" i="111"/>
  <c r="D157" i="111"/>
  <c r="C157" i="111"/>
  <c r="D156" i="111"/>
  <c r="C156" i="111"/>
  <c r="D155" i="111"/>
  <c r="C155" i="111"/>
  <c r="D153" i="111"/>
  <c r="C153" i="111"/>
  <c r="D152" i="111"/>
  <c r="C152" i="111"/>
  <c r="D151" i="111"/>
  <c r="C151" i="111"/>
  <c r="D150" i="111"/>
  <c r="C150" i="111"/>
  <c r="D149" i="111"/>
  <c r="C149" i="111"/>
  <c r="D148" i="111"/>
  <c r="C148" i="111"/>
  <c r="D147" i="111"/>
  <c r="C147" i="111"/>
  <c r="D146" i="111"/>
  <c r="C146" i="111"/>
  <c r="D145" i="111"/>
  <c r="C145" i="111"/>
  <c r="D143" i="111"/>
  <c r="C143" i="111"/>
  <c r="D142" i="111"/>
  <c r="C142" i="111"/>
  <c r="D141" i="111"/>
  <c r="C141" i="111"/>
  <c r="D140" i="111"/>
  <c r="C140" i="111"/>
  <c r="D138" i="111"/>
  <c r="C138" i="111"/>
  <c r="D137" i="111"/>
  <c r="C137" i="111"/>
  <c r="D136" i="111"/>
  <c r="C136" i="111"/>
  <c r="D135" i="111"/>
  <c r="C135" i="111"/>
  <c r="D133" i="111"/>
  <c r="C133" i="111"/>
  <c r="D132" i="111"/>
  <c r="C132" i="111"/>
  <c r="D131" i="111"/>
  <c r="C131" i="111"/>
  <c r="D130" i="111"/>
  <c r="C130" i="111"/>
  <c r="D129" i="111"/>
  <c r="C129" i="111"/>
  <c r="D127" i="111"/>
  <c r="C127" i="111"/>
  <c r="D126" i="111"/>
  <c r="C126" i="111"/>
  <c r="D125" i="111"/>
  <c r="C125" i="111"/>
  <c r="D124" i="111"/>
  <c r="C124" i="111"/>
  <c r="D123" i="111"/>
  <c r="C123" i="111"/>
  <c r="D118" i="111"/>
  <c r="C118" i="111"/>
  <c r="D117" i="111"/>
  <c r="C117" i="111"/>
  <c r="D116" i="111"/>
  <c r="C116" i="111"/>
  <c r="D115" i="111"/>
  <c r="C115" i="111"/>
  <c r="D114" i="111"/>
  <c r="C114" i="111"/>
  <c r="D110" i="111"/>
  <c r="C110" i="111"/>
  <c r="D109" i="111"/>
  <c r="C109" i="111"/>
  <c r="D108" i="111"/>
  <c r="C108" i="111"/>
  <c r="D107" i="111"/>
  <c r="C107" i="111"/>
  <c r="D106" i="111"/>
  <c r="C106" i="111"/>
  <c r="D105" i="111"/>
  <c r="C105" i="111"/>
  <c r="D101" i="111"/>
  <c r="C101" i="111"/>
  <c r="D100" i="111"/>
  <c r="C100" i="111"/>
  <c r="D99" i="111"/>
  <c r="C99" i="111"/>
  <c r="D98" i="111"/>
  <c r="C98" i="111"/>
  <c r="D97" i="111"/>
  <c r="C97" i="111"/>
  <c r="D96" i="111"/>
  <c r="C96" i="111"/>
  <c r="D92" i="111"/>
  <c r="C92" i="111"/>
  <c r="D91" i="111"/>
  <c r="C91" i="111"/>
  <c r="D90" i="111"/>
  <c r="C90" i="111"/>
  <c r="D89" i="111"/>
  <c r="C89" i="111"/>
  <c r="D88" i="111"/>
  <c r="C88" i="111"/>
  <c r="D87" i="111"/>
  <c r="C87" i="111"/>
  <c r="D86" i="111"/>
  <c r="C86" i="111"/>
  <c r="D85" i="111"/>
  <c r="C85" i="111"/>
  <c r="D84" i="111"/>
  <c r="C84" i="111"/>
  <c r="D83" i="111"/>
  <c r="C83" i="111"/>
  <c r="D82" i="111"/>
  <c r="C82" i="111"/>
  <c r="D78" i="111"/>
  <c r="C78" i="111"/>
  <c r="D77" i="111"/>
  <c r="C77" i="111"/>
  <c r="D76" i="111"/>
  <c r="C76" i="111"/>
  <c r="D75" i="111"/>
  <c r="C75" i="111"/>
  <c r="D74" i="111"/>
  <c r="C74" i="111"/>
  <c r="D73" i="111"/>
  <c r="C73" i="111"/>
  <c r="D72" i="111"/>
  <c r="C72" i="111"/>
  <c r="D71" i="111"/>
  <c r="C71" i="111"/>
  <c r="D70" i="111"/>
  <c r="C70" i="111"/>
  <c r="D69" i="111"/>
  <c r="C69" i="111"/>
  <c r="D68" i="111"/>
  <c r="C68" i="111"/>
  <c r="D67" i="111"/>
  <c r="C67" i="111"/>
  <c r="D66" i="111"/>
  <c r="C66" i="111"/>
  <c r="D65" i="111"/>
  <c r="C65" i="111"/>
  <c r="D64" i="111"/>
  <c r="C64" i="111"/>
  <c r="D60" i="111"/>
  <c r="C60" i="111"/>
  <c r="D59" i="111"/>
  <c r="C59" i="111"/>
  <c r="D58" i="111"/>
  <c r="C58" i="111"/>
  <c r="D57" i="111"/>
  <c r="C57" i="111"/>
  <c r="D56" i="111"/>
  <c r="C56" i="111"/>
  <c r="D55" i="111"/>
  <c r="C55" i="111"/>
  <c r="D54" i="111"/>
  <c r="C54" i="111"/>
  <c r="D53" i="111"/>
  <c r="C53" i="111"/>
  <c r="D52" i="111"/>
  <c r="C52" i="111"/>
  <c r="D51" i="111"/>
  <c r="C51" i="111"/>
  <c r="D50" i="111"/>
  <c r="C50" i="111"/>
  <c r="D49" i="111"/>
  <c r="C49" i="111"/>
  <c r="D48" i="111"/>
  <c r="C48" i="111"/>
  <c r="D47" i="111"/>
  <c r="C47" i="111"/>
  <c r="D46" i="111"/>
  <c r="C46" i="111"/>
  <c r="D45" i="111"/>
  <c r="C45" i="111"/>
  <c r="D44" i="111"/>
  <c r="C44" i="111"/>
  <c r="D43" i="111"/>
  <c r="C43" i="111"/>
  <c r="D42" i="111"/>
  <c r="C42" i="111"/>
  <c r="D41" i="111"/>
  <c r="C41" i="111"/>
  <c r="D40" i="111"/>
  <c r="C40" i="111"/>
  <c r="D39" i="111"/>
  <c r="C39" i="111"/>
  <c r="D38" i="111"/>
  <c r="C38" i="111"/>
  <c r="D37" i="111"/>
  <c r="C37" i="111"/>
  <c r="D36" i="111"/>
  <c r="C36" i="111"/>
  <c r="D35" i="111"/>
  <c r="C35" i="111"/>
  <c r="D34" i="111"/>
  <c r="C34" i="111"/>
  <c r="D33" i="111"/>
  <c r="C33" i="111"/>
  <c r="D32" i="111"/>
  <c r="C32" i="111"/>
  <c r="D31" i="111"/>
  <c r="C31" i="111"/>
  <c r="D30" i="111"/>
  <c r="C30" i="111"/>
  <c r="D29" i="111"/>
  <c r="C29" i="111"/>
  <c r="D28" i="111"/>
  <c r="C28" i="111"/>
  <c r="D27" i="111"/>
  <c r="C27" i="111"/>
  <c r="D26" i="111"/>
  <c r="C26" i="111"/>
  <c r="D25" i="111"/>
  <c r="C25" i="111"/>
  <c r="D20" i="111"/>
  <c r="C20" i="111"/>
  <c r="D19" i="111"/>
  <c r="C19" i="111"/>
  <c r="D18" i="111"/>
  <c r="C18" i="111"/>
  <c r="D17" i="111"/>
  <c r="C17" i="111"/>
  <c r="D16" i="111"/>
  <c r="C16" i="111"/>
  <c r="D15" i="111"/>
  <c r="C15" i="111"/>
  <c r="D14" i="111"/>
  <c r="C14" i="111"/>
  <c r="D13" i="111"/>
  <c r="C13" i="111"/>
  <c r="D12" i="111"/>
  <c r="C12" i="111"/>
  <c r="D11" i="111"/>
  <c r="C11" i="111"/>
  <c r="C61" i="111" l="1"/>
  <c r="D79" i="111"/>
  <c r="D119" i="111"/>
  <c r="C119" i="111"/>
  <c r="C228" i="111"/>
  <c r="D111" i="111"/>
  <c r="C161" i="111"/>
  <c r="D61" i="111"/>
  <c r="C21" i="111"/>
  <c r="C197" i="111"/>
  <c r="D161" i="111"/>
  <c r="D21" i="111"/>
  <c r="C93" i="111"/>
  <c r="C102" i="111"/>
  <c r="D197" i="111"/>
  <c r="D206" i="111"/>
  <c r="C111" i="111"/>
  <c r="C79" i="111"/>
  <c r="D93" i="111"/>
  <c r="D102" i="111"/>
  <c r="C206" i="111"/>
  <c r="C208" i="111" l="1"/>
  <c r="C212" i="111" s="1"/>
  <c r="D208" i="111"/>
  <c r="D215" i="111" s="1"/>
  <c r="C215" i="111" l="1"/>
  <c r="G244" i="71"/>
  <c r="G243" i="71"/>
  <c r="G242" i="71"/>
  <c r="G241" i="71"/>
  <c r="C238" i="71"/>
  <c r="C237" i="71"/>
  <c r="C236" i="71"/>
  <c r="C235" i="71"/>
  <c r="C233" i="71"/>
  <c r="C232" i="71"/>
  <c r="C231" i="71"/>
  <c r="D228" i="71"/>
  <c r="C227" i="71"/>
  <c r="C226" i="71"/>
  <c r="C225" i="71"/>
  <c r="C224" i="71"/>
  <c r="C223" i="71"/>
  <c r="C222" i="71"/>
  <c r="C221" i="71"/>
  <c r="C220" i="71"/>
  <c r="C219" i="71"/>
  <c r="C211" i="71"/>
  <c r="D205" i="71"/>
  <c r="C205" i="71"/>
  <c r="D204" i="71"/>
  <c r="C204" i="71"/>
  <c r="D203" i="71"/>
  <c r="C203" i="71"/>
  <c r="D202" i="71"/>
  <c r="C202" i="71"/>
  <c r="D201" i="71"/>
  <c r="C201" i="71"/>
  <c r="D200" i="71"/>
  <c r="C200" i="71"/>
  <c r="D196" i="71"/>
  <c r="C196" i="71"/>
  <c r="D195" i="71"/>
  <c r="C195" i="71"/>
  <c r="D194" i="71"/>
  <c r="C194" i="71"/>
  <c r="D193" i="71"/>
  <c r="C193" i="71"/>
  <c r="D192" i="71"/>
  <c r="C192" i="71"/>
  <c r="D191" i="71"/>
  <c r="C191" i="71"/>
  <c r="D190" i="71"/>
  <c r="C190" i="71"/>
  <c r="D189" i="71"/>
  <c r="C189" i="71"/>
  <c r="D188" i="71"/>
  <c r="C188" i="71"/>
  <c r="D187" i="71"/>
  <c r="C187" i="71"/>
  <c r="D186" i="71"/>
  <c r="C186" i="71"/>
  <c r="D185" i="71"/>
  <c r="C185" i="71"/>
  <c r="D184" i="71"/>
  <c r="C184" i="71"/>
  <c r="D183" i="71"/>
  <c r="C183" i="71"/>
  <c r="D182" i="71"/>
  <c r="C182" i="71"/>
  <c r="D181" i="71"/>
  <c r="C181" i="71"/>
  <c r="D180" i="71"/>
  <c r="C180" i="71"/>
  <c r="D179" i="71"/>
  <c r="C179" i="71"/>
  <c r="D178" i="71"/>
  <c r="C178" i="71"/>
  <c r="D177" i="71"/>
  <c r="C177" i="71"/>
  <c r="D176" i="71"/>
  <c r="C176" i="71"/>
  <c r="D175" i="71"/>
  <c r="C175" i="71"/>
  <c r="D174" i="71"/>
  <c r="C174" i="71"/>
  <c r="D173" i="71"/>
  <c r="C173" i="71"/>
  <c r="D172" i="71"/>
  <c r="C172" i="71"/>
  <c r="D171" i="71"/>
  <c r="C171" i="71"/>
  <c r="D170" i="71"/>
  <c r="C170" i="71"/>
  <c r="D169" i="71"/>
  <c r="C169" i="71"/>
  <c r="D168" i="71"/>
  <c r="C168" i="71"/>
  <c r="D167" i="71"/>
  <c r="C167" i="71"/>
  <c r="D166" i="71"/>
  <c r="C166" i="71"/>
  <c r="D165" i="71"/>
  <c r="C165" i="71"/>
  <c r="D164" i="71"/>
  <c r="C164" i="71"/>
  <c r="D160" i="71"/>
  <c r="C160" i="71"/>
  <c r="D159" i="71"/>
  <c r="C159" i="71"/>
  <c r="D158" i="71"/>
  <c r="C158" i="71"/>
  <c r="D157" i="71"/>
  <c r="C157" i="71"/>
  <c r="D156" i="71"/>
  <c r="C156" i="71"/>
  <c r="D155" i="71"/>
  <c r="C155" i="71"/>
  <c r="D153" i="71"/>
  <c r="C153" i="71"/>
  <c r="D152" i="71"/>
  <c r="C152" i="71"/>
  <c r="D151" i="71"/>
  <c r="C151" i="71"/>
  <c r="D150" i="71"/>
  <c r="C150" i="71"/>
  <c r="D149" i="71"/>
  <c r="C149" i="71"/>
  <c r="D148" i="71"/>
  <c r="C148" i="71"/>
  <c r="D147" i="71"/>
  <c r="C147" i="71"/>
  <c r="D146" i="71"/>
  <c r="C146" i="71"/>
  <c r="D145" i="71"/>
  <c r="C145" i="71"/>
  <c r="D143" i="71"/>
  <c r="C143" i="71"/>
  <c r="D142" i="71"/>
  <c r="C142" i="71"/>
  <c r="D141" i="71"/>
  <c r="C141" i="71"/>
  <c r="D140" i="71"/>
  <c r="C140" i="71"/>
  <c r="D138" i="71"/>
  <c r="C138" i="71"/>
  <c r="D137" i="71"/>
  <c r="C137" i="71"/>
  <c r="D136" i="71"/>
  <c r="C136" i="71"/>
  <c r="D135" i="71"/>
  <c r="C135" i="71"/>
  <c r="D133" i="71"/>
  <c r="C133" i="71"/>
  <c r="D132" i="71"/>
  <c r="C132" i="71"/>
  <c r="D131" i="71"/>
  <c r="C131" i="71"/>
  <c r="D130" i="71"/>
  <c r="C130" i="71"/>
  <c r="D129" i="71"/>
  <c r="C129" i="71"/>
  <c r="D127" i="71"/>
  <c r="C127" i="71"/>
  <c r="D126" i="71"/>
  <c r="C126" i="71"/>
  <c r="D125" i="71"/>
  <c r="C125" i="71"/>
  <c r="D124" i="71"/>
  <c r="C124" i="71"/>
  <c r="D123" i="71"/>
  <c r="C123" i="71"/>
  <c r="D118" i="71"/>
  <c r="C118" i="71"/>
  <c r="D117" i="71"/>
  <c r="C117" i="71"/>
  <c r="D116" i="71"/>
  <c r="C116" i="71"/>
  <c r="D115" i="71"/>
  <c r="C115" i="71"/>
  <c r="D114" i="71"/>
  <c r="C114" i="71"/>
  <c r="D110" i="71"/>
  <c r="C110" i="71"/>
  <c r="D109" i="71"/>
  <c r="C109" i="71"/>
  <c r="D108" i="71"/>
  <c r="C108" i="71"/>
  <c r="D107" i="71"/>
  <c r="C107" i="71"/>
  <c r="D106" i="71"/>
  <c r="C106" i="71"/>
  <c r="D105" i="71"/>
  <c r="C105" i="71"/>
  <c r="D101" i="71"/>
  <c r="C101" i="71"/>
  <c r="D100" i="71"/>
  <c r="C100" i="71"/>
  <c r="D99" i="71"/>
  <c r="C99" i="71"/>
  <c r="D98" i="71"/>
  <c r="C98" i="71"/>
  <c r="D97" i="71"/>
  <c r="C97" i="71"/>
  <c r="D96" i="71"/>
  <c r="C96" i="71"/>
  <c r="D92" i="71"/>
  <c r="C92" i="71"/>
  <c r="D91" i="71"/>
  <c r="C91" i="71"/>
  <c r="D90" i="71"/>
  <c r="C90" i="71"/>
  <c r="D89" i="71"/>
  <c r="C89" i="71"/>
  <c r="D88" i="71"/>
  <c r="C88" i="71"/>
  <c r="D87" i="71"/>
  <c r="C87" i="71"/>
  <c r="D86" i="71"/>
  <c r="C86" i="71"/>
  <c r="D85" i="71"/>
  <c r="C85" i="71"/>
  <c r="D84" i="71"/>
  <c r="C84" i="71"/>
  <c r="D83" i="71"/>
  <c r="C83" i="71"/>
  <c r="D82" i="71"/>
  <c r="C82" i="71"/>
  <c r="D78" i="71"/>
  <c r="C78" i="71"/>
  <c r="D77" i="71"/>
  <c r="C77" i="71"/>
  <c r="D76" i="71"/>
  <c r="C76" i="71"/>
  <c r="D75" i="71"/>
  <c r="C75" i="71"/>
  <c r="D74" i="71"/>
  <c r="C74" i="71"/>
  <c r="D73" i="71"/>
  <c r="C73" i="71"/>
  <c r="D72" i="71"/>
  <c r="C72" i="71"/>
  <c r="D71" i="71"/>
  <c r="C71" i="71"/>
  <c r="D70" i="71"/>
  <c r="C70" i="71"/>
  <c r="D69" i="71"/>
  <c r="C69" i="71"/>
  <c r="D68" i="71"/>
  <c r="C68" i="71"/>
  <c r="D67" i="71"/>
  <c r="C67" i="71"/>
  <c r="D66" i="71"/>
  <c r="C66" i="71"/>
  <c r="D65" i="71"/>
  <c r="C65" i="71"/>
  <c r="D64" i="71"/>
  <c r="C64" i="71"/>
  <c r="D60" i="71"/>
  <c r="C60" i="71"/>
  <c r="D59" i="71"/>
  <c r="C59" i="71"/>
  <c r="D58" i="71"/>
  <c r="C58" i="71"/>
  <c r="D57" i="71"/>
  <c r="C57" i="71"/>
  <c r="D56" i="71"/>
  <c r="C56" i="71"/>
  <c r="D55" i="71"/>
  <c r="C55" i="71"/>
  <c r="D54" i="71"/>
  <c r="C54" i="71"/>
  <c r="D53" i="71"/>
  <c r="C53" i="71"/>
  <c r="D52" i="71"/>
  <c r="C52" i="71"/>
  <c r="D51" i="71"/>
  <c r="C51" i="71"/>
  <c r="D50" i="71"/>
  <c r="C50" i="71"/>
  <c r="D49" i="71"/>
  <c r="C49" i="71"/>
  <c r="D48" i="71"/>
  <c r="C48" i="71"/>
  <c r="D47" i="71"/>
  <c r="C47" i="71"/>
  <c r="D46" i="71"/>
  <c r="C46" i="71"/>
  <c r="D45" i="71"/>
  <c r="C45" i="71"/>
  <c r="D44" i="71"/>
  <c r="C44" i="71"/>
  <c r="D43" i="71"/>
  <c r="C43" i="71"/>
  <c r="D42" i="71"/>
  <c r="C42" i="71"/>
  <c r="D41" i="71"/>
  <c r="C41" i="71"/>
  <c r="D40" i="71"/>
  <c r="C40" i="71"/>
  <c r="D39" i="71"/>
  <c r="C39" i="71"/>
  <c r="D38" i="71"/>
  <c r="C38" i="71"/>
  <c r="D37" i="71"/>
  <c r="C37" i="71"/>
  <c r="D36" i="71"/>
  <c r="C36" i="71"/>
  <c r="D35" i="71"/>
  <c r="C35" i="71"/>
  <c r="D34" i="71"/>
  <c r="C34" i="71"/>
  <c r="D33" i="71"/>
  <c r="C33" i="71"/>
  <c r="D32" i="71"/>
  <c r="C32" i="71"/>
  <c r="D31" i="71"/>
  <c r="C31" i="71"/>
  <c r="D30" i="71"/>
  <c r="C30" i="71"/>
  <c r="D29" i="71"/>
  <c r="C29" i="71"/>
  <c r="D28" i="71"/>
  <c r="C28" i="71"/>
  <c r="D27" i="71"/>
  <c r="C27" i="71"/>
  <c r="D26" i="71"/>
  <c r="C26" i="71"/>
  <c r="D25" i="71"/>
  <c r="C25" i="71"/>
  <c r="D20" i="71"/>
  <c r="C20" i="71"/>
  <c r="D19" i="71"/>
  <c r="C19" i="71"/>
  <c r="D18" i="71"/>
  <c r="C18" i="71"/>
  <c r="D17" i="71"/>
  <c r="C17" i="71"/>
  <c r="D16" i="71"/>
  <c r="C16" i="71"/>
  <c r="D15" i="71"/>
  <c r="C15" i="71"/>
  <c r="D14" i="71"/>
  <c r="C14" i="71"/>
  <c r="D13" i="71"/>
  <c r="C13" i="71"/>
  <c r="D12" i="71"/>
  <c r="C12" i="71"/>
  <c r="D11" i="71"/>
  <c r="C11" i="71"/>
  <c r="D206" i="71" l="1"/>
  <c r="C119" i="71"/>
  <c r="D79" i="71"/>
  <c r="D102" i="71"/>
  <c r="C21" i="71"/>
  <c r="C102" i="71"/>
  <c r="D119" i="71"/>
  <c r="C206" i="71"/>
  <c r="C161" i="71"/>
  <c r="C93" i="71"/>
  <c r="D111" i="71"/>
  <c r="D161" i="71"/>
  <c r="D197" i="71"/>
  <c r="C228" i="71"/>
  <c r="D21" i="71"/>
  <c r="C197" i="71"/>
  <c r="D93" i="71"/>
  <c r="C111" i="71"/>
  <c r="C79" i="71"/>
  <c r="D61" i="71"/>
  <c r="C61" i="71"/>
  <c r="D208" i="71" l="1"/>
  <c r="D215" i="71" s="1"/>
  <c r="C208" i="71"/>
  <c r="C212" i="71" s="1"/>
  <c r="C215" i="71" l="1"/>
  <c r="G244" i="165"/>
  <c r="G243" i="165"/>
  <c r="G242" i="165"/>
  <c r="G241" i="165"/>
  <c r="C238" i="165"/>
  <c r="C237" i="165"/>
  <c r="C236" i="165"/>
  <c r="C235" i="165"/>
  <c r="C233" i="165"/>
  <c r="C232" i="165"/>
  <c r="C231" i="165"/>
  <c r="D228" i="165"/>
  <c r="C227" i="165"/>
  <c r="C226" i="165"/>
  <c r="C225" i="165"/>
  <c r="C224" i="165"/>
  <c r="C223" i="165"/>
  <c r="C222" i="165"/>
  <c r="C221" i="165"/>
  <c r="C220" i="165"/>
  <c r="C219" i="165"/>
  <c r="C211" i="165"/>
  <c r="D205" i="165"/>
  <c r="C205" i="165"/>
  <c r="D204" i="165"/>
  <c r="C204" i="165"/>
  <c r="D203" i="165"/>
  <c r="C203" i="165"/>
  <c r="D202" i="165"/>
  <c r="C202" i="165"/>
  <c r="D201" i="165"/>
  <c r="C201" i="165"/>
  <c r="D200" i="165"/>
  <c r="C200" i="165"/>
  <c r="D196" i="165"/>
  <c r="C196" i="165"/>
  <c r="D195" i="165"/>
  <c r="C195" i="165"/>
  <c r="D194" i="165"/>
  <c r="C194" i="165"/>
  <c r="D193" i="165"/>
  <c r="C193" i="165"/>
  <c r="D192" i="165"/>
  <c r="C192" i="165"/>
  <c r="D191" i="165"/>
  <c r="C191" i="165"/>
  <c r="D190" i="165"/>
  <c r="C190" i="165"/>
  <c r="D189" i="165"/>
  <c r="C189" i="165"/>
  <c r="D188" i="165"/>
  <c r="C188" i="165"/>
  <c r="D187" i="165"/>
  <c r="C187" i="165"/>
  <c r="D186" i="165"/>
  <c r="C186" i="165"/>
  <c r="D185" i="165"/>
  <c r="C185" i="165"/>
  <c r="D184" i="165"/>
  <c r="C184" i="165"/>
  <c r="D183" i="165"/>
  <c r="C183" i="165"/>
  <c r="D182" i="165"/>
  <c r="C182" i="165"/>
  <c r="D181" i="165"/>
  <c r="C181" i="165"/>
  <c r="D180" i="165"/>
  <c r="C180" i="165"/>
  <c r="D179" i="165"/>
  <c r="C179" i="165"/>
  <c r="D178" i="165"/>
  <c r="C178" i="165"/>
  <c r="D177" i="165"/>
  <c r="C177" i="165"/>
  <c r="D176" i="165"/>
  <c r="C176" i="165"/>
  <c r="D175" i="165"/>
  <c r="C175" i="165"/>
  <c r="D174" i="165"/>
  <c r="C174" i="165"/>
  <c r="D173" i="165"/>
  <c r="C173" i="165"/>
  <c r="D172" i="165"/>
  <c r="C172" i="165"/>
  <c r="D171" i="165"/>
  <c r="C171" i="165"/>
  <c r="D170" i="165"/>
  <c r="C170" i="165"/>
  <c r="D169" i="165"/>
  <c r="C169" i="165"/>
  <c r="D168" i="165"/>
  <c r="C168" i="165"/>
  <c r="D167" i="165"/>
  <c r="C167" i="165"/>
  <c r="D166" i="165"/>
  <c r="C166" i="165"/>
  <c r="D165" i="165"/>
  <c r="C165" i="165"/>
  <c r="D164" i="165"/>
  <c r="C164" i="165"/>
  <c r="D160" i="165"/>
  <c r="C160" i="165"/>
  <c r="D159" i="165"/>
  <c r="C159" i="165"/>
  <c r="D158" i="165"/>
  <c r="C158" i="165"/>
  <c r="D157" i="165"/>
  <c r="C157" i="165"/>
  <c r="D156" i="165"/>
  <c r="C156" i="165"/>
  <c r="D155" i="165"/>
  <c r="C155" i="165"/>
  <c r="D153" i="165"/>
  <c r="C153" i="165"/>
  <c r="D152" i="165"/>
  <c r="C152" i="165"/>
  <c r="D151" i="165"/>
  <c r="C151" i="165"/>
  <c r="D150" i="165"/>
  <c r="C150" i="165"/>
  <c r="D149" i="165"/>
  <c r="C149" i="165"/>
  <c r="D148" i="165"/>
  <c r="C148" i="165"/>
  <c r="D147" i="165"/>
  <c r="C147" i="165"/>
  <c r="D146" i="165"/>
  <c r="C146" i="165"/>
  <c r="D145" i="165"/>
  <c r="C145" i="165"/>
  <c r="D143" i="165"/>
  <c r="C143" i="165"/>
  <c r="D142" i="165"/>
  <c r="C142" i="165"/>
  <c r="D141" i="165"/>
  <c r="C141" i="165"/>
  <c r="D140" i="165"/>
  <c r="C140" i="165"/>
  <c r="D138" i="165"/>
  <c r="C138" i="165"/>
  <c r="D137" i="165"/>
  <c r="C137" i="165"/>
  <c r="D136" i="165"/>
  <c r="C136" i="165"/>
  <c r="D135" i="165"/>
  <c r="C135" i="165"/>
  <c r="D133" i="165"/>
  <c r="C133" i="165"/>
  <c r="D132" i="165"/>
  <c r="C132" i="165"/>
  <c r="D131" i="165"/>
  <c r="C131" i="165"/>
  <c r="D130" i="165"/>
  <c r="C130" i="165"/>
  <c r="D129" i="165"/>
  <c r="C129" i="165"/>
  <c r="D127" i="165"/>
  <c r="C127" i="165"/>
  <c r="D126" i="165"/>
  <c r="C126" i="165"/>
  <c r="D125" i="165"/>
  <c r="C125" i="165"/>
  <c r="D124" i="165"/>
  <c r="C124" i="165"/>
  <c r="D123" i="165"/>
  <c r="C123" i="165"/>
  <c r="D118" i="165"/>
  <c r="C118" i="165"/>
  <c r="D117" i="165"/>
  <c r="C117" i="165"/>
  <c r="D116" i="165"/>
  <c r="C116" i="165"/>
  <c r="D115" i="165"/>
  <c r="C115" i="165"/>
  <c r="D114" i="165"/>
  <c r="C114" i="165"/>
  <c r="D110" i="165"/>
  <c r="C110" i="165"/>
  <c r="D109" i="165"/>
  <c r="C109" i="165"/>
  <c r="D108" i="165"/>
  <c r="C108" i="165"/>
  <c r="D107" i="165"/>
  <c r="C107" i="165"/>
  <c r="D106" i="165"/>
  <c r="C106" i="165"/>
  <c r="D105" i="165"/>
  <c r="C105" i="165"/>
  <c r="D101" i="165"/>
  <c r="C101" i="165"/>
  <c r="D100" i="165"/>
  <c r="C100" i="165"/>
  <c r="D99" i="165"/>
  <c r="C99" i="165"/>
  <c r="D98" i="165"/>
  <c r="C98" i="165"/>
  <c r="D97" i="165"/>
  <c r="C97" i="165"/>
  <c r="D96" i="165"/>
  <c r="C96" i="165"/>
  <c r="D92" i="165"/>
  <c r="C92" i="165"/>
  <c r="D91" i="165"/>
  <c r="C91" i="165"/>
  <c r="D90" i="165"/>
  <c r="C90" i="165"/>
  <c r="D89" i="165"/>
  <c r="C89" i="165"/>
  <c r="D88" i="165"/>
  <c r="C88" i="165"/>
  <c r="D87" i="165"/>
  <c r="C87" i="165"/>
  <c r="D86" i="165"/>
  <c r="C86" i="165"/>
  <c r="D85" i="165"/>
  <c r="C85" i="165"/>
  <c r="D84" i="165"/>
  <c r="C84" i="165"/>
  <c r="D83" i="165"/>
  <c r="C83" i="165"/>
  <c r="D82" i="165"/>
  <c r="C82" i="165"/>
  <c r="D78" i="165"/>
  <c r="C78" i="165"/>
  <c r="D77" i="165"/>
  <c r="C77" i="165"/>
  <c r="D76" i="165"/>
  <c r="C76" i="165"/>
  <c r="D75" i="165"/>
  <c r="C75" i="165"/>
  <c r="D74" i="165"/>
  <c r="C74" i="165"/>
  <c r="D73" i="165"/>
  <c r="C73" i="165"/>
  <c r="D72" i="165"/>
  <c r="C72" i="165"/>
  <c r="D71" i="165"/>
  <c r="C71" i="165"/>
  <c r="D70" i="165"/>
  <c r="C70" i="165"/>
  <c r="D69" i="165"/>
  <c r="C69" i="165"/>
  <c r="D68" i="165"/>
  <c r="C68" i="165"/>
  <c r="D67" i="165"/>
  <c r="C67" i="165"/>
  <c r="D66" i="165"/>
  <c r="C66" i="165"/>
  <c r="D65" i="165"/>
  <c r="C65" i="165"/>
  <c r="D64" i="165"/>
  <c r="C64" i="165"/>
  <c r="D60" i="165"/>
  <c r="C60" i="165"/>
  <c r="D59" i="165"/>
  <c r="C59" i="165"/>
  <c r="D58" i="165"/>
  <c r="C58" i="165"/>
  <c r="D57" i="165"/>
  <c r="C57" i="165"/>
  <c r="D56" i="165"/>
  <c r="C56" i="165"/>
  <c r="D55" i="165"/>
  <c r="C55" i="165"/>
  <c r="D54" i="165"/>
  <c r="C54" i="165"/>
  <c r="D53" i="165"/>
  <c r="C53" i="165"/>
  <c r="D52" i="165"/>
  <c r="C52" i="165"/>
  <c r="D51" i="165"/>
  <c r="C51" i="165"/>
  <c r="D50" i="165"/>
  <c r="C50" i="165"/>
  <c r="D49" i="165"/>
  <c r="C49" i="165"/>
  <c r="D48" i="165"/>
  <c r="C48" i="165"/>
  <c r="D47" i="165"/>
  <c r="C47" i="165"/>
  <c r="D46" i="165"/>
  <c r="C46" i="165"/>
  <c r="D45" i="165"/>
  <c r="C45" i="165"/>
  <c r="D44" i="165"/>
  <c r="C44" i="165"/>
  <c r="D43" i="165"/>
  <c r="C43" i="165"/>
  <c r="D42" i="165"/>
  <c r="C42" i="165"/>
  <c r="D41" i="165"/>
  <c r="C41" i="165"/>
  <c r="D40" i="165"/>
  <c r="C40" i="165"/>
  <c r="D39" i="165"/>
  <c r="C39" i="165"/>
  <c r="D38" i="165"/>
  <c r="C38" i="165"/>
  <c r="D37" i="165"/>
  <c r="C37" i="165"/>
  <c r="D36" i="165"/>
  <c r="C36" i="165"/>
  <c r="D35" i="165"/>
  <c r="C35" i="165"/>
  <c r="D34" i="165"/>
  <c r="C34" i="165"/>
  <c r="D33" i="165"/>
  <c r="C33" i="165"/>
  <c r="D32" i="165"/>
  <c r="C32" i="165"/>
  <c r="D31" i="165"/>
  <c r="C31" i="165"/>
  <c r="D30" i="165"/>
  <c r="C30" i="165"/>
  <c r="D29" i="165"/>
  <c r="C29" i="165"/>
  <c r="D28" i="165"/>
  <c r="C28" i="165"/>
  <c r="D27" i="165"/>
  <c r="C27" i="165"/>
  <c r="D26" i="165"/>
  <c r="C26" i="165"/>
  <c r="D25" i="165"/>
  <c r="C25" i="165"/>
  <c r="D20" i="165"/>
  <c r="C20" i="165"/>
  <c r="D19" i="165"/>
  <c r="C19" i="165"/>
  <c r="D18" i="165"/>
  <c r="C18" i="165"/>
  <c r="D17" i="165"/>
  <c r="C17" i="165"/>
  <c r="D16" i="165"/>
  <c r="C16" i="165"/>
  <c r="D15" i="165"/>
  <c r="C15" i="165"/>
  <c r="D14" i="165"/>
  <c r="C14" i="165"/>
  <c r="D13" i="165"/>
  <c r="C13" i="165"/>
  <c r="D12" i="165"/>
  <c r="C12" i="165"/>
  <c r="D11" i="165"/>
  <c r="C11" i="165"/>
  <c r="C79" i="165" l="1"/>
  <c r="C119" i="165"/>
  <c r="D102" i="165"/>
  <c r="D93" i="165"/>
  <c r="D161" i="165"/>
  <c r="D79" i="165"/>
  <c r="C111" i="165"/>
  <c r="C161" i="165"/>
  <c r="C228" i="165"/>
  <c r="C197" i="165"/>
  <c r="C206" i="165"/>
  <c r="D111" i="165"/>
  <c r="C21" i="165"/>
  <c r="D197" i="165"/>
  <c r="D206" i="165"/>
  <c r="D119" i="165"/>
  <c r="D21" i="165"/>
  <c r="C93" i="165"/>
  <c r="C102" i="165"/>
  <c r="C61" i="165"/>
  <c r="D61" i="165"/>
  <c r="D208" i="165" l="1"/>
  <c r="D215" i="165" s="1"/>
  <c r="C208" i="165"/>
  <c r="C212" i="165" s="1"/>
  <c r="C215" i="165" l="1"/>
  <c r="G244" i="55"/>
  <c r="G243" i="55"/>
  <c r="G242" i="55"/>
  <c r="G241" i="55"/>
  <c r="C238" i="55"/>
  <c r="C237" i="55"/>
  <c r="C236" i="55"/>
  <c r="C235" i="55"/>
  <c r="C233" i="55"/>
  <c r="C232" i="55"/>
  <c r="C231" i="55"/>
  <c r="D228" i="55"/>
  <c r="C227" i="55"/>
  <c r="C226" i="55"/>
  <c r="C225" i="55"/>
  <c r="C224" i="55"/>
  <c r="C223" i="55"/>
  <c r="C222" i="55"/>
  <c r="C221" i="55"/>
  <c r="C220" i="55"/>
  <c r="C219" i="55"/>
  <c r="C211" i="55"/>
  <c r="D205" i="55"/>
  <c r="C205" i="55"/>
  <c r="D204" i="55"/>
  <c r="C204" i="55"/>
  <c r="D203" i="55"/>
  <c r="C203" i="55"/>
  <c r="D202" i="55"/>
  <c r="C202" i="55"/>
  <c r="D201" i="55"/>
  <c r="C201" i="55"/>
  <c r="D200" i="55"/>
  <c r="C200" i="55"/>
  <c r="D196" i="55"/>
  <c r="C196" i="55"/>
  <c r="D195" i="55"/>
  <c r="C195" i="55"/>
  <c r="D194" i="55"/>
  <c r="C194" i="55"/>
  <c r="D193" i="55"/>
  <c r="C193" i="55"/>
  <c r="D192" i="55"/>
  <c r="C192" i="55"/>
  <c r="D191" i="55"/>
  <c r="C191" i="55"/>
  <c r="D190" i="55"/>
  <c r="C190" i="55"/>
  <c r="D189" i="55"/>
  <c r="C189" i="55"/>
  <c r="D188" i="55"/>
  <c r="C188" i="55"/>
  <c r="D187" i="55"/>
  <c r="C187" i="55"/>
  <c r="D186" i="55"/>
  <c r="C186" i="55"/>
  <c r="D185" i="55"/>
  <c r="C185" i="55"/>
  <c r="D184" i="55"/>
  <c r="C184" i="55"/>
  <c r="D183" i="55"/>
  <c r="C183" i="55"/>
  <c r="D182" i="55"/>
  <c r="C182" i="55"/>
  <c r="D181" i="55"/>
  <c r="C181" i="55"/>
  <c r="D180" i="55"/>
  <c r="C180" i="55"/>
  <c r="D179" i="55"/>
  <c r="C179" i="55"/>
  <c r="D178" i="55"/>
  <c r="C178" i="55"/>
  <c r="D177" i="55"/>
  <c r="C177" i="55"/>
  <c r="D176" i="55"/>
  <c r="C176" i="55"/>
  <c r="D175" i="55"/>
  <c r="C175" i="55"/>
  <c r="D174" i="55"/>
  <c r="C174" i="55"/>
  <c r="D173" i="55"/>
  <c r="C173" i="55"/>
  <c r="D172" i="55"/>
  <c r="C172" i="55"/>
  <c r="D171" i="55"/>
  <c r="C171" i="55"/>
  <c r="D170" i="55"/>
  <c r="C170" i="55"/>
  <c r="D169" i="55"/>
  <c r="C169" i="55"/>
  <c r="D168" i="55"/>
  <c r="C168" i="55"/>
  <c r="D167" i="55"/>
  <c r="C167" i="55"/>
  <c r="D166" i="55"/>
  <c r="C166" i="55"/>
  <c r="D165" i="55"/>
  <c r="C165" i="55"/>
  <c r="D164" i="55"/>
  <c r="C164" i="55"/>
  <c r="D160" i="55"/>
  <c r="C160" i="55"/>
  <c r="D159" i="55"/>
  <c r="C159" i="55"/>
  <c r="D158" i="55"/>
  <c r="C158" i="55"/>
  <c r="D157" i="55"/>
  <c r="C157" i="55"/>
  <c r="D156" i="55"/>
  <c r="C156" i="55"/>
  <c r="D155" i="55"/>
  <c r="C155" i="55"/>
  <c r="D153" i="55"/>
  <c r="C153" i="55"/>
  <c r="D152" i="55"/>
  <c r="C152" i="55"/>
  <c r="D151" i="55"/>
  <c r="C151" i="55"/>
  <c r="D150" i="55"/>
  <c r="C150" i="55"/>
  <c r="D149" i="55"/>
  <c r="C149" i="55"/>
  <c r="D148" i="55"/>
  <c r="C148" i="55"/>
  <c r="D147" i="55"/>
  <c r="C147" i="55"/>
  <c r="D146" i="55"/>
  <c r="C146" i="55"/>
  <c r="D145" i="55"/>
  <c r="C145" i="55"/>
  <c r="D143" i="55"/>
  <c r="C143" i="55"/>
  <c r="D142" i="55"/>
  <c r="C142" i="55"/>
  <c r="D141" i="55"/>
  <c r="C141" i="55"/>
  <c r="D140" i="55"/>
  <c r="C140" i="55"/>
  <c r="D138" i="55"/>
  <c r="C138" i="55"/>
  <c r="D137" i="55"/>
  <c r="C137" i="55"/>
  <c r="D136" i="55"/>
  <c r="C136" i="55"/>
  <c r="D135" i="55"/>
  <c r="C135" i="55"/>
  <c r="D133" i="55"/>
  <c r="C133" i="55"/>
  <c r="D132" i="55"/>
  <c r="C132" i="55"/>
  <c r="D131" i="55"/>
  <c r="C131" i="55"/>
  <c r="D130" i="55"/>
  <c r="C130" i="55"/>
  <c r="D129" i="55"/>
  <c r="C129" i="55"/>
  <c r="D127" i="55"/>
  <c r="C127" i="55"/>
  <c r="D126" i="55"/>
  <c r="C126" i="55"/>
  <c r="D125" i="55"/>
  <c r="C125" i="55"/>
  <c r="D124" i="55"/>
  <c r="C124" i="55"/>
  <c r="D123" i="55"/>
  <c r="C123" i="55"/>
  <c r="D118" i="55"/>
  <c r="C118" i="55"/>
  <c r="D117" i="55"/>
  <c r="C117" i="55"/>
  <c r="D116" i="55"/>
  <c r="C116" i="55"/>
  <c r="D115" i="55"/>
  <c r="C115" i="55"/>
  <c r="D114" i="55"/>
  <c r="C114" i="55"/>
  <c r="D110" i="55"/>
  <c r="C110" i="55"/>
  <c r="D109" i="55"/>
  <c r="C109" i="55"/>
  <c r="D108" i="55"/>
  <c r="C108" i="55"/>
  <c r="D107" i="55"/>
  <c r="C107" i="55"/>
  <c r="D106" i="55"/>
  <c r="C106" i="55"/>
  <c r="D105" i="55"/>
  <c r="C105" i="55"/>
  <c r="D101" i="55"/>
  <c r="C101" i="55"/>
  <c r="D100" i="55"/>
  <c r="C100" i="55"/>
  <c r="D99" i="55"/>
  <c r="C99" i="55"/>
  <c r="D98" i="55"/>
  <c r="C98" i="55"/>
  <c r="D97" i="55"/>
  <c r="C97" i="55"/>
  <c r="D96" i="55"/>
  <c r="C96" i="55"/>
  <c r="D92" i="55"/>
  <c r="C92" i="55"/>
  <c r="D91" i="55"/>
  <c r="C91" i="55"/>
  <c r="D90" i="55"/>
  <c r="C90" i="55"/>
  <c r="D89" i="55"/>
  <c r="C89" i="55"/>
  <c r="D88" i="55"/>
  <c r="C88" i="55"/>
  <c r="D87" i="55"/>
  <c r="C87" i="55"/>
  <c r="D86" i="55"/>
  <c r="C86" i="55"/>
  <c r="D85" i="55"/>
  <c r="C85" i="55"/>
  <c r="D84" i="55"/>
  <c r="C84" i="55"/>
  <c r="D83" i="55"/>
  <c r="C83" i="55"/>
  <c r="D82" i="55"/>
  <c r="C82" i="55"/>
  <c r="D78" i="55"/>
  <c r="C78" i="55"/>
  <c r="D77" i="55"/>
  <c r="C77" i="55"/>
  <c r="D76" i="55"/>
  <c r="C76" i="55"/>
  <c r="D75" i="55"/>
  <c r="C75" i="55"/>
  <c r="D74" i="55"/>
  <c r="C74" i="55"/>
  <c r="D73" i="55"/>
  <c r="C73" i="55"/>
  <c r="D72" i="55"/>
  <c r="C72" i="55"/>
  <c r="D71" i="55"/>
  <c r="C71" i="55"/>
  <c r="D70" i="55"/>
  <c r="C70" i="55"/>
  <c r="D69" i="55"/>
  <c r="C69" i="55"/>
  <c r="D68" i="55"/>
  <c r="C68" i="55"/>
  <c r="D67" i="55"/>
  <c r="C67" i="55"/>
  <c r="D66" i="55"/>
  <c r="C66" i="55"/>
  <c r="D65" i="55"/>
  <c r="C65" i="55"/>
  <c r="D64" i="55"/>
  <c r="C64" i="55"/>
  <c r="D60" i="55"/>
  <c r="C60" i="55"/>
  <c r="D59" i="55"/>
  <c r="C59" i="55"/>
  <c r="D58" i="55"/>
  <c r="C58" i="55"/>
  <c r="D57" i="55"/>
  <c r="C57" i="55"/>
  <c r="D56" i="55"/>
  <c r="C56" i="55"/>
  <c r="D55" i="55"/>
  <c r="C55" i="55"/>
  <c r="D54" i="55"/>
  <c r="C54" i="55"/>
  <c r="D53" i="55"/>
  <c r="C53" i="55"/>
  <c r="D52" i="55"/>
  <c r="C52" i="55"/>
  <c r="D51" i="55"/>
  <c r="C51" i="55"/>
  <c r="D50" i="55"/>
  <c r="C50" i="55"/>
  <c r="D49" i="55"/>
  <c r="C49" i="55"/>
  <c r="D48" i="55"/>
  <c r="C48" i="55"/>
  <c r="D47" i="55"/>
  <c r="C47" i="55"/>
  <c r="D46" i="55"/>
  <c r="C46" i="55"/>
  <c r="D45" i="55"/>
  <c r="C45" i="55"/>
  <c r="D44" i="55"/>
  <c r="C44" i="55"/>
  <c r="D43" i="55"/>
  <c r="C43" i="55"/>
  <c r="D42" i="55"/>
  <c r="C42" i="55"/>
  <c r="D41" i="55"/>
  <c r="C41" i="55"/>
  <c r="D40" i="55"/>
  <c r="C40" i="55"/>
  <c r="D39" i="55"/>
  <c r="C39" i="55"/>
  <c r="D38" i="55"/>
  <c r="C38" i="55"/>
  <c r="D37" i="55"/>
  <c r="C37" i="55"/>
  <c r="D36" i="55"/>
  <c r="C36" i="55"/>
  <c r="D35" i="55"/>
  <c r="C35" i="55"/>
  <c r="D34" i="55"/>
  <c r="C34" i="55"/>
  <c r="D33" i="55"/>
  <c r="C33" i="55"/>
  <c r="D32" i="55"/>
  <c r="C32" i="55"/>
  <c r="D31" i="55"/>
  <c r="C31" i="55"/>
  <c r="D30" i="55"/>
  <c r="C30" i="55"/>
  <c r="D29" i="55"/>
  <c r="C29" i="55"/>
  <c r="D28" i="55"/>
  <c r="C28" i="55"/>
  <c r="D27" i="55"/>
  <c r="C27" i="55"/>
  <c r="D26" i="55"/>
  <c r="C26" i="55"/>
  <c r="D25" i="55"/>
  <c r="C25" i="55"/>
  <c r="D20" i="55"/>
  <c r="C20" i="55"/>
  <c r="D19" i="55"/>
  <c r="C19" i="55"/>
  <c r="D18" i="55"/>
  <c r="C18" i="55"/>
  <c r="D17" i="55"/>
  <c r="C17" i="55"/>
  <c r="D16" i="55"/>
  <c r="C16" i="55"/>
  <c r="D15" i="55"/>
  <c r="C15" i="55"/>
  <c r="D14" i="55"/>
  <c r="C14" i="55"/>
  <c r="D13" i="55"/>
  <c r="C13" i="55"/>
  <c r="D12" i="55"/>
  <c r="C12" i="55"/>
  <c r="D11" i="55"/>
  <c r="C11" i="55"/>
  <c r="D102" i="55" l="1"/>
  <c r="C161" i="55"/>
  <c r="C111" i="55"/>
  <c r="C21" i="55"/>
  <c r="C79" i="55"/>
  <c r="C102" i="55"/>
  <c r="C119" i="55"/>
  <c r="D93" i="55"/>
  <c r="D119" i="55"/>
  <c r="D161" i="55"/>
  <c r="C228" i="55"/>
  <c r="D111" i="55"/>
  <c r="C197" i="55"/>
  <c r="D197" i="55"/>
  <c r="D206" i="55"/>
  <c r="D21" i="55"/>
  <c r="D79" i="55"/>
  <c r="C93" i="55"/>
  <c r="C206" i="55"/>
  <c r="C61" i="55"/>
  <c r="D61" i="55"/>
  <c r="C208" i="55" l="1"/>
  <c r="C212" i="55" s="1"/>
  <c r="D208" i="55"/>
  <c r="D215" i="55" s="1"/>
  <c r="C215" i="55" l="1"/>
  <c r="G244" i="21"/>
  <c r="G243" i="21"/>
  <c r="G242" i="21"/>
  <c r="G241" i="21"/>
  <c r="C238" i="21"/>
  <c r="C237" i="21"/>
  <c r="C236" i="21"/>
  <c r="C235" i="21"/>
  <c r="C233" i="21"/>
  <c r="C232" i="21"/>
  <c r="C231" i="21"/>
  <c r="D228" i="21"/>
  <c r="C227" i="21"/>
  <c r="C226" i="21"/>
  <c r="C225" i="21"/>
  <c r="C224" i="21"/>
  <c r="C223" i="21"/>
  <c r="C222" i="21"/>
  <c r="C221" i="21"/>
  <c r="C220" i="21"/>
  <c r="C219" i="21"/>
  <c r="C211" i="21"/>
  <c r="D205" i="21"/>
  <c r="C205" i="21"/>
  <c r="D204" i="21"/>
  <c r="C204" i="21"/>
  <c r="D203" i="21"/>
  <c r="C203" i="21"/>
  <c r="D202" i="21"/>
  <c r="C202" i="21"/>
  <c r="D201" i="21"/>
  <c r="C201" i="21"/>
  <c r="D200" i="21"/>
  <c r="C200" i="21"/>
  <c r="D196" i="21"/>
  <c r="C196" i="21"/>
  <c r="D195" i="21"/>
  <c r="C195" i="21"/>
  <c r="D194" i="21"/>
  <c r="C194" i="21"/>
  <c r="D193" i="21"/>
  <c r="C193" i="21"/>
  <c r="D192" i="21"/>
  <c r="C192" i="21"/>
  <c r="D191" i="21"/>
  <c r="C191" i="21"/>
  <c r="D190" i="21"/>
  <c r="C190" i="21"/>
  <c r="D189" i="21"/>
  <c r="C189" i="21"/>
  <c r="D188" i="21"/>
  <c r="C188" i="21"/>
  <c r="D187" i="21"/>
  <c r="C187" i="21"/>
  <c r="D186" i="21"/>
  <c r="C186" i="21"/>
  <c r="D185" i="21"/>
  <c r="C185" i="21"/>
  <c r="D184" i="21"/>
  <c r="C184" i="21"/>
  <c r="D183" i="21"/>
  <c r="C183" i="21"/>
  <c r="D182" i="21"/>
  <c r="C182" i="21"/>
  <c r="D181" i="21"/>
  <c r="C181" i="21"/>
  <c r="D180" i="21"/>
  <c r="C180" i="21"/>
  <c r="D179" i="21"/>
  <c r="C179" i="21"/>
  <c r="D178" i="21"/>
  <c r="C178" i="21"/>
  <c r="D177" i="21"/>
  <c r="C177" i="21"/>
  <c r="D176" i="21"/>
  <c r="C176" i="21"/>
  <c r="D175" i="21"/>
  <c r="C175" i="21"/>
  <c r="D174" i="21"/>
  <c r="C174" i="21"/>
  <c r="D173" i="21"/>
  <c r="C173" i="21"/>
  <c r="D172" i="21"/>
  <c r="C172" i="21"/>
  <c r="D171" i="21"/>
  <c r="C171" i="21"/>
  <c r="D170" i="21"/>
  <c r="C170" i="21"/>
  <c r="D169" i="21"/>
  <c r="C169" i="21"/>
  <c r="D168" i="21"/>
  <c r="C168" i="21"/>
  <c r="D167" i="21"/>
  <c r="C167" i="21"/>
  <c r="D166" i="21"/>
  <c r="C166" i="21"/>
  <c r="D165" i="21"/>
  <c r="C165" i="21"/>
  <c r="D164" i="21"/>
  <c r="C164" i="21"/>
  <c r="D160" i="21"/>
  <c r="C160" i="21"/>
  <c r="D159" i="21"/>
  <c r="C159" i="21"/>
  <c r="D158" i="21"/>
  <c r="C158" i="21"/>
  <c r="D157" i="21"/>
  <c r="C157" i="21"/>
  <c r="D156" i="21"/>
  <c r="C156" i="21"/>
  <c r="D155" i="21"/>
  <c r="C155" i="21"/>
  <c r="D153" i="21"/>
  <c r="C153" i="21"/>
  <c r="D152" i="21"/>
  <c r="C152" i="21"/>
  <c r="D151" i="21"/>
  <c r="C151" i="21"/>
  <c r="D150" i="21"/>
  <c r="C150" i="21"/>
  <c r="D149" i="21"/>
  <c r="C149" i="21"/>
  <c r="D148" i="21"/>
  <c r="C148" i="21"/>
  <c r="D147" i="21"/>
  <c r="C147" i="21"/>
  <c r="D146" i="21"/>
  <c r="C146" i="21"/>
  <c r="D145" i="21"/>
  <c r="C145" i="21"/>
  <c r="D143" i="21"/>
  <c r="C143" i="21"/>
  <c r="D142" i="21"/>
  <c r="C142" i="21"/>
  <c r="D141" i="21"/>
  <c r="C141" i="21"/>
  <c r="D140" i="21"/>
  <c r="C140" i="21"/>
  <c r="D138" i="21"/>
  <c r="C138" i="21"/>
  <c r="D137" i="21"/>
  <c r="C137" i="21"/>
  <c r="D136" i="21"/>
  <c r="C136" i="21"/>
  <c r="D135" i="21"/>
  <c r="C135" i="21"/>
  <c r="D133" i="21"/>
  <c r="C133" i="21"/>
  <c r="D132" i="21"/>
  <c r="C132" i="21"/>
  <c r="D131" i="21"/>
  <c r="C131" i="21"/>
  <c r="D130" i="21"/>
  <c r="C130" i="21"/>
  <c r="D129" i="21"/>
  <c r="C129" i="21"/>
  <c r="D127" i="21"/>
  <c r="C127" i="21"/>
  <c r="D126" i="21"/>
  <c r="C126" i="21"/>
  <c r="D125" i="21"/>
  <c r="C125" i="21"/>
  <c r="D124" i="21"/>
  <c r="C124" i="21"/>
  <c r="D123" i="21"/>
  <c r="C123" i="21"/>
  <c r="D118" i="21"/>
  <c r="C118" i="21"/>
  <c r="D117" i="21"/>
  <c r="C117" i="21"/>
  <c r="D116" i="21"/>
  <c r="C116" i="21"/>
  <c r="D115" i="21"/>
  <c r="C115" i="21"/>
  <c r="D114" i="21"/>
  <c r="C114" i="21"/>
  <c r="D110" i="21"/>
  <c r="C110" i="21"/>
  <c r="D109" i="21"/>
  <c r="C109" i="21"/>
  <c r="D108" i="21"/>
  <c r="C108" i="21"/>
  <c r="D107" i="21"/>
  <c r="C107" i="21"/>
  <c r="D106" i="21"/>
  <c r="C106" i="21"/>
  <c r="D105" i="21"/>
  <c r="C105" i="21"/>
  <c r="D101" i="21"/>
  <c r="C101" i="21"/>
  <c r="D100" i="21"/>
  <c r="C100" i="21"/>
  <c r="D99" i="21"/>
  <c r="C99" i="21"/>
  <c r="D98" i="21"/>
  <c r="C98" i="21"/>
  <c r="D97" i="21"/>
  <c r="C97" i="21"/>
  <c r="D96" i="21"/>
  <c r="C96" i="21"/>
  <c r="D92" i="21"/>
  <c r="C92" i="21"/>
  <c r="D91" i="21"/>
  <c r="C91" i="21"/>
  <c r="D90" i="21"/>
  <c r="C90" i="21"/>
  <c r="D89" i="21"/>
  <c r="C89" i="21"/>
  <c r="D88" i="21"/>
  <c r="C88" i="21"/>
  <c r="D87" i="21"/>
  <c r="C87" i="21"/>
  <c r="D86" i="21"/>
  <c r="C86" i="21"/>
  <c r="D85" i="21"/>
  <c r="C85" i="21"/>
  <c r="D84" i="21"/>
  <c r="C84" i="21"/>
  <c r="D83" i="21"/>
  <c r="C83" i="21"/>
  <c r="D82" i="21"/>
  <c r="C82" i="21"/>
  <c r="D78" i="21"/>
  <c r="C78" i="21"/>
  <c r="D77" i="21"/>
  <c r="C77" i="21"/>
  <c r="D76" i="21"/>
  <c r="C76" i="21"/>
  <c r="D75" i="21"/>
  <c r="C75" i="21"/>
  <c r="D74" i="21"/>
  <c r="C74" i="21"/>
  <c r="D73" i="21"/>
  <c r="C73" i="21"/>
  <c r="D72" i="21"/>
  <c r="C72" i="21"/>
  <c r="D71" i="21"/>
  <c r="C71" i="21"/>
  <c r="D70" i="21"/>
  <c r="C70" i="21"/>
  <c r="D69" i="21"/>
  <c r="C69" i="21"/>
  <c r="D68" i="21"/>
  <c r="C68" i="21"/>
  <c r="D67" i="21"/>
  <c r="C67" i="21"/>
  <c r="D66" i="21"/>
  <c r="C66" i="21"/>
  <c r="D65" i="21"/>
  <c r="C65" i="21"/>
  <c r="D64" i="21"/>
  <c r="C64" i="21"/>
  <c r="D60" i="21"/>
  <c r="C60" i="21"/>
  <c r="D59" i="21"/>
  <c r="C59" i="21"/>
  <c r="D58" i="21"/>
  <c r="C58" i="21"/>
  <c r="D57" i="21"/>
  <c r="C57" i="21"/>
  <c r="D56" i="21"/>
  <c r="C56" i="21"/>
  <c r="D55" i="21"/>
  <c r="C55" i="21"/>
  <c r="D54" i="21"/>
  <c r="C54" i="21"/>
  <c r="D53" i="21"/>
  <c r="C53" i="21"/>
  <c r="D52" i="21"/>
  <c r="C52" i="21"/>
  <c r="D51" i="21"/>
  <c r="C51" i="21"/>
  <c r="D50" i="21"/>
  <c r="C50" i="21"/>
  <c r="D49" i="21"/>
  <c r="C49" i="21"/>
  <c r="D48" i="21"/>
  <c r="C48" i="21"/>
  <c r="D47" i="21"/>
  <c r="C47" i="21"/>
  <c r="D46" i="21"/>
  <c r="C46" i="21"/>
  <c r="D45" i="21"/>
  <c r="C45" i="21"/>
  <c r="D44" i="21"/>
  <c r="C44" i="21"/>
  <c r="D43" i="21"/>
  <c r="C43" i="21"/>
  <c r="D42" i="21"/>
  <c r="C42" i="21"/>
  <c r="D41" i="21"/>
  <c r="C41" i="21"/>
  <c r="D40" i="21"/>
  <c r="C40" i="21"/>
  <c r="D39" i="21"/>
  <c r="C39" i="21"/>
  <c r="D38" i="21"/>
  <c r="C38" i="21"/>
  <c r="D37" i="21"/>
  <c r="C37" i="21"/>
  <c r="D36" i="21"/>
  <c r="C36" i="21"/>
  <c r="D35" i="21"/>
  <c r="C35" i="21"/>
  <c r="D34" i="21"/>
  <c r="C34" i="21"/>
  <c r="D33" i="21"/>
  <c r="C33" i="21"/>
  <c r="D32" i="21"/>
  <c r="C32" i="21"/>
  <c r="D31" i="21"/>
  <c r="C31" i="21"/>
  <c r="D30" i="21"/>
  <c r="C30" i="21"/>
  <c r="D29" i="21"/>
  <c r="C29" i="21"/>
  <c r="D28" i="21"/>
  <c r="C28" i="21"/>
  <c r="D27" i="21"/>
  <c r="C27" i="21"/>
  <c r="D26" i="21"/>
  <c r="C26" i="21"/>
  <c r="D25" i="21"/>
  <c r="C25" i="21"/>
  <c r="D20" i="21"/>
  <c r="C20" i="21"/>
  <c r="D19" i="21"/>
  <c r="C19" i="21"/>
  <c r="D18" i="21"/>
  <c r="C18" i="21"/>
  <c r="D17" i="21"/>
  <c r="C17" i="21"/>
  <c r="D16" i="21"/>
  <c r="C16" i="21"/>
  <c r="D15" i="21"/>
  <c r="C15" i="21"/>
  <c r="D14" i="21"/>
  <c r="C14" i="21"/>
  <c r="D13" i="21"/>
  <c r="C13" i="21"/>
  <c r="D12" i="21"/>
  <c r="C12" i="21"/>
  <c r="D11" i="21"/>
  <c r="C11" i="21"/>
  <c r="D79" i="21" l="1"/>
  <c r="D119" i="21"/>
  <c r="D161" i="21"/>
  <c r="C21" i="21"/>
  <c r="C93" i="21"/>
  <c r="C102" i="21"/>
  <c r="D21" i="21"/>
  <c r="D93" i="21"/>
  <c r="D102" i="21"/>
  <c r="C79" i="21"/>
  <c r="C119" i="21"/>
  <c r="C161" i="21"/>
  <c r="D111" i="21"/>
  <c r="C197" i="21"/>
  <c r="C206" i="21"/>
  <c r="C228" i="21"/>
  <c r="C111" i="21"/>
  <c r="D197" i="21"/>
  <c r="D206" i="21"/>
  <c r="D61" i="21"/>
  <c r="C61" i="21"/>
  <c r="C208" i="21" l="1"/>
  <c r="C212" i="21" s="1"/>
  <c r="D208" i="21"/>
  <c r="D215" i="21" s="1"/>
  <c r="C215" i="21" l="1"/>
  <c r="J105" i="14"/>
  <c r="K200" i="14"/>
  <c r="J200" i="14"/>
  <c r="K172" i="14"/>
  <c r="J172" i="14"/>
  <c r="K168" i="14"/>
  <c r="J168" i="14"/>
  <c r="K166" i="14"/>
  <c r="J166" i="14"/>
  <c r="K149" i="14"/>
  <c r="J149" i="14"/>
  <c r="K138" i="14"/>
  <c r="K137" i="14"/>
  <c r="K136" i="14"/>
  <c r="J138" i="14"/>
  <c r="J137" i="14"/>
  <c r="J136" i="14"/>
  <c r="K135" i="14"/>
  <c r="J135" i="14"/>
  <c r="K127" i="14"/>
  <c r="J127" i="14"/>
  <c r="K125" i="14"/>
  <c r="J125" i="14"/>
  <c r="K124" i="14"/>
  <c r="J124" i="14"/>
  <c r="K114" i="14"/>
  <c r="J114" i="14"/>
  <c r="K105" i="14"/>
  <c r="J96" i="14"/>
  <c r="K96" i="14"/>
  <c r="K82" i="14"/>
  <c r="J82" i="14"/>
  <c r="K27" i="14"/>
  <c r="J27" i="14"/>
  <c r="K25" i="14"/>
  <c r="J25" i="14"/>
  <c r="G242" i="14" l="1"/>
  <c r="C238" i="14" l="1"/>
  <c r="C237" i="14"/>
  <c r="C236" i="14"/>
  <c r="C235" i="14"/>
  <c r="C233" i="14"/>
  <c r="C232" i="14"/>
  <c r="C231" i="14"/>
  <c r="D228" i="14"/>
  <c r="C227" i="14"/>
  <c r="C226" i="14"/>
  <c r="C225" i="14"/>
  <c r="C224" i="14"/>
  <c r="C223" i="14"/>
  <c r="C222" i="14"/>
  <c r="C221" i="14"/>
  <c r="C220" i="14"/>
  <c r="C219" i="14"/>
  <c r="C211" i="14"/>
  <c r="D205" i="14"/>
  <c r="C205" i="14"/>
  <c r="D204" i="14"/>
  <c r="C204" i="14"/>
  <c r="D203" i="14"/>
  <c r="C203" i="14"/>
  <c r="D202" i="14"/>
  <c r="C202" i="14"/>
  <c r="D201" i="14"/>
  <c r="C201" i="14"/>
  <c r="D200" i="14"/>
  <c r="C200" i="14"/>
  <c r="D196" i="14"/>
  <c r="C196" i="14"/>
  <c r="D195" i="14"/>
  <c r="C195" i="14"/>
  <c r="D194" i="14"/>
  <c r="C194" i="14"/>
  <c r="D193" i="14"/>
  <c r="C193" i="14"/>
  <c r="D192" i="14"/>
  <c r="C192" i="14"/>
  <c r="D191" i="14"/>
  <c r="C191" i="14"/>
  <c r="D190" i="14"/>
  <c r="C190" i="14"/>
  <c r="D189" i="14"/>
  <c r="C189" i="14"/>
  <c r="D188" i="14"/>
  <c r="C188" i="14"/>
  <c r="D187" i="14"/>
  <c r="C187" i="14"/>
  <c r="D186" i="14"/>
  <c r="C186" i="14"/>
  <c r="D185" i="14"/>
  <c r="C185" i="14"/>
  <c r="D184" i="14"/>
  <c r="C184" i="14"/>
  <c r="D183" i="14"/>
  <c r="C183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6" i="14"/>
  <c r="C176" i="14"/>
  <c r="D175" i="14"/>
  <c r="C175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8" i="14"/>
  <c r="C168" i="14"/>
  <c r="D167" i="14"/>
  <c r="C167" i="14"/>
  <c r="D166" i="14"/>
  <c r="C166" i="14"/>
  <c r="D165" i="14"/>
  <c r="C165" i="14"/>
  <c r="D164" i="14"/>
  <c r="C164" i="14"/>
  <c r="D160" i="14"/>
  <c r="C160" i="14"/>
  <c r="D159" i="14"/>
  <c r="C159" i="14"/>
  <c r="D158" i="14"/>
  <c r="C158" i="14"/>
  <c r="D157" i="14"/>
  <c r="C157" i="14"/>
  <c r="D156" i="14"/>
  <c r="C156" i="14"/>
  <c r="D155" i="14"/>
  <c r="C155" i="14"/>
  <c r="D153" i="14"/>
  <c r="C153" i="14"/>
  <c r="D152" i="14"/>
  <c r="C152" i="14"/>
  <c r="D151" i="14"/>
  <c r="C151" i="14"/>
  <c r="D150" i="14"/>
  <c r="C150" i="14"/>
  <c r="D149" i="14"/>
  <c r="C149" i="14"/>
  <c r="D148" i="14"/>
  <c r="C148" i="14"/>
  <c r="D147" i="14"/>
  <c r="C147" i="14"/>
  <c r="D146" i="14"/>
  <c r="C146" i="14"/>
  <c r="D145" i="14"/>
  <c r="C145" i="14"/>
  <c r="D143" i="14"/>
  <c r="C143" i="14"/>
  <c r="D142" i="14"/>
  <c r="C142" i="14"/>
  <c r="D141" i="14"/>
  <c r="C141" i="14"/>
  <c r="D140" i="14"/>
  <c r="C140" i="14"/>
  <c r="D138" i="14"/>
  <c r="C138" i="14"/>
  <c r="D137" i="14"/>
  <c r="C137" i="14"/>
  <c r="D136" i="14"/>
  <c r="C136" i="14"/>
  <c r="D135" i="14"/>
  <c r="C135" i="14"/>
  <c r="D133" i="14"/>
  <c r="C133" i="14"/>
  <c r="D132" i="14"/>
  <c r="C132" i="14"/>
  <c r="D131" i="14"/>
  <c r="C131" i="14"/>
  <c r="D130" i="14"/>
  <c r="C130" i="14"/>
  <c r="D129" i="14"/>
  <c r="C129" i="14"/>
  <c r="D127" i="14"/>
  <c r="C127" i="14"/>
  <c r="D126" i="14"/>
  <c r="C126" i="14"/>
  <c r="D125" i="14"/>
  <c r="C125" i="14"/>
  <c r="D124" i="14"/>
  <c r="C124" i="14"/>
  <c r="D123" i="14"/>
  <c r="C123" i="14"/>
  <c r="D118" i="14"/>
  <c r="C118" i="14"/>
  <c r="D117" i="14"/>
  <c r="C117" i="14"/>
  <c r="D116" i="14"/>
  <c r="C116" i="14"/>
  <c r="D115" i="14"/>
  <c r="C115" i="14"/>
  <c r="D114" i="14"/>
  <c r="C114" i="14"/>
  <c r="D110" i="14"/>
  <c r="C110" i="14"/>
  <c r="D109" i="14"/>
  <c r="C109" i="14"/>
  <c r="D108" i="14"/>
  <c r="C108" i="14"/>
  <c r="D107" i="14"/>
  <c r="C107" i="14"/>
  <c r="D106" i="14"/>
  <c r="C106" i="14"/>
  <c r="D105" i="14"/>
  <c r="C105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C111" i="14" l="1"/>
  <c r="C161" i="14"/>
  <c r="D61" i="14"/>
  <c r="D93" i="14"/>
  <c r="D111" i="14"/>
  <c r="D161" i="14"/>
  <c r="C197" i="14"/>
  <c r="C206" i="14"/>
  <c r="D21" i="14"/>
  <c r="C102" i="14"/>
  <c r="C79" i="14"/>
  <c r="D102" i="14"/>
  <c r="D206" i="14"/>
  <c r="D197" i="14"/>
  <c r="D79" i="14"/>
  <c r="C119" i="14"/>
  <c r="C21" i="14"/>
  <c r="C93" i="14"/>
  <c r="D119" i="14"/>
  <c r="C228" i="14"/>
  <c r="C61" i="14"/>
  <c r="D208" i="14" l="1"/>
  <c r="D215" i="14" s="1"/>
  <c r="C208" i="14"/>
  <c r="C212" i="14" s="1"/>
  <c r="C215" i="14" l="1"/>
  <c r="G244" i="85"/>
  <c r="G243" i="85"/>
  <c r="G242" i="85"/>
  <c r="G241" i="85"/>
  <c r="C4" i="85"/>
  <c r="C3" i="85"/>
  <c r="G244" i="149" l="1"/>
  <c r="G243" i="149"/>
  <c r="G242" i="149"/>
  <c r="G241" i="149"/>
  <c r="C238" i="149"/>
  <c r="C237" i="149"/>
  <c r="C236" i="149"/>
  <c r="C235" i="149"/>
  <c r="C233" i="149"/>
  <c r="C232" i="149"/>
  <c r="C231" i="149"/>
  <c r="D228" i="149"/>
  <c r="C227" i="149"/>
  <c r="C226" i="149"/>
  <c r="C225" i="149"/>
  <c r="C224" i="149"/>
  <c r="C223" i="149"/>
  <c r="C222" i="149"/>
  <c r="C221" i="149"/>
  <c r="C220" i="149"/>
  <c r="C219" i="149"/>
  <c r="C211" i="149"/>
  <c r="D205" i="149"/>
  <c r="C205" i="149"/>
  <c r="D204" i="149"/>
  <c r="C204" i="149"/>
  <c r="D203" i="149"/>
  <c r="C203" i="149"/>
  <c r="D202" i="149"/>
  <c r="C202" i="149"/>
  <c r="D201" i="149"/>
  <c r="C201" i="149"/>
  <c r="D200" i="149"/>
  <c r="C200" i="149"/>
  <c r="D196" i="149"/>
  <c r="C196" i="149"/>
  <c r="D195" i="149"/>
  <c r="C195" i="149"/>
  <c r="D194" i="149"/>
  <c r="C194" i="149"/>
  <c r="D193" i="149"/>
  <c r="C193" i="149"/>
  <c r="D192" i="149"/>
  <c r="C192" i="149"/>
  <c r="D191" i="149"/>
  <c r="C191" i="149"/>
  <c r="D190" i="149"/>
  <c r="C190" i="149"/>
  <c r="D189" i="149"/>
  <c r="C189" i="149"/>
  <c r="D188" i="149"/>
  <c r="C188" i="149"/>
  <c r="D187" i="149"/>
  <c r="C187" i="149"/>
  <c r="D186" i="149"/>
  <c r="C186" i="149"/>
  <c r="D185" i="149"/>
  <c r="C185" i="149"/>
  <c r="D184" i="149"/>
  <c r="C184" i="149"/>
  <c r="D183" i="149"/>
  <c r="C183" i="149"/>
  <c r="D182" i="149"/>
  <c r="C182" i="149"/>
  <c r="D181" i="149"/>
  <c r="C181" i="149"/>
  <c r="D180" i="149"/>
  <c r="C180" i="149"/>
  <c r="D179" i="149"/>
  <c r="C179" i="149"/>
  <c r="D178" i="149"/>
  <c r="C178" i="149"/>
  <c r="D177" i="149"/>
  <c r="C177" i="149"/>
  <c r="D176" i="149"/>
  <c r="C176" i="149"/>
  <c r="D175" i="149"/>
  <c r="C175" i="149"/>
  <c r="D174" i="149"/>
  <c r="C174" i="149"/>
  <c r="D173" i="149"/>
  <c r="C173" i="149"/>
  <c r="D172" i="149"/>
  <c r="C172" i="149"/>
  <c r="D171" i="149"/>
  <c r="C171" i="149"/>
  <c r="D170" i="149"/>
  <c r="C170" i="149"/>
  <c r="D169" i="149"/>
  <c r="C169" i="149"/>
  <c r="D168" i="149"/>
  <c r="C168" i="149"/>
  <c r="D167" i="149"/>
  <c r="C167" i="149"/>
  <c r="D166" i="149"/>
  <c r="C166" i="149"/>
  <c r="D165" i="149"/>
  <c r="C165" i="149"/>
  <c r="D164" i="149"/>
  <c r="C164" i="149"/>
  <c r="D160" i="149"/>
  <c r="C160" i="149"/>
  <c r="D159" i="149"/>
  <c r="C159" i="149"/>
  <c r="D158" i="149"/>
  <c r="C158" i="149"/>
  <c r="D157" i="149"/>
  <c r="C157" i="149"/>
  <c r="D156" i="149"/>
  <c r="C156" i="149"/>
  <c r="D155" i="149"/>
  <c r="C155" i="149"/>
  <c r="D153" i="149"/>
  <c r="C153" i="149"/>
  <c r="D152" i="149"/>
  <c r="C152" i="149"/>
  <c r="D151" i="149"/>
  <c r="C151" i="149"/>
  <c r="D150" i="149"/>
  <c r="C150" i="149"/>
  <c r="D149" i="149"/>
  <c r="C149" i="149"/>
  <c r="D148" i="149"/>
  <c r="C148" i="149"/>
  <c r="D147" i="149"/>
  <c r="C147" i="149"/>
  <c r="D146" i="149"/>
  <c r="C146" i="149"/>
  <c r="D145" i="149"/>
  <c r="C145" i="149"/>
  <c r="D143" i="149"/>
  <c r="C143" i="149"/>
  <c r="D142" i="149"/>
  <c r="C142" i="149"/>
  <c r="D141" i="149"/>
  <c r="C141" i="149"/>
  <c r="D140" i="149"/>
  <c r="C140" i="149"/>
  <c r="D138" i="149"/>
  <c r="C138" i="149"/>
  <c r="D137" i="149"/>
  <c r="C137" i="149"/>
  <c r="D136" i="149"/>
  <c r="C136" i="149"/>
  <c r="D135" i="149"/>
  <c r="C135" i="149"/>
  <c r="D133" i="149"/>
  <c r="C133" i="149"/>
  <c r="D132" i="149"/>
  <c r="C132" i="149"/>
  <c r="D131" i="149"/>
  <c r="C131" i="149"/>
  <c r="D130" i="149"/>
  <c r="C130" i="149"/>
  <c r="D129" i="149"/>
  <c r="C129" i="149"/>
  <c r="D127" i="149"/>
  <c r="C127" i="149"/>
  <c r="D126" i="149"/>
  <c r="C126" i="149"/>
  <c r="D125" i="149"/>
  <c r="C125" i="149"/>
  <c r="D124" i="149"/>
  <c r="C124" i="149"/>
  <c r="D123" i="149"/>
  <c r="C123" i="149"/>
  <c r="D118" i="149"/>
  <c r="C118" i="149"/>
  <c r="D117" i="149"/>
  <c r="C117" i="149"/>
  <c r="D116" i="149"/>
  <c r="C116" i="149"/>
  <c r="D115" i="149"/>
  <c r="C115" i="149"/>
  <c r="D114" i="149"/>
  <c r="C114" i="149"/>
  <c r="D110" i="149"/>
  <c r="C110" i="149"/>
  <c r="D109" i="149"/>
  <c r="C109" i="149"/>
  <c r="D108" i="149"/>
  <c r="C108" i="149"/>
  <c r="D107" i="149"/>
  <c r="C107" i="149"/>
  <c r="D106" i="149"/>
  <c r="C106" i="149"/>
  <c r="D105" i="149"/>
  <c r="C105" i="149"/>
  <c r="D101" i="149"/>
  <c r="C101" i="149"/>
  <c r="D100" i="149"/>
  <c r="C100" i="149"/>
  <c r="D99" i="149"/>
  <c r="C99" i="149"/>
  <c r="D98" i="149"/>
  <c r="C98" i="149"/>
  <c r="D97" i="149"/>
  <c r="C97" i="149"/>
  <c r="D96" i="149"/>
  <c r="C96" i="149"/>
  <c r="D92" i="149"/>
  <c r="C92" i="149"/>
  <c r="D91" i="149"/>
  <c r="C91" i="149"/>
  <c r="D90" i="149"/>
  <c r="C90" i="149"/>
  <c r="D89" i="149"/>
  <c r="C89" i="149"/>
  <c r="D88" i="149"/>
  <c r="C88" i="149"/>
  <c r="D87" i="149"/>
  <c r="C87" i="149"/>
  <c r="D86" i="149"/>
  <c r="C86" i="149"/>
  <c r="D85" i="149"/>
  <c r="C85" i="149"/>
  <c r="D84" i="149"/>
  <c r="C84" i="149"/>
  <c r="D83" i="149"/>
  <c r="C83" i="149"/>
  <c r="D82" i="149"/>
  <c r="C82" i="149"/>
  <c r="D78" i="149"/>
  <c r="C78" i="149"/>
  <c r="D77" i="149"/>
  <c r="C77" i="149"/>
  <c r="D76" i="149"/>
  <c r="C76" i="149"/>
  <c r="D75" i="149"/>
  <c r="C75" i="149"/>
  <c r="D74" i="149"/>
  <c r="C74" i="149"/>
  <c r="D73" i="149"/>
  <c r="C73" i="149"/>
  <c r="D72" i="149"/>
  <c r="C72" i="149"/>
  <c r="D71" i="149"/>
  <c r="C71" i="149"/>
  <c r="D70" i="149"/>
  <c r="C70" i="149"/>
  <c r="D69" i="149"/>
  <c r="C69" i="149"/>
  <c r="D68" i="149"/>
  <c r="C68" i="149"/>
  <c r="D67" i="149"/>
  <c r="C67" i="149"/>
  <c r="D66" i="149"/>
  <c r="C66" i="149"/>
  <c r="D65" i="149"/>
  <c r="C65" i="149"/>
  <c r="D64" i="149"/>
  <c r="C64" i="149"/>
  <c r="D60" i="149"/>
  <c r="C60" i="149"/>
  <c r="D59" i="149"/>
  <c r="C59" i="149"/>
  <c r="D58" i="149"/>
  <c r="C58" i="149"/>
  <c r="D57" i="149"/>
  <c r="C57" i="149"/>
  <c r="D56" i="149"/>
  <c r="C56" i="149"/>
  <c r="D55" i="149"/>
  <c r="C55" i="149"/>
  <c r="D54" i="149"/>
  <c r="C54" i="149"/>
  <c r="D53" i="149"/>
  <c r="C53" i="149"/>
  <c r="D52" i="149"/>
  <c r="C52" i="149"/>
  <c r="D51" i="149"/>
  <c r="C51" i="149"/>
  <c r="D50" i="149"/>
  <c r="C50" i="149"/>
  <c r="D49" i="149"/>
  <c r="C49" i="149"/>
  <c r="D48" i="149"/>
  <c r="C48" i="149"/>
  <c r="D47" i="149"/>
  <c r="C47" i="149"/>
  <c r="D46" i="149"/>
  <c r="C46" i="149"/>
  <c r="D45" i="149"/>
  <c r="C45" i="149"/>
  <c r="D44" i="149"/>
  <c r="C44" i="149"/>
  <c r="D43" i="149"/>
  <c r="C43" i="149"/>
  <c r="D42" i="149"/>
  <c r="C42" i="149"/>
  <c r="D41" i="149"/>
  <c r="C41" i="149"/>
  <c r="D40" i="149"/>
  <c r="C40" i="149"/>
  <c r="D39" i="149"/>
  <c r="C39" i="149"/>
  <c r="D38" i="149"/>
  <c r="C38" i="149"/>
  <c r="D37" i="149"/>
  <c r="C37" i="149"/>
  <c r="C36" i="149"/>
  <c r="D35" i="149"/>
  <c r="C35" i="149"/>
  <c r="D34" i="149"/>
  <c r="C34" i="149"/>
  <c r="D33" i="149"/>
  <c r="C33" i="149"/>
  <c r="D32" i="149"/>
  <c r="C32" i="149"/>
  <c r="D31" i="149"/>
  <c r="C31" i="149"/>
  <c r="D30" i="149"/>
  <c r="C30" i="149"/>
  <c r="D29" i="149"/>
  <c r="C29" i="149"/>
  <c r="D28" i="149"/>
  <c r="C28" i="149"/>
  <c r="D27" i="149"/>
  <c r="C27" i="149"/>
  <c r="D26" i="149"/>
  <c r="C26" i="149"/>
  <c r="D25" i="149"/>
  <c r="C25" i="149"/>
  <c r="D20" i="149"/>
  <c r="C20" i="149"/>
  <c r="D19" i="149"/>
  <c r="C19" i="149"/>
  <c r="D18" i="149"/>
  <c r="C18" i="149"/>
  <c r="D17" i="149"/>
  <c r="C17" i="149"/>
  <c r="D16" i="149"/>
  <c r="C16" i="149"/>
  <c r="D15" i="149"/>
  <c r="C15" i="149"/>
  <c r="D14" i="149"/>
  <c r="C14" i="149"/>
  <c r="D13" i="149"/>
  <c r="C13" i="149"/>
  <c r="D12" i="149"/>
  <c r="C12" i="149"/>
  <c r="D11" i="149"/>
  <c r="C11" i="149"/>
  <c r="D21" i="149" l="1"/>
  <c r="D93" i="149"/>
  <c r="D102" i="149"/>
  <c r="D119" i="149"/>
  <c r="C79" i="149"/>
  <c r="C119" i="149"/>
  <c r="D161" i="149"/>
  <c r="C228" i="149"/>
  <c r="D79" i="149"/>
  <c r="D111" i="149"/>
  <c r="C197" i="149"/>
  <c r="C206" i="149"/>
  <c r="C161" i="149"/>
  <c r="C111" i="149"/>
  <c r="C21" i="149"/>
  <c r="C93" i="149"/>
  <c r="C102" i="149"/>
  <c r="D197" i="149"/>
  <c r="D206" i="149"/>
  <c r="D61" i="149"/>
  <c r="C61" i="149"/>
  <c r="D208" i="149" l="1"/>
  <c r="D215" i="149" s="1"/>
  <c r="C208" i="149"/>
  <c r="C212" i="149" s="1"/>
  <c r="C215" i="149" l="1"/>
  <c r="G244" i="172"/>
  <c r="G243" i="172"/>
  <c r="G242" i="172"/>
  <c r="G241" i="172"/>
  <c r="C238" i="172"/>
  <c r="C237" i="172"/>
  <c r="C236" i="172"/>
  <c r="C235" i="172"/>
  <c r="C233" i="172"/>
  <c r="C232" i="172"/>
  <c r="C231" i="172"/>
  <c r="D228" i="172"/>
  <c r="C227" i="172"/>
  <c r="C226" i="172"/>
  <c r="C225" i="172"/>
  <c r="C224" i="172"/>
  <c r="C223" i="172"/>
  <c r="C222" i="172"/>
  <c r="C221" i="172"/>
  <c r="C220" i="172"/>
  <c r="C219" i="172"/>
  <c r="C211" i="172"/>
  <c r="D205" i="172"/>
  <c r="C205" i="172"/>
  <c r="D204" i="172"/>
  <c r="C204" i="172"/>
  <c r="D203" i="172"/>
  <c r="C203" i="172"/>
  <c r="D202" i="172"/>
  <c r="C202" i="172"/>
  <c r="D201" i="172"/>
  <c r="C201" i="172"/>
  <c r="D200" i="172"/>
  <c r="C200" i="172"/>
  <c r="D196" i="172"/>
  <c r="C196" i="172"/>
  <c r="D195" i="172"/>
  <c r="C195" i="172"/>
  <c r="D194" i="172"/>
  <c r="C194" i="172"/>
  <c r="D193" i="172"/>
  <c r="C193" i="172"/>
  <c r="D192" i="172"/>
  <c r="C192" i="172"/>
  <c r="D191" i="172"/>
  <c r="C191" i="172"/>
  <c r="D190" i="172"/>
  <c r="C190" i="172"/>
  <c r="D189" i="172"/>
  <c r="C189" i="172"/>
  <c r="D188" i="172"/>
  <c r="C188" i="172"/>
  <c r="D187" i="172"/>
  <c r="C187" i="172"/>
  <c r="D186" i="172"/>
  <c r="C186" i="172"/>
  <c r="D185" i="172"/>
  <c r="C185" i="172"/>
  <c r="D184" i="172"/>
  <c r="C184" i="172"/>
  <c r="D183" i="172"/>
  <c r="C183" i="172"/>
  <c r="D182" i="172"/>
  <c r="C182" i="172"/>
  <c r="D181" i="172"/>
  <c r="C181" i="172"/>
  <c r="D180" i="172"/>
  <c r="C180" i="172"/>
  <c r="D179" i="172"/>
  <c r="C179" i="172"/>
  <c r="D178" i="172"/>
  <c r="C178" i="172"/>
  <c r="D177" i="172"/>
  <c r="C177" i="172"/>
  <c r="D176" i="172"/>
  <c r="C176" i="172"/>
  <c r="D175" i="172"/>
  <c r="C175" i="172"/>
  <c r="D174" i="172"/>
  <c r="C174" i="172"/>
  <c r="D173" i="172"/>
  <c r="C173" i="172"/>
  <c r="D172" i="172"/>
  <c r="C172" i="172"/>
  <c r="D171" i="172"/>
  <c r="C171" i="172"/>
  <c r="D170" i="172"/>
  <c r="C170" i="172"/>
  <c r="D169" i="172"/>
  <c r="C169" i="172"/>
  <c r="D168" i="172"/>
  <c r="C168" i="172"/>
  <c r="D167" i="172"/>
  <c r="C167" i="172"/>
  <c r="D166" i="172"/>
  <c r="C166" i="172"/>
  <c r="D165" i="172"/>
  <c r="C165" i="172"/>
  <c r="D164" i="172"/>
  <c r="C164" i="172"/>
  <c r="D160" i="172"/>
  <c r="C160" i="172"/>
  <c r="D159" i="172"/>
  <c r="C159" i="172"/>
  <c r="D158" i="172"/>
  <c r="C158" i="172"/>
  <c r="D157" i="172"/>
  <c r="C157" i="172"/>
  <c r="D156" i="172"/>
  <c r="C156" i="172"/>
  <c r="D155" i="172"/>
  <c r="C155" i="172"/>
  <c r="D153" i="172"/>
  <c r="C153" i="172"/>
  <c r="D152" i="172"/>
  <c r="C152" i="172"/>
  <c r="D151" i="172"/>
  <c r="C151" i="172"/>
  <c r="D150" i="172"/>
  <c r="C150" i="172"/>
  <c r="D149" i="172"/>
  <c r="C149" i="172"/>
  <c r="D148" i="172"/>
  <c r="C148" i="172"/>
  <c r="D147" i="172"/>
  <c r="C147" i="172"/>
  <c r="D146" i="172"/>
  <c r="C146" i="172"/>
  <c r="D145" i="172"/>
  <c r="C145" i="172"/>
  <c r="D143" i="172"/>
  <c r="C143" i="172"/>
  <c r="D142" i="172"/>
  <c r="C142" i="172"/>
  <c r="D141" i="172"/>
  <c r="C141" i="172"/>
  <c r="D140" i="172"/>
  <c r="C140" i="172"/>
  <c r="D138" i="172"/>
  <c r="C138" i="172"/>
  <c r="D137" i="172"/>
  <c r="C137" i="172"/>
  <c r="D136" i="172"/>
  <c r="C136" i="172"/>
  <c r="D135" i="172"/>
  <c r="C135" i="172"/>
  <c r="D133" i="172"/>
  <c r="C133" i="172"/>
  <c r="D132" i="172"/>
  <c r="C132" i="172"/>
  <c r="D131" i="172"/>
  <c r="C131" i="172"/>
  <c r="D130" i="172"/>
  <c r="C130" i="172"/>
  <c r="D129" i="172"/>
  <c r="C129" i="172"/>
  <c r="D127" i="172"/>
  <c r="C127" i="172"/>
  <c r="D126" i="172"/>
  <c r="C126" i="172"/>
  <c r="D125" i="172"/>
  <c r="C125" i="172"/>
  <c r="D124" i="172"/>
  <c r="C124" i="172"/>
  <c r="D123" i="172"/>
  <c r="C123" i="172"/>
  <c r="D118" i="172"/>
  <c r="C118" i="172"/>
  <c r="D117" i="172"/>
  <c r="C117" i="172"/>
  <c r="D116" i="172"/>
  <c r="C116" i="172"/>
  <c r="D115" i="172"/>
  <c r="C115" i="172"/>
  <c r="D114" i="172"/>
  <c r="C114" i="172"/>
  <c r="D110" i="172"/>
  <c r="C110" i="172"/>
  <c r="D109" i="172"/>
  <c r="C109" i="172"/>
  <c r="D108" i="172"/>
  <c r="C108" i="172"/>
  <c r="D107" i="172"/>
  <c r="C107" i="172"/>
  <c r="D106" i="172"/>
  <c r="C106" i="172"/>
  <c r="D105" i="172"/>
  <c r="C105" i="172"/>
  <c r="D101" i="172"/>
  <c r="C101" i="172"/>
  <c r="D100" i="172"/>
  <c r="C100" i="172"/>
  <c r="D99" i="172"/>
  <c r="C99" i="172"/>
  <c r="D98" i="172"/>
  <c r="C98" i="172"/>
  <c r="D97" i="172"/>
  <c r="C97" i="172"/>
  <c r="D96" i="172"/>
  <c r="C96" i="172"/>
  <c r="D92" i="172"/>
  <c r="C92" i="172"/>
  <c r="D91" i="172"/>
  <c r="C91" i="172"/>
  <c r="D90" i="172"/>
  <c r="C90" i="172"/>
  <c r="D89" i="172"/>
  <c r="C89" i="172"/>
  <c r="D88" i="172"/>
  <c r="C88" i="172"/>
  <c r="D87" i="172"/>
  <c r="C87" i="172"/>
  <c r="D86" i="172"/>
  <c r="C86" i="172"/>
  <c r="D85" i="172"/>
  <c r="C85" i="172"/>
  <c r="D84" i="172"/>
  <c r="C84" i="172"/>
  <c r="D83" i="172"/>
  <c r="C83" i="172"/>
  <c r="D82" i="172"/>
  <c r="C82" i="172"/>
  <c r="D78" i="172"/>
  <c r="C78" i="172"/>
  <c r="D77" i="172"/>
  <c r="C77" i="172"/>
  <c r="D76" i="172"/>
  <c r="C76" i="172"/>
  <c r="D75" i="172"/>
  <c r="C75" i="172"/>
  <c r="D74" i="172"/>
  <c r="C74" i="172"/>
  <c r="D73" i="172"/>
  <c r="C73" i="172"/>
  <c r="D72" i="172"/>
  <c r="C72" i="172"/>
  <c r="D71" i="172"/>
  <c r="C71" i="172"/>
  <c r="D70" i="172"/>
  <c r="C70" i="172"/>
  <c r="D69" i="172"/>
  <c r="C69" i="172"/>
  <c r="D68" i="172"/>
  <c r="C68" i="172"/>
  <c r="D67" i="172"/>
  <c r="C67" i="172"/>
  <c r="D66" i="172"/>
  <c r="C66" i="172"/>
  <c r="D65" i="172"/>
  <c r="C65" i="172"/>
  <c r="D64" i="172"/>
  <c r="C64" i="172"/>
  <c r="D60" i="172"/>
  <c r="C60" i="172"/>
  <c r="D59" i="172"/>
  <c r="C59" i="172"/>
  <c r="D58" i="172"/>
  <c r="C58" i="172"/>
  <c r="D57" i="172"/>
  <c r="C57" i="172"/>
  <c r="D56" i="172"/>
  <c r="C56" i="172"/>
  <c r="D55" i="172"/>
  <c r="C55" i="172"/>
  <c r="D54" i="172"/>
  <c r="C54" i="172"/>
  <c r="D53" i="172"/>
  <c r="C53" i="172"/>
  <c r="D52" i="172"/>
  <c r="C52" i="172"/>
  <c r="D51" i="172"/>
  <c r="C51" i="172"/>
  <c r="D50" i="172"/>
  <c r="C50" i="172"/>
  <c r="D49" i="172"/>
  <c r="C49" i="172"/>
  <c r="D48" i="172"/>
  <c r="C48" i="172"/>
  <c r="D47" i="172"/>
  <c r="C47" i="172"/>
  <c r="D46" i="172"/>
  <c r="C46" i="172"/>
  <c r="D45" i="172"/>
  <c r="C45" i="172"/>
  <c r="D44" i="172"/>
  <c r="C44" i="172"/>
  <c r="D43" i="172"/>
  <c r="C43" i="172"/>
  <c r="D42" i="172"/>
  <c r="C42" i="172"/>
  <c r="D41" i="172"/>
  <c r="C41" i="172"/>
  <c r="D40" i="172"/>
  <c r="C40" i="172"/>
  <c r="D39" i="172"/>
  <c r="C39" i="172"/>
  <c r="D38" i="172"/>
  <c r="C38" i="172"/>
  <c r="D37" i="172"/>
  <c r="C37" i="172"/>
  <c r="D36" i="172"/>
  <c r="C36" i="172"/>
  <c r="D35" i="172"/>
  <c r="C35" i="172"/>
  <c r="D34" i="172"/>
  <c r="C34" i="172"/>
  <c r="D33" i="172"/>
  <c r="C33" i="172"/>
  <c r="D32" i="172"/>
  <c r="C32" i="172"/>
  <c r="D31" i="172"/>
  <c r="C31" i="172"/>
  <c r="D30" i="172"/>
  <c r="C30" i="172"/>
  <c r="D29" i="172"/>
  <c r="C29" i="172"/>
  <c r="D28" i="172"/>
  <c r="C28" i="172"/>
  <c r="D27" i="172"/>
  <c r="C27" i="172"/>
  <c r="D26" i="172"/>
  <c r="C26" i="172"/>
  <c r="D25" i="172"/>
  <c r="C25" i="172"/>
  <c r="D20" i="172"/>
  <c r="C20" i="172"/>
  <c r="D19" i="172"/>
  <c r="C19" i="172"/>
  <c r="D18" i="172"/>
  <c r="C18" i="172"/>
  <c r="D17" i="172"/>
  <c r="C17" i="172"/>
  <c r="D16" i="172"/>
  <c r="C16" i="172"/>
  <c r="D15" i="172"/>
  <c r="C15" i="172"/>
  <c r="D14" i="172"/>
  <c r="C14" i="172"/>
  <c r="D13" i="172"/>
  <c r="C13" i="172"/>
  <c r="D12" i="172"/>
  <c r="C12" i="172"/>
  <c r="D11" i="172"/>
  <c r="C11" i="172"/>
  <c r="D119" i="172" l="1"/>
  <c r="C93" i="172"/>
  <c r="C119" i="172"/>
  <c r="D79" i="172"/>
  <c r="C79" i="172"/>
  <c r="C161" i="172"/>
  <c r="C228" i="172"/>
  <c r="D21" i="172"/>
  <c r="C21" i="172"/>
  <c r="D111" i="172"/>
  <c r="D93" i="172"/>
  <c r="C102" i="172"/>
  <c r="C197" i="172"/>
  <c r="C206" i="172"/>
  <c r="C111" i="172"/>
  <c r="D161" i="172"/>
  <c r="D102" i="172"/>
  <c r="D197" i="172"/>
  <c r="D206" i="172"/>
  <c r="D61" i="172"/>
  <c r="C61" i="172"/>
  <c r="D208" i="172" l="1"/>
  <c r="D215" i="172" s="1"/>
  <c r="C208" i="172"/>
  <c r="C215" i="172" s="1"/>
  <c r="C212" i="172" l="1"/>
  <c r="G244" i="176"/>
  <c r="G243" i="176"/>
  <c r="G242" i="176"/>
  <c r="G241" i="176"/>
  <c r="C238" i="176"/>
  <c r="C237" i="176"/>
  <c r="C236" i="176"/>
  <c r="C235" i="176"/>
  <c r="C233" i="176"/>
  <c r="C232" i="176"/>
  <c r="C231" i="176"/>
  <c r="D228" i="176"/>
  <c r="C227" i="176"/>
  <c r="C226" i="176"/>
  <c r="C225" i="176"/>
  <c r="C224" i="176"/>
  <c r="C223" i="176"/>
  <c r="C222" i="176"/>
  <c r="C221" i="176"/>
  <c r="C220" i="176"/>
  <c r="C219" i="176"/>
  <c r="C211" i="176"/>
  <c r="D205" i="176"/>
  <c r="C205" i="176"/>
  <c r="D204" i="176"/>
  <c r="C204" i="176"/>
  <c r="D203" i="176"/>
  <c r="C203" i="176"/>
  <c r="D202" i="176"/>
  <c r="C202" i="176"/>
  <c r="D201" i="176"/>
  <c r="C201" i="176"/>
  <c r="D200" i="176"/>
  <c r="C200" i="176"/>
  <c r="D196" i="176"/>
  <c r="C196" i="176"/>
  <c r="D195" i="176"/>
  <c r="C195" i="176"/>
  <c r="D194" i="176"/>
  <c r="C194" i="176"/>
  <c r="D193" i="176"/>
  <c r="C193" i="176"/>
  <c r="D192" i="176"/>
  <c r="C192" i="176"/>
  <c r="D191" i="176"/>
  <c r="C191" i="176"/>
  <c r="D190" i="176"/>
  <c r="C190" i="176"/>
  <c r="D189" i="176"/>
  <c r="C189" i="176"/>
  <c r="D188" i="176"/>
  <c r="C188" i="176"/>
  <c r="D187" i="176"/>
  <c r="C187" i="176"/>
  <c r="D186" i="176"/>
  <c r="C186" i="176"/>
  <c r="D185" i="176"/>
  <c r="C185" i="176"/>
  <c r="D184" i="176"/>
  <c r="C184" i="176"/>
  <c r="D183" i="176"/>
  <c r="C183" i="176"/>
  <c r="D182" i="176"/>
  <c r="C182" i="176"/>
  <c r="D181" i="176"/>
  <c r="C181" i="176"/>
  <c r="D180" i="176"/>
  <c r="C180" i="176"/>
  <c r="D179" i="176"/>
  <c r="C179" i="176"/>
  <c r="D178" i="176"/>
  <c r="C178" i="176"/>
  <c r="D177" i="176"/>
  <c r="C177" i="176"/>
  <c r="D176" i="176"/>
  <c r="C176" i="176"/>
  <c r="D175" i="176"/>
  <c r="C175" i="176"/>
  <c r="D174" i="176"/>
  <c r="C174" i="176"/>
  <c r="D173" i="176"/>
  <c r="C173" i="176"/>
  <c r="D172" i="176"/>
  <c r="C172" i="176"/>
  <c r="D171" i="176"/>
  <c r="C171" i="176"/>
  <c r="D170" i="176"/>
  <c r="C170" i="176"/>
  <c r="D169" i="176"/>
  <c r="C169" i="176"/>
  <c r="D168" i="176"/>
  <c r="C168" i="176"/>
  <c r="D167" i="176"/>
  <c r="C167" i="176"/>
  <c r="D166" i="176"/>
  <c r="C166" i="176"/>
  <c r="D165" i="176"/>
  <c r="C165" i="176"/>
  <c r="D164" i="176"/>
  <c r="C164" i="176"/>
  <c r="D160" i="176"/>
  <c r="C160" i="176"/>
  <c r="D159" i="176"/>
  <c r="C159" i="176"/>
  <c r="D158" i="176"/>
  <c r="C158" i="176"/>
  <c r="D157" i="176"/>
  <c r="C157" i="176"/>
  <c r="D156" i="176"/>
  <c r="C156" i="176"/>
  <c r="D155" i="176"/>
  <c r="C155" i="176"/>
  <c r="D153" i="176"/>
  <c r="C153" i="176"/>
  <c r="D152" i="176"/>
  <c r="C152" i="176"/>
  <c r="D151" i="176"/>
  <c r="C151" i="176"/>
  <c r="D150" i="176"/>
  <c r="C150" i="176"/>
  <c r="D149" i="176"/>
  <c r="C149" i="176"/>
  <c r="D148" i="176"/>
  <c r="C148" i="176"/>
  <c r="D147" i="176"/>
  <c r="C147" i="176"/>
  <c r="D146" i="176"/>
  <c r="C146" i="176"/>
  <c r="D145" i="176"/>
  <c r="C145" i="176"/>
  <c r="D143" i="176"/>
  <c r="C143" i="176"/>
  <c r="D142" i="176"/>
  <c r="C142" i="176"/>
  <c r="D141" i="176"/>
  <c r="C141" i="176"/>
  <c r="D140" i="176"/>
  <c r="C140" i="176"/>
  <c r="D138" i="176"/>
  <c r="C138" i="176"/>
  <c r="D137" i="176"/>
  <c r="C137" i="176"/>
  <c r="D136" i="176"/>
  <c r="C136" i="176"/>
  <c r="D135" i="176"/>
  <c r="C135" i="176"/>
  <c r="D133" i="176"/>
  <c r="C133" i="176"/>
  <c r="D132" i="176"/>
  <c r="C132" i="176"/>
  <c r="D131" i="176"/>
  <c r="C131" i="176"/>
  <c r="D130" i="176"/>
  <c r="C130" i="176"/>
  <c r="D129" i="176"/>
  <c r="C129" i="176"/>
  <c r="D127" i="176"/>
  <c r="C127" i="176"/>
  <c r="D126" i="176"/>
  <c r="C126" i="176"/>
  <c r="D125" i="176"/>
  <c r="C125" i="176"/>
  <c r="D124" i="176"/>
  <c r="C124" i="176"/>
  <c r="D123" i="176"/>
  <c r="C123" i="176"/>
  <c r="D118" i="176"/>
  <c r="C118" i="176"/>
  <c r="D117" i="176"/>
  <c r="C117" i="176"/>
  <c r="D116" i="176"/>
  <c r="C116" i="176"/>
  <c r="D115" i="176"/>
  <c r="C115" i="176"/>
  <c r="D114" i="176"/>
  <c r="C114" i="176"/>
  <c r="D110" i="176"/>
  <c r="C110" i="176"/>
  <c r="D109" i="176"/>
  <c r="C109" i="176"/>
  <c r="D108" i="176"/>
  <c r="C108" i="176"/>
  <c r="D107" i="176"/>
  <c r="C107" i="176"/>
  <c r="D106" i="176"/>
  <c r="C106" i="176"/>
  <c r="D105" i="176"/>
  <c r="C105" i="176"/>
  <c r="D101" i="176"/>
  <c r="C101" i="176"/>
  <c r="D100" i="176"/>
  <c r="C100" i="176"/>
  <c r="D99" i="176"/>
  <c r="C99" i="176"/>
  <c r="D98" i="176"/>
  <c r="C98" i="176"/>
  <c r="D97" i="176"/>
  <c r="C97" i="176"/>
  <c r="D96" i="176"/>
  <c r="C96" i="176"/>
  <c r="D92" i="176"/>
  <c r="C92" i="176"/>
  <c r="D91" i="176"/>
  <c r="C91" i="176"/>
  <c r="D90" i="176"/>
  <c r="C90" i="176"/>
  <c r="D89" i="176"/>
  <c r="C89" i="176"/>
  <c r="D88" i="176"/>
  <c r="C88" i="176"/>
  <c r="D87" i="176"/>
  <c r="C87" i="176"/>
  <c r="D86" i="176"/>
  <c r="C86" i="176"/>
  <c r="D85" i="176"/>
  <c r="C85" i="176"/>
  <c r="D84" i="176"/>
  <c r="C84" i="176"/>
  <c r="D83" i="176"/>
  <c r="C83" i="176"/>
  <c r="D82" i="176"/>
  <c r="C82" i="176"/>
  <c r="D78" i="176"/>
  <c r="C78" i="176"/>
  <c r="D77" i="176"/>
  <c r="C77" i="176"/>
  <c r="D76" i="176"/>
  <c r="C76" i="176"/>
  <c r="D75" i="176"/>
  <c r="C75" i="176"/>
  <c r="D74" i="176"/>
  <c r="C74" i="176"/>
  <c r="D73" i="176"/>
  <c r="C73" i="176"/>
  <c r="D72" i="176"/>
  <c r="C72" i="176"/>
  <c r="D71" i="176"/>
  <c r="C71" i="176"/>
  <c r="D70" i="176"/>
  <c r="C70" i="176"/>
  <c r="D69" i="176"/>
  <c r="C69" i="176"/>
  <c r="D68" i="176"/>
  <c r="C68" i="176"/>
  <c r="D67" i="176"/>
  <c r="C67" i="176"/>
  <c r="D66" i="176"/>
  <c r="C66" i="176"/>
  <c r="D65" i="176"/>
  <c r="C65" i="176"/>
  <c r="D64" i="176"/>
  <c r="C64" i="176"/>
  <c r="D60" i="176"/>
  <c r="C60" i="176"/>
  <c r="D59" i="176"/>
  <c r="C59" i="176"/>
  <c r="D58" i="176"/>
  <c r="C58" i="176"/>
  <c r="D57" i="176"/>
  <c r="C57" i="176"/>
  <c r="D56" i="176"/>
  <c r="C56" i="176"/>
  <c r="D55" i="176"/>
  <c r="C55" i="176"/>
  <c r="D54" i="176"/>
  <c r="C54" i="176"/>
  <c r="D53" i="176"/>
  <c r="C53" i="176"/>
  <c r="D52" i="176"/>
  <c r="C52" i="176"/>
  <c r="D51" i="176"/>
  <c r="C51" i="176"/>
  <c r="D50" i="176"/>
  <c r="C50" i="176"/>
  <c r="D49" i="176"/>
  <c r="C49" i="176"/>
  <c r="D48" i="176"/>
  <c r="C48" i="176"/>
  <c r="D47" i="176"/>
  <c r="C47" i="176"/>
  <c r="D46" i="176"/>
  <c r="C46" i="176"/>
  <c r="D45" i="176"/>
  <c r="C45" i="176"/>
  <c r="D44" i="176"/>
  <c r="C44" i="176"/>
  <c r="D43" i="176"/>
  <c r="C43" i="176"/>
  <c r="D42" i="176"/>
  <c r="C42" i="176"/>
  <c r="D41" i="176"/>
  <c r="C41" i="176"/>
  <c r="D40" i="176"/>
  <c r="C40" i="176"/>
  <c r="D39" i="176"/>
  <c r="C39" i="176"/>
  <c r="D38" i="176"/>
  <c r="C38" i="176"/>
  <c r="D37" i="176"/>
  <c r="C37" i="176"/>
  <c r="D36" i="176"/>
  <c r="C36" i="176"/>
  <c r="D35" i="176"/>
  <c r="C35" i="176"/>
  <c r="D34" i="176"/>
  <c r="C34" i="176"/>
  <c r="D33" i="176"/>
  <c r="C33" i="176"/>
  <c r="D32" i="176"/>
  <c r="C32" i="176"/>
  <c r="D31" i="176"/>
  <c r="C31" i="176"/>
  <c r="D30" i="176"/>
  <c r="C30" i="176"/>
  <c r="D29" i="176"/>
  <c r="C29" i="176"/>
  <c r="D28" i="176"/>
  <c r="C28" i="176"/>
  <c r="D27" i="176"/>
  <c r="C27" i="176"/>
  <c r="D26" i="176"/>
  <c r="C26" i="176"/>
  <c r="D25" i="176"/>
  <c r="C25" i="176"/>
  <c r="D20" i="176"/>
  <c r="C20" i="176"/>
  <c r="D19" i="176"/>
  <c r="C19" i="176"/>
  <c r="D18" i="176"/>
  <c r="C18" i="176"/>
  <c r="D17" i="176"/>
  <c r="C17" i="176"/>
  <c r="D16" i="176"/>
  <c r="C16" i="176"/>
  <c r="D15" i="176"/>
  <c r="C15" i="176"/>
  <c r="D14" i="176"/>
  <c r="C14" i="176"/>
  <c r="D13" i="176"/>
  <c r="C13" i="176"/>
  <c r="D12" i="176"/>
  <c r="C12" i="176"/>
  <c r="D11" i="176"/>
  <c r="C11" i="176"/>
  <c r="D21" i="176" l="1"/>
  <c r="D93" i="176"/>
  <c r="D102" i="176"/>
  <c r="D119" i="176"/>
  <c r="C79" i="176"/>
  <c r="C119" i="176"/>
  <c r="D79" i="176"/>
  <c r="C161" i="176"/>
  <c r="D161" i="176"/>
  <c r="D61" i="176"/>
  <c r="D111" i="176"/>
  <c r="C111" i="176"/>
  <c r="C228" i="176"/>
  <c r="C197" i="176"/>
  <c r="C206" i="176"/>
  <c r="C21" i="176"/>
  <c r="C93" i="176"/>
  <c r="C102" i="176"/>
  <c r="D197" i="176"/>
  <c r="D206" i="176"/>
  <c r="C61" i="176"/>
  <c r="D208" i="176" l="1"/>
  <c r="D215" i="176" s="1"/>
  <c r="C208" i="176"/>
  <c r="C212" i="176" s="1"/>
  <c r="C215" i="176" l="1"/>
  <c r="G244" i="143"/>
  <c r="G243" i="143"/>
  <c r="G242" i="143"/>
  <c r="G241" i="143"/>
  <c r="C238" i="143"/>
  <c r="C237" i="143"/>
  <c r="C236" i="143"/>
  <c r="C235" i="143"/>
  <c r="C233" i="143"/>
  <c r="C232" i="143"/>
  <c r="C231" i="143"/>
  <c r="D228" i="143"/>
  <c r="C227" i="143"/>
  <c r="C226" i="143"/>
  <c r="C225" i="143"/>
  <c r="C224" i="143"/>
  <c r="C223" i="143"/>
  <c r="C222" i="143"/>
  <c r="C221" i="143"/>
  <c r="C220" i="143"/>
  <c r="C219" i="143"/>
  <c r="C211" i="143"/>
  <c r="D205" i="143"/>
  <c r="C205" i="143"/>
  <c r="D204" i="143"/>
  <c r="C204" i="143"/>
  <c r="D203" i="143"/>
  <c r="C203" i="143"/>
  <c r="D202" i="143"/>
  <c r="C202" i="143"/>
  <c r="D201" i="143"/>
  <c r="C201" i="143"/>
  <c r="D200" i="143"/>
  <c r="C200" i="143"/>
  <c r="D196" i="143"/>
  <c r="C196" i="143"/>
  <c r="D195" i="143"/>
  <c r="C195" i="143"/>
  <c r="D194" i="143"/>
  <c r="C194" i="143"/>
  <c r="D193" i="143"/>
  <c r="C193" i="143"/>
  <c r="D192" i="143"/>
  <c r="C192" i="143"/>
  <c r="D191" i="143"/>
  <c r="C191" i="143"/>
  <c r="D190" i="143"/>
  <c r="C190" i="143"/>
  <c r="D189" i="143"/>
  <c r="C189" i="143"/>
  <c r="D188" i="143"/>
  <c r="C188" i="143"/>
  <c r="D187" i="143"/>
  <c r="C187" i="143"/>
  <c r="D186" i="143"/>
  <c r="C186" i="143"/>
  <c r="D185" i="143"/>
  <c r="C185" i="143"/>
  <c r="D184" i="143"/>
  <c r="C184" i="143"/>
  <c r="D183" i="143"/>
  <c r="C183" i="143"/>
  <c r="D182" i="143"/>
  <c r="C182" i="143"/>
  <c r="D181" i="143"/>
  <c r="C181" i="143"/>
  <c r="D180" i="143"/>
  <c r="C180" i="143"/>
  <c r="D179" i="143"/>
  <c r="C179" i="143"/>
  <c r="D178" i="143"/>
  <c r="C178" i="143"/>
  <c r="D177" i="143"/>
  <c r="C177" i="143"/>
  <c r="D176" i="143"/>
  <c r="C176" i="143"/>
  <c r="D175" i="143"/>
  <c r="C175" i="143"/>
  <c r="D174" i="143"/>
  <c r="C174" i="143"/>
  <c r="D173" i="143"/>
  <c r="C173" i="143"/>
  <c r="D172" i="143"/>
  <c r="C172" i="143"/>
  <c r="D171" i="143"/>
  <c r="C171" i="143"/>
  <c r="D170" i="143"/>
  <c r="C170" i="143"/>
  <c r="D169" i="143"/>
  <c r="C169" i="143"/>
  <c r="D168" i="143"/>
  <c r="C168" i="143"/>
  <c r="D167" i="143"/>
  <c r="C167" i="143"/>
  <c r="D166" i="143"/>
  <c r="C166" i="143"/>
  <c r="D165" i="143"/>
  <c r="C165" i="143"/>
  <c r="D164" i="143"/>
  <c r="C164" i="143"/>
  <c r="D160" i="143"/>
  <c r="C160" i="143"/>
  <c r="D159" i="143"/>
  <c r="C159" i="143"/>
  <c r="D158" i="143"/>
  <c r="C158" i="143"/>
  <c r="D157" i="143"/>
  <c r="C157" i="143"/>
  <c r="D156" i="143"/>
  <c r="C156" i="143"/>
  <c r="D155" i="143"/>
  <c r="C155" i="143"/>
  <c r="D153" i="143"/>
  <c r="C153" i="143"/>
  <c r="D152" i="143"/>
  <c r="C152" i="143"/>
  <c r="D151" i="143"/>
  <c r="C151" i="143"/>
  <c r="D150" i="143"/>
  <c r="C150" i="143"/>
  <c r="D149" i="143"/>
  <c r="C149" i="143"/>
  <c r="D148" i="143"/>
  <c r="C148" i="143"/>
  <c r="D147" i="143"/>
  <c r="C147" i="143"/>
  <c r="D146" i="143"/>
  <c r="C146" i="143"/>
  <c r="D145" i="143"/>
  <c r="C145" i="143"/>
  <c r="D143" i="143"/>
  <c r="C143" i="143"/>
  <c r="D142" i="143"/>
  <c r="C142" i="143"/>
  <c r="D141" i="143"/>
  <c r="C141" i="143"/>
  <c r="D140" i="143"/>
  <c r="C140" i="143"/>
  <c r="D138" i="143"/>
  <c r="C138" i="143"/>
  <c r="D137" i="143"/>
  <c r="C137" i="143"/>
  <c r="D136" i="143"/>
  <c r="C136" i="143"/>
  <c r="D135" i="143"/>
  <c r="C135" i="143"/>
  <c r="D133" i="143"/>
  <c r="C133" i="143"/>
  <c r="D132" i="143"/>
  <c r="C132" i="143"/>
  <c r="D131" i="143"/>
  <c r="C131" i="143"/>
  <c r="D130" i="143"/>
  <c r="C130" i="143"/>
  <c r="D129" i="143"/>
  <c r="C129" i="143"/>
  <c r="D127" i="143"/>
  <c r="C127" i="143"/>
  <c r="D126" i="143"/>
  <c r="C126" i="143"/>
  <c r="D125" i="143"/>
  <c r="C125" i="143"/>
  <c r="D124" i="143"/>
  <c r="C124" i="143"/>
  <c r="D123" i="143"/>
  <c r="C123" i="143"/>
  <c r="D118" i="143"/>
  <c r="C118" i="143"/>
  <c r="D117" i="143"/>
  <c r="C117" i="143"/>
  <c r="D116" i="143"/>
  <c r="C116" i="143"/>
  <c r="D115" i="143"/>
  <c r="C115" i="143"/>
  <c r="D114" i="143"/>
  <c r="C114" i="143"/>
  <c r="D110" i="143"/>
  <c r="C110" i="143"/>
  <c r="D109" i="143"/>
  <c r="C109" i="143"/>
  <c r="D108" i="143"/>
  <c r="C108" i="143"/>
  <c r="D107" i="143"/>
  <c r="C107" i="143"/>
  <c r="D106" i="143"/>
  <c r="C106" i="143"/>
  <c r="D105" i="143"/>
  <c r="C105" i="143"/>
  <c r="D101" i="143"/>
  <c r="C101" i="143"/>
  <c r="D100" i="143"/>
  <c r="C100" i="143"/>
  <c r="D99" i="143"/>
  <c r="C99" i="143"/>
  <c r="D98" i="143"/>
  <c r="C98" i="143"/>
  <c r="D97" i="143"/>
  <c r="C97" i="143"/>
  <c r="D96" i="143"/>
  <c r="C96" i="143"/>
  <c r="D92" i="143"/>
  <c r="C92" i="143"/>
  <c r="D91" i="143"/>
  <c r="C91" i="143"/>
  <c r="D90" i="143"/>
  <c r="C90" i="143"/>
  <c r="D89" i="143"/>
  <c r="C89" i="143"/>
  <c r="D88" i="143"/>
  <c r="C88" i="143"/>
  <c r="D87" i="143"/>
  <c r="C87" i="143"/>
  <c r="D86" i="143"/>
  <c r="C86" i="143"/>
  <c r="D85" i="143"/>
  <c r="C85" i="143"/>
  <c r="D84" i="143"/>
  <c r="C84" i="143"/>
  <c r="D83" i="143"/>
  <c r="C83" i="143"/>
  <c r="D82" i="143"/>
  <c r="C82" i="143"/>
  <c r="D78" i="143"/>
  <c r="C78" i="143"/>
  <c r="D77" i="143"/>
  <c r="C77" i="143"/>
  <c r="D76" i="143"/>
  <c r="C76" i="143"/>
  <c r="D75" i="143"/>
  <c r="C75" i="143"/>
  <c r="D74" i="143"/>
  <c r="C74" i="143"/>
  <c r="D73" i="143"/>
  <c r="C73" i="143"/>
  <c r="D72" i="143"/>
  <c r="C72" i="143"/>
  <c r="D71" i="143"/>
  <c r="C71" i="143"/>
  <c r="D70" i="143"/>
  <c r="C70" i="143"/>
  <c r="D69" i="143"/>
  <c r="C69" i="143"/>
  <c r="D68" i="143"/>
  <c r="C68" i="143"/>
  <c r="D67" i="143"/>
  <c r="C67" i="143"/>
  <c r="D66" i="143"/>
  <c r="C66" i="143"/>
  <c r="D65" i="143"/>
  <c r="C65" i="143"/>
  <c r="D64" i="143"/>
  <c r="C64" i="143"/>
  <c r="D60" i="143"/>
  <c r="C60" i="143"/>
  <c r="D59" i="143"/>
  <c r="C59" i="143"/>
  <c r="D58" i="143"/>
  <c r="C58" i="143"/>
  <c r="D57" i="143"/>
  <c r="C57" i="143"/>
  <c r="D56" i="143"/>
  <c r="C56" i="143"/>
  <c r="D55" i="143"/>
  <c r="C55" i="143"/>
  <c r="D54" i="143"/>
  <c r="C54" i="143"/>
  <c r="D53" i="143"/>
  <c r="C53" i="143"/>
  <c r="D52" i="143"/>
  <c r="C52" i="143"/>
  <c r="D51" i="143"/>
  <c r="C51" i="143"/>
  <c r="D50" i="143"/>
  <c r="C50" i="143"/>
  <c r="D49" i="143"/>
  <c r="C49" i="143"/>
  <c r="D48" i="143"/>
  <c r="C48" i="143"/>
  <c r="D47" i="143"/>
  <c r="C47" i="143"/>
  <c r="D46" i="143"/>
  <c r="C46" i="143"/>
  <c r="D45" i="143"/>
  <c r="C45" i="143"/>
  <c r="D44" i="143"/>
  <c r="C44" i="143"/>
  <c r="D43" i="143"/>
  <c r="C43" i="143"/>
  <c r="D42" i="143"/>
  <c r="C42" i="143"/>
  <c r="D41" i="143"/>
  <c r="C41" i="143"/>
  <c r="D40" i="143"/>
  <c r="C40" i="143"/>
  <c r="D39" i="143"/>
  <c r="C39" i="143"/>
  <c r="D38" i="143"/>
  <c r="C38" i="143"/>
  <c r="D37" i="143"/>
  <c r="C37" i="143"/>
  <c r="D36" i="143"/>
  <c r="C36" i="143"/>
  <c r="D35" i="143"/>
  <c r="C35" i="143"/>
  <c r="D34" i="143"/>
  <c r="C34" i="143"/>
  <c r="D33" i="143"/>
  <c r="C33" i="143"/>
  <c r="D32" i="143"/>
  <c r="C32" i="143"/>
  <c r="D31" i="143"/>
  <c r="C31" i="143"/>
  <c r="D30" i="143"/>
  <c r="C30" i="143"/>
  <c r="D29" i="143"/>
  <c r="C29" i="143"/>
  <c r="D28" i="143"/>
  <c r="C28" i="143"/>
  <c r="D27" i="143"/>
  <c r="C27" i="143"/>
  <c r="D26" i="143"/>
  <c r="C26" i="143"/>
  <c r="D25" i="143"/>
  <c r="C25" i="143"/>
  <c r="D20" i="143"/>
  <c r="C20" i="143"/>
  <c r="D19" i="143"/>
  <c r="C19" i="143"/>
  <c r="D18" i="143"/>
  <c r="C18" i="143"/>
  <c r="D17" i="143"/>
  <c r="C17" i="143"/>
  <c r="D16" i="143"/>
  <c r="C16" i="143"/>
  <c r="D15" i="143"/>
  <c r="C15" i="143"/>
  <c r="D14" i="143"/>
  <c r="C14" i="143"/>
  <c r="D13" i="143"/>
  <c r="C13" i="143"/>
  <c r="D12" i="143"/>
  <c r="C12" i="143"/>
  <c r="D11" i="143"/>
  <c r="C11" i="143"/>
  <c r="C111" i="143" l="1"/>
  <c r="D119" i="143"/>
  <c r="C79" i="143"/>
  <c r="D93" i="143"/>
  <c r="D161" i="143"/>
  <c r="D61" i="143"/>
  <c r="D79" i="143"/>
  <c r="C119" i="143"/>
  <c r="C161" i="143"/>
  <c r="D102" i="143"/>
  <c r="C228" i="143"/>
  <c r="D111" i="143"/>
  <c r="C21" i="143"/>
  <c r="C93" i="143"/>
  <c r="C197" i="143"/>
  <c r="C206" i="143"/>
  <c r="D21" i="143"/>
  <c r="C102" i="143"/>
  <c r="D197" i="143"/>
  <c r="D206" i="143"/>
  <c r="C61" i="143"/>
  <c r="D208" i="143" l="1"/>
  <c r="D215" i="143" s="1"/>
  <c r="C208" i="143"/>
  <c r="C212" i="143" s="1"/>
  <c r="C215" i="143" l="1"/>
  <c r="G244" i="10"/>
  <c r="G243" i="10"/>
  <c r="G242" i="10"/>
  <c r="G241" i="10"/>
  <c r="C238" i="10"/>
  <c r="C237" i="10"/>
  <c r="C236" i="10"/>
  <c r="C235" i="10"/>
  <c r="C233" i="10"/>
  <c r="C232" i="10"/>
  <c r="C231" i="10"/>
  <c r="D228" i="10"/>
  <c r="C227" i="10"/>
  <c r="C226" i="10"/>
  <c r="C225" i="10"/>
  <c r="C224" i="10"/>
  <c r="C223" i="10"/>
  <c r="C222" i="10"/>
  <c r="C221" i="10"/>
  <c r="C220" i="10"/>
  <c r="C219" i="10"/>
  <c r="C211" i="10"/>
  <c r="D205" i="10"/>
  <c r="C205" i="10"/>
  <c r="D204" i="10"/>
  <c r="C204" i="10"/>
  <c r="D203" i="10"/>
  <c r="C203" i="10"/>
  <c r="D202" i="10"/>
  <c r="C202" i="10"/>
  <c r="D201" i="10"/>
  <c r="C201" i="10"/>
  <c r="D200" i="10"/>
  <c r="C200" i="10"/>
  <c r="D196" i="10"/>
  <c r="C196" i="10"/>
  <c r="D195" i="10"/>
  <c r="C195" i="10"/>
  <c r="D194" i="10"/>
  <c r="C194" i="10"/>
  <c r="D193" i="10"/>
  <c r="C193" i="10"/>
  <c r="D192" i="10"/>
  <c r="C192" i="10"/>
  <c r="D191" i="10"/>
  <c r="C191" i="10"/>
  <c r="D190" i="10"/>
  <c r="C190" i="10"/>
  <c r="D189" i="10"/>
  <c r="C189" i="10"/>
  <c r="D188" i="10"/>
  <c r="C188" i="10"/>
  <c r="D187" i="10"/>
  <c r="C187" i="10"/>
  <c r="D186" i="10"/>
  <c r="C186" i="10"/>
  <c r="D185" i="10"/>
  <c r="C185" i="10"/>
  <c r="D184" i="10"/>
  <c r="C184" i="10"/>
  <c r="D183" i="10"/>
  <c r="C183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6" i="10"/>
  <c r="C176" i="10"/>
  <c r="D175" i="10"/>
  <c r="C175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8" i="10"/>
  <c r="C168" i="10"/>
  <c r="D167" i="10"/>
  <c r="C167" i="10"/>
  <c r="D166" i="10"/>
  <c r="C166" i="10"/>
  <c r="D165" i="10"/>
  <c r="C165" i="10"/>
  <c r="D164" i="10"/>
  <c r="C164" i="10"/>
  <c r="D160" i="10"/>
  <c r="C160" i="10"/>
  <c r="D159" i="10"/>
  <c r="C159" i="10"/>
  <c r="D158" i="10"/>
  <c r="C158" i="10"/>
  <c r="D157" i="10"/>
  <c r="C157" i="10"/>
  <c r="D156" i="10"/>
  <c r="C156" i="10"/>
  <c r="D155" i="10"/>
  <c r="C155" i="10"/>
  <c r="D153" i="10"/>
  <c r="C153" i="10"/>
  <c r="D152" i="10"/>
  <c r="C152" i="10"/>
  <c r="D151" i="10"/>
  <c r="C151" i="10"/>
  <c r="D150" i="10"/>
  <c r="C150" i="10"/>
  <c r="D149" i="10"/>
  <c r="C149" i="10"/>
  <c r="D148" i="10"/>
  <c r="C148" i="10"/>
  <c r="D147" i="10"/>
  <c r="C147" i="10"/>
  <c r="D146" i="10"/>
  <c r="C146" i="10"/>
  <c r="D145" i="10"/>
  <c r="C145" i="10"/>
  <c r="D143" i="10"/>
  <c r="C143" i="10"/>
  <c r="D142" i="10"/>
  <c r="C142" i="10"/>
  <c r="D141" i="10"/>
  <c r="C141" i="10"/>
  <c r="D140" i="10"/>
  <c r="C140" i="10"/>
  <c r="D138" i="10"/>
  <c r="C138" i="10"/>
  <c r="D137" i="10"/>
  <c r="C137" i="10"/>
  <c r="D136" i="10"/>
  <c r="C136" i="10"/>
  <c r="D135" i="10"/>
  <c r="C135" i="10"/>
  <c r="D133" i="10"/>
  <c r="C133" i="10"/>
  <c r="D132" i="10"/>
  <c r="C132" i="10"/>
  <c r="D131" i="10"/>
  <c r="C131" i="10"/>
  <c r="D130" i="10"/>
  <c r="C130" i="10"/>
  <c r="D129" i="10"/>
  <c r="C129" i="10"/>
  <c r="D127" i="10"/>
  <c r="C127" i="10"/>
  <c r="D126" i="10"/>
  <c r="C126" i="10"/>
  <c r="D125" i="10"/>
  <c r="C125" i="10"/>
  <c r="D124" i="10"/>
  <c r="C124" i="10"/>
  <c r="D123" i="10"/>
  <c r="C123" i="10"/>
  <c r="D118" i="10"/>
  <c r="C118" i="10"/>
  <c r="D117" i="10"/>
  <c r="C117" i="10"/>
  <c r="D116" i="10"/>
  <c r="C116" i="10"/>
  <c r="D115" i="10"/>
  <c r="C115" i="10"/>
  <c r="D114" i="10"/>
  <c r="C114" i="10"/>
  <c r="D110" i="10"/>
  <c r="C110" i="10"/>
  <c r="D109" i="10"/>
  <c r="C109" i="10"/>
  <c r="D108" i="10"/>
  <c r="C108" i="10"/>
  <c r="D107" i="10"/>
  <c r="C107" i="10"/>
  <c r="D106" i="10"/>
  <c r="C106" i="10"/>
  <c r="D105" i="10"/>
  <c r="C105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71" i="10"/>
  <c r="C71" i="10"/>
  <c r="D70" i="10"/>
  <c r="C70" i="10"/>
  <c r="D69" i="10"/>
  <c r="C69" i="10"/>
  <c r="D68" i="10"/>
  <c r="C68" i="10"/>
  <c r="D67" i="10"/>
  <c r="C67" i="10"/>
  <c r="D66" i="10"/>
  <c r="C66" i="10"/>
  <c r="D65" i="10"/>
  <c r="C65" i="10"/>
  <c r="D64" i="10"/>
  <c r="C64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C79" i="10" l="1"/>
  <c r="C93" i="10"/>
  <c r="D102" i="10"/>
  <c r="C111" i="10"/>
  <c r="D79" i="10"/>
  <c r="C119" i="10"/>
  <c r="C161" i="10"/>
  <c r="C61" i="10"/>
  <c r="D119" i="10"/>
  <c r="D161" i="10"/>
  <c r="C228" i="10"/>
  <c r="D111" i="10"/>
  <c r="C197" i="10"/>
  <c r="C206" i="10"/>
  <c r="C21" i="10"/>
  <c r="D197" i="10"/>
  <c r="D206" i="10"/>
  <c r="D21" i="10"/>
  <c r="D93" i="10"/>
  <c r="C102" i="10"/>
  <c r="D61" i="10"/>
  <c r="C208" i="10" l="1"/>
  <c r="C212" i="10" s="1"/>
  <c r="D208" i="10"/>
  <c r="D215" i="10" s="1"/>
  <c r="G244" i="87"/>
  <c r="G243" i="87"/>
  <c r="G242" i="87"/>
  <c r="G241" i="87"/>
  <c r="C238" i="87"/>
  <c r="C237" i="87"/>
  <c r="C236" i="87"/>
  <c r="C235" i="87"/>
  <c r="C232" i="87"/>
  <c r="C231" i="87"/>
  <c r="D228" i="87"/>
  <c r="C227" i="87"/>
  <c r="C226" i="87"/>
  <c r="C225" i="87"/>
  <c r="C224" i="87"/>
  <c r="C223" i="87"/>
  <c r="C222" i="87"/>
  <c r="C221" i="87"/>
  <c r="C220" i="87"/>
  <c r="C219" i="87"/>
  <c r="C211" i="87"/>
  <c r="D205" i="87"/>
  <c r="C205" i="87"/>
  <c r="D204" i="87"/>
  <c r="C204" i="87"/>
  <c r="D203" i="87"/>
  <c r="C203" i="87"/>
  <c r="D202" i="87"/>
  <c r="C202" i="87"/>
  <c r="D201" i="87"/>
  <c r="C201" i="87"/>
  <c r="D200" i="87"/>
  <c r="C200" i="87"/>
  <c r="D196" i="87"/>
  <c r="C196" i="87"/>
  <c r="D195" i="87"/>
  <c r="C195" i="87"/>
  <c r="D194" i="87"/>
  <c r="C194" i="87"/>
  <c r="D193" i="87"/>
  <c r="C193" i="87"/>
  <c r="D192" i="87"/>
  <c r="C192" i="87"/>
  <c r="D191" i="87"/>
  <c r="C191" i="87"/>
  <c r="D190" i="87"/>
  <c r="C190" i="87"/>
  <c r="D189" i="87"/>
  <c r="C189" i="87"/>
  <c r="D188" i="87"/>
  <c r="C188" i="87"/>
  <c r="D187" i="87"/>
  <c r="C187" i="87"/>
  <c r="D186" i="87"/>
  <c r="C186" i="87"/>
  <c r="D185" i="87"/>
  <c r="C185" i="87"/>
  <c r="D184" i="87"/>
  <c r="C184" i="87"/>
  <c r="D183" i="87"/>
  <c r="C183" i="87"/>
  <c r="D182" i="87"/>
  <c r="C182" i="87"/>
  <c r="D181" i="87"/>
  <c r="C181" i="87"/>
  <c r="D180" i="87"/>
  <c r="C180" i="87"/>
  <c r="D179" i="87"/>
  <c r="C179" i="87"/>
  <c r="D178" i="87"/>
  <c r="C178" i="87"/>
  <c r="D177" i="87"/>
  <c r="C177" i="87"/>
  <c r="D176" i="87"/>
  <c r="C176" i="87"/>
  <c r="D175" i="87"/>
  <c r="C175" i="87"/>
  <c r="D174" i="87"/>
  <c r="C174" i="87"/>
  <c r="D173" i="87"/>
  <c r="C173" i="87"/>
  <c r="D172" i="87"/>
  <c r="C172" i="87"/>
  <c r="D171" i="87"/>
  <c r="C171" i="87"/>
  <c r="D170" i="87"/>
  <c r="C170" i="87"/>
  <c r="D169" i="87"/>
  <c r="C169" i="87"/>
  <c r="D168" i="87"/>
  <c r="C168" i="87"/>
  <c r="D167" i="87"/>
  <c r="C167" i="87"/>
  <c r="D166" i="87"/>
  <c r="C166" i="87"/>
  <c r="D165" i="87"/>
  <c r="C165" i="87"/>
  <c r="D164" i="87"/>
  <c r="C164" i="87"/>
  <c r="D160" i="87"/>
  <c r="C160" i="87"/>
  <c r="D159" i="87"/>
  <c r="C159" i="87"/>
  <c r="D158" i="87"/>
  <c r="C158" i="87"/>
  <c r="D157" i="87"/>
  <c r="C157" i="87"/>
  <c r="D156" i="87"/>
  <c r="C156" i="87"/>
  <c r="D155" i="87"/>
  <c r="C155" i="87"/>
  <c r="D153" i="87"/>
  <c r="C153" i="87"/>
  <c r="D152" i="87"/>
  <c r="C152" i="87"/>
  <c r="D151" i="87"/>
  <c r="C151" i="87"/>
  <c r="D150" i="87"/>
  <c r="C150" i="87"/>
  <c r="D149" i="87"/>
  <c r="C149" i="87"/>
  <c r="D148" i="87"/>
  <c r="C148" i="87"/>
  <c r="D147" i="87"/>
  <c r="C147" i="87"/>
  <c r="D146" i="87"/>
  <c r="C146" i="87"/>
  <c r="D145" i="87"/>
  <c r="C145" i="87"/>
  <c r="D143" i="87"/>
  <c r="C143" i="87"/>
  <c r="D142" i="87"/>
  <c r="C142" i="87"/>
  <c r="D141" i="87"/>
  <c r="C141" i="87"/>
  <c r="D140" i="87"/>
  <c r="C140" i="87"/>
  <c r="D138" i="87"/>
  <c r="C138" i="87"/>
  <c r="D137" i="87"/>
  <c r="C137" i="87"/>
  <c r="D136" i="87"/>
  <c r="C136" i="87"/>
  <c r="D135" i="87"/>
  <c r="C135" i="87"/>
  <c r="D133" i="87"/>
  <c r="C133" i="87"/>
  <c r="D132" i="87"/>
  <c r="C132" i="87"/>
  <c r="D131" i="87"/>
  <c r="C131" i="87"/>
  <c r="D130" i="87"/>
  <c r="C130" i="87"/>
  <c r="D129" i="87"/>
  <c r="C129" i="87"/>
  <c r="D127" i="87"/>
  <c r="C127" i="87"/>
  <c r="D126" i="87"/>
  <c r="C126" i="87"/>
  <c r="D125" i="87"/>
  <c r="C125" i="87"/>
  <c r="D124" i="87"/>
  <c r="C124" i="87"/>
  <c r="D123" i="87"/>
  <c r="C123" i="87"/>
  <c r="D118" i="87"/>
  <c r="C118" i="87"/>
  <c r="D117" i="87"/>
  <c r="C117" i="87"/>
  <c r="D116" i="87"/>
  <c r="C116" i="87"/>
  <c r="D115" i="87"/>
  <c r="C115" i="87"/>
  <c r="D114" i="87"/>
  <c r="C114" i="87"/>
  <c r="D110" i="87"/>
  <c r="C110" i="87"/>
  <c r="D109" i="87"/>
  <c r="C109" i="87"/>
  <c r="D108" i="87"/>
  <c r="C108" i="87"/>
  <c r="D107" i="87"/>
  <c r="C107" i="87"/>
  <c r="D106" i="87"/>
  <c r="C106" i="87"/>
  <c r="D105" i="87"/>
  <c r="C105" i="87"/>
  <c r="D101" i="87"/>
  <c r="C101" i="87"/>
  <c r="D100" i="87"/>
  <c r="C100" i="87"/>
  <c r="D99" i="87"/>
  <c r="C99" i="87"/>
  <c r="D98" i="87"/>
  <c r="C98" i="87"/>
  <c r="D97" i="87"/>
  <c r="C97" i="87"/>
  <c r="D96" i="87"/>
  <c r="C96" i="87"/>
  <c r="D92" i="87"/>
  <c r="C92" i="87"/>
  <c r="D91" i="87"/>
  <c r="C91" i="87"/>
  <c r="D90" i="87"/>
  <c r="C90" i="87"/>
  <c r="D89" i="87"/>
  <c r="C89" i="87"/>
  <c r="D88" i="87"/>
  <c r="C88" i="87"/>
  <c r="D87" i="87"/>
  <c r="C87" i="87"/>
  <c r="D86" i="87"/>
  <c r="C86" i="87"/>
  <c r="D85" i="87"/>
  <c r="C85" i="87"/>
  <c r="D84" i="87"/>
  <c r="C84" i="87"/>
  <c r="D83" i="87"/>
  <c r="C83" i="87"/>
  <c r="D82" i="87"/>
  <c r="C82" i="87"/>
  <c r="D78" i="87"/>
  <c r="C78" i="87"/>
  <c r="D77" i="87"/>
  <c r="C77" i="87"/>
  <c r="D76" i="87"/>
  <c r="C76" i="87"/>
  <c r="D75" i="87"/>
  <c r="C75" i="87"/>
  <c r="D74" i="87"/>
  <c r="C74" i="87"/>
  <c r="D73" i="87"/>
  <c r="C73" i="87"/>
  <c r="D72" i="87"/>
  <c r="C72" i="87"/>
  <c r="D71" i="87"/>
  <c r="C71" i="87"/>
  <c r="D70" i="87"/>
  <c r="C70" i="87"/>
  <c r="D69" i="87"/>
  <c r="C69" i="87"/>
  <c r="D68" i="87"/>
  <c r="C68" i="87"/>
  <c r="D67" i="87"/>
  <c r="C67" i="87"/>
  <c r="D66" i="87"/>
  <c r="C66" i="87"/>
  <c r="D65" i="87"/>
  <c r="C65" i="87"/>
  <c r="D64" i="87"/>
  <c r="C64" i="87"/>
  <c r="D60" i="87"/>
  <c r="C60" i="87"/>
  <c r="D59" i="87"/>
  <c r="C59" i="87"/>
  <c r="D58" i="87"/>
  <c r="C58" i="87"/>
  <c r="D57" i="87"/>
  <c r="C57" i="87"/>
  <c r="D56" i="87"/>
  <c r="C56" i="87"/>
  <c r="D55" i="87"/>
  <c r="C55" i="87"/>
  <c r="D54" i="87"/>
  <c r="C54" i="87"/>
  <c r="D53" i="87"/>
  <c r="C53" i="87"/>
  <c r="D52" i="87"/>
  <c r="C52" i="87"/>
  <c r="D51" i="87"/>
  <c r="C51" i="87"/>
  <c r="D50" i="87"/>
  <c r="C50" i="87"/>
  <c r="D49" i="87"/>
  <c r="C49" i="87"/>
  <c r="D48" i="87"/>
  <c r="C48" i="87"/>
  <c r="D47" i="87"/>
  <c r="C47" i="87"/>
  <c r="D46" i="87"/>
  <c r="C46" i="87"/>
  <c r="D45" i="87"/>
  <c r="C45" i="87"/>
  <c r="D44" i="87"/>
  <c r="C44" i="87"/>
  <c r="D43" i="87"/>
  <c r="C43" i="87"/>
  <c r="D42" i="87"/>
  <c r="C42" i="87"/>
  <c r="D41" i="87"/>
  <c r="C41" i="87"/>
  <c r="D40" i="87"/>
  <c r="C40" i="87"/>
  <c r="D39" i="87"/>
  <c r="C39" i="87"/>
  <c r="D38" i="87"/>
  <c r="C38" i="87"/>
  <c r="D37" i="87"/>
  <c r="C37" i="87"/>
  <c r="D36" i="87"/>
  <c r="C36" i="87"/>
  <c r="D35" i="87"/>
  <c r="C35" i="87"/>
  <c r="D34" i="87"/>
  <c r="C34" i="87"/>
  <c r="D33" i="87"/>
  <c r="C33" i="87"/>
  <c r="D32" i="87"/>
  <c r="C32" i="87"/>
  <c r="D31" i="87"/>
  <c r="C31" i="87"/>
  <c r="D30" i="87"/>
  <c r="C30" i="87"/>
  <c r="D29" i="87"/>
  <c r="C29" i="87"/>
  <c r="D28" i="87"/>
  <c r="C28" i="87"/>
  <c r="D27" i="87"/>
  <c r="C27" i="87"/>
  <c r="D26" i="87"/>
  <c r="C26" i="87"/>
  <c r="D25" i="87"/>
  <c r="C25" i="87"/>
  <c r="D20" i="87"/>
  <c r="C20" i="87"/>
  <c r="D19" i="87"/>
  <c r="C19" i="87"/>
  <c r="D18" i="87"/>
  <c r="C18" i="87"/>
  <c r="D17" i="87"/>
  <c r="C17" i="87"/>
  <c r="D16" i="87"/>
  <c r="C16" i="87"/>
  <c r="D15" i="87"/>
  <c r="C15" i="87"/>
  <c r="D14" i="87"/>
  <c r="C14" i="87"/>
  <c r="D13" i="87"/>
  <c r="C13" i="87"/>
  <c r="D12" i="87"/>
  <c r="C12" i="87"/>
  <c r="D11" i="87"/>
  <c r="C11" i="87"/>
  <c r="C4" i="87"/>
  <c r="C3" i="87"/>
  <c r="C215" i="10" l="1"/>
  <c r="C233" i="87"/>
  <c r="D119" i="87"/>
  <c r="D79" i="87"/>
  <c r="D161" i="87"/>
  <c r="D61" i="87"/>
  <c r="C111" i="87"/>
  <c r="D111" i="87"/>
  <c r="C161" i="87"/>
  <c r="C228" i="87"/>
  <c r="C21" i="87"/>
  <c r="D21" i="87"/>
  <c r="C93" i="87"/>
  <c r="C102" i="87"/>
  <c r="D197" i="87"/>
  <c r="D206" i="87"/>
  <c r="C197" i="87"/>
  <c r="C79" i="87"/>
  <c r="D93" i="87"/>
  <c r="D102" i="87"/>
  <c r="C206" i="87"/>
  <c r="C119" i="87"/>
  <c r="C61" i="87"/>
  <c r="C208" i="87" l="1"/>
  <c r="C215" i="87" s="1"/>
  <c r="D208" i="87"/>
  <c r="D215" i="87" s="1"/>
  <c r="C212" i="87" l="1"/>
  <c r="G244" i="69"/>
  <c r="J27" i="69"/>
  <c r="K200" i="69"/>
  <c r="J200" i="69"/>
  <c r="K172" i="69"/>
  <c r="J172" i="69"/>
  <c r="K168" i="69"/>
  <c r="J168" i="69"/>
  <c r="K166" i="69"/>
  <c r="J166" i="69"/>
  <c r="K146" i="69"/>
  <c r="J146" i="69"/>
  <c r="K138" i="69"/>
  <c r="J138" i="69"/>
  <c r="K137" i="69"/>
  <c r="J137" i="69"/>
  <c r="K136" i="69"/>
  <c r="J136" i="69"/>
  <c r="K135" i="69"/>
  <c r="J135" i="69"/>
  <c r="K127" i="69"/>
  <c r="J127" i="69"/>
  <c r="K125" i="69"/>
  <c r="J125" i="69"/>
  <c r="K124" i="69"/>
  <c r="J124" i="69"/>
  <c r="K82" i="69"/>
  <c r="J82" i="69"/>
  <c r="K27" i="69" l="1"/>
  <c r="K25" i="69"/>
  <c r="J25" i="69" l="1"/>
  <c r="C238" i="69" l="1"/>
  <c r="C237" i="69"/>
  <c r="C236" i="69"/>
  <c r="C235" i="69"/>
  <c r="C233" i="69"/>
  <c r="C232" i="69"/>
  <c r="C231" i="69"/>
  <c r="D228" i="69"/>
  <c r="C227" i="69"/>
  <c r="C226" i="69"/>
  <c r="C225" i="69"/>
  <c r="C224" i="69"/>
  <c r="C223" i="69"/>
  <c r="C222" i="69"/>
  <c r="C221" i="69"/>
  <c r="C220" i="69"/>
  <c r="C219" i="69"/>
  <c r="C211" i="69"/>
  <c r="D205" i="69"/>
  <c r="C205" i="69"/>
  <c r="D204" i="69"/>
  <c r="C204" i="69"/>
  <c r="D203" i="69"/>
  <c r="C203" i="69"/>
  <c r="D202" i="69"/>
  <c r="C202" i="69"/>
  <c r="D201" i="69"/>
  <c r="C201" i="69"/>
  <c r="D200" i="69"/>
  <c r="C200" i="69"/>
  <c r="D196" i="69"/>
  <c r="C196" i="69"/>
  <c r="D195" i="69"/>
  <c r="C195" i="69"/>
  <c r="D194" i="69"/>
  <c r="C194" i="69"/>
  <c r="D193" i="69"/>
  <c r="C193" i="69"/>
  <c r="D192" i="69"/>
  <c r="C192" i="69"/>
  <c r="D191" i="69"/>
  <c r="C191" i="69"/>
  <c r="D190" i="69"/>
  <c r="C190" i="69"/>
  <c r="D189" i="69"/>
  <c r="C189" i="69"/>
  <c r="D188" i="69"/>
  <c r="C188" i="69"/>
  <c r="D187" i="69"/>
  <c r="C187" i="69"/>
  <c r="D186" i="69"/>
  <c r="C186" i="69"/>
  <c r="D185" i="69"/>
  <c r="C185" i="69"/>
  <c r="D184" i="69"/>
  <c r="C184" i="69"/>
  <c r="D183" i="69"/>
  <c r="C183" i="69"/>
  <c r="D182" i="69"/>
  <c r="C182" i="69"/>
  <c r="D181" i="69"/>
  <c r="C181" i="69"/>
  <c r="D180" i="69"/>
  <c r="C180" i="69"/>
  <c r="D179" i="69"/>
  <c r="C179" i="69"/>
  <c r="D178" i="69"/>
  <c r="C178" i="69"/>
  <c r="D177" i="69"/>
  <c r="C177" i="69"/>
  <c r="D176" i="69"/>
  <c r="C176" i="69"/>
  <c r="D175" i="69"/>
  <c r="C175" i="69"/>
  <c r="D174" i="69"/>
  <c r="C174" i="69"/>
  <c r="D173" i="69"/>
  <c r="C173" i="69"/>
  <c r="D172" i="69"/>
  <c r="C172" i="69"/>
  <c r="D171" i="69"/>
  <c r="C171" i="69"/>
  <c r="D170" i="69"/>
  <c r="C170" i="69"/>
  <c r="D169" i="69"/>
  <c r="C169" i="69"/>
  <c r="D168" i="69"/>
  <c r="C168" i="69"/>
  <c r="D167" i="69"/>
  <c r="C167" i="69"/>
  <c r="D166" i="69"/>
  <c r="C166" i="69"/>
  <c r="D165" i="69"/>
  <c r="C165" i="69"/>
  <c r="D164" i="69"/>
  <c r="C164" i="69"/>
  <c r="D160" i="69"/>
  <c r="C160" i="69"/>
  <c r="D159" i="69"/>
  <c r="C159" i="69"/>
  <c r="D158" i="69"/>
  <c r="C158" i="69"/>
  <c r="D157" i="69"/>
  <c r="C157" i="69"/>
  <c r="D156" i="69"/>
  <c r="C156" i="69"/>
  <c r="D155" i="69"/>
  <c r="C155" i="69"/>
  <c r="D153" i="69"/>
  <c r="C153" i="69"/>
  <c r="D152" i="69"/>
  <c r="C152" i="69"/>
  <c r="D151" i="69"/>
  <c r="C151" i="69"/>
  <c r="D150" i="69"/>
  <c r="C150" i="69"/>
  <c r="D149" i="69"/>
  <c r="C149" i="69"/>
  <c r="D148" i="69"/>
  <c r="C148" i="69"/>
  <c r="D147" i="69"/>
  <c r="C147" i="69"/>
  <c r="D146" i="69"/>
  <c r="C146" i="69"/>
  <c r="D145" i="69"/>
  <c r="C145" i="69"/>
  <c r="D143" i="69"/>
  <c r="C143" i="69"/>
  <c r="D142" i="69"/>
  <c r="C142" i="69"/>
  <c r="D141" i="69"/>
  <c r="C141" i="69"/>
  <c r="D140" i="69"/>
  <c r="C140" i="69"/>
  <c r="D138" i="69"/>
  <c r="C138" i="69"/>
  <c r="D137" i="69"/>
  <c r="C137" i="69"/>
  <c r="D136" i="69"/>
  <c r="C136" i="69"/>
  <c r="D135" i="69"/>
  <c r="C135" i="69"/>
  <c r="D133" i="69"/>
  <c r="C133" i="69"/>
  <c r="D132" i="69"/>
  <c r="C132" i="69"/>
  <c r="D131" i="69"/>
  <c r="C131" i="69"/>
  <c r="D130" i="69"/>
  <c r="C130" i="69"/>
  <c r="D129" i="69"/>
  <c r="C129" i="69"/>
  <c r="D127" i="69"/>
  <c r="C127" i="69"/>
  <c r="D126" i="69"/>
  <c r="C126" i="69"/>
  <c r="D125" i="69"/>
  <c r="C125" i="69"/>
  <c r="D124" i="69"/>
  <c r="C124" i="69"/>
  <c r="D123" i="69"/>
  <c r="C123" i="69"/>
  <c r="D118" i="69"/>
  <c r="C118" i="69"/>
  <c r="D117" i="69"/>
  <c r="C117" i="69"/>
  <c r="D116" i="69"/>
  <c r="C116" i="69"/>
  <c r="D115" i="69"/>
  <c r="C115" i="69"/>
  <c r="D114" i="69"/>
  <c r="C114" i="69"/>
  <c r="D110" i="69"/>
  <c r="C110" i="69"/>
  <c r="D109" i="69"/>
  <c r="C109" i="69"/>
  <c r="D108" i="69"/>
  <c r="C108" i="69"/>
  <c r="D107" i="69"/>
  <c r="C107" i="69"/>
  <c r="D106" i="69"/>
  <c r="C106" i="69"/>
  <c r="D105" i="69"/>
  <c r="C105" i="69"/>
  <c r="D101" i="69"/>
  <c r="C101" i="69"/>
  <c r="D100" i="69"/>
  <c r="C100" i="69"/>
  <c r="D99" i="69"/>
  <c r="C99" i="69"/>
  <c r="D98" i="69"/>
  <c r="C98" i="69"/>
  <c r="D97" i="69"/>
  <c r="C97" i="69"/>
  <c r="D96" i="69"/>
  <c r="C96" i="69"/>
  <c r="D92" i="69"/>
  <c r="C92" i="69"/>
  <c r="D91" i="69"/>
  <c r="C91" i="69"/>
  <c r="D90" i="69"/>
  <c r="C90" i="69"/>
  <c r="D89" i="69"/>
  <c r="C89" i="69"/>
  <c r="D88" i="69"/>
  <c r="C88" i="69"/>
  <c r="D87" i="69"/>
  <c r="C87" i="69"/>
  <c r="D86" i="69"/>
  <c r="C86" i="69"/>
  <c r="D85" i="69"/>
  <c r="C85" i="69"/>
  <c r="D84" i="69"/>
  <c r="C84" i="69"/>
  <c r="D83" i="69"/>
  <c r="C83" i="69"/>
  <c r="D82" i="69"/>
  <c r="C82" i="69"/>
  <c r="D78" i="69"/>
  <c r="C78" i="69"/>
  <c r="D77" i="69"/>
  <c r="C77" i="69"/>
  <c r="D76" i="69"/>
  <c r="C76" i="69"/>
  <c r="D75" i="69"/>
  <c r="C75" i="69"/>
  <c r="D74" i="69"/>
  <c r="C74" i="69"/>
  <c r="D73" i="69"/>
  <c r="C73" i="69"/>
  <c r="D72" i="69"/>
  <c r="C72" i="69"/>
  <c r="D71" i="69"/>
  <c r="C71" i="69"/>
  <c r="D70" i="69"/>
  <c r="C70" i="69"/>
  <c r="D69" i="69"/>
  <c r="C69" i="69"/>
  <c r="D68" i="69"/>
  <c r="C68" i="69"/>
  <c r="D67" i="69"/>
  <c r="C67" i="69"/>
  <c r="D66" i="69"/>
  <c r="C66" i="69"/>
  <c r="D65" i="69"/>
  <c r="C65" i="69"/>
  <c r="D64" i="69"/>
  <c r="C64" i="69"/>
  <c r="D60" i="69"/>
  <c r="C60" i="69"/>
  <c r="D59" i="69"/>
  <c r="C59" i="69"/>
  <c r="D58" i="69"/>
  <c r="C58" i="69"/>
  <c r="D57" i="69"/>
  <c r="C57" i="69"/>
  <c r="D56" i="69"/>
  <c r="C56" i="69"/>
  <c r="D55" i="69"/>
  <c r="C55" i="69"/>
  <c r="D54" i="69"/>
  <c r="C54" i="69"/>
  <c r="D53" i="69"/>
  <c r="C53" i="69"/>
  <c r="D52" i="69"/>
  <c r="C52" i="69"/>
  <c r="D51" i="69"/>
  <c r="C51" i="69"/>
  <c r="D50" i="69"/>
  <c r="C50" i="69"/>
  <c r="D49" i="69"/>
  <c r="C49" i="69"/>
  <c r="D48" i="69"/>
  <c r="C48" i="69"/>
  <c r="D47" i="69"/>
  <c r="C47" i="69"/>
  <c r="D46" i="69"/>
  <c r="C46" i="69"/>
  <c r="D45" i="69"/>
  <c r="C45" i="69"/>
  <c r="D44" i="69"/>
  <c r="C44" i="69"/>
  <c r="D43" i="69"/>
  <c r="C43" i="69"/>
  <c r="D42" i="69"/>
  <c r="C42" i="69"/>
  <c r="D41" i="69"/>
  <c r="C41" i="69"/>
  <c r="D40" i="69"/>
  <c r="C40" i="69"/>
  <c r="D39" i="69"/>
  <c r="C39" i="69"/>
  <c r="D38" i="69"/>
  <c r="C38" i="69"/>
  <c r="D37" i="69"/>
  <c r="C37" i="69"/>
  <c r="D36" i="69"/>
  <c r="C36" i="69"/>
  <c r="D35" i="69"/>
  <c r="C35" i="69"/>
  <c r="D34" i="69"/>
  <c r="C34" i="69"/>
  <c r="D33" i="69"/>
  <c r="C33" i="69"/>
  <c r="D32" i="69"/>
  <c r="C32" i="69"/>
  <c r="D31" i="69"/>
  <c r="C31" i="69"/>
  <c r="D30" i="69"/>
  <c r="C30" i="69"/>
  <c r="D29" i="69"/>
  <c r="C29" i="69"/>
  <c r="D28" i="69"/>
  <c r="C28" i="69"/>
  <c r="D27" i="69"/>
  <c r="C27" i="69"/>
  <c r="D26" i="69"/>
  <c r="C26" i="69"/>
  <c r="D25" i="69"/>
  <c r="C25" i="69"/>
  <c r="D20" i="69"/>
  <c r="C20" i="69"/>
  <c r="D19" i="69"/>
  <c r="C19" i="69"/>
  <c r="D18" i="69"/>
  <c r="C18" i="69"/>
  <c r="D17" i="69"/>
  <c r="C17" i="69"/>
  <c r="D16" i="69"/>
  <c r="C16" i="69"/>
  <c r="D15" i="69"/>
  <c r="C15" i="69"/>
  <c r="D14" i="69"/>
  <c r="C14" i="69"/>
  <c r="D13" i="69"/>
  <c r="C13" i="69"/>
  <c r="D12" i="69"/>
  <c r="C12" i="69"/>
  <c r="D11" i="69"/>
  <c r="C11" i="69"/>
  <c r="D21" i="69" l="1"/>
  <c r="D102" i="69"/>
  <c r="D119" i="69"/>
  <c r="C111" i="69"/>
  <c r="C79" i="69"/>
  <c r="C93" i="69"/>
  <c r="C119" i="69"/>
  <c r="C161" i="69"/>
  <c r="D93" i="69"/>
  <c r="D161" i="69"/>
  <c r="C228" i="69"/>
  <c r="D79" i="69"/>
  <c r="D111" i="69"/>
  <c r="D197" i="69"/>
  <c r="C197" i="69"/>
  <c r="C206" i="69"/>
  <c r="D206" i="69"/>
  <c r="C21" i="69"/>
  <c r="C102" i="69"/>
  <c r="C61" i="69"/>
  <c r="D61" i="69"/>
  <c r="D208" i="69" l="1"/>
  <c r="D215" i="69" s="1"/>
  <c r="C208" i="69"/>
  <c r="C212" i="69" s="1"/>
  <c r="C215" i="69" l="1"/>
  <c r="G244" i="142"/>
  <c r="G243" i="142"/>
  <c r="G242" i="142"/>
  <c r="G241" i="142"/>
  <c r="C238" i="142"/>
  <c r="C237" i="142"/>
  <c r="C236" i="142"/>
  <c r="C235" i="142"/>
  <c r="C232" i="142"/>
  <c r="C231" i="142"/>
  <c r="D228" i="142"/>
  <c r="C227" i="142"/>
  <c r="C226" i="142"/>
  <c r="C225" i="142"/>
  <c r="C224" i="142"/>
  <c r="C223" i="142"/>
  <c r="C222" i="142"/>
  <c r="C221" i="142"/>
  <c r="C220" i="142"/>
  <c r="C219" i="142"/>
  <c r="C211" i="142"/>
  <c r="D205" i="142"/>
  <c r="C205" i="142"/>
  <c r="D204" i="142"/>
  <c r="C204" i="142"/>
  <c r="D203" i="142"/>
  <c r="C203" i="142"/>
  <c r="D202" i="142"/>
  <c r="C202" i="142"/>
  <c r="D201" i="142"/>
  <c r="C201" i="142"/>
  <c r="D200" i="142"/>
  <c r="C200" i="142"/>
  <c r="D196" i="142"/>
  <c r="C196" i="142"/>
  <c r="D195" i="142"/>
  <c r="C195" i="142"/>
  <c r="D194" i="142"/>
  <c r="C194" i="142"/>
  <c r="D193" i="142"/>
  <c r="C193" i="142"/>
  <c r="D192" i="142"/>
  <c r="C192" i="142"/>
  <c r="D191" i="142"/>
  <c r="C191" i="142"/>
  <c r="D190" i="142"/>
  <c r="C190" i="142"/>
  <c r="D189" i="142"/>
  <c r="C189" i="142"/>
  <c r="D188" i="142"/>
  <c r="C188" i="142"/>
  <c r="D187" i="142"/>
  <c r="C187" i="142"/>
  <c r="D186" i="142"/>
  <c r="C186" i="142"/>
  <c r="D185" i="142"/>
  <c r="C185" i="142"/>
  <c r="D184" i="142"/>
  <c r="C184" i="142"/>
  <c r="D183" i="142"/>
  <c r="C183" i="142"/>
  <c r="D182" i="142"/>
  <c r="C182" i="142"/>
  <c r="D181" i="142"/>
  <c r="C181" i="142"/>
  <c r="D180" i="142"/>
  <c r="C180" i="142"/>
  <c r="D179" i="142"/>
  <c r="C179" i="142"/>
  <c r="D178" i="142"/>
  <c r="C178" i="142"/>
  <c r="D177" i="142"/>
  <c r="C177" i="142"/>
  <c r="D176" i="142"/>
  <c r="C176" i="142"/>
  <c r="D175" i="142"/>
  <c r="C175" i="142"/>
  <c r="D174" i="142"/>
  <c r="C174" i="142"/>
  <c r="D173" i="142"/>
  <c r="C173" i="142"/>
  <c r="D172" i="142"/>
  <c r="C172" i="142"/>
  <c r="D171" i="142"/>
  <c r="C171" i="142"/>
  <c r="D170" i="142"/>
  <c r="C170" i="142"/>
  <c r="D169" i="142"/>
  <c r="C169" i="142"/>
  <c r="D168" i="142"/>
  <c r="C168" i="142"/>
  <c r="D167" i="142"/>
  <c r="C167" i="142"/>
  <c r="D166" i="142"/>
  <c r="C166" i="142"/>
  <c r="D165" i="142"/>
  <c r="C165" i="142"/>
  <c r="D164" i="142"/>
  <c r="C164" i="142"/>
  <c r="D160" i="142"/>
  <c r="C160" i="142"/>
  <c r="D159" i="142"/>
  <c r="C159" i="142"/>
  <c r="D158" i="142"/>
  <c r="C158" i="142"/>
  <c r="D157" i="142"/>
  <c r="C157" i="142"/>
  <c r="D156" i="142"/>
  <c r="C156" i="142"/>
  <c r="D155" i="142"/>
  <c r="C155" i="142"/>
  <c r="D153" i="142"/>
  <c r="C153" i="142"/>
  <c r="D152" i="142"/>
  <c r="C152" i="142"/>
  <c r="D151" i="142"/>
  <c r="C151" i="142"/>
  <c r="D150" i="142"/>
  <c r="C150" i="142"/>
  <c r="D149" i="142"/>
  <c r="C149" i="142"/>
  <c r="D148" i="142"/>
  <c r="C148" i="142"/>
  <c r="D147" i="142"/>
  <c r="C147" i="142"/>
  <c r="D146" i="142"/>
  <c r="C146" i="142"/>
  <c r="D145" i="142"/>
  <c r="C145" i="142"/>
  <c r="D143" i="142"/>
  <c r="C143" i="142"/>
  <c r="D142" i="142"/>
  <c r="C142" i="142"/>
  <c r="D141" i="142"/>
  <c r="C141" i="142"/>
  <c r="D140" i="142"/>
  <c r="C140" i="142"/>
  <c r="D138" i="142"/>
  <c r="C138" i="142"/>
  <c r="D137" i="142"/>
  <c r="C137" i="142"/>
  <c r="D136" i="142"/>
  <c r="C136" i="142"/>
  <c r="D135" i="142"/>
  <c r="C135" i="142"/>
  <c r="D133" i="142"/>
  <c r="C133" i="142"/>
  <c r="D132" i="142"/>
  <c r="C132" i="142"/>
  <c r="D131" i="142"/>
  <c r="C131" i="142"/>
  <c r="D130" i="142"/>
  <c r="C130" i="142"/>
  <c r="D129" i="142"/>
  <c r="C129" i="142"/>
  <c r="D127" i="142"/>
  <c r="C127" i="142"/>
  <c r="D126" i="142"/>
  <c r="C126" i="142"/>
  <c r="D125" i="142"/>
  <c r="C125" i="142"/>
  <c r="D124" i="142"/>
  <c r="C124" i="142"/>
  <c r="D123" i="142"/>
  <c r="C123" i="142"/>
  <c r="D118" i="142"/>
  <c r="C118" i="142"/>
  <c r="D117" i="142"/>
  <c r="C117" i="142"/>
  <c r="D116" i="142"/>
  <c r="C116" i="142"/>
  <c r="D115" i="142"/>
  <c r="C115" i="142"/>
  <c r="D114" i="142"/>
  <c r="C114" i="142"/>
  <c r="D110" i="142"/>
  <c r="C110" i="142"/>
  <c r="D109" i="142"/>
  <c r="C109" i="142"/>
  <c r="D108" i="142"/>
  <c r="C108" i="142"/>
  <c r="D107" i="142"/>
  <c r="C107" i="142"/>
  <c r="D106" i="142"/>
  <c r="C106" i="142"/>
  <c r="D105" i="142"/>
  <c r="C105" i="142"/>
  <c r="D101" i="142"/>
  <c r="C101" i="142"/>
  <c r="D100" i="142"/>
  <c r="C100" i="142"/>
  <c r="D99" i="142"/>
  <c r="C99" i="142"/>
  <c r="D98" i="142"/>
  <c r="C98" i="142"/>
  <c r="D97" i="142"/>
  <c r="C97" i="142"/>
  <c r="D96" i="142"/>
  <c r="C96" i="142"/>
  <c r="D92" i="142"/>
  <c r="C92" i="142"/>
  <c r="D91" i="142"/>
  <c r="C91" i="142"/>
  <c r="D90" i="142"/>
  <c r="C90" i="142"/>
  <c r="D89" i="142"/>
  <c r="C89" i="142"/>
  <c r="D88" i="142"/>
  <c r="C88" i="142"/>
  <c r="D87" i="142"/>
  <c r="C87" i="142"/>
  <c r="D86" i="142"/>
  <c r="C86" i="142"/>
  <c r="D85" i="142"/>
  <c r="C85" i="142"/>
  <c r="D84" i="142"/>
  <c r="C84" i="142"/>
  <c r="D83" i="142"/>
  <c r="C83" i="142"/>
  <c r="D82" i="142"/>
  <c r="C82" i="142"/>
  <c r="D78" i="142"/>
  <c r="C78" i="142"/>
  <c r="D77" i="142"/>
  <c r="C77" i="142"/>
  <c r="D76" i="142"/>
  <c r="C76" i="142"/>
  <c r="D75" i="142"/>
  <c r="C75" i="142"/>
  <c r="D74" i="142"/>
  <c r="C74" i="142"/>
  <c r="D73" i="142"/>
  <c r="C73" i="142"/>
  <c r="D72" i="142"/>
  <c r="C72" i="142"/>
  <c r="D71" i="142"/>
  <c r="C71" i="142"/>
  <c r="D70" i="142"/>
  <c r="C70" i="142"/>
  <c r="D69" i="142"/>
  <c r="C69" i="142"/>
  <c r="D68" i="142"/>
  <c r="C68" i="142"/>
  <c r="D67" i="142"/>
  <c r="C67" i="142"/>
  <c r="D66" i="142"/>
  <c r="C66" i="142"/>
  <c r="D65" i="142"/>
  <c r="C65" i="142"/>
  <c r="D64" i="142"/>
  <c r="C64" i="142"/>
  <c r="D60" i="142"/>
  <c r="C60" i="142"/>
  <c r="D59" i="142"/>
  <c r="C59" i="142"/>
  <c r="D58" i="142"/>
  <c r="C58" i="142"/>
  <c r="D57" i="142"/>
  <c r="C57" i="142"/>
  <c r="D56" i="142"/>
  <c r="C56" i="142"/>
  <c r="D55" i="142"/>
  <c r="C55" i="142"/>
  <c r="D54" i="142"/>
  <c r="C54" i="142"/>
  <c r="D53" i="142"/>
  <c r="C53" i="142"/>
  <c r="D52" i="142"/>
  <c r="C52" i="142"/>
  <c r="D51" i="142"/>
  <c r="C51" i="142"/>
  <c r="D50" i="142"/>
  <c r="C50" i="142"/>
  <c r="D49" i="142"/>
  <c r="C49" i="142"/>
  <c r="D48" i="142"/>
  <c r="C48" i="142"/>
  <c r="D47" i="142"/>
  <c r="C47" i="142"/>
  <c r="D46" i="142"/>
  <c r="C46" i="142"/>
  <c r="D45" i="142"/>
  <c r="C45" i="142"/>
  <c r="D44" i="142"/>
  <c r="C44" i="142"/>
  <c r="D43" i="142"/>
  <c r="C43" i="142"/>
  <c r="D42" i="142"/>
  <c r="C42" i="142"/>
  <c r="D41" i="142"/>
  <c r="C41" i="142"/>
  <c r="D40" i="142"/>
  <c r="C40" i="142"/>
  <c r="D39" i="142"/>
  <c r="C39" i="142"/>
  <c r="D38" i="142"/>
  <c r="C38" i="142"/>
  <c r="D37" i="142"/>
  <c r="C37" i="142"/>
  <c r="D36" i="142"/>
  <c r="C36" i="142"/>
  <c r="D35" i="142"/>
  <c r="C35" i="142"/>
  <c r="D34" i="142"/>
  <c r="C34" i="142"/>
  <c r="D33" i="142"/>
  <c r="C33" i="142"/>
  <c r="D32" i="142"/>
  <c r="C32" i="142"/>
  <c r="D31" i="142"/>
  <c r="C31" i="142"/>
  <c r="D30" i="142"/>
  <c r="C30" i="142"/>
  <c r="D29" i="142"/>
  <c r="C29" i="142"/>
  <c r="D28" i="142"/>
  <c r="C28" i="142"/>
  <c r="D27" i="142"/>
  <c r="C27" i="142"/>
  <c r="D26" i="142"/>
  <c r="C26" i="142"/>
  <c r="D25" i="142"/>
  <c r="C25" i="142"/>
  <c r="D20" i="142"/>
  <c r="C20" i="142"/>
  <c r="D19" i="142"/>
  <c r="C19" i="142"/>
  <c r="D18" i="142"/>
  <c r="C18" i="142"/>
  <c r="D17" i="142"/>
  <c r="C17" i="142"/>
  <c r="D16" i="142"/>
  <c r="C16" i="142"/>
  <c r="D15" i="142"/>
  <c r="C15" i="142"/>
  <c r="D14" i="142"/>
  <c r="C14" i="142"/>
  <c r="D13" i="142"/>
  <c r="C13" i="142"/>
  <c r="D12" i="142"/>
  <c r="C12" i="142"/>
  <c r="D11" i="142"/>
  <c r="C11" i="142"/>
  <c r="C4" i="142"/>
  <c r="C3" i="142"/>
  <c r="D102" i="142" l="1"/>
  <c r="C233" i="142"/>
  <c r="C161" i="142"/>
  <c r="D79" i="142"/>
  <c r="C119" i="142"/>
  <c r="C93" i="142"/>
  <c r="C79" i="142"/>
  <c r="D61" i="142"/>
  <c r="D119" i="142"/>
  <c r="D161" i="142"/>
  <c r="C111" i="142"/>
  <c r="C228" i="142"/>
  <c r="D111" i="142"/>
  <c r="C21" i="142"/>
  <c r="C197" i="142"/>
  <c r="C206" i="142"/>
  <c r="D21" i="142"/>
  <c r="D197" i="142"/>
  <c r="D206" i="142"/>
  <c r="D93" i="142"/>
  <c r="C102" i="142"/>
  <c r="C61" i="142"/>
  <c r="D208" i="142" l="1"/>
  <c r="D215" i="142" s="1"/>
  <c r="C208" i="142"/>
  <c r="C212" i="142" s="1"/>
  <c r="G244" i="92"/>
  <c r="G243" i="92"/>
  <c r="G242" i="92"/>
  <c r="G241" i="92"/>
  <c r="C238" i="92"/>
  <c r="C237" i="92"/>
  <c r="C236" i="92"/>
  <c r="C235" i="92"/>
  <c r="C233" i="92"/>
  <c r="C232" i="92"/>
  <c r="C231" i="92"/>
  <c r="D228" i="92"/>
  <c r="C227" i="92"/>
  <c r="C226" i="92"/>
  <c r="C225" i="92"/>
  <c r="C224" i="92"/>
  <c r="C223" i="92"/>
  <c r="C222" i="92"/>
  <c r="C221" i="92"/>
  <c r="C220" i="92"/>
  <c r="C219" i="92"/>
  <c r="C211" i="92"/>
  <c r="D205" i="92"/>
  <c r="C205" i="92"/>
  <c r="D204" i="92"/>
  <c r="C204" i="92"/>
  <c r="D203" i="92"/>
  <c r="C203" i="92"/>
  <c r="D202" i="92"/>
  <c r="C202" i="92"/>
  <c r="D201" i="92"/>
  <c r="C201" i="92"/>
  <c r="D200" i="92"/>
  <c r="C200" i="92"/>
  <c r="D196" i="92"/>
  <c r="C196" i="92"/>
  <c r="D195" i="92"/>
  <c r="C195" i="92"/>
  <c r="D194" i="92"/>
  <c r="C194" i="92"/>
  <c r="D193" i="92"/>
  <c r="C193" i="92"/>
  <c r="D192" i="92"/>
  <c r="C192" i="92"/>
  <c r="D191" i="92"/>
  <c r="C191" i="92"/>
  <c r="D190" i="92"/>
  <c r="C190" i="92"/>
  <c r="D189" i="92"/>
  <c r="C189" i="92"/>
  <c r="D188" i="92"/>
  <c r="C188" i="92"/>
  <c r="D187" i="92"/>
  <c r="C187" i="92"/>
  <c r="D186" i="92"/>
  <c r="C186" i="92"/>
  <c r="D185" i="92"/>
  <c r="C185" i="92"/>
  <c r="D184" i="92"/>
  <c r="C184" i="92"/>
  <c r="D183" i="92"/>
  <c r="C183" i="92"/>
  <c r="D182" i="92"/>
  <c r="C182" i="92"/>
  <c r="D181" i="92"/>
  <c r="C181" i="92"/>
  <c r="D180" i="92"/>
  <c r="C180" i="92"/>
  <c r="D179" i="92"/>
  <c r="C179" i="92"/>
  <c r="D178" i="92"/>
  <c r="C178" i="92"/>
  <c r="D177" i="92"/>
  <c r="C177" i="92"/>
  <c r="D176" i="92"/>
  <c r="C176" i="92"/>
  <c r="D175" i="92"/>
  <c r="C175" i="92"/>
  <c r="D174" i="92"/>
  <c r="C174" i="92"/>
  <c r="D173" i="92"/>
  <c r="C173" i="92"/>
  <c r="D172" i="92"/>
  <c r="C172" i="92"/>
  <c r="D171" i="92"/>
  <c r="C171" i="92"/>
  <c r="D170" i="92"/>
  <c r="C170" i="92"/>
  <c r="D169" i="92"/>
  <c r="C169" i="92"/>
  <c r="D168" i="92"/>
  <c r="C168" i="92"/>
  <c r="D167" i="92"/>
  <c r="C167" i="92"/>
  <c r="D166" i="92"/>
  <c r="C166" i="92"/>
  <c r="D165" i="92"/>
  <c r="C165" i="92"/>
  <c r="D164" i="92"/>
  <c r="C164" i="92"/>
  <c r="D160" i="92"/>
  <c r="C160" i="92"/>
  <c r="D159" i="92"/>
  <c r="C159" i="92"/>
  <c r="D158" i="92"/>
  <c r="C158" i="92"/>
  <c r="D157" i="92"/>
  <c r="C157" i="92"/>
  <c r="D156" i="92"/>
  <c r="C156" i="92"/>
  <c r="D155" i="92"/>
  <c r="C155" i="92"/>
  <c r="D153" i="92"/>
  <c r="C153" i="92"/>
  <c r="D152" i="92"/>
  <c r="C152" i="92"/>
  <c r="D151" i="92"/>
  <c r="C151" i="92"/>
  <c r="D150" i="92"/>
  <c r="C150" i="92"/>
  <c r="D149" i="92"/>
  <c r="C149" i="92"/>
  <c r="D148" i="92"/>
  <c r="C148" i="92"/>
  <c r="D147" i="92"/>
  <c r="C147" i="92"/>
  <c r="D146" i="92"/>
  <c r="C146" i="92"/>
  <c r="D145" i="92"/>
  <c r="C145" i="92"/>
  <c r="D143" i="92"/>
  <c r="C143" i="92"/>
  <c r="D142" i="92"/>
  <c r="C142" i="92"/>
  <c r="D141" i="92"/>
  <c r="C141" i="92"/>
  <c r="D140" i="92"/>
  <c r="C140" i="92"/>
  <c r="D138" i="92"/>
  <c r="C138" i="92"/>
  <c r="D137" i="92"/>
  <c r="C137" i="92"/>
  <c r="D136" i="92"/>
  <c r="C136" i="92"/>
  <c r="D135" i="92"/>
  <c r="C135" i="92"/>
  <c r="D133" i="92"/>
  <c r="C133" i="92"/>
  <c r="D132" i="92"/>
  <c r="C132" i="92"/>
  <c r="D131" i="92"/>
  <c r="C131" i="92"/>
  <c r="D130" i="92"/>
  <c r="C130" i="92"/>
  <c r="D129" i="92"/>
  <c r="C129" i="92"/>
  <c r="D127" i="92"/>
  <c r="C127" i="92"/>
  <c r="D126" i="92"/>
  <c r="C126" i="92"/>
  <c r="D125" i="92"/>
  <c r="C125" i="92"/>
  <c r="D124" i="92"/>
  <c r="C124" i="92"/>
  <c r="D123" i="92"/>
  <c r="C123" i="92"/>
  <c r="D118" i="92"/>
  <c r="C118" i="92"/>
  <c r="D117" i="92"/>
  <c r="C117" i="92"/>
  <c r="D116" i="92"/>
  <c r="C116" i="92"/>
  <c r="D115" i="92"/>
  <c r="C115" i="92"/>
  <c r="D114" i="92"/>
  <c r="C114" i="92"/>
  <c r="D110" i="92"/>
  <c r="C110" i="92"/>
  <c r="D109" i="92"/>
  <c r="C109" i="92"/>
  <c r="D108" i="92"/>
  <c r="C108" i="92"/>
  <c r="D107" i="92"/>
  <c r="C107" i="92"/>
  <c r="D106" i="92"/>
  <c r="C106" i="92"/>
  <c r="D105" i="92"/>
  <c r="C105" i="92"/>
  <c r="D101" i="92"/>
  <c r="C101" i="92"/>
  <c r="D100" i="92"/>
  <c r="C100" i="92"/>
  <c r="D99" i="92"/>
  <c r="C99" i="92"/>
  <c r="D98" i="92"/>
  <c r="C98" i="92"/>
  <c r="D97" i="92"/>
  <c r="C97" i="92"/>
  <c r="D96" i="92"/>
  <c r="C96" i="92"/>
  <c r="D92" i="92"/>
  <c r="C92" i="92"/>
  <c r="D91" i="92"/>
  <c r="C91" i="92"/>
  <c r="D90" i="92"/>
  <c r="C90" i="92"/>
  <c r="D89" i="92"/>
  <c r="C89" i="92"/>
  <c r="D88" i="92"/>
  <c r="C88" i="92"/>
  <c r="D87" i="92"/>
  <c r="C87" i="92"/>
  <c r="D86" i="92"/>
  <c r="C86" i="92"/>
  <c r="D85" i="92"/>
  <c r="C85" i="92"/>
  <c r="D84" i="92"/>
  <c r="C84" i="92"/>
  <c r="D83" i="92"/>
  <c r="C83" i="92"/>
  <c r="D82" i="92"/>
  <c r="C82" i="92"/>
  <c r="D78" i="92"/>
  <c r="C78" i="92"/>
  <c r="D77" i="92"/>
  <c r="C77" i="92"/>
  <c r="D76" i="92"/>
  <c r="C76" i="92"/>
  <c r="D75" i="92"/>
  <c r="C75" i="92"/>
  <c r="D74" i="92"/>
  <c r="C74" i="92"/>
  <c r="D73" i="92"/>
  <c r="C73" i="92"/>
  <c r="D72" i="92"/>
  <c r="C72" i="92"/>
  <c r="D71" i="92"/>
  <c r="C71" i="92"/>
  <c r="D70" i="92"/>
  <c r="C70" i="92"/>
  <c r="D69" i="92"/>
  <c r="C69" i="92"/>
  <c r="D68" i="92"/>
  <c r="C68" i="92"/>
  <c r="D67" i="92"/>
  <c r="C67" i="92"/>
  <c r="D66" i="92"/>
  <c r="C66" i="92"/>
  <c r="D65" i="92"/>
  <c r="C65" i="92"/>
  <c r="D64" i="92"/>
  <c r="C64" i="92"/>
  <c r="D60" i="92"/>
  <c r="C60" i="92"/>
  <c r="D59" i="92"/>
  <c r="C59" i="92"/>
  <c r="D58" i="92"/>
  <c r="C58" i="92"/>
  <c r="D57" i="92"/>
  <c r="C57" i="92"/>
  <c r="D56" i="92"/>
  <c r="C56" i="92"/>
  <c r="D55" i="92"/>
  <c r="C55" i="92"/>
  <c r="D54" i="92"/>
  <c r="C54" i="92"/>
  <c r="D53" i="92"/>
  <c r="C53" i="92"/>
  <c r="D52" i="92"/>
  <c r="C52" i="92"/>
  <c r="D51" i="92"/>
  <c r="C51" i="92"/>
  <c r="D50" i="92"/>
  <c r="C50" i="92"/>
  <c r="D49" i="92"/>
  <c r="C49" i="92"/>
  <c r="D48" i="92"/>
  <c r="C48" i="92"/>
  <c r="D47" i="92"/>
  <c r="C47" i="92"/>
  <c r="D46" i="92"/>
  <c r="C46" i="92"/>
  <c r="D45" i="92"/>
  <c r="C45" i="92"/>
  <c r="D44" i="92"/>
  <c r="C44" i="92"/>
  <c r="D43" i="92"/>
  <c r="C43" i="92"/>
  <c r="D42" i="92"/>
  <c r="C42" i="92"/>
  <c r="D41" i="92"/>
  <c r="C41" i="92"/>
  <c r="D40" i="92"/>
  <c r="C40" i="92"/>
  <c r="D39" i="92"/>
  <c r="C39" i="92"/>
  <c r="D38" i="92"/>
  <c r="C38" i="92"/>
  <c r="D37" i="92"/>
  <c r="C37" i="92"/>
  <c r="D36" i="92"/>
  <c r="C36" i="92"/>
  <c r="D35" i="92"/>
  <c r="C35" i="92"/>
  <c r="D34" i="92"/>
  <c r="C34" i="92"/>
  <c r="D33" i="92"/>
  <c r="C33" i="92"/>
  <c r="D32" i="92"/>
  <c r="C32" i="92"/>
  <c r="D31" i="92"/>
  <c r="C31" i="92"/>
  <c r="D30" i="92"/>
  <c r="C30" i="92"/>
  <c r="D29" i="92"/>
  <c r="C29" i="92"/>
  <c r="D28" i="92"/>
  <c r="C28" i="92"/>
  <c r="D27" i="92"/>
  <c r="C27" i="92"/>
  <c r="D26" i="92"/>
  <c r="C26" i="92"/>
  <c r="D25" i="92"/>
  <c r="C25" i="92"/>
  <c r="D20" i="92"/>
  <c r="C20" i="92"/>
  <c r="D19" i="92"/>
  <c r="C19" i="92"/>
  <c r="D18" i="92"/>
  <c r="C18" i="92"/>
  <c r="D17" i="92"/>
  <c r="C17" i="92"/>
  <c r="D16" i="92"/>
  <c r="C16" i="92"/>
  <c r="D15" i="92"/>
  <c r="C15" i="92"/>
  <c r="D14" i="92"/>
  <c r="C14" i="92"/>
  <c r="D13" i="92"/>
  <c r="C13" i="92"/>
  <c r="D12" i="92"/>
  <c r="C12" i="92"/>
  <c r="D11" i="92"/>
  <c r="C11" i="92"/>
  <c r="C111" i="92" l="1"/>
  <c r="D111" i="92"/>
  <c r="D61" i="92"/>
  <c r="D93" i="92"/>
  <c r="D119" i="92"/>
  <c r="C215" i="142"/>
  <c r="D161" i="92"/>
  <c r="C228" i="92"/>
  <c r="C21" i="92"/>
  <c r="C93" i="92"/>
  <c r="C197" i="92"/>
  <c r="C206" i="92"/>
  <c r="D21" i="92"/>
  <c r="C102" i="92"/>
  <c r="D197" i="92"/>
  <c r="D206" i="92"/>
  <c r="C79" i="92"/>
  <c r="D102" i="92"/>
  <c r="D79" i="92"/>
  <c r="C119" i="92"/>
  <c r="C161" i="92"/>
  <c r="C61" i="92"/>
  <c r="C208" i="92" l="1"/>
  <c r="C215" i="92" s="1"/>
  <c r="D208" i="92"/>
  <c r="D215" i="92" s="1"/>
  <c r="C212" i="92" l="1"/>
  <c r="G244" i="1"/>
  <c r="G243" i="1"/>
  <c r="G242" i="1"/>
  <c r="G241" i="1"/>
  <c r="C238" i="1"/>
  <c r="C237" i="1"/>
  <c r="C236" i="1"/>
  <c r="C235" i="1"/>
  <c r="C233" i="1"/>
  <c r="C232" i="1"/>
  <c r="C231" i="1"/>
  <c r="D228" i="1"/>
  <c r="C227" i="1"/>
  <c r="C226" i="1"/>
  <c r="C225" i="1"/>
  <c r="C224" i="1"/>
  <c r="C223" i="1"/>
  <c r="C222" i="1"/>
  <c r="C221" i="1"/>
  <c r="C220" i="1"/>
  <c r="C219" i="1"/>
  <c r="C211" i="1"/>
  <c r="D205" i="1"/>
  <c r="C205" i="1"/>
  <c r="D204" i="1"/>
  <c r="C204" i="1"/>
  <c r="D203" i="1"/>
  <c r="C203" i="1"/>
  <c r="D202" i="1"/>
  <c r="C202" i="1"/>
  <c r="D201" i="1"/>
  <c r="C201" i="1"/>
  <c r="D200" i="1"/>
  <c r="C200" i="1"/>
  <c r="D196" i="1"/>
  <c r="C196" i="1"/>
  <c r="D195" i="1"/>
  <c r="C195" i="1"/>
  <c r="D194" i="1"/>
  <c r="C194" i="1"/>
  <c r="D193" i="1"/>
  <c r="C193" i="1"/>
  <c r="D192" i="1"/>
  <c r="C192" i="1"/>
  <c r="D191" i="1"/>
  <c r="C191" i="1"/>
  <c r="D190" i="1"/>
  <c r="C190" i="1"/>
  <c r="D189" i="1"/>
  <c r="C189" i="1"/>
  <c r="D188" i="1"/>
  <c r="C188" i="1"/>
  <c r="D187" i="1"/>
  <c r="C187" i="1"/>
  <c r="D186" i="1"/>
  <c r="C186" i="1"/>
  <c r="D185" i="1"/>
  <c r="C185" i="1"/>
  <c r="D184" i="1"/>
  <c r="C184" i="1"/>
  <c r="D183" i="1"/>
  <c r="C183" i="1"/>
  <c r="D182" i="1"/>
  <c r="C182" i="1"/>
  <c r="D181" i="1"/>
  <c r="C181" i="1"/>
  <c r="D180" i="1"/>
  <c r="C180" i="1"/>
  <c r="D179" i="1"/>
  <c r="C179" i="1"/>
  <c r="D178" i="1"/>
  <c r="C178" i="1"/>
  <c r="D177" i="1"/>
  <c r="C177" i="1"/>
  <c r="D176" i="1"/>
  <c r="C176" i="1"/>
  <c r="D175" i="1"/>
  <c r="C175" i="1"/>
  <c r="D174" i="1"/>
  <c r="C174" i="1"/>
  <c r="D173" i="1"/>
  <c r="C173" i="1"/>
  <c r="D172" i="1"/>
  <c r="C172" i="1"/>
  <c r="D171" i="1"/>
  <c r="C171" i="1"/>
  <c r="D170" i="1"/>
  <c r="C170" i="1"/>
  <c r="D169" i="1"/>
  <c r="C169" i="1"/>
  <c r="D168" i="1"/>
  <c r="C168" i="1"/>
  <c r="D167" i="1"/>
  <c r="C167" i="1"/>
  <c r="D166" i="1"/>
  <c r="C166" i="1"/>
  <c r="D165" i="1"/>
  <c r="C165" i="1"/>
  <c r="D164" i="1"/>
  <c r="C164" i="1"/>
  <c r="D160" i="1"/>
  <c r="C160" i="1"/>
  <c r="D159" i="1"/>
  <c r="C159" i="1"/>
  <c r="D158" i="1"/>
  <c r="C158" i="1"/>
  <c r="D157" i="1"/>
  <c r="C157" i="1"/>
  <c r="D156" i="1"/>
  <c r="C156" i="1"/>
  <c r="D155" i="1"/>
  <c r="C155" i="1"/>
  <c r="D153" i="1"/>
  <c r="C153" i="1"/>
  <c r="D152" i="1"/>
  <c r="C152" i="1"/>
  <c r="D151" i="1"/>
  <c r="C151" i="1"/>
  <c r="D150" i="1"/>
  <c r="C150" i="1"/>
  <c r="D149" i="1"/>
  <c r="C149" i="1"/>
  <c r="D148" i="1"/>
  <c r="C148" i="1"/>
  <c r="D147" i="1"/>
  <c r="C147" i="1"/>
  <c r="D146" i="1"/>
  <c r="C146" i="1"/>
  <c r="D145" i="1"/>
  <c r="C145" i="1"/>
  <c r="D143" i="1"/>
  <c r="C143" i="1"/>
  <c r="D142" i="1"/>
  <c r="C142" i="1"/>
  <c r="D141" i="1"/>
  <c r="C141" i="1"/>
  <c r="D140" i="1"/>
  <c r="C140" i="1"/>
  <c r="D138" i="1"/>
  <c r="C138" i="1"/>
  <c r="D137" i="1"/>
  <c r="C137" i="1"/>
  <c r="D136" i="1"/>
  <c r="C136" i="1"/>
  <c r="D135" i="1"/>
  <c r="C135" i="1"/>
  <c r="D133" i="1"/>
  <c r="C133" i="1"/>
  <c r="D132" i="1"/>
  <c r="C132" i="1"/>
  <c r="D131" i="1"/>
  <c r="C131" i="1"/>
  <c r="D130" i="1"/>
  <c r="C130" i="1"/>
  <c r="D129" i="1"/>
  <c r="C129" i="1"/>
  <c r="D127" i="1"/>
  <c r="C127" i="1"/>
  <c r="D126" i="1"/>
  <c r="C126" i="1"/>
  <c r="D125" i="1"/>
  <c r="C125" i="1"/>
  <c r="D124" i="1"/>
  <c r="C124" i="1"/>
  <c r="D123" i="1"/>
  <c r="C123" i="1"/>
  <c r="D118" i="1"/>
  <c r="C118" i="1"/>
  <c r="D117" i="1"/>
  <c r="C117" i="1"/>
  <c r="D116" i="1"/>
  <c r="C116" i="1"/>
  <c r="D115" i="1"/>
  <c r="C115" i="1"/>
  <c r="D114" i="1"/>
  <c r="C114" i="1"/>
  <c r="D110" i="1"/>
  <c r="C110" i="1"/>
  <c r="D109" i="1"/>
  <c r="C109" i="1"/>
  <c r="D108" i="1"/>
  <c r="C108" i="1"/>
  <c r="D107" i="1"/>
  <c r="C107" i="1"/>
  <c r="D106" i="1"/>
  <c r="C106" i="1"/>
  <c r="D105" i="1"/>
  <c r="C105" i="1"/>
  <c r="D101" i="1"/>
  <c r="C101" i="1"/>
  <c r="D100" i="1"/>
  <c r="C100" i="1"/>
  <c r="D99" i="1"/>
  <c r="C99" i="1"/>
  <c r="D98" i="1"/>
  <c r="C98" i="1"/>
  <c r="D97" i="1"/>
  <c r="C97" i="1"/>
  <c r="D96" i="1"/>
  <c r="C96" i="1"/>
  <c r="D92" i="1"/>
  <c r="C92" i="1"/>
  <c r="D91" i="1"/>
  <c r="C91" i="1"/>
  <c r="D90" i="1"/>
  <c r="C90" i="1"/>
  <c r="D89" i="1"/>
  <c r="C89" i="1"/>
  <c r="D88" i="1"/>
  <c r="C88" i="1"/>
  <c r="D87" i="1"/>
  <c r="C87" i="1"/>
  <c r="D86" i="1"/>
  <c r="C86" i="1"/>
  <c r="D85" i="1"/>
  <c r="C85" i="1"/>
  <c r="D84" i="1"/>
  <c r="C84" i="1"/>
  <c r="D83" i="1"/>
  <c r="C83" i="1"/>
  <c r="D82" i="1"/>
  <c r="C82" i="1"/>
  <c r="D78" i="1"/>
  <c r="C78" i="1"/>
  <c r="D77" i="1"/>
  <c r="C77" i="1"/>
  <c r="D76" i="1"/>
  <c r="C76" i="1"/>
  <c r="D75" i="1"/>
  <c r="C75" i="1"/>
  <c r="D74" i="1"/>
  <c r="C74" i="1"/>
  <c r="D73" i="1"/>
  <c r="C73" i="1"/>
  <c r="D72" i="1"/>
  <c r="C72" i="1"/>
  <c r="D71" i="1"/>
  <c r="C71" i="1"/>
  <c r="D70" i="1"/>
  <c r="C70" i="1"/>
  <c r="D69" i="1"/>
  <c r="C69" i="1"/>
  <c r="D68" i="1"/>
  <c r="C68" i="1"/>
  <c r="D67" i="1"/>
  <c r="C67" i="1"/>
  <c r="D66" i="1"/>
  <c r="C66" i="1"/>
  <c r="D65" i="1"/>
  <c r="C65" i="1"/>
  <c r="D64" i="1"/>
  <c r="C64" i="1"/>
  <c r="D60" i="1"/>
  <c r="C60" i="1"/>
  <c r="D59" i="1"/>
  <c r="C59" i="1"/>
  <c r="D58" i="1"/>
  <c r="C58" i="1"/>
  <c r="D57" i="1"/>
  <c r="C57" i="1"/>
  <c r="D56" i="1"/>
  <c r="C56" i="1"/>
  <c r="D55" i="1"/>
  <c r="C55" i="1"/>
  <c r="D54" i="1"/>
  <c r="C54" i="1"/>
  <c r="D53" i="1"/>
  <c r="C53" i="1"/>
  <c r="D52" i="1"/>
  <c r="C52" i="1"/>
  <c r="D51" i="1"/>
  <c r="C51" i="1"/>
  <c r="D50" i="1"/>
  <c r="C50" i="1"/>
  <c r="D49" i="1"/>
  <c r="C49" i="1"/>
  <c r="D48" i="1"/>
  <c r="C48" i="1"/>
  <c r="D47" i="1"/>
  <c r="C47" i="1"/>
  <c r="D46" i="1"/>
  <c r="C46" i="1"/>
  <c r="D45" i="1"/>
  <c r="C45" i="1"/>
  <c r="D44" i="1"/>
  <c r="C44" i="1"/>
  <c r="D43" i="1"/>
  <c r="C43" i="1"/>
  <c r="D42" i="1"/>
  <c r="C42" i="1"/>
  <c r="D41" i="1"/>
  <c r="C41" i="1"/>
  <c r="D40" i="1"/>
  <c r="C40" i="1"/>
  <c r="D39" i="1"/>
  <c r="C39" i="1"/>
  <c r="D38" i="1"/>
  <c r="C38" i="1"/>
  <c r="D37" i="1"/>
  <c r="C37" i="1"/>
  <c r="D36" i="1"/>
  <c r="C36" i="1"/>
  <c r="D35" i="1"/>
  <c r="C35" i="1"/>
  <c r="D34" i="1"/>
  <c r="C34" i="1"/>
  <c r="D33" i="1"/>
  <c r="C33" i="1"/>
  <c r="D32" i="1"/>
  <c r="C32" i="1"/>
  <c r="D31" i="1"/>
  <c r="C31" i="1"/>
  <c r="D30" i="1"/>
  <c r="C30" i="1"/>
  <c r="D29" i="1"/>
  <c r="C29" i="1"/>
  <c r="D28" i="1"/>
  <c r="C28" i="1"/>
  <c r="D27" i="1"/>
  <c r="C27" i="1"/>
  <c r="D26" i="1"/>
  <c r="C26" i="1"/>
  <c r="D25" i="1"/>
  <c r="C25" i="1"/>
  <c r="D20" i="1"/>
  <c r="C20" i="1"/>
  <c r="D19" i="1"/>
  <c r="C19" i="1"/>
  <c r="D18" i="1"/>
  <c r="C18" i="1"/>
  <c r="D17" i="1"/>
  <c r="C17" i="1"/>
  <c r="D16" i="1"/>
  <c r="C16" i="1"/>
  <c r="D15" i="1"/>
  <c r="C15" i="1"/>
  <c r="D14" i="1"/>
  <c r="C14" i="1"/>
  <c r="D13" i="1"/>
  <c r="C13" i="1"/>
  <c r="D12" i="1"/>
  <c r="C12" i="1"/>
  <c r="D11" i="1"/>
  <c r="C11" i="1"/>
  <c r="C111" i="1" l="1"/>
  <c r="C119" i="1"/>
  <c r="C206" i="1"/>
  <c r="D111" i="1"/>
  <c r="D119" i="1"/>
  <c r="D206" i="1"/>
  <c r="C93" i="1"/>
  <c r="C102" i="1"/>
  <c r="D21" i="1"/>
  <c r="D93" i="1"/>
  <c r="D102" i="1"/>
  <c r="C228" i="1"/>
  <c r="C79" i="1"/>
  <c r="C161" i="1"/>
  <c r="C197" i="1"/>
  <c r="C21" i="1"/>
  <c r="D79" i="1"/>
  <c r="D161" i="1"/>
  <c r="D197" i="1"/>
  <c r="C61" i="1"/>
  <c r="D61" i="1"/>
  <c r="D208" i="1" l="1"/>
  <c r="D215" i="1" s="1"/>
  <c r="C208" i="1"/>
  <c r="C212" i="1" s="1"/>
  <c r="C215" i="1" l="1"/>
  <c r="G244" i="50"/>
  <c r="G243" i="50"/>
  <c r="G242" i="50"/>
  <c r="G241" i="50"/>
  <c r="C238" i="50"/>
  <c r="C237" i="50"/>
  <c r="C236" i="50"/>
  <c r="C235" i="50"/>
  <c r="C233" i="50"/>
  <c r="C232" i="50"/>
  <c r="C231" i="50"/>
  <c r="D228" i="50"/>
  <c r="C227" i="50"/>
  <c r="C226" i="50"/>
  <c r="C225" i="50"/>
  <c r="C224" i="50"/>
  <c r="C223" i="50"/>
  <c r="C222" i="50"/>
  <c r="C221" i="50"/>
  <c r="C220" i="50"/>
  <c r="C219" i="50"/>
  <c r="C211" i="50"/>
  <c r="D205" i="50"/>
  <c r="C205" i="50"/>
  <c r="D204" i="50"/>
  <c r="C204" i="50"/>
  <c r="D203" i="50"/>
  <c r="C203" i="50"/>
  <c r="D202" i="50"/>
  <c r="C202" i="50"/>
  <c r="D201" i="50"/>
  <c r="C201" i="50"/>
  <c r="D200" i="50"/>
  <c r="C200" i="50"/>
  <c r="D196" i="50"/>
  <c r="C196" i="50"/>
  <c r="D195" i="50"/>
  <c r="C195" i="50"/>
  <c r="D194" i="50"/>
  <c r="C194" i="50"/>
  <c r="D193" i="50"/>
  <c r="C193" i="50"/>
  <c r="D192" i="50"/>
  <c r="C192" i="50"/>
  <c r="D191" i="50"/>
  <c r="C191" i="50"/>
  <c r="D190" i="50"/>
  <c r="C190" i="50"/>
  <c r="D189" i="50"/>
  <c r="C189" i="50"/>
  <c r="D188" i="50"/>
  <c r="C188" i="50"/>
  <c r="D187" i="50"/>
  <c r="C187" i="50"/>
  <c r="D186" i="50"/>
  <c r="C186" i="50"/>
  <c r="D185" i="50"/>
  <c r="C185" i="50"/>
  <c r="D184" i="50"/>
  <c r="C184" i="50"/>
  <c r="D183" i="50"/>
  <c r="C183" i="50"/>
  <c r="D182" i="50"/>
  <c r="C182" i="50"/>
  <c r="D181" i="50"/>
  <c r="C181" i="50"/>
  <c r="D180" i="50"/>
  <c r="C180" i="50"/>
  <c r="D179" i="50"/>
  <c r="C179" i="50"/>
  <c r="D178" i="50"/>
  <c r="C178" i="50"/>
  <c r="D177" i="50"/>
  <c r="C177" i="50"/>
  <c r="D176" i="50"/>
  <c r="C176" i="50"/>
  <c r="D175" i="50"/>
  <c r="C175" i="50"/>
  <c r="D174" i="50"/>
  <c r="C174" i="50"/>
  <c r="D173" i="50"/>
  <c r="C173" i="50"/>
  <c r="D172" i="50"/>
  <c r="C172" i="50"/>
  <c r="D171" i="50"/>
  <c r="C171" i="50"/>
  <c r="D170" i="50"/>
  <c r="C170" i="50"/>
  <c r="D169" i="50"/>
  <c r="C169" i="50"/>
  <c r="D168" i="50"/>
  <c r="C168" i="50"/>
  <c r="D167" i="50"/>
  <c r="C167" i="50"/>
  <c r="D166" i="50"/>
  <c r="C166" i="50"/>
  <c r="D165" i="50"/>
  <c r="C165" i="50"/>
  <c r="D164" i="50"/>
  <c r="C164" i="50"/>
  <c r="D160" i="50"/>
  <c r="C160" i="50"/>
  <c r="D159" i="50"/>
  <c r="C159" i="50"/>
  <c r="D158" i="50"/>
  <c r="C158" i="50"/>
  <c r="D157" i="50"/>
  <c r="C157" i="50"/>
  <c r="D156" i="50"/>
  <c r="C156" i="50"/>
  <c r="D155" i="50"/>
  <c r="C155" i="50"/>
  <c r="D153" i="50"/>
  <c r="C153" i="50"/>
  <c r="D152" i="50"/>
  <c r="C152" i="50"/>
  <c r="D151" i="50"/>
  <c r="C151" i="50"/>
  <c r="D150" i="50"/>
  <c r="C150" i="50"/>
  <c r="D149" i="50"/>
  <c r="C149" i="50"/>
  <c r="D148" i="50"/>
  <c r="C148" i="50"/>
  <c r="D147" i="50"/>
  <c r="C147" i="50"/>
  <c r="D146" i="50"/>
  <c r="C146" i="50"/>
  <c r="D145" i="50"/>
  <c r="C145" i="50"/>
  <c r="D143" i="50"/>
  <c r="C143" i="50"/>
  <c r="D142" i="50"/>
  <c r="C142" i="50"/>
  <c r="D141" i="50"/>
  <c r="C141" i="50"/>
  <c r="D140" i="50"/>
  <c r="C140" i="50"/>
  <c r="D138" i="50"/>
  <c r="C138" i="50"/>
  <c r="D137" i="50"/>
  <c r="C137" i="50"/>
  <c r="D136" i="50"/>
  <c r="C136" i="50"/>
  <c r="D135" i="50"/>
  <c r="C135" i="50"/>
  <c r="D133" i="50"/>
  <c r="C133" i="50"/>
  <c r="D132" i="50"/>
  <c r="C132" i="50"/>
  <c r="D131" i="50"/>
  <c r="C131" i="50"/>
  <c r="D130" i="50"/>
  <c r="C130" i="50"/>
  <c r="D129" i="50"/>
  <c r="C129" i="50"/>
  <c r="D127" i="50"/>
  <c r="C127" i="50"/>
  <c r="D126" i="50"/>
  <c r="C126" i="50"/>
  <c r="D125" i="50"/>
  <c r="C125" i="50"/>
  <c r="D124" i="50"/>
  <c r="C124" i="50"/>
  <c r="D123" i="50"/>
  <c r="C123" i="50"/>
  <c r="D118" i="50"/>
  <c r="C118" i="50"/>
  <c r="D117" i="50"/>
  <c r="C117" i="50"/>
  <c r="D116" i="50"/>
  <c r="C116" i="50"/>
  <c r="D115" i="50"/>
  <c r="C115" i="50"/>
  <c r="D114" i="50"/>
  <c r="C114" i="50"/>
  <c r="D110" i="50"/>
  <c r="C110" i="50"/>
  <c r="D109" i="50"/>
  <c r="C109" i="50"/>
  <c r="D108" i="50"/>
  <c r="C108" i="50"/>
  <c r="D107" i="50"/>
  <c r="C107" i="50"/>
  <c r="D106" i="50"/>
  <c r="C106" i="50"/>
  <c r="D105" i="50"/>
  <c r="C105" i="50"/>
  <c r="D101" i="50"/>
  <c r="C101" i="50"/>
  <c r="D100" i="50"/>
  <c r="C100" i="50"/>
  <c r="D99" i="50"/>
  <c r="C99" i="50"/>
  <c r="D98" i="50"/>
  <c r="C98" i="50"/>
  <c r="D97" i="50"/>
  <c r="C97" i="50"/>
  <c r="D96" i="50"/>
  <c r="C96" i="50"/>
  <c r="D92" i="50"/>
  <c r="C92" i="50"/>
  <c r="D91" i="50"/>
  <c r="C91" i="50"/>
  <c r="D90" i="50"/>
  <c r="C90" i="50"/>
  <c r="D89" i="50"/>
  <c r="C89" i="50"/>
  <c r="D88" i="50"/>
  <c r="C88" i="50"/>
  <c r="D87" i="50"/>
  <c r="C87" i="50"/>
  <c r="D86" i="50"/>
  <c r="C86" i="50"/>
  <c r="D85" i="50"/>
  <c r="C85" i="50"/>
  <c r="D84" i="50"/>
  <c r="C84" i="50"/>
  <c r="D83" i="50"/>
  <c r="C83" i="50"/>
  <c r="D82" i="50"/>
  <c r="C82" i="50"/>
  <c r="D78" i="50"/>
  <c r="C78" i="50"/>
  <c r="D77" i="50"/>
  <c r="C77" i="50"/>
  <c r="D76" i="50"/>
  <c r="C76" i="50"/>
  <c r="D75" i="50"/>
  <c r="C75" i="50"/>
  <c r="D74" i="50"/>
  <c r="C74" i="50"/>
  <c r="D73" i="50"/>
  <c r="C73" i="50"/>
  <c r="D72" i="50"/>
  <c r="C72" i="50"/>
  <c r="D71" i="50"/>
  <c r="C71" i="50"/>
  <c r="D70" i="50"/>
  <c r="C70" i="50"/>
  <c r="D69" i="50"/>
  <c r="C69" i="50"/>
  <c r="D68" i="50"/>
  <c r="C68" i="50"/>
  <c r="D67" i="50"/>
  <c r="C67" i="50"/>
  <c r="D66" i="50"/>
  <c r="C66" i="50"/>
  <c r="D65" i="50"/>
  <c r="C65" i="50"/>
  <c r="D64" i="50"/>
  <c r="C64" i="50"/>
  <c r="D60" i="50"/>
  <c r="C60" i="50"/>
  <c r="D59" i="50"/>
  <c r="C59" i="50"/>
  <c r="D58" i="50"/>
  <c r="C58" i="50"/>
  <c r="D57" i="50"/>
  <c r="C57" i="50"/>
  <c r="D56" i="50"/>
  <c r="C56" i="50"/>
  <c r="D55" i="50"/>
  <c r="C55" i="50"/>
  <c r="D54" i="50"/>
  <c r="C54" i="50"/>
  <c r="D53" i="50"/>
  <c r="C53" i="50"/>
  <c r="D52" i="50"/>
  <c r="C52" i="50"/>
  <c r="D51" i="50"/>
  <c r="C51" i="50"/>
  <c r="D50" i="50"/>
  <c r="C50" i="50"/>
  <c r="D49" i="50"/>
  <c r="C49" i="50"/>
  <c r="D48" i="50"/>
  <c r="C48" i="50"/>
  <c r="D47" i="50"/>
  <c r="C47" i="50"/>
  <c r="D46" i="50"/>
  <c r="C46" i="50"/>
  <c r="D45" i="50"/>
  <c r="C45" i="50"/>
  <c r="D44" i="50"/>
  <c r="C44" i="50"/>
  <c r="D43" i="50"/>
  <c r="C43" i="50"/>
  <c r="D42" i="50"/>
  <c r="C42" i="50"/>
  <c r="D41" i="50"/>
  <c r="C41" i="50"/>
  <c r="D40" i="50"/>
  <c r="C40" i="50"/>
  <c r="D39" i="50"/>
  <c r="C39" i="50"/>
  <c r="D38" i="50"/>
  <c r="C38" i="50"/>
  <c r="D37" i="50"/>
  <c r="C37" i="50"/>
  <c r="D36" i="50"/>
  <c r="C36" i="50"/>
  <c r="D35" i="50"/>
  <c r="C35" i="50"/>
  <c r="D34" i="50"/>
  <c r="C34" i="50"/>
  <c r="D33" i="50"/>
  <c r="C33" i="50"/>
  <c r="D32" i="50"/>
  <c r="C32" i="50"/>
  <c r="D31" i="50"/>
  <c r="C31" i="50"/>
  <c r="D30" i="50"/>
  <c r="C30" i="50"/>
  <c r="D29" i="50"/>
  <c r="C29" i="50"/>
  <c r="D28" i="50"/>
  <c r="C28" i="50"/>
  <c r="D27" i="50"/>
  <c r="C27" i="50"/>
  <c r="D26" i="50"/>
  <c r="C26" i="50"/>
  <c r="D25" i="50"/>
  <c r="C25" i="50"/>
  <c r="D20" i="50"/>
  <c r="C20" i="50"/>
  <c r="D19" i="50"/>
  <c r="C19" i="50"/>
  <c r="D18" i="50"/>
  <c r="C18" i="50"/>
  <c r="D17" i="50"/>
  <c r="C17" i="50"/>
  <c r="D16" i="50"/>
  <c r="C16" i="50"/>
  <c r="D15" i="50"/>
  <c r="C15" i="50"/>
  <c r="D14" i="50"/>
  <c r="C14" i="50"/>
  <c r="D13" i="50"/>
  <c r="C13" i="50"/>
  <c r="D12" i="50"/>
  <c r="C12" i="50"/>
  <c r="D11" i="50"/>
  <c r="C11" i="50"/>
  <c r="D119" i="50" l="1"/>
  <c r="C111" i="50"/>
  <c r="C21" i="50"/>
  <c r="C93" i="50"/>
  <c r="C102" i="50"/>
  <c r="D93" i="50"/>
  <c r="C79" i="50"/>
  <c r="D161" i="50"/>
  <c r="C228" i="50"/>
  <c r="D79" i="50"/>
  <c r="C161" i="50"/>
  <c r="C197" i="50"/>
  <c r="D197" i="50"/>
  <c r="D111" i="50"/>
  <c r="D206" i="50"/>
  <c r="D21" i="50"/>
  <c r="D102" i="50"/>
  <c r="C119" i="50"/>
  <c r="C206" i="50"/>
  <c r="C61" i="50"/>
  <c r="D61" i="50"/>
  <c r="C208" i="50" l="1"/>
  <c r="C212" i="50" s="1"/>
  <c r="D208" i="50"/>
  <c r="D215" i="50" s="1"/>
  <c r="C215" i="50" l="1"/>
  <c r="G244" i="95"/>
  <c r="G243" i="95"/>
  <c r="G242" i="95"/>
  <c r="G241" i="95"/>
  <c r="C238" i="95"/>
  <c r="C237" i="95"/>
  <c r="C236" i="95"/>
  <c r="C235" i="95"/>
  <c r="C233" i="95"/>
  <c r="C232" i="95"/>
  <c r="C231" i="95"/>
  <c r="D228" i="95"/>
  <c r="C227" i="95"/>
  <c r="C226" i="95"/>
  <c r="C225" i="95"/>
  <c r="C224" i="95"/>
  <c r="C223" i="95"/>
  <c r="C222" i="95"/>
  <c r="C221" i="95"/>
  <c r="C220" i="95"/>
  <c r="C219" i="95"/>
  <c r="C211" i="95"/>
  <c r="D205" i="95"/>
  <c r="C205" i="95"/>
  <c r="D204" i="95"/>
  <c r="C204" i="95"/>
  <c r="D203" i="95"/>
  <c r="C203" i="95"/>
  <c r="D202" i="95"/>
  <c r="C202" i="95"/>
  <c r="D201" i="95"/>
  <c r="C201" i="95"/>
  <c r="D200" i="95"/>
  <c r="C200" i="95"/>
  <c r="D196" i="95"/>
  <c r="C196" i="95"/>
  <c r="D195" i="95"/>
  <c r="C195" i="95"/>
  <c r="D194" i="95"/>
  <c r="C194" i="95"/>
  <c r="D193" i="95"/>
  <c r="C193" i="95"/>
  <c r="D192" i="95"/>
  <c r="C192" i="95"/>
  <c r="D191" i="95"/>
  <c r="C191" i="95"/>
  <c r="D190" i="95"/>
  <c r="C190" i="95"/>
  <c r="D189" i="95"/>
  <c r="C189" i="95"/>
  <c r="D188" i="95"/>
  <c r="C188" i="95"/>
  <c r="D187" i="95"/>
  <c r="C187" i="95"/>
  <c r="D186" i="95"/>
  <c r="C186" i="95"/>
  <c r="D185" i="95"/>
  <c r="C185" i="95"/>
  <c r="D184" i="95"/>
  <c r="C184" i="95"/>
  <c r="D183" i="95"/>
  <c r="C183" i="95"/>
  <c r="D182" i="95"/>
  <c r="C182" i="95"/>
  <c r="D181" i="95"/>
  <c r="C181" i="95"/>
  <c r="D180" i="95"/>
  <c r="C180" i="95"/>
  <c r="D179" i="95"/>
  <c r="C179" i="95"/>
  <c r="D178" i="95"/>
  <c r="C178" i="95"/>
  <c r="D177" i="95"/>
  <c r="C177" i="95"/>
  <c r="D176" i="95"/>
  <c r="C176" i="95"/>
  <c r="D175" i="95"/>
  <c r="C175" i="95"/>
  <c r="D174" i="95"/>
  <c r="C174" i="95"/>
  <c r="D173" i="95"/>
  <c r="C173" i="95"/>
  <c r="D172" i="95"/>
  <c r="C172" i="95"/>
  <c r="D171" i="95"/>
  <c r="C171" i="95"/>
  <c r="D170" i="95"/>
  <c r="C170" i="95"/>
  <c r="D169" i="95"/>
  <c r="C169" i="95"/>
  <c r="D168" i="95"/>
  <c r="C168" i="95"/>
  <c r="D167" i="95"/>
  <c r="C167" i="95"/>
  <c r="D166" i="95"/>
  <c r="C166" i="95"/>
  <c r="D165" i="95"/>
  <c r="C165" i="95"/>
  <c r="D164" i="95"/>
  <c r="C164" i="95"/>
  <c r="D160" i="95"/>
  <c r="C160" i="95"/>
  <c r="D159" i="95"/>
  <c r="C159" i="95"/>
  <c r="D158" i="95"/>
  <c r="C158" i="95"/>
  <c r="D157" i="95"/>
  <c r="C157" i="95"/>
  <c r="D156" i="95"/>
  <c r="C156" i="95"/>
  <c r="D155" i="95"/>
  <c r="C155" i="95"/>
  <c r="D153" i="95"/>
  <c r="C153" i="95"/>
  <c r="D152" i="95"/>
  <c r="C152" i="95"/>
  <c r="D151" i="95"/>
  <c r="C151" i="95"/>
  <c r="D150" i="95"/>
  <c r="C150" i="95"/>
  <c r="D149" i="95"/>
  <c r="C149" i="95"/>
  <c r="D148" i="95"/>
  <c r="C148" i="95"/>
  <c r="D147" i="95"/>
  <c r="C147" i="95"/>
  <c r="D146" i="95"/>
  <c r="C146" i="95"/>
  <c r="D145" i="95"/>
  <c r="C145" i="95"/>
  <c r="D143" i="95"/>
  <c r="C143" i="95"/>
  <c r="D142" i="95"/>
  <c r="C142" i="95"/>
  <c r="D141" i="95"/>
  <c r="C141" i="95"/>
  <c r="D140" i="95"/>
  <c r="C140" i="95"/>
  <c r="D138" i="95"/>
  <c r="C138" i="95"/>
  <c r="D137" i="95"/>
  <c r="C137" i="95"/>
  <c r="D136" i="95"/>
  <c r="C136" i="95"/>
  <c r="D135" i="95"/>
  <c r="C135" i="95"/>
  <c r="D133" i="95"/>
  <c r="C133" i="95"/>
  <c r="D132" i="95"/>
  <c r="C132" i="95"/>
  <c r="D131" i="95"/>
  <c r="C131" i="95"/>
  <c r="D130" i="95"/>
  <c r="C130" i="95"/>
  <c r="D129" i="95"/>
  <c r="C129" i="95"/>
  <c r="D127" i="95"/>
  <c r="C127" i="95"/>
  <c r="D126" i="95"/>
  <c r="C126" i="95"/>
  <c r="D125" i="95"/>
  <c r="C125" i="95"/>
  <c r="D124" i="95"/>
  <c r="C124" i="95"/>
  <c r="D123" i="95"/>
  <c r="C123" i="95"/>
  <c r="D118" i="95"/>
  <c r="C118" i="95"/>
  <c r="D117" i="95"/>
  <c r="C117" i="95"/>
  <c r="D116" i="95"/>
  <c r="C116" i="95"/>
  <c r="D115" i="95"/>
  <c r="C115" i="95"/>
  <c r="D114" i="95"/>
  <c r="C114" i="95"/>
  <c r="D110" i="95"/>
  <c r="C110" i="95"/>
  <c r="D109" i="95"/>
  <c r="C109" i="95"/>
  <c r="D108" i="95"/>
  <c r="C108" i="95"/>
  <c r="D107" i="95"/>
  <c r="C107" i="95"/>
  <c r="D106" i="95"/>
  <c r="C106" i="95"/>
  <c r="D105" i="95"/>
  <c r="C105" i="95"/>
  <c r="D101" i="95"/>
  <c r="C101" i="95"/>
  <c r="D100" i="95"/>
  <c r="C100" i="95"/>
  <c r="D99" i="95"/>
  <c r="C99" i="95"/>
  <c r="D98" i="95"/>
  <c r="C98" i="95"/>
  <c r="D97" i="95"/>
  <c r="C97" i="95"/>
  <c r="D96" i="95"/>
  <c r="C96" i="95"/>
  <c r="D92" i="95"/>
  <c r="C92" i="95"/>
  <c r="D91" i="95"/>
  <c r="C91" i="95"/>
  <c r="D90" i="95"/>
  <c r="C90" i="95"/>
  <c r="D89" i="95"/>
  <c r="C89" i="95"/>
  <c r="D88" i="95"/>
  <c r="C88" i="95"/>
  <c r="D87" i="95"/>
  <c r="C87" i="95"/>
  <c r="D86" i="95"/>
  <c r="C86" i="95"/>
  <c r="D85" i="95"/>
  <c r="C85" i="95"/>
  <c r="D84" i="95"/>
  <c r="C84" i="95"/>
  <c r="D83" i="95"/>
  <c r="C83" i="95"/>
  <c r="D82" i="95"/>
  <c r="C82" i="95"/>
  <c r="D78" i="95"/>
  <c r="C78" i="95"/>
  <c r="D77" i="95"/>
  <c r="C77" i="95"/>
  <c r="D76" i="95"/>
  <c r="C76" i="95"/>
  <c r="D75" i="95"/>
  <c r="C75" i="95"/>
  <c r="D74" i="95"/>
  <c r="C74" i="95"/>
  <c r="D73" i="95"/>
  <c r="C73" i="95"/>
  <c r="D72" i="95"/>
  <c r="C72" i="95"/>
  <c r="D71" i="95"/>
  <c r="C71" i="95"/>
  <c r="D70" i="95"/>
  <c r="C70" i="95"/>
  <c r="D69" i="95"/>
  <c r="C69" i="95"/>
  <c r="D68" i="95"/>
  <c r="C68" i="95"/>
  <c r="D67" i="95"/>
  <c r="C67" i="95"/>
  <c r="D66" i="95"/>
  <c r="C66" i="95"/>
  <c r="D65" i="95"/>
  <c r="C65" i="95"/>
  <c r="D64" i="95"/>
  <c r="C64" i="95"/>
  <c r="D60" i="95"/>
  <c r="C60" i="95"/>
  <c r="D59" i="95"/>
  <c r="C59" i="95"/>
  <c r="D58" i="95"/>
  <c r="C58" i="95"/>
  <c r="D57" i="95"/>
  <c r="C57" i="95"/>
  <c r="D56" i="95"/>
  <c r="C56" i="95"/>
  <c r="D55" i="95"/>
  <c r="C55" i="95"/>
  <c r="D54" i="95"/>
  <c r="C54" i="95"/>
  <c r="D53" i="95"/>
  <c r="C53" i="95"/>
  <c r="D52" i="95"/>
  <c r="C52" i="95"/>
  <c r="D51" i="95"/>
  <c r="C51" i="95"/>
  <c r="D50" i="95"/>
  <c r="C50" i="95"/>
  <c r="D49" i="95"/>
  <c r="C49" i="95"/>
  <c r="D48" i="95"/>
  <c r="C48" i="95"/>
  <c r="D47" i="95"/>
  <c r="C47" i="95"/>
  <c r="D46" i="95"/>
  <c r="C46" i="95"/>
  <c r="D45" i="95"/>
  <c r="C45" i="95"/>
  <c r="D44" i="95"/>
  <c r="C44" i="95"/>
  <c r="D43" i="95"/>
  <c r="C43" i="95"/>
  <c r="D42" i="95"/>
  <c r="C42" i="95"/>
  <c r="D41" i="95"/>
  <c r="C41" i="95"/>
  <c r="D40" i="95"/>
  <c r="C40" i="95"/>
  <c r="D39" i="95"/>
  <c r="C39" i="95"/>
  <c r="D38" i="95"/>
  <c r="C38" i="95"/>
  <c r="D37" i="95"/>
  <c r="C37" i="95"/>
  <c r="D36" i="95"/>
  <c r="C36" i="95"/>
  <c r="D35" i="95"/>
  <c r="C35" i="95"/>
  <c r="D34" i="95"/>
  <c r="C34" i="95"/>
  <c r="D33" i="95"/>
  <c r="C33" i="95"/>
  <c r="D32" i="95"/>
  <c r="C32" i="95"/>
  <c r="D31" i="95"/>
  <c r="C31" i="95"/>
  <c r="D30" i="95"/>
  <c r="C30" i="95"/>
  <c r="D29" i="95"/>
  <c r="C29" i="95"/>
  <c r="D28" i="95"/>
  <c r="C28" i="95"/>
  <c r="D27" i="95"/>
  <c r="C27" i="95"/>
  <c r="D26" i="95"/>
  <c r="C26" i="95"/>
  <c r="D25" i="95"/>
  <c r="C25" i="95"/>
  <c r="D20" i="95"/>
  <c r="C20" i="95"/>
  <c r="D19" i="95"/>
  <c r="C19" i="95"/>
  <c r="D18" i="95"/>
  <c r="C18" i="95"/>
  <c r="D17" i="95"/>
  <c r="C17" i="95"/>
  <c r="D16" i="95"/>
  <c r="C16" i="95"/>
  <c r="D15" i="95"/>
  <c r="C15" i="95"/>
  <c r="D14" i="95"/>
  <c r="C14" i="95"/>
  <c r="D13" i="95"/>
  <c r="C13" i="95"/>
  <c r="D12" i="95"/>
  <c r="C12" i="95"/>
  <c r="D11" i="95"/>
  <c r="C11" i="95"/>
  <c r="C93" i="95" l="1"/>
  <c r="D119" i="95"/>
  <c r="C119" i="95"/>
  <c r="D79" i="95"/>
  <c r="C111" i="95"/>
  <c r="C161" i="95"/>
  <c r="D111" i="95"/>
  <c r="D161" i="95"/>
  <c r="C21" i="95"/>
  <c r="C228" i="95"/>
  <c r="D21" i="95"/>
  <c r="C79" i="95"/>
  <c r="D93" i="95"/>
  <c r="C102" i="95"/>
  <c r="C197" i="95"/>
  <c r="C206" i="95"/>
  <c r="D102" i="95"/>
  <c r="D197" i="95"/>
  <c r="D206" i="95"/>
  <c r="C61" i="95"/>
  <c r="D61" i="95"/>
  <c r="C208" i="95" l="1"/>
  <c r="C212" i="95" s="1"/>
  <c r="D208" i="95"/>
  <c r="D215" i="95" s="1"/>
  <c r="C215" i="95" l="1"/>
  <c r="G244" i="89"/>
  <c r="G243" i="89"/>
  <c r="G242" i="89"/>
  <c r="G241" i="89"/>
  <c r="C238" i="89"/>
  <c r="C237" i="89"/>
  <c r="C236" i="89"/>
  <c r="C235" i="89"/>
  <c r="C232" i="89"/>
  <c r="C231" i="89"/>
  <c r="D228" i="89"/>
  <c r="C227" i="89"/>
  <c r="C226" i="89"/>
  <c r="C225" i="89"/>
  <c r="C224" i="89"/>
  <c r="C223" i="89"/>
  <c r="C222" i="89"/>
  <c r="C221" i="89"/>
  <c r="C220" i="89"/>
  <c r="C219" i="89"/>
  <c r="C211" i="89"/>
  <c r="D205" i="89"/>
  <c r="C205" i="89"/>
  <c r="D204" i="89"/>
  <c r="C204" i="89"/>
  <c r="D203" i="89"/>
  <c r="C203" i="89"/>
  <c r="D202" i="89"/>
  <c r="C202" i="89"/>
  <c r="D201" i="89"/>
  <c r="C201" i="89"/>
  <c r="D200" i="89"/>
  <c r="C200" i="89"/>
  <c r="D196" i="89"/>
  <c r="C196" i="89"/>
  <c r="D195" i="89"/>
  <c r="C195" i="89"/>
  <c r="D194" i="89"/>
  <c r="C194" i="89"/>
  <c r="D193" i="89"/>
  <c r="C193" i="89"/>
  <c r="D192" i="89"/>
  <c r="C192" i="89"/>
  <c r="D191" i="89"/>
  <c r="C191" i="89"/>
  <c r="D190" i="89"/>
  <c r="C190" i="89"/>
  <c r="D189" i="89"/>
  <c r="C189" i="89"/>
  <c r="D188" i="89"/>
  <c r="C188" i="89"/>
  <c r="D187" i="89"/>
  <c r="C187" i="89"/>
  <c r="D186" i="89"/>
  <c r="C186" i="89"/>
  <c r="D185" i="89"/>
  <c r="C185" i="89"/>
  <c r="D184" i="89"/>
  <c r="C184" i="89"/>
  <c r="D183" i="89"/>
  <c r="C183" i="89"/>
  <c r="D182" i="89"/>
  <c r="C182" i="89"/>
  <c r="D181" i="89"/>
  <c r="C181" i="89"/>
  <c r="D180" i="89"/>
  <c r="C180" i="89"/>
  <c r="D179" i="89"/>
  <c r="C179" i="89"/>
  <c r="D178" i="89"/>
  <c r="C178" i="89"/>
  <c r="D177" i="89"/>
  <c r="C177" i="89"/>
  <c r="D176" i="89"/>
  <c r="C176" i="89"/>
  <c r="D175" i="89"/>
  <c r="C175" i="89"/>
  <c r="D174" i="89"/>
  <c r="C174" i="89"/>
  <c r="D173" i="89"/>
  <c r="C173" i="89"/>
  <c r="D172" i="89"/>
  <c r="C172" i="89"/>
  <c r="D171" i="89"/>
  <c r="C171" i="89"/>
  <c r="D170" i="89"/>
  <c r="C170" i="89"/>
  <c r="D169" i="89"/>
  <c r="C169" i="89"/>
  <c r="D168" i="89"/>
  <c r="C168" i="89"/>
  <c r="D167" i="89"/>
  <c r="C167" i="89"/>
  <c r="D166" i="89"/>
  <c r="C166" i="89"/>
  <c r="D165" i="89"/>
  <c r="C165" i="89"/>
  <c r="D164" i="89"/>
  <c r="C164" i="89"/>
  <c r="D160" i="89"/>
  <c r="C160" i="89"/>
  <c r="D159" i="89"/>
  <c r="C159" i="89"/>
  <c r="D158" i="89"/>
  <c r="C158" i="89"/>
  <c r="D157" i="89"/>
  <c r="C157" i="89"/>
  <c r="D156" i="89"/>
  <c r="C156" i="89"/>
  <c r="D155" i="89"/>
  <c r="C155" i="89"/>
  <c r="D153" i="89"/>
  <c r="C153" i="89"/>
  <c r="D152" i="89"/>
  <c r="C152" i="89"/>
  <c r="D151" i="89"/>
  <c r="C151" i="89"/>
  <c r="D150" i="89"/>
  <c r="C150" i="89"/>
  <c r="D149" i="89"/>
  <c r="C149" i="89"/>
  <c r="D148" i="89"/>
  <c r="C148" i="89"/>
  <c r="D147" i="89"/>
  <c r="C147" i="89"/>
  <c r="D146" i="89"/>
  <c r="C146" i="89"/>
  <c r="D145" i="89"/>
  <c r="C145" i="89"/>
  <c r="D143" i="89"/>
  <c r="C143" i="89"/>
  <c r="D142" i="89"/>
  <c r="C142" i="89"/>
  <c r="D141" i="89"/>
  <c r="C141" i="89"/>
  <c r="D140" i="89"/>
  <c r="C140" i="89"/>
  <c r="D138" i="89"/>
  <c r="C138" i="89"/>
  <c r="D137" i="89"/>
  <c r="C137" i="89"/>
  <c r="D136" i="89"/>
  <c r="C136" i="89"/>
  <c r="D135" i="89"/>
  <c r="C135" i="89"/>
  <c r="D133" i="89"/>
  <c r="C133" i="89"/>
  <c r="D132" i="89"/>
  <c r="C132" i="89"/>
  <c r="D131" i="89"/>
  <c r="C131" i="89"/>
  <c r="D130" i="89"/>
  <c r="C130" i="89"/>
  <c r="D129" i="89"/>
  <c r="C129" i="89"/>
  <c r="D127" i="89"/>
  <c r="C127" i="89"/>
  <c r="D126" i="89"/>
  <c r="C126" i="89"/>
  <c r="D125" i="89"/>
  <c r="C125" i="89"/>
  <c r="D124" i="89"/>
  <c r="C124" i="89"/>
  <c r="D123" i="89"/>
  <c r="C123" i="89"/>
  <c r="D118" i="89"/>
  <c r="C118" i="89"/>
  <c r="D117" i="89"/>
  <c r="C117" i="89"/>
  <c r="D116" i="89"/>
  <c r="C116" i="89"/>
  <c r="D115" i="89"/>
  <c r="C115" i="89"/>
  <c r="D114" i="89"/>
  <c r="C114" i="89"/>
  <c r="D110" i="89"/>
  <c r="C110" i="89"/>
  <c r="D109" i="89"/>
  <c r="C109" i="89"/>
  <c r="D108" i="89"/>
  <c r="C108" i="89"/>
  <c r="D107" i="89"/>
  <c r="C107" i="89"/>
  <c r="D106" i="89"/>
  <c r="C106" i="89"/>
  <c r="D105" i="89"/>
  <c r="C105" i="89"/>
  <c r="D101" i="89"/>
  <c r="C101" i="89"/>
  <c r="D100" i="89"/>
  <c r="C100" i="89"/>
  <c r="D99" i="89"/>
  <c r="C99" i="89"/>
  <c r="D98" i="89"/>
  <c r="C98" i="89"/>
  <c r="D97" i="89"/>
  <c r="C97" i="89"/>
  <c r="D96" i="89"/>
  <c r="C96" i="89"/>
  <c r="D92" i="89"/>
  <c r="C92" i="89"/>
  <c r="D91" i="89"/>
  <c r="C91" i="89"/>
  <c r="D90" i="89"/>
  <c r="C90" i="89"/>
  <c r="D89" i="89"/>
  <c r="C89" i="89"/>
  <c r="D88" i="89"/>
  <c r="C88" i="89"/>
  <c r="D87" i="89"/>
  <c r="C87" i="89"/>
  <c r="D86" i="89"/>
  <c r="C86" i="89"/>
  <c r="D85" i="89"/>
  <c r="C85" i="89"/>
  <c r="D84" i="89"/>
  <c r="C84" i="89"/>
  <c r="D83" i="89"/>
  <c r="C83" i="89"/>
  <c r="D82" i="89"/>
  <c r="C82" i="89"/>
  <c r="D78" i="89"/>
  <c r="C78" i="89"/>
  <c r="D77" i="89"/>
  <c r="C77" i="89"/>
  <c r="D76" i="89"/>
  <c r="C76" i="89"/>
  <c r="D75" i="89"/>
  <c r="C75" i="89"/>
  <c r="D74" i="89"/>
  <c r="C74" i="89"/>
  <c r="D73" i="89"/>
  <c r="C73" i="89"/>
  <c r="D72" i="89"/>
  <c r="C72" i="89"/>
  <c r="D71" i="89"/>
  <c r="C71" i="89"/>
  <c r="D70" i="89"/>
  <c r="C70" i="89"/>
  <c r="D69" i="89"/>
  <c r="C69" i="89"/>
  <c r="D68" i="89"/>
  <c r="C68" i="89"/>
  <c r="D67" i="89"/>
  <c r="C67" i="89"/>
  <c r="D66" i="89"/>
  <c r="C66" i="89"/>
  <c r="D65" i="89"/>
  <c r="C65" i="89"/>
  <c r="D64" i="89"/>
  <c r="C64" i="89"/>
  <c r="D60" i="89"/>
  <c r="C60" i="89"/>
  <c r="D59" i="89"/>
  <c r="C59" i="89"/>
  <c r="D58" i="89"/>
  <c r="C58" i="89"/>
  <c r="D57" i="89"/>
  <c r="C57" i="89"/>
  <c r="D56" i="89"/>
  <c r="C56" i="89"/>
  <c r="D55" i="89"/>
  <c r="C55" i="89"/>
  <c r="D54" i="89"/>
  <c r="C54" i="89"/>
  <c r="D53" i="89"/>
  <c r="C53" i="89"/>
  <c r="D52" i="89"/>
  <c r="C52" i="89"/>
  <c r="D51" i="89"/>
  <c r="C51" i="89"/>
  <c r="D50" i="89"/>
  <c r="C50" i="89"/>
  <c r="D49" i="89"/>
  <c r="C49" i="89"/>
  <c r="D48" i="89"/>
  <c r="C48" i="89"/>
  <c r="D47" i="89"/>
  <c r="C47" i="89"/>
  <c r="D46" i="89"/>
  <c r="C46" i="89"/>
  <c r="D45" i="89"/>
  <c r="C45" i="89"/>
  <c r="D44" i="89"/>
  <c r="C44" i="89"/>
  <c r="D43" i="89"/>
  <c r="C43" i="89"/>
  <c r="D42" i="89"/>
  <c r="C42" i="89"/>
  <c r="D41" i="89"/>
  <c r="C41" i="89"/>
  <c r="D40" i="89"/>
  <c r="C40" i="89"/>
  <c r="D39" i="89"/>
  <c r="C39" i="89"/>
  <c r="D38" i="89"/>
  <c r="C38" i="89"/>
  <c r="D37" i="89"/>
  <c r="C37" i="89"/>
  <c r="D36" i="89"/>
  <c r="C36" i="89"/>
  <c r="D35" i="89"/>
  <c r="C35" i="89"/>
  <c r="D34" i="89"/>
  <c r="C34" i="89"/>
  <c r="D33" i="89"/>
  <c r="C33" i="89"/>
  <c r="D32" i="89"/>
  <c r="C32" i="89"/>
  <c r="D31" i="89"/>
  <c r="C31" i="89"/>
  <c r="D30" i="89"/>
  <c r="C30" i="89"/>
  <c r="D29" i="89"/>
  <c r="C29" i="89"/>
  <c r="D28" i="89"/>
  <c r="C28" i="89"/>
  <c r="D27" i="89"/>
  <c r="C27" i="89"/>
  <c r="D26" i="89"/>
  <c r="C26" i="89"/>
  <c r="D25" i="89"/>
  <c r="C25" i="89"/>
  <c r="D20" i="89"/>
  <c r="C20" i="89"/>
  <c r="D19" i="89"/>
  <c r="C19" i="89"/>
  <c r="D18" i="89"/>
  <c r="C18" i="89"/>
  <c r="D17" i="89"/>
  <c r="C17" i="89"/>
  <c r="D16" i="89"/>
  <c r="C16" i="89"/>
  <c r="D15" i="89"/>
  <c r="C15" i="89"/>
  <c r="D14" i="89"/>
  <c r="C14" i="89"/>
  <c r="D13" i="89"/>
  <c r="C13" i="89"/>
  <c r="D12" i="89"/>
  <c r="C12" i="89"/>
  <c r="D11" i="89"/>
  <c r="C11" i="89"/>
  <c r="C4" i="89"/>
  <c r="C3" i="89"/>
  <c r="D61" i="89" l="1"/>
  <c r="D111" i="89"/>
  <c r="C233" i="89"/>
  <c r="C111" i="89"/>
  <c r="C228" i="89"/>
  <c r="C93" i="89"/>
  <c r="D21" i="89"/>
  <c r="D102" i="89"/>
  <c r="C79" i="89"/>
  <c r="C119" i="89"/>
  <c r="C161" i="89"/>
  <c r="C21" i="89"/>
  <c r="C102" i="89"/>
  <c r="D93" i="89"/>
  <c r="D79" i="89"/>
  <c r="D119" i="89"/>
  <c r="D161" i="89"/>
  <c r="C197" i="89"/>
  <c r="C206" i="89"/>
  <c r="D197" i="89"/>
  <c r="D206" i="89"/>
  <c r="C61" i="89"/>
  <c r="D208" i="89" l="1"/>
  <c r="D215" i="89" s="1"/>
  <c r="C208" i="89"/>
  <c r="C212" i="89" s="1"/>
  <c r="C215" i="89" l="1"/>
  <c r="E233" i="181"/>
  <c r="G233" i="181" s="1"/>
  <c r="E232" i="181"/>
  <c r="G232" i="181" s="1"/>
  <c r="E231" i="181"/>
  <c r="F228" i="181"/>
  <c r="E227" i="181"/>
  <c r="G227" i="181" s="1"/>
  <c r="E226" i="181"/>
  <c r="G226" i="181" s="1"/>
  <c r="E225" i="181"/>
  <c r="E224" i="181"/>
  <c r="E223" i="181"/>
  <c r="E222" i="181"/>
  <c r="E221" i="181"/>
  <c r="G221" i="181" s="1"/>
  <c r="E220" i="181"/>
  <c r="E219" i="181"/>
  <c r="K208" i="181"/>
  <c r="J208" i="181"/>
  <c r="F206" i="181"/>
  <c r="E205" i="181"/>
  <c r="G205" i="181" s="1"/>
  <c r="E204" i="181"/>
  <c r="E203" i="181"/>
  <c r="E202" i="181"/>
  <c r="G202" i="181" s="1"/>
  <c r="E201" i="181"/>
  <c r="G201" i="181" s="1"/>
  <c r="E200" i="181"/>
  <c r="F197" i="181"/>
  <c r="E196" i="181"/>
  <c r="E195" i="181"/>
  <c r="E194" i="181"/>
  <c r="E193" i="181"/>
  <c r="G193" i="181" s="1"/>
  <c r="E192" i="181"/>
  <c r="E191" i="181"/>
  <c r="E190" i="181"/>
  <c r="G190" i="181" s="1"/>
  <c r="E189" i="181"/>
  <c r="G189" i="181" s="1"/>
  <c r="E188" i="181"/>
  <c r="E187" i="181"/>
  <c r="E186" i="181"/>
  <c r="E185" i="181"/>
  <c r="E184" i="181"/>
  <c r="G184" i="181" s="1"/>
  <c r="E183" i="181"/>
  <c r="E182" i="181"/>
  <c r="E181" i="181"/>
  <c r="E180" i="181"/>
  <c r="G180" i="181" s="1"/>
  <c r="E179" i="181"/>
  <c r="E178" i="181"/>
  <c r="G178" i="181" s="1"/>
  <c r="E177" i="181"/>
  <c r="G177" i="181" s="1"/>
  <c r="E176" i="181"/>
  <c r="E175" i="181"/>
  <c r="E174" i="181"/>
  <c r="E173" i="181"/>
  <c r="E172" i="181"/>
  <c r="E171" i="181"/>
  <c r="E170" i="181"/>
  <c r="E169" i="181"/>
  <c r="G169" i="181" s="1"/>
  <c r="E168" i="181"/>
  <c r="G168" i="181" s="1"/>
  <c r="E167" i="181"/>
  <c r="E166" i="181"/>
  <c r="E165" i="181"/>
  <c r="E164" i="181"/>
  <c r="G164" i="181" s="1"/>
  <c r="F161" i="181"/>
  <c r="E160" i="181"/>
  <c r="E159" i="181"/>
  <c r="E158" i="181"/>
  <c r="E157" i="181"/>
  <c r="G157" i="181" s="1"/>
  <c r="E156" i="181"/>
  <c r="E155" i="181"/>
  <c r="G155" i="181" s="1"/>
  <c r="E153" i="181"/>
  <c r="E152" i="181"/>
  <c r="G152" i="181" s="1"/>
  <c r="E151" i="181"/>
  <c r="E150" i="181"/>
  <c r="E149" i="181"/>
  <c r="E148" i="181"/>
  <c r="E147" i="181"/>
  <c r="G147" i="181" s="1"/>
  <c r="E146" i="181"/>
  <c r="G146" i="181" s="1"/>
  <c r="E145" i="181"/>
  <c r="E143" i="181"/>
  <c r="E142" i="181"/>
  <c r="G142" i="181" s="1"/>
  <c r="E141" i="181"/>
  <c r="G141" i="181" s="1"/>
  <c r="E140" i="181"/>
  <c r="G140" i="181" s="1"/>
  <c r="E138" i="181"/>
  <c r="G138" i="181" s="1"/>
  <c r="E137" i="181"/>
  <c r="E136" i="181"/>
  <c r="G136" i="181" s="1"/>
  <c r="E135" i="181"/>
  <c r="G135" i="181" s="1"/>
  <c r="E133" i="181"/>
  <c r="E132" i="181"/>
  <c r="E131" i="181"/>
  <c r="G131" i="181" s="1"/>
  <c r="E130" i="181"/>
  <c r="E129" i="181"/>
  <c r="E127" i="181"/>
  <c r="E126" i="181"/>
  <c r="E125" i="181"/>
  <c r="E124" i="181"/>
  <c r="E123" i="181"/>
  <c r="F119" i="181"/>
  <c r="E118" i="181"/>
  <c r="E117" i="181"/>
  <c r="G117" i="181" s="1"/>
  <c r="E116" i="181"/>
  <c r="E115" i="181"/>
  <c r="E114" i="181"/>
  <c r="F111" i="181"/>
  <c r="E110" i="181"/>
  <c r="G110" i="181" s="1"/>
  <c r="E109" i="181"/>
  <c r="G109" i="181" s="1"/>
  <c r="E108" i="181"/>
  <c r="G108" i="181" s="1"/>
  <c r="E107" i="181"/>
  <c r="E106" i="181"/>
  <c r="E105" i="181"/>
  <c r="G105" i="181" s="1"/>
  <c r="F102" i="181"/>
  <c r="E101" i="181"/>
  <c r="E100" i="181"/>
  <c r="E99" i="181"/>
  <c r="E98" i="181"/>
  <c r="G98" i="181" s="1"/>
  <c r="E97" i="181"/>
  <c r="E96" i="181"/>
  <c r="G96" i="181" s="1"/>
  <c r="F93" i="181"/>
  <c r="E92" i="181"/>
  <c r="E91" i="181"/>
  <c r="E90" i="181"/>
  <c r="E89" i="181"/>
  <c r="E88" i="181"/>
  <c r="G88" i="181" s="1"/>
  <c r="E87" i="181"/>
  <c r="E86" i="181"/>
  <c r="G86" i="181" s="1"/>
  <c r="E85" i="181"/>
  <c r="G85" i="181" s="1"/>
  <c r="E84" i="181"/>
  <c r="E83" i="181"/>
  <c r="E82" i="181"/>
  <c r="F79" i="181"/>
  <c r="E78" i="181"/>
  <c r="E77" i="181"/>
  <c r="E76" i="181"/>
  <c r="G76" i="181" s="1"/>
  <c r="E75" i="181"/>
  <c r="E74" i="181"/>
  <c r="E73" i="181"/>
  <c r="G73" i="181" s="1"/>
  <c r="E72" i="181"/>
  <c r="E71" i="181"/>
  <c r="E70" i="181"/>
  <c r="E69" i="181"/>
  <c r="E68" i="181"/>
  <c r="E67" i="181"/>
  <c r="E66" i="181"/>
  <c r="G66" i="181" s="1"/>
  <c r="E65" i="181"/>
  <c r="E64" i="181"/>
  <c r="F61" i="181"/>
  <c r="E60" i="181"/>
  <c r="E59" i="181"/>
  <c r="G59" i="181" s="1"/>
  <c r="E58" i="181"/>
  <c r="G58" i="181" s="1"/>
  <c r="E57" i="181"/>
  <c r="G57" i="181" s="1"/>
  <c r="E56" i="181"/>
  <c r="E55" i="181"/>
  <c r="E54" i="181"/>
  <c r="G54" i="181" s="1"/>
  <c r="E53" i="181"/>
  <c r="G53" i="181" s="1"/>
  <c r="E52" i="181"/>
  <c r="E51" i="181"/>
  <c r="E50" i="181"/>
  <c r="E49" i="181"/>
  <c r="E48" i="181"/>
  <c r="E47" i="181"/>
  <c r="E46" i="181"/>
  <c r="E45" i="181"/>
  <c r="E44" i="181"/>
  <c r="E43" i="181"/>
  <c r="E42" i="181"/>
  <c r="E41" i="181"/>
  <c r="E40" i="181"/>
  <c r="G40" i="181" s="1"/>
  <c r="E39" i="181"/>
  <c r="E38" i="181"/>
  <c r="G38" i="181" s="1"/>
  <c r="E37" i="181"/>
  <c r="G37" i="181" s="1"/>
  <c r="E36" i="181"/>
  <c r="G36" i="181" s="1"/>
  <c r="E35" i="181"/>
  <c r="E34" i="181"/>
  <c r="G34" i="181" s="1"/>
  <c r="E33" i="181"/>
  <c r="G33" i="181" s="1"/>
  <c r="E32" i="181"/>
  <c r="G32" i="181" s="1"/>
  <c r="E31" i="181"/>
  <c r="E30" i="181"/>
  <c r="G30" i="181" s="1"/>
  <c r="E29" i="181"/>
  <c r="E28" i="181"/>
  <c r="G28" i="181" s="1"/>
  <c r="E27" i="181"/>
  <c r="E26" i="181"/>
  <c r="E25" i="181"/>
  <c r="F21" i="181"/>
  <c r="E20" i="181"/>
  <c r="E19" i="181"/>
  <c r="G19" i="181" s="1"/>
  <c r="E18" i="181"/>
  <c r="E17" i="181"/>
  <c r="G17" i="181" s="1"/>
  <c r="E16" i="181"/>
  <c r="G16" i="181" s="1"/>
  <c r="E15" i="181"/>
  <c r="G15" i="181" s="1"/>
  <c r="E14" i="181"/>
  <c r="E13" i="181"/>
  <c r="G13" i="181" s="1"/>
  <c r="E12" i="181"/>
  <c r="E11" i="181"/>
  <c r="A1" i="181"/>
  <c r="F208" i="181" l="1"/>
  <c r="K17" i="181"/>
  <c r="K18" i="181"/>
  <c r="G82" i="181"/>
  <c r="G106" i="181"/>
  <c r="G49" i="181"/>
  <c r="G90" i="181"/>
  <c r="G99" i="181"/>
  <c r="G101" i="181"/>
  <c r="G70" i="181"/>
  <c r="G151" i="181"/>
  <c r="G159" i="181"/>
  <c r="G39" i="181"/>
  <c r="G89" i="181"/>
  <c r="G47" i="181"/>
  <c r="G188" i="181"/>
  <c r="G42" i="181"/>
  <c r="G78" i="181"/>
  <c r="G83" i="181"/>
  <c r="G129" i="181"/>
  <c r="G68" i="181"/>
  <c r="G187" i="181"/>
  <c r="G150" i="181"/>
  <c r="G87" i="181"/>
  <c r="G148" i="181"/>
  <c r="G179" i="181"/>
  <c r="G12" i="181"/>
  <c r="G52" i="181"/>
  <c r="G123" i="181"/>
  <c r="G192" i="181"/>
  <c r="G114" i="181"/>
  <c r="G35" i="181"/>
  <c r="G137" i="181"/>
  <c r="G200" i="181"/>
  <c r="G51" i="181"/>
  <c r="G130" i="181"/>
  <c r="G185" i="181"/>
  <c r="G191" i="181"/>
  <c r="G46" i="181"/>
  <c r="G186" i="181"/>
  <c r="G173" i="181"/>
  <c r="G41" i="181"/>
  <c r="G77" i="181"/>
  <c r="G115" i="181"/>
  <c r="G174" i="181"/>
  <c r="G20" i="181"/>
  <c r="G29" i="181"/>
  <c r="G158" i="181"/>
  <c r="G167" i="181"/>
  <c r="G65" i="181"/>
  <c r="G71" i="181"/>
  <c r="G145" i="181"/>
  <c r="E206" i="181"/>
  <c r="G222" i="181"/>
  <c r="G231" i="181"/>
  <c r="G48" i="181"/>
  <c r="G67" i="181"/>
  <c r="G72" i="181"/>
  <c r="G91" i="181"/>
  <c r="G100" i="181"/>
  <c r="G107" i="181"/>
  <c r="G116" i="181"/>
  <c r="G160" i="181"/>
  <c r="G223" i="181"/>
  <c r="G31" i="181"/>
  <c r="G43" i="181"/>
  <c r="G92" i="181"/>
  <c r="G132" i="181"/>
  <c r="G170" i="181"/>
  <c r="G176" i="181"/>
  <c r="G181" i="181"/>
  <c r="G194" i="181"/>
  <c r="G224" i="181"/>
  <c r="G14" i="181"/>
  <c r="G26" i="181"/>
  <c r="G74" i="181"/>
  <c r="G126" i="181"/>
  <c r="G182" i="181"/>
  <c r="G195" i="181"/>
  <c r="G18" i="181"/>
  <c r="G27" i="181"/>
  <c r="G44" i="181"/>
  <c r="G55" i="181"/>
  <c r="G60" i="181"/>
  <c r="G69" i="181"/>
  <c r="G118" i="181"/>
  <c r="G127" i="181"/>
  <c r="G149" i="181"/>
  <c r="G156" i="181"/>
  <c r="G171" i="181"/>
  <c r="G183" i="181"/>
  <c r="G219" i="181"/>
  <c r="G225" i="181"/>
  <c r="G45" i="181"/>
  <c r="G50" i="181"/>
  <c r="G56" i="181"/>
  <c r="G97" i="181"/>
  <c r="E111" i="181"/>
  <c r="G143" i="181"/>
  <c r="G172" i="181"/>
  <c r="G196" i="181"/>
  <c r="G204" i="181"/>
  <c r="G220" i="181"/>
  <c r="G133" i="181"/>
  <c r="G153" i="181"/>
  <c r="G175" i="181"/>
  <c r="G75" i="181"/>
  <c r="G125" i="181"/>
  <c r="G166" i="181"/>
  <c r="G203" i="181"/>
  <c r="E235" i="181"/>
  <c r="E161" i="181"/>
  <c r="G124" i="181"/>
  <c r="E21" i="181"/>
  <c r="G11" i="181"/>
  <c r="E79" i="181"/>
  <c r="E228" i="181"/>
  <c r="G25" i="181"/>
  <c r="G64" i="181"/>
  <c r="E61" i="181"/>
  <c r="G84" i="181"/>
  <c r="E93" i="181"/>
  <c r="E197" i="181"/>
  <c r="G165" i="181"/>
  <c r="E102" i="181"/>
  <c r="E119" i="181"/>
  <c r="F215" i="181" l="1"/>
  <c r="G102" i="181"/>
  <c r="G206" i="181"/>
  <c r="G111" i="181"/>
  <c r="K14" i="181"/>
  <c r="G235" i="181"/>
  <c r="G237" i="181" s="1"/>
  <c r="E208" i="181"/>
  <c r="E237" i="181"/>
  <c r="G228" i="181"/>
  <c r="G119" i="181"/>
  <c r="E236" i="181"/>
  <c r="G197" i="181"/>
  <c r="G79" i="181"/>
  <c r="G161" i="181"/>
  <c r="G93" i="181"/>
  <c r="G61" i="181"/>
  <c r="G21" i="181"/>
  <c r="E11" i="65"/>
  <c r="G11" i="65" s="1"/>
  <c r="E20" i="15"/>
  <c r="E11" i="15"/>
  <c r="E20" i="32"/>
  <c r="E11" i="32"/>
  <c r="H222" i="181" l="1"/>
  <c r="G208" i="181"/>
  <c r="E238" i="181"/>
  <c r="H225" i="181"/>
  <c r="K13" i="181"/>
  <c r="H228" i="181"/>
  <c r="H224" i="181"/>
  <c r="H219" i="181"/>
  <c r="H227" i="181"/>
  <c r="K15" i="181"/>
  <c r="H223" i="181"/>
  <c r="H221" i="181"/>
  <c r="G236" i="181"/>
  <c r="H226" i="181"/>
  <c r="H220" i="181"/>
  <c r="E215" i="181"/>
  <c r="H20" i="181"/>
  <c r="H13" i="181"/>
  <c r="H17" i="181"/>
  <c r="H19" i="181"/>
  <c r="H21" i="181"/>
  <c r="H15" i="181"/>
  <c r="K11" i="181"/>
  <c r="H11" i="181"/>
  <c r="H14" i="181"/>
  <c r="H12" i="181"/>
  <c r="H16" i="181"/>
  <c r="H18" i="181"/>
  <c r="H153" i="181" l="1"/>
  <c r="H98" i="181"/>
  <c r="H169" i="181"/>
  <c r="H158" i="181"/>
  <c r="H38" i="181"/>
  <c r="H101" i="181"/>
  <c r="H117" i="181"/>
  <c r="H82" i="181"/>
  <c r="H31" i="181"/>
  <c r="H132" i="181"/>
  <c r="H91" i="181"/>
  <c r="H46" i="181"/>
  <c r="H39" i="181"/>
  <c r="H165" i="181"/>
  <c r="H30" i="181"/>
  <c r="H70" i="181"/>
  <c r="H176" i="181"/>
  <c r="H196" i="181"/>
  <c r="H181" i="181"/>
  <c r="H34" i="181"/>
  <c r="H178" i="181"/>
  <c r="H125" i="181"/>
  <c r="H72" i="181"/>
  <c r="H180" i="181"/>
  <c r="H55" i="181"/>
  <c r="H33" i="181"/>
  <c r="H76" i="181"/>
  <c r="H69" i="181"/>
  <c r="H156" i="181"/>
  <c r="H175" i="181"/>
  <c r="H185" i="181"/>
  <c r="H110" i="181"/>
  <c r="H114" i="181"/>
  <c r="H161" i="181"/>
  <c r="H75" i="181"/>
  <c r="H42" i="181"/>
  <c r="H92" i="181"/>
  <c r="H99" i="181"/>
  <c r="H88" i="181"/>
  <c r="H54" i="181"/>
  <c r="H182" i="181"/>
  <c r="H66" i="181"/>
  <c r="H166" i="181"/>
  <c r="H53" i="181"/>
  <c r="H60" i="181"/>
  <c r="H28" i="181"/>
  <c r="H174" i="181"/>
  <c r="H168" i="181"/>
  <c r="H184" i="181"/>
  <c r="H85" i="181"/>
  <c r="H26" i="181"/>
  <c r="H118" i="181"/>
  <c r="H187" i="181"/>
  <c r="H87" i="181"/>
  <c r="H177" i="181"/>
  <c r="H83" i="181"/>
  <c r="H173" i="181"/>
  <c r="H77" i="181"/>
  <c r="H170" i="181"/>
  <c r="H51" i="181"/>
  <c r="H123" i="181"/>
  <c r="H45" i="181"/>
  <c r="H97" i="181"/>
  <c r="H115" i="181"/>
  <c r="H100" i="181"/>
  <c r="H146" i="181"/>
  <c r="H191" i="181"/>
  <c r="H71" i="181"/>
  <c r="H183" i="181"/>
  <c r="H141" i="181"/>
  <c r="H107" i="181"/>
  <c r="H195" i="181"/>
  <c r="H106" i="181"/>
  <c r="H137" i="181"/>
  <c r="H136" i="181"/>
  <c r="H29" i="181"/>
  <c r="H151" i="181"/>
  <c r="H129" i="181"/>
  <c r="H124" i="181"/>
  <c r="H116" i="181"/>
  <c r="G215" i="181"/>
  <c r="H127" i="181"/>
  <c r="H131" i="181"/>
  <c r="H27" i="181"/>
  <c r="H155" i="181"/>
  <c r="H203" i="181"/>
  <c r="H192" i="181"/>
  <c r="H74" i="181"/>
  <c r="H48" i="181"/>
  <c r="H208" i="181"/>
  <c r="H130" i="181"/>
  <c r="H135" i="181"/>
  <c r="H126" i="181"/>
  <c r="H160" i="181"/>
  <c r="H167" i="181"/>
  <c r="H119" i="181"/>
  <c r="H35" i="181"/>
  <c r="H111" i="181"/>
  <c r="K12" i="181"/>
  <c r="H86" i="181"/>
  <c r="H102" i="181"/>
  <c r="H164" i="181"/>
  <c r="H56" i="181"/>
  <c r="H148" i="181"/>
  <c r="H61" i="181"/>
  <c r="H143" i="181"/>
  <c r="H49" i="181"/>
  <c r="H140" i="181"/>
  <c r="H206" i="181"/>
  <c r="G238" i="181"/>
  <c r="H90" i="181"/>
  <c r="H73" i="181"/>
  <c r="H52" i="181"/>
  <c r="H65" i="181"/>
  <c r="H202" i="181"/>
  <c r="H193" i="181"/>
  <c r="H189" i="181"/>
  <c r="H186" i="181"/>
  <c r="H44" i="181"/>
  <c r="H89" i="181"/>
  <c r="H201" i="181"/>
  <c r="H93" i="181"/>
  <c r="H79" i="181"/>
  <c r="H59" i="181"/>
  <c r="H190" i="181"/>
  <c r="H67" i="181"/>
  <c r="H40" i="181"/>
  <c r="H204" i="181"/>
  <c r="H200" i="181"/>
  <c r="H194" i="181"/>
  <c r="H197" i="181"/>
  <c r="H109" i="181"/>
  <c r="H145" i="181"/>
  <c r="H105" i="181"/>
  <c r="H78" i="181"/>
  <c r="H84" i="181"/>
  <c r="H159" i="181"/>
  <c r="H138" i="181"/>
  <c r="H133" i="181"/>
  <c r="H41" i="181"/>
  <c r="H205" i="181"/>
  <c r="H32" i="181"/>
  <c r="H179" i="181"/>
  <c r="H36" i="181"/>
  <c r="H37" i="181"/>
  <c r="H58" i="181"/>
  <c r="H50" i="181"/>
  <c r="H150" i="181"/>
  <c r="H43" i="181"/>
  <c r="H172" i="181"/>
  <c r="H188" i="181"/>
  <c r="H142" i="181"/>
  <c r="H47" i="181"/>
  <c r="H147" i="181"/>
  <c r="H25" i="181"/>
  <c r="H96" i="181"/>
  <c r="H108" i="181"/>
  <c r="H171" i="181"/>
  <c r="H68" i="181"/>
  <c r="H157" i="181"/>
  <c r="H64" i="181"/>
  <c r="H152" i="181"/>
  <c r="H57" i="181"/>
  <c r="H149" i="181"/>
  <c r="A1" i="106"/>
  <c r="A1" i="104"/>
  <c r="A1" i="54"/>
  <c r="A1" i="94"/>
  <c r="A1" i="145"/>
  <c r="A1" i="33"/>
  <c r="A1" i="177"/>
  <c r="A1" i="164"/>
  <c r="A1" i="19"/>
  <c r="A1" i="15"/>
  <c r="A1" i="178"/>
  <c r="A1" i="150"/>
  <c r="A1" i="68"/>
  <c r="A1" i="66"/>
  <c r="A1" i="63"/>
  <c r="A1" i="62"/>
  <c r="A1" i="58"/>
  <c r="A1" i="136"/>
  <c r="A1" i="174"/>
  <c r="A1" i="53"/>
  <c r="A1" i="98"/>
  <c r="A1" i="49"/>
  <c r="A1" i="83"/>
  <c r="A1" i="47"/>
  <c r="A1" i="46"/>
  <c r="A1" i="102"/>
  <c r="A1" i="45"/>
  <c r="A1" i="43"/>
  <c r="A1" i="175"/>
  <c r="A1" i="57"/>
  <c r="A1" i="84"/>
  <c r="A1" i="167"/>
  <c r="A1" i="39"/>
  <c r="A1" i="135"/>
  <c r="A1" i="38"/>
  <c r="A1" i="133"/>
  <c r="A1" i="152"/>
  <c r="A1" i="120"/>
  <c r="A1" i="37"/>
  <c r="A1" i="90"/>
  <c r="A1" i="24"/>
  <c r="A1" i="141"/>
  <c r="A1" i="32"/>
  <c r="A1" i="79"/>
  <c r="A1" i="31"/>
  <c r="A1" i="64"/>
  <c r="A1" i="113"/>
  <c r="A1" i="72"/>
  <c r="A1" i="28"/>
  <c r="A1" i="65"/>
  <c r="A1" i="119"/>
  <c r="A1" i="25"/>
  <c r="A1" i="155"/>
  <c r="A1" i="156"/>
  <c r="A1" i="20"/>
  <c r="A1" i="42"/>
  <c r="A1" i="157"/>
  <c r="A1" i="159"/>
  <c r="A1" i="158"/>
  <c r="A1" i="16"/>
  <c r="A1" i="27"/>
  <c r="A1" i="111"/>
  <c r="A1" i="71"/>
  <c r="A1" i="165"/>
  <c r="A1" i="55"/>
  <c r="A1" i="21"/>
  <c r="A1" i="14"/>
  <c r="A1" i="85"/>
  <c r="A1" i="149"/>
  <c r="A1" i="172"/>
  <c r="A1" i="176"/>
  <c r="A1" i="143"/>
  <c r="A1" i="10"/>
  <c r="A1" i="87"/>
  <c r="A1" i="86"/>
  <c r="A1" i="89"/>
  <c r="A1" i="69"/>
  <c r="A1" i="142"/>
  <c r="A1" i="92"/>
  <c r="A1" i="1"/>
  <c r="A1" i="50"/>
  <c r="A1" i="95"/>
  <c r="A1" i="97"/>
  <c r="A1" i="60"/>
  <c r="A1" i="118"/>
  <c r="M203" i="97"/>
  <c r="L203" i="97"/>
  <c r="M177" i="97"/>
  <c r="L177" i="97"/>
  <c r="M175" i="97"/>
  <c r="L175" i="97"/>
  <c r="M173" i="97"/>
  <c r="L173" i="97"/>
  <c r="M171" i="97"/>
  <c r="L171" i="97"/>
  <c r="M169" i="97"/>
  <c r="L169" i="97"/>
  <c r="M167" i="97"/>
  <c r="L167" i="97"/>
  <c r="M152" i="97"/>
  <c r="L152" i="97"/>
  <c r="M151" i="97"/>
  <c r="L151" i="97"/>
  <c r="M150" i="97"/>
  <c r="L150" i="97"/>
  <c r="M149" i="97"/>
  <c r="L149" i="97"/>
  <c r="M148" i="97"/>
  <c r="L148" i="97"/>
  <c r="M141" i="97"/>
  <c r="L141" i="97"/>
  <c r="M140" i="97"/>
  <c r="L140" i="97"/>
  <c r="M139" i="97"/>
  <c r="L139" i="97"/>
  <c r="M138" i="97"/>
  <c r="L138" i="97"/>
  <c r="M130" i="97"/>
  <c r="L130" i="97"/>
  <c r="M129" i="97"/>
  <c r="L129" i="97"/>
  <c r="M128" i="97"/>
  <c r="L128" i="97"/>
  <c r="M127" i="97"/>
  <c r="L127" i="97"/>
  <c r="M126" i="97"/>
  <c r="L126" i="97"/>
  <c r="M117" i="97"/>
  <c r="L117" i="97"/>
  <c r="M108" i="97"/>
  <c r="L108" i="97"/>
  <c r="M99" i="97"/>
  <c r="L99" i="97"/>
  <c r="M85" i="97"/>
  <c r="L85" i="97"/>
  <c r="M54" i="97"/>
  <c r="L54" i="97"/>
  <c r="M30" i="97"/>
  <c r="L30" i="97"/>
  <c r="M29" i="97"/>
  <c r="L29" i="97"/>
  <c r="M28" i="97"/>
  <c r="L28" i="97"/>
  <c r="F235" i="97"/>
  <c r="D235" i="97"/>
  <c r="F234" i="97"/>
  <c r="D234" i="97"/>
  <c r="F230" i="97"/>
  <c r="D230" i="97"/>
  <c r="F229" i="97"/>
  <c r="D229" i="97"/>
  <c r="F228" i="97"/>
  <c r="D228" i="97"/>
  <c r="F227" i="97"/>
  <c r="D227" i="97"/>
  <c r="F226" i="97"/>
  <c r="D226" i="97"/>
  <c r="F225" i="97"/>
  <c r="D225" i="97"/>
  <c r="F224" i="97"/>
  <c r="D224" i="97"/>
  <c r="F223" i="97"/>
  <c r="D223" i="97"/>
  <c r="F222" i="97"/>
  <c r="D222" i="97"/>
  <c r="F199" i="97"/>
  <c r="F198" i="97"/>
  <c r="F197" i="97"/>
  <c r="F196" i="97"/>
  <c r="F195" i="97"/>
  <c r="F194" i="97"/>
  <c r="F193" i="97"/>
  <c r="F192" i="97"/>
  <c r="F191" i="97"/>
  <c r="F190" i="97"/>
  <c r="F189" i="97"/>
  <c r="F188" i="97"/>
  <c r="F187" i="97"/>
  <c r="F186" i="97"/>
  <c r="F185" i="97"/>
  <c r="F184" i="97"/>
  <c r="F183" i="97"/>
  <c r="F182" i="97"/>
  <c r="F181" i="97"/>
  <c r="F180" i="97"/>
  <c r="F179" i="97"/>
  <c r="F178" i="97"/>
  <c r="F177" i="97"/>
  <c r="F176" i="97"/>
  <c r="F175" i="97"/>
  <c r="F174" i="97"/>
  <c r="F173" i="97"/>
  <c r="F172" i="97"/>
  <c r="F171" i="97"/>
  <c r="F170" i="97"/>
  <c r="F169" i="97"/>
  <c r="F168" i="97"/>
  <c r="F167" i="97"/>
  <c r="F163" i="97"/>
  <c r="F162" i="97"/>
  <c r="F161" i="97"/>
  <c r="F160" i="97"/>
  <c r="F159" i="97"/>
  <c r="F158" i="97"/>
  <c r="F156" i="97"/>
  <c r="F155" i="97"/>
  <c r="F154" i="97"/>
  <c r="F153" i="97"/>
  <c r="F152" i="97"/>
  <c r="F151" i="97"/>
  <c r="F150" i="97"/>
  <c r="F149" i="97"/>
  <c r="F148" i="97"/>
  <c r="F146" i="97"/>
  <c r="F145" i="97"/>
  <c r="F144" i="97"/>
  <c r="F143" i="97"/>
  <c r="F141" i="97"/>
  <c r="F140" i="97"/>
  <c r="F139" i="97"/>
  <c r="F138" i="97"/>
  <c r="F136" i="97"/>
  <c r="F135" i="97"/>
  <c r="F134" i="97"/>
  <c r="F133" i="97"/>
  <c r="F132" i="97"/>
  <c r="F130" i="97"/>
  <c r="F129" i="97"/>
  <c r="F128" i="97"/>
  <c r="F127" i="97"/>
  <c r="F126" i="97"/>
  <c r="F121" i="97"/>
  <c r="F120" i="97"/>
  <c r="F119" i="97"/>
  <c r="F118" i="97"/>
  <c r="F117" i="97"/>
  <c r="F113" i="97"/>
  <c r="F112" i="97"/>
  <c r="F111" i="97"/>
  <c r="F110" i="97"/>
  <c r="F109" i="97"/>
  <c r="F108" i="97"/>
  <c r="F104" i="97"/>
  <c r="F103" i="97"/>
  <c r="F102" i="97"/>
  <c r="F101" i="97"/>
  <c r="F100" i="97"/>
  <c r="F99" i="97"/>
  <c r="F95" i="97"/>
  <c r="F94" i="97"/>
  <c r="F93" i="97"/>
  <c r="F92" i="97"/>
  <c r="F91" i="97"/>
  <c r="F90" i="97"/>
  <c r="F89" i="97"/>
  <c r="F88" i="97"/>
  <c r="F87" i="97"/>
  <c r="F86" i="97"/>
  <c r="F85" i="97"/>
  <c r="F81" i="97"/>
  <c r="F80" i="97"/>
  <c r="F79" i="97"/>
  <c r="F78" i="97"/>
  <c r="F77" i="97"/>
  <c r="F76" i="97"/>
  <c r="F75" i="97"/>
  <c r="F74" i="97"/>
  <c r="F73" i="97"/>
  <c r="F72" i="97"/>
  <c r="F71" i="97"/>
  <c r="F70" i="97"/>
  <c r="F69" i="97"/>
  <c r="F68" i="97"/>
  <c r="F67" i="97"/>
  <c r="F62" i="97"/>
  <c r="F61" i="97"/>
  <c r="F60" i="97"/>
  <c r="F59" i="97"/>
  <c r="F58" i="97"/>
  <c r="F57" i="97"/>
  <c r="F56" i="97"/>
  <c r="F55" i="97"/>
  <c r="F54" i="97"/>
  <c r="F53" i="97"/>
  <c r="F52" i="97"/>
  <c r="F51" i="97"/>
  <c r="F50" i="97"/>
  <c r="F49" i="97"/>
  <c r="F48" i="97"/>
  <c r="F47" i="97"/>
  <c r="F46" i="97"/>
  <c r="F45" i="97"/>
  <c r="F44" i="97"/>
  <c r="F43" i="97"/>
  <c r="F42" i="97"/>
  <c r="F41" i="97"/>
  <c r="F40" i="97"/>
  <c r="F39" i="97"/>
  <c r="F38" i="97"/>
  <c r="F37" i="97"/>
  <c r="F36" i="97"/>
  <c r="F35" i="97"/>
  <c r="F34" i="97"/>
  <c r="F33" i="97"/>
  <c r="F32" i="97"/>
  <c r="F31" i="97"/>
  <c r="F30" i="97"/>
  <c r="F29" i="97"/>
  <c r="F28" i="97"/>
  <c r="F23" i="97"/>
  <c r="F22" i="97"/>
  <c r="F21" i="97"/>
  <c r="F20" i="97"/>
  <c r="F19" i="97"/>
  <c r="F18" i="97"/>
  <c r="F17" i="97"/>
  <c r="F16" i="97"/>
  <c r="F15" i="97"/>
  <c r="F14" i="97"/>
  <c r="E233" i="180" l="1"/>
  <c r="F228" i="180"/>
  <c r="K208" i="180"/>
  <c r="J208" i="180"/>
  <c r="F206" i="180"/>
  <c r="F197" i="180"/>
  <c r="F161" i="180"/>
  <c r="F119" i="180"/>
  <c r="F111" i="180"/>
  <c r="F102" i="180"/>
  <c r="F93" i="180"/>
  <c r="F79" i="180"/>
  <c r="F61" i="180"/>
  <c r="F21" i="180"/>
  <c r="G233" i="180" l="1"/>
  <c r="K17" i="180"/>
  <c r="K18" i="180"/>
  <c r="F208" i="180"/>
  <c r="F215" i="180" s="1"/>
  <c r="E221" i="180"/>
  <c r="G221" i="180" s="1"/>
  <c r="E223" i="180"/>
  <c r="E224" i="180"/>
  <c r="G224" i="180" s="1"/>
  <c r="E53" i="180"/>
  <c r="E135" i="180"/>
  <c r="E145" i="180"/>
  <c r="E17" i="180"/>
  <c r="G17" i="180" s="1"/>
  <c r="E118" i="180"/>
  <c r="G118" i="180" s="1"/>
  <c r="E169" i="180"/>
  <c r="E173" i="180"/>
  <c r="E106" i="180"/>
  <c r="E110" i="180"/>
  <c r="E179" i="180"/>
  <c r="E44" i="180"/>
  <c r="E109" i="180"/>
  <c r="E96" i="180"/>
  <c r="E64" i="180"/>
  <c r="E65" i="180"/>
  <c r="E136" i="180"/>
  <c r="E92" i="180"/>
  <c r="E153" i="180"/>
  <c r="E164" i="180"/>
  <c r="E51" i="180"/>
  <c r="E143" i="180"/>
  <c r="E86" i="180"/>
  <c r="E132" i="180"/>
  <c r="E177" i="180"/>
  <c r="E181" i="180"/>
  <c r="E31" i="180"/>
  <c r="E71" i="180"/>
  <c r="E232" i="180"/>
  <c r="E32" i="180"/>
  <c r="E43" i="180"/>
  <c r="E100" i="180"/>
  <c r="G100" i="180" s="1"/>
  <c r="E48" i="180"/>
  <c r="E59" i="180"/>
  <c r="E69" i="180"/>
  <c r="E183" i="180"/>
  <c r="E202" i="180"/>
  <c r="E16" i="180"/>
  <c r="E19" i="180"/>
  <c r="E49" i="180"/>
  <c r="E70" i="180"/>
  <c r="E133" i="180"/>
  <c r="E176" i="180"/>
  <c r="E191" i="180"/>
  <c r="E28" i="180"/>
  <c r="E147" i="180"/>
  <c r="E159" i="180"/>
  <c r="E193" i="180"/>
  <c r="E18" i="180"/>
  <c r="E60" i="180"/>
  <c r="E73" i="180"/>
  <c r="E77" i="180"/>
  <c r="E156" i="180"/>
  <c r="E190" i="180"/>
  <c r="E12" i="180"/>
  <c r="E36" i="180"/>
  <c r="E47" i="180"/>
  <c r="E50" i="180"/>
  <c r="E66" i="180"/>
  <c r="E117" i="180"/>
  <c r="E124" i="180"/>
  <c r="E152" i="180"/>
  <c r="E180" i="180"/>
  <c r="E187" i="180"/>
  <c r="E225" i="180"/>
  <c r="E39" i="180"/>
  <c r="E151" i="180"/>
  <c r="E91" i="180"/>
  <c r="E129" i="180"/>
  <c r="E141" i="180"/>
  <c r="E184" i="180"/>
  <c r="E204" i="180"/>
  <c r="E226" i="180"/>
  <c r="E30" i="180"/>
  <c r="E41" i="180"/>
  <c r="E88" i="180"/>
  <c r="E125" i="180"/>
  <c r="E195" i="180"/>
  <c r="E201" i="180"/>
  <c r="E26" i="180"/>
  <c r="E58" i="180"/>
  <c r="E75" i="180"/>
  <c r="E78" i="180"/>
  <c r="E84" i="180"/>
  <c r="E98" i="180"/>
  <c r="E142" i="180"/>
  <c r="E149" i="180"/>
  <c r="E158" i="180"/>
  <c r="E185" i="180"/>
  <c r="E189" i="180"/>
  <c r="E90" i="180"/>
  <c r="E97" i="180"/>
  <c r="E14" i="180"/>
  <c r="E45" i="180"/>
  <c r="E55" i="180"/>
  <c r="E146" i="180"/>
  <c r="E33" i="180"/>
  <c r="E170" i="180"/>
  <c r="E38" i="180"/>
  <c r="E68" i="180"/>
  <c r="E34" i="180"/>
  <c r="E99" i="180"/>
  <c r="E116" i="180"/>
  <c r="E131" i="180"/>
  <c r="E165" i="180"/>
  <c r="E168" i="180"/>
  <c r="E172" i="180"/>
  <c r="E182" i="180"/>
  <c r="E222" i="180"/>
  <c r="E42" i="180"/>
  <c r="E46" i="180"/>
  <c r="E52" i="180"/>
  <c r="E83" i="180"/>
  <c r="E108" i="180"/>
  <c r="E127" i="180"/>
  <c r="E150" i="180"/>
  <c r="E175" i="180"/>
  <c r="E192" i="180"/>
  <c r="E220" i="180"/>
  <c r="E15" i="180"/>
  <c r="E27" i="180"/>
  <c r="E37" i="180"/>
  <c r="E40" i="180"/>
  <c r="E67" i="180"/>
  <c r="E74" i="180"/>
  <c r="E87" i="180"/>
  <c r="E115" i="180"/>
  <c r="E140" i="180"/>
  <c r="E160" i="180"/>
  <c r="E166" i="180"/>
  <c r="E196" i="180"/>
  <c r="E227" i="180"/>
  <c r="E130" i="180"/>
  <c r="E148" i="180"/>
  <c r="E167" i="180"/>
  <c r="E174" i="180"/>
  <c r="E188" i="180"/>
  <c r="E231" i="180"/>
  <c r="E13" i="180"/>
  <c r="E29" i="180"/>
  <c r="E35" i="180"/>
  <c r="E57" i="180"/>
  <c r="E72" i="180"/>
  <c r="E76" i="180"/>
  <c r="E85" i="180"/>
  <c r="E89" i="180"/>
  <c r="E126" i="180"/>
  <c r="E137" i="180"/>
  <c r="E155" i="180"/>
  <c r="E171" i="180"/>
  <c r="E203" i="180"/>
  <c r="E20" i="180"/>
  <c r="E25" i="180"/>
  <c r="E114" i="180"/>
  <c r="E123" i="180"/>
  <c r="E54" i="180"/>
  <c r="E82" i="180"/>
  <c r="E219" i="180"/>
  <c r="E186" i="180"/>
  <c r="E56" i="180"/>
  <c r="E200" i="180"/>
  <c r="E101" i="180"/>
  <c r="E107" i="180"/>
  <c r="E138" i="180"/>
  <c r="E157" i="180"/>
  <c r="E178" i="180"/>
  <c r="E194" i="180"/>
  <c r="E11" i="180"/>
  <c r="E205" i="180"/>
  <c r="E105" i="180"/>
  <c r="G145" i="180" l="1"/>
  <c r="G169" i="180"/>
  <c r="G135" i="180"/>
  <c r="G110" i="180"/>
  <c r="G223" i="180"/>
  <c r="G92" i="180"/>
  <c r="G69" i="180"/>
  <c r="G71" i="180"/>
  <c r="G86" i="180"/>
  <c r="G136" i="180"/>
  <c r="G59" i="180"/>
  <c r="G65" i="180"/>
  <c r="G173" i="180"/>
  <c r="G109" i="180"/>
  <c r="G106" i="180"/>
  <c r="G53" i="180"/>
  <c r="G202" i="180"/>
  <c r="G43" i="180"/>
  <c r="G181" i="180"/>
  <c r="G44" i="180"/>
  <c r="G32" i="180"/>
  <c r="G177" i="180"/>
  <c r="G153" i="180"/>
  <c r="G179" i="180"/>
  <c r="G164" i="180"/>
  <c r="G132" i="180"/>
  <c r="G51" i="180"/>
  <c r="G96" i="180"/>
  <c r="G176" i="180"/>
  <c r="G64" i="180"/>
  <c r="G191" i="180"/>
  <c r="G19" i="180"/>
  <c r="G31" i="180"/>
  <c r="G143" i="180"/>
  <c r="G48" i="180"/>
  <c r="G133" i="180"/>
  <c r="G183" i="180"/>
  <c r="G70" i="180"/>
  <c r="G49" i="180"/>
  <c r="G16" i="180"/>
  <c r="G232" i="180"/>
  <c r="G54" i="180"/>
  <c r="G76" i="180"/>
  <c r="G174" i="180"/>
  <c r="G160" i="180"/>
  <c r="G46" i="180"/>
  <c r="G33" i="180"/>
  <c r="G158" i="180"/>
  <c r="G18" i="180"/>
  <c r="G137" i="180"/>
  <c r="G167" i="180"/>
  <c r="G74" i="180"/>
  <c r="G89" i="180"/>
  <c r="G196" i="180"/>
  <c r="G27" i="180"/>
  <c r="G131" i="180"/>
  <c r="G170" i="180"/>
  <c r="G180" i="180"/>
  <c r="G194" i="180"/>
  <c r="G56" i="180"/>
  <c r="G20" i="180"/>
  <c r="G29" i="180"/>
  <c r="G130" i="180"/>
  <c r="G52" i="180"/>
  <c r="G182" i="180"/>
  <c r="G116" i="180"/>
  <c r="G90" i="180"/>
  <c r="G39" i="180"/>
  <c r="G152" i="180"/>
  <c r="G190" i="180"/>
  <c r="G159" i="180"/>
  <c r="G172" i="180"/>
  <c r="G147" i="180"/>
  <c r="G231" i="180"/>
  <c r="G220" i="180"/>
  <c r="G205" i="180"/>
  <c r="G148" i="180"/>
  <c r="G203" i="180"/>
  <c r="G35" i="180"/>
  <c r="G150" i="180"/>
  <c r="G68" i="180"/>
  <c r="G75" i="180"/>
  <c r="G41" i="180"/>
  <c r="G226" i="180"/>
  <c r="G117" i="180"/>
  <c r="G60" i="180"/>
  <c r="G178" i="180"/>
  <c r="G171" i="180"/>
  <c r="G85" i="180"/>
  <c r="G13" i="180"/>
  <c r="G166" i="180"/>
  <c r="G87" i="180"/>
  <c r="G15" i="180"/>
  <c r="G127" i="180"/>
  <c r="G55" i="180"/>
  <c r="G185" i="180"/>
  <c r="G142" i="180"/>
  <c r="G58" i="180"/>
  <c r="G195" i="180"/>
  <c r="G141" i="180"/>
  <c r="G47" i="180"/>
  <c r="G186" i="180"/>
  <c r="G38" i="180"/>
  <c r="G98" i="180"/>
  <c r="G30" i="180"/>
  <c r="G138" i="180"/>
  <c r="G140" i="180"/>
  <c r="G42" i="180"/>
  <c r="G99" i="180"/>
  <c r="G97" i="180"/>
  <c r="G125" i="180"/>
  <c r="G204" i="180"/>
  <c r="G129" i="180"/>
  <c r="G66" i="180"/>
  <c r="G36" i="180"/>
  <c r="G107" i="180"/>
  <c r="E235" i="180"/>
  <c r="G72" i="180"/>
  <c r="G188" i="180"/>
  <c r="G67" i="180"/>
  <c r="G108" i="180"/>
  <c r="G146" i="180"/>
  <c r="G45" i="180"/>
  <c r="G84" i="180"/>
  <c r="G225" i="180"/>
  <c r="G124" i="180"/>
  <c r="G77" i="180"/>
  <c r="G28" i="180"/>
  <c r="E79" i="180"/>
  <c r="G126" i="180"/>
  <c r="G57" i="180"/>
  <c r="G227" i="180"/>
  <c r="G115" i="180"/>
  <c r="G40" i="180"/>
  <c r="G192" i="180"/>
  <c r="G165" i="180"/>
  <c r="G34" i="180"/>
  <c r="G149" i="180"/>
  <c r="G78" i="180"/>
  <c r="G184" i="180"/>
  <c r="G91" i="180"/>
  <c r="G187" i="180"/>
  <c r="G12" i="180"/>
  <c r="G73" i="180"/>
  <c r="G157" i="180"/>
  <c r="G155" i="180"/>
  <c r="G26" i="180"/>
  <c r="G156" i="180"/>
  <c r="G168" i="180"/>
  <c r="G37" i="180"/>
  <c r="G175" i="180"/>
  <c r="G83" i="180"/>
  <c r="G222" i="180"/>
  <c r="G14" i="180"/>
  <c r="G189" i="180"/>
  <c r="G201" i="180"/>
  <c r="G88" i="180"/>
  <c r="G151" i="180"/>
  <c r="G50" i="180"/>
  <c r="G193" i="180"/>
  <c r="E197" i="180"/>
  <c r="G101" i="180"/>
  <c r="E102" i="180"/>
  <c r="G11" i="180"/>
  <c r="E21" i="180"/>
  <c r="E61" i="180"/>
  <c r="G25" i="180"/>
  <c r="E119" i="180"/>
  <c r="G114" i="180"/>
  <c r="G105" i="180"/>
  <c r="E111" i="180"/>
  <c r="E206" i="180"/>
  <c r="G200" i="180"/>
  <c r="G123" i="180"/>
  <c r="E161" i="180"/>
  <c r="E228" i="180"/>
  <c r="G219" i="180"/>
  <c r="E93" i="180"/>
  <c r="G82" i="180"/>
  <c r="E237" i="180" l="1"/>
  <c r="K14" i="180"/>
  <c r="G197" i="180"/>
  <c r="E236" i="180"/>
  <c r="G235" i="180"/>
  <c r="G79" i="180"/>
  <c r="E208" i="180"/>
  <c r="G228" i="180"/>
  <c r="G206" i="180"/>
  <c r="G111" i="180"/>
  <c r="G119" i="180"/>
  <c r="G21" i="180"/>
  <c r="G61" i="180"/>
  <c r="G102" i="180"/>
  <c r="G93" i="180"/>
  <c r="G161" i="180"/>
  <c r="E215" i="180" l="1"/>
  <c r="K15" i="180"/>
  <c r="E238" i="180"/>
  <c r="G237" i="180"/>
  <c r="G208" i="180"/>
  <c r="H19" i="180"/>
  <c r="H18" i="180"/>
  <c r="H17" i="180"/>
  <c r="H20" i="180"/>
  <c r="H21" i="180"/>
  <c r="H16" i="180"/>
  <c r="H12" i="180"/>
  <c r="H13" i="180"/>
  <c r="K11" i="180"/>
  <c r="H11" i="180"/>
  <c r="H14" i="180"/>
  <c r="H15" i="180"/>
  <c r="H228" i="180"/>
  <c r="H226" i="180"/>
  <c r="H223" i="180"/>
  <c r="G236" i="180"/>
  <c r="H222" i="180"/>
  <c r="H219" i="180"/>
  <c r="H225" i="180"/>
  <c r="H220" i="180"/>
  <c r="H227" i="180"/>
  <c r="K13" i="180"/>
  <c r="H224" i="180"/>
  <c r="H221" i="180"/>
  <c r="G215" i="180" l="1"/>
  <c r="G238" i="180"/>
  <c r="H206" i="180"/>
  <c r="H205" i="180"/>
  <c r="H194" i="180"/>
  <c r="H186" i="180"/>
  <c r="H178" i="180"/>
  <c r="H171" i="180"/>
  <c r="H157" i="180"/>
  <c r="H148" i="180"/>
  <c r="H138" i="180"/>
  <c r="H129" i="180"/>
  <c r="H107" i="180"/>
  <c r="H102" i="180"/>
  <c r="H101" i="180"/>
  <c r="H87" i="180"/>
  <c r="H76" i="180"/>
  <c r="H68" i="180"/>
  <c r="H54" i="180"/>
  <c r="H46" i="180"/>
  <c r="H38" i="180"/>
  <c r="H195" i="180"/>
  <c r="H187" i="180"/>
  <c r="H179" i="180"/>
  <c r="H172" i="180"/>
  <c r="H164" i="180"/>
  <c r="H158" i="180"/>
  <c r="H149" i="180"/>
  <c r="H140" i="180"/>
  <c r="H130" i="180"/>
  <c r="H114" i="180"/>
  <c r="H108" i="180"/>
  <c r="H88" i="180"/>
  <c r="H77" i="180"/>
  <c r="H69" i="180"/>
  <c r="H55" i="180"/>
  <c r="H47" i="180"/>
  <c r="H39" i="180"/>
  <c r="H197" i="180"/>
  <c r="H196" i="180"/>
  <c r="H188" i="180"/>
  <c r="H180" i="180"/>
  <c r="H173" i="180"/>
  <c r="H165" i="180"/>
  <c r="H159" i="180"/>
  <c r="H150" i="180"/>
  <c r="H141" i="180"/>
  <c r="H131" i="180"/>
  <c r="H115" i="180"/>
  <c r="H109" i="180"/>
  <c r="H89" i="180"/>
  <c r="H79" i="180"/>
  <c r="H78" i="180"/>
  <c r="H70" i="180"/>
  <c r="H56" i="180"/>
  <c r="H48" i="180"/>
  <c r="H40" i="180"/>
  <c r="H203" i="180"/>
  <c r="H191" i="180"/>
  <c r="H175" i="180"/>
  <c r="H153" i="180"/>
  <c r="H135" i="180"/>
  <c r="H119" i="180"/>
  <c r="H98" i="180"/>
  <c r="H91" i="180"/>
  <c r="H67" i="180"/>
  <c r="H60" i="180"/>
  <c r="H53" i="180"/>
  <c r="H49" i="180"/>
  <c r="H29" i="180"/>
  <c r="H143" i="180"/>
  <c r="H111" i="180"/>
  <c r="H65" i="180"/>
  <c r="H208" i="180"/>
  <c r="H185" i="180"/>
  <c r="H181" i="180"/>
  <c r="H176" i="180"/>
  <c r="H160" i="180"/>
  <c r="H147" i="180"/>
  <c r="H142" i="180"/>
  <c r="H127" i="180"/>
  <c r="H123" i="180"/>
  <c r="H110" i="180"/>
  <c r="H92" i="180"/>
  <c r="H74" i="180"/>
  <c r="H44" i="180"/>
  <c r="H37" i="180"/>
  <c r="H30" i="180"/>
  <c r="H183" i="180"/>
  <c r="H192" i="180"/>
  <c r="H170" i="180"/>
  <c r="H166" i="180"/>
  <c r="H155" i="180"/>
  <c r="H136" i="180"/>
  <c r="H116" i="180"/>
  <c r="H105" i="180"/>
  <c r="H99" i="180"/>
  <c r="H86" i="180"/>
  <c r="H82" i="180"/>
  <c r="H64" i="180"/>
  <c r="H61" i="180"/>
  <c r="H50" i="180"/>
  <c r="H31" i="180"/>
  <c r="H204" i="180"/>
  <c r="H200" i="180"/>
  <c r="H182" i="180"/>
  <c r="H161" i="180"/>
  <c r="H124" i="180"/>
  <c r="H51" i="180"/>
  <c r="H32" i="180"/>
  <c r="H125" i="180"/>
  <c r="H117" i="180"/>
  <c r="H93" i="180"/>
  <c r="H71" i="180"/>
  <c r="H35" i="180"/>
  <c r="H27" i="180"/>
  <c r="H193" i="180"/>
  <c r="H168" i="180"/>
  <c r="H145" i="180"/>
  <c r="H133" i="180"/>
  <c r="H85" i="180"/>
  <c r="H57" i="180"/>
  <c r="H42" i="180"/>
  <c r="H201" i="180"/>
  <c r="H152" i="180"/>
  <c r="H118" i="180"/>
  <c r="H96" i="180"/>
  <c r="H177" i="180"/>
  <c r="H169" i="180"/>
  <c r="H189" i="180"/>
  <c r="H83" i="180"/>
  <c r="H59" i="180"/>
  <c r="H25" i="180"/>
  <c r="H66" i="180"/>
  <c r="H43" i="180"/>
  <c r="H41" i="180"/>
  <c r="H28" i="180"/>
  <c r="H156" i="180"/>
  <c r="H151" i="180"/>
  <c r="H36" i="180"/>
  <c r="H167" i="180"/>
  <c r="H137" i="180"/>
  <c r="H132" i="180"/>
  <c r="H73" i="180"/>
  <c r="H58" i="180"/>
  <c r="H190" i="180"/>
  <c r="H184" i="180"/>
  <c r="H146" i="180"/>
  <c r="H126" i="180"/>
  <c r="H97" i="180"/>
  <c r="H84" i="180"/>
  <c r="H45" i="180"/>
  <c r="H26" i="180"/>
  <c r="H106" i="180"/>
  <c r="H72" i="180"/>
  <c r="K12" i="180"/>
  <c r="H202" i="180"/>
  <c r="H174" i="180"/>
  <c r="H100" i="180"/>
  <c r="H33" i="180"/>
  <c r="H90" i="180"/>
  <c r="H52" i="180"/>
  <c r="H75" i="180"/>
  <c r="H34" i="180"/>
  <c r="F161" i="84" l="1"/>
  <c r="E233" i="178" l="1"/>
  <c r="F228" i="178"/>
  <c r="F21" i="178"/>
  <c r="F61" i="178"/>
  <c r="F79" i="178"/>
  <c r="F93" i="178"/>
  <c r="F102" i="178"/>
  <c r="F111" i="178"/>
  <c r="F119" i="178"/>
  <c r="F161" i="178"/>
  <c r="F197" i="178"/>
  <c r="F206" i="178"/>
  <c r="K208" i="178"/>
  <c r="J208" i="178"/>
  <c r="E226" i="150"/>
  <c r="E219" i="150"/>
  <c r="E201" i="113"/>
  <c r="E195" i="113"/>
  <c r="E182" i="113"/>
  <c r="E180" i="113"/>
  <c r="E179" i="113"/>
  <c r="E164" i="113"/>
  <c r="E160" i="113"/>
  <c r="E158" i="113"/>
  <c r="E157" i="113"/>
  <c r="E148" i="113"/>
  <c r="E141" i="113"/>
  <c r="G141" i="113" s="1"/>
  <c r="E130" i="113"/>
  <c r="E129" i="113"/>
  <c r="E126" i="113"/>
  <c r="E123" i="113"/>
  <c r="E114" i="113"/>
  <c r="E109" i="113"/>
  <c r="E96" i="113"/>
  <c r="E89" i="113"/>
  <c r="E88" i="113"/>
  <c r="E84" i="113"/>
  <c r="E75" i="113"/>
  <c r="E59" i="113"/>
  <c r="E56" i="113"/>
  <c r="E53" i="113"/>
  <c r="E51" i="113"/>
  <c r="E47" i="113"/>
  <c r="E35" i="113"/>
  <c r="E13" i="113"/>
  <c r="E225" i="177"/>
  <c r="G225" i="177" s="1"/>
  <c r="E200" i="177"/>
  <c r="E188" i="177"/>
  <c r="G188" i="177" s="1"/>
  <c r="E173" i="177"/>
  <c r="E135" i="177"/>
  <c r="E117" i="177"/>
  <c r="E99" i="177"/>
  <c r="E58" i="177"/>
  <c r="E41" i="177"/>
  <c r="E233" i="177"/>
  <c r="F228" i="177"/>
  <c r="K208" i="177"/>
  <c r="J208" i="177"/>
  <c r="F206" i="177"/>
  <c r="F197" i="177"/>
  <c r="F161" i="177"/>
  <c r="F119" i="177"/>
  <c r="F111" i="177"/>
  <c r="F102" i="177"/>
  <c r="F93" i="177"/>
  <c r="F79" i="177"/>
  <c r="F61" i="177"/>
  <c r="F21" i="177"/>
  <c r="E148" i="38"/>
  <c r="E233" i="175"/>
  <c r="E221" i="50"/>
  <c r="E231" i="92"/>
  <c r="E221" i="142"/>
  <c r="E233" i="69"/>
  <c r="G233" i="69" s="1"/>
  <c r="E223" i="69"/>
  <c r="E222" i="86"/>
  <c r="E233" i="10"/>
  <c r="E232" i="143"/>
  <c r="E232" i="176"/>
  <c r="E219" i="176"/>
  <c r="E233" i="176"/>
  <c r="G233" i="176" s="1"/>
  <c r="F228" i="176"/>
  <c r="K208" i="176"/>
  <c r="K18" i="176" s="1"/>
  <c r="J208" i="176"/>
  <c r="K17" i="176" s="1"/>
  <c r="F206" i="176"/>
  <c r="F197" i="176"/>
  <c r="F161" i="176"/>
  <c r="F119" i="176"/>
  <c r="F111" i="176"/>
  <c r="F102" i="176"/>
  <c r="F93" i="176"/>
  <c r="F79" i="176"/>
  <c r="F61" i="176"/>
  <c r="F21" i="176"/>
  <c r="E220" i="172"/>
  <c r="E225" i="149"/>
  <c r="E223" i="149"/>
  <c r="E220" i="149"/>
  <c r="E219" i="149"/>
  <c r="E127" i="149"/>
  <c r="E97" i="149"/>
  <c r="E88" i="149"/>
  <c r="G88" i="149" s="1"/>
  <c r="E75" i="149"/>
  <c r="G75" i="149" s="1"/>
  <c r="E67" i="149"/>
  <c r="G67" i="149" s="1"/>
  <c r="E52" i="149"/>
  <c r="E44" i="149"/>
  <c r="G44" i="149" s="1"/>
  <c r="E36" i="149"/>
  <c r="E34" i="149"/>
  <c r="E32" i="149"/>
  <c r="E28" i="149"/>
  <c r="E16" i="149"/>
  <c r="E12" i="149"/>
  <c r="E220" i="85"/>
  <c r="E196" i="85"/>
  <c r="E189" i="85"/>
  <c r="E185" i="85"/>
  <c r="E184" i="85"/>
  <c r="E176" i="85"/>
  <c r="G176" i="85" s="1"/>
  <c r="E167" i="85"/>
  <c r="E160" i="85"/>
  <c r="E158" i="85"/>
  <c r="E155" i="85"/>
  <c r="E153" i="85"/>
  <c r="E149" i="85"/>
  <c r="G149" i="85" s="1"/>
  <c r="E145" i="85"/>
  <c r="E125" i="85"/>
  <c r="G125" i="85" s="1"/>
  <c r="E116" i="85"/>
  <c r="E109" i="85"/>
  <c r="G109" i="85" s="1"/>
  <c r="E105" i="85"/>
  <c r="E97" i="85"/>
  <c r="E92" i="85"/>
  <c r="E91" i="85"/>
  <c r="E90" i="85"/>
  <c r="E89" i="85"/>
  <c r="E88" i="85"/>
  <c r="E85" i="85"/>
  <c r="E77" i="85"/>
  <c r="G77" i="85" s="1"/>
  <c r="E74" i="85"/>
  <c r="E73" i="85"/>
  <c r="E68" i="85"/>
  <c r="E64" i="85"/>
  <c r="E59" i="85"/>
  <c r="E57" i="85"/>
  <c r="E54" i="85"/>
  <c r="E53" i="85"/>
  <c r="G53" i="85" s="1"/>
  <c r="E50" i="85"/>
  <c r="E47" i="85"/>
  <c r="E46" i="85"/>
  <c r="E44" i="85"/>
  <c r="E42" i="85"/>
  <c r="E40" i="85"/>
  <c r="E37" i="85"/>
  <c r="E30" i="85"/>
  <c r="G30" i="85" s="1"/>
  <c r="E29" i="85"/>
  <c r="E26" i="85"/>
  <c r="E25" i="85"/>
  <c r="E19" i="85"/>
  <c r="E17" i="85"/>
  <c r="E16" i="85"/>
  <c r="E12" i="85"/>
  <c r="E11" i="85"/>
  <c r="G11" i="85" s="1"/>
  <c r="E233" i="14"/>
  <c r="E231" i="14"/>
  <c r="E223" i="165"/>
  <c r="G223" i="165" s="1"/>
  <c r="E221" i="165"/>
  <c r="E219" i="27"/>
  <c r="E195" i="27"/>
  <c r="E193" i="27"/>
  <c r="E177" i="27"/>
  <c r="E158" i="27"/>
  <c r="E153" i="27"/>
  <c r="E149" i="27"/>
  <c r="E140" i="27"/>
  <c r="E131" i="27"/>
  <c r="E100" i="27"/>
  <c r="E82" i="27"/>
  <c r="E75" i="27"/>
  <c r="E67" i="27"/>
  <c r="E60" i="27"/>
  <c r="E51" i="27"/>
  <c r="E40" i="27"/>
  <c r="E32" i="27"/>
  <c r="E28" i="27"/>
  <c r="E226" i="16"/>
  <c r="E222" i="16"/>
  <c r="E232" i="157"/>
  <c r="E222" i="157"/>
  <c r="G222" i="157" s="1"/>
  <c r="E219" i="42"/>
  <c r="E220" i="20"/>
  <c r="E193" i="20"/>
  <c r="E191" i="20"/>
  <c r="E190" i="20"/>
  <c r="E166" i="20"/>
  <c r="E159" i="20"/>
  <c r="E151" i="20"/>
  <c r="E137" i="20"/>
  <c r="E92" i="20"/>
  <c r="E91" i="20"/>
  <c r="E88" i="20"/>
  <c r="E87" i="20"/>
  <c r="E84" i="20"/>
  <c r="E83" i="20"/>
  <c r="E66" i="20"/>
  <c r="E60" i="20"/>
  <c r="E55" i="20"/>
  <c r="E52" i="20"/>
  <c r="E46" i="20"/>
  <c r="E36" i="20"/>
  <c r="E28" i="20"/>
  <c r="E14" i="20"/>
  <c r="E221" i="155"/>
  <c r="E233" i="119"/>
  <c r="E222" i="65"/>
  <c r="E221" i="65"/>
  <c r="E225" i="72"/>
  <c r="E195" i="72"/>
  <c r="E178" i="72"/>
  <c r="E175" i="72"/>
  <c r="E170" i="72"/>
  <c r="E167" i="72"/>
  <c r="E159" i="72"/>
  <c r="E152" i="72"/>
  <c r="G152" i="72" s="1"/>
  <c r="E145" i="72"/>
  <c r="E140" i="72"/>
  <c r="G140" i="72" s="1"/>
  <c r="E132" i="72"/>
  <c r="G132" i="72" s="1"/>
  <c r="E131" i="72"/>
  <c r="E127" i="72"/>
  <c r="E123" i="72"/>
  <c r="E115" i="72"/>
  <c r="E108" i="72"/>
  <c r="E100" i="72"/>
  <c r="E91" i="72"/>
  <c r="E88" i="72"/>
  <c r="G88" i="72" s="1"/>
  <c r="E87" i="72"/>
  <c r="E85" i="72"/>
  <c r="E83" i="72"/>
  <c r="E77" i="72"/>
  <c r="E74" i="72"/>
  <c r="E73" i="72"/>
  <c r="G73" i="72" s="1"/>
  <c r="E65" i="72"/>
  <c r="E60" i="72"/>
  <c r="E56" i="72"/>
  <c r="E55" i="72"/>
  <c r="E52" i="72"/>
  <c r="G52" i="72" s="1"/>
  <c r="E48" i="72"/>
  <c r="G48" i="72" s="1"/>
  <c r="E47" i="72"/>
  <c r="E39" i="72"/>
  <c r="E37" i="72"/>
  <c r="E33" i="72"/>
  <c r="E28" i="72"/>
  <c r="E27" i="72"/>
  <c r="E26" i="72"/>
  <c r="G26" i="72" s="1"/>
  <c r="E18" i="72"/>
  <c r="E15" i="72"/>
  <c r="E232" i="79"/>
  <c r="E227" i="79"/>
  <c r="G227" i="79" s="1"/>
  <c r="E222" i="79"/>
  <c r="E203" i="79"/>
  <c r="E202" i="79"/>
  <c r="G202" i="79" s="1"/>
  <c r="E190" i="79"/>
  <c r="E176" i="79"/>
  <c r="G176" i="79" s="1"/>
  <c r="E170" i="79"/>
  <c r="E157" i="79"/>
  <c r="E150" i="79"/>
  <c r="E146" i="79"/>
  <c r="E143" i="79"/>
  <c r="G143" i="79" s="1"/>
  <c r="E127" i="79"/>
  <c r="E65" i="79"/>
  <c r="E60" i="79"/>
  <c r="E57" i="79"/>
  <c r="E53" i="79"/>
  <c r="G53" i="79" s="1"/>
  <c r="E51" i="79"/>
  <c r="E49" i="79"/>
  <c r="E43" i="79"/>
  <c r="E35" i="79"/>
  <c r="E34" i="79"/>
  <c r="E31" i="79"/>
  <c r="E27" i="79"/>
  <c r="E17" i="79"/>
  <c r="E233" i="32"/>
  <c r="E233" i="141"/>
  <c r="E227" i="141"/>
  <c r="E233" i="24"/>
  <c r="E223" i="24"/>
  <c r="E179" i="24"/>
  <c r="E233" i="37"/>
  <c r="E223" i="37"/>
  <c r="G223" i="37" s="1"/>
  <c r="E222" i="37"/>
  <c r="E221" i="37"/>
  <c r="E219" i="37"/>
  <c r="E193" i="37"/>
  <c r="E190" i="37"/>
  <c r="E188" i="37"/>
  <c r="G188" i="37" s="1"/>
  <c r="E176" i="37"/>
  <c r="E152" i="37"/>
  <c r="E148" i="37"/>
  <c r="G148" i="37" s="1"/>
  <c r="E135" i="37"/>
  <c r="E130" i="37"/>
  <c r="E124" i="37"/>
  <c r="E123" i="37"/>
  <c r="E118" i="37"/>
  <c r="G118" i="37" s="1"/>
  <c r="E115" i="37"/>
  <c r="G115" i="37" s="1"/>
  <c r="E109" i="37"/>
  <c r="E96" i="37"/>
  <c r="E74" i="37"/>
  <c r="E67" i="37"/>
  <c r="E60" i="37"/>
  <c r="E59" i="37"/>
  <c r="G59" i="37" s="1"/>
  <c r="E52" i="37"/>
  <c r="E49" i="37"/>
  <c r="E28" i="37"/>
  <c r="E18" i="37"/>
  <c r="E13" i="37"/>
  <c r="E12" i="37"/>
  <c r="G12" i="37" s="1"/>
  <c r="E11" i="37"/>
  <c r="G11" i="37" s="1"/>
  <c r="E225" i="152"/>
  <c r="G225" i="152" s="1"/>
  <c r="E221" i="152"/>
  <c r="E233" i="39"/>
  <c r="E226" i="84"/>
  <c r="E227" i="175"/>
  <c r="E219" i="175"/>
  <c r="G219" i="175" s="1"/>
  <c r="F228" i="175"/>
  <c r="K208" i="175"/>
  <c r="J208" i="175"/>
  <c r="F206" i="175"/>
  <c r="F197" i="175"/>
  <c r="F161" i="175"/>
  <c r="F119" i="175"/>
  <c r="F111" i="175"/>
  <c r="F102" i="175"/>
  <c r="F93" i="175"/>
  <c r="F79" i="175"/>
  <c r="F61" i="175"/>
  <c r="F21" i="175"/>
  <c r="E232" i="43"/>
  <c r="E196" i="45"/>
  <c r="G196" i="45" s="1"/>
  <c r="E192" i="45"/>
  <c r="G192" i="45" s="1"/>
  <c r="E188" i="45"/>
  <c r="E184" i="45"/>
  <c r="G184" i="45" s="1"/>
  <c r="E176" i="45"/>
  <c r="G176" i="45" s="1"/>
  <c r="E164" i="45"/>
  <c r="E157" i="45"/>
  <c r="E152" i="45"/>
  <c r="G152" i="45" s="1"/>
  <c r="E138" i="45"/>
  <c r="E133" i="45"/>
  <c r="G133" i="45" s="1"/>
  <c r="E129" i="45"/>
  <c r="G129" i="45" s="1"/>
  <c r="E109" i="45"/>
  <c r="E105" i="45"/>
  <c r="E98" i="45"/>
  <c r="G98" i="45" s="1"/>
  <c r="E91" i="45"/>
  <c r="E89" i="45"/>
  <c r="E87" i="45"/>
  <c r="E76" i="45"/>
  <c r="E72" i="45"/>
  <c r="E68" i="45"/>
  <c r="E64" i="45"/>
  <c r="E53" i="45"/>
  <c r="G53" i="45" s="1"/>
  <c r="E41" i="45"/>
  <c r="G41" i="45" s="1"/>
  <c r="E37" i="45"/>
  <c r="E33" i="45"/>
  <c r="E29" i="45"/>
  <c r="E220" i="102"/>
  <c r="G220" i="102" s="1"/>
  <c r="E219" i="102"/>
  <c r="E203" i="102"/>
  <c r="E202" i="102"/>
  <c r="E195" i="102"/>
  <c r="E188" i="102"/>
  <c r="E185" i="102"/>
  <c r="G185" i="102" s="1"/>
  <c r="E181" i="102"/>
  <c r="E173" i="102"/>
  <c r="E171" i="102"/>
  <c r="E169" i="102"/>
  <c r="G169" i="102" s="1"/>
  <c r="E157" i="102"/>
  <c r="G157" i="102" s="1"/>
  <c r="E156" i="102"/>
  <c r="E153" i="102"/>
  <c r="E148" i="102"/>
  <c r="G148" i="102" s="1"/>
  <c r="E138" i="102"/>
  <c r="E136" i="102"/>
  <c r="E118" i="102"/>
  <c r="E107" i="102"/>
  <c r="E98" i="102"/>
  <c r="G98" i="102" s="1"/>
  <c r="E84" i="102"/>
  <c r="E74" i="102"/>
  <c r="E73" i="102"/>
  <c r="E64" i="102"/>
  <c r="E60" i="102"/>
  <c r="E51" i="102"/>
  <c r="E42" i="102"/>
  <c r="E41" i="102"/>
  <c r="E38" i="102"/>
  <c r="G38" i="102" s="1"/>
  <c r="E37" i="102"/>
  <c r="E34" i="102"/>
  <c r="E33" i="102"/>
  <c r="E30" i="102"/>
  <c r="E16" i="102"/>
  <c r="E223" i="46"/>
  <c r="E232" i="174"/>
  <c r="E226" i="174"/>
  <c r="E223" i="174"/>
  <c r="F228" i="174"/>
  <c r="K208" i="174"/>
  <c r="J208" i="174"/>
  <c r="F206" i="174"/>
  <c r="F197" i="174"/>
  <c r="F161" i="174"/>
  <c r="F119" i="174"/>
  <c r="F111" i="174"/>
  <c r="F102" i="174"/>
  <c r="F93" i="174"/>
  <c r="F79" i="174"/>
  <c r="F61" i="174"/>
  <c r="F21" i="174"/>
  <c r="E203" i="62"/>
  <c r="E184" i="62"/>
  <c r="G184" i="62" s="1"/>
  <c r="E176" i="62"/>
  <c r="E168" i="62"/>
  <c r="E164" i="62"/>
  <c r="E145" i="62"/>
  <c r="E110" i="62"/>
  <c r="E82" i="62"/>
  <c r="E233" i="63"/>
  <c r="E233" i="66"/>
  <c r="D228" i="68"/>
  <c r="E220" i="15"/>
  <c r="G220" i="15" s="1"/>
  <c r="F21" i="19"/>
  <c r="F61" i="19"/>
  <c r="F79" i="19"/>
  <c r="F93" i="19"/>
  <c r="F102" i="19"/>
  <c r="F111" i="19"/>
  <c r="F119" i="19"/>
  <c r="F161" i="19"/>
  <c r="F197" i="19"/>
  <c r="F206" i="19"/>
  <c r="E231" i="19"/>
  <c r="E226" i="19"/>
  <c r="G226" i="19" s="1"/>
  <c r="E225" i="19"/>
  <c r="E200" i="19"/>
  <c r="E233" i="145"/>
  <c r="E232" i="145"/>
  <c r="E223" i="145"/>
  <c r="E222" i="145"/>
  <c r="E221" i="145"/>
  <c r="E219" i="145"/>
  <c r="E232" i="54"/>
  <c r="E222" i="60"/>
  <c r="C234" i="97"/>
  <c r="C224" i="97"/>
  <c r="D195" i="97"/>
  <c r="D191" i="97"/>
  <c r="D187" i="97"/>
  <c r="D183" i="97"/>
  <c r="D179" i="97"/>
  <c r="D175" i="97"/>
  <c r="D171" i="97"/>
  <c r="D167" i="97"/>
  <c r="D160" i="97"/>
  <c r="D155" i="97"/>
  <c r="D151" i="97"/>
  <c r="D146" i="97"/>
  <c r="D141" i="97"/>
  <c r="D136" i="97"/>
  <c r="D132" i="97"/>
  <c r="D127" i="97"/>
  <c r="D119" i="97"/>
  <c r="D112" i="97"/>
  <c r="D101" i="97"/>
  <c r="D94" i="97"/>
  <c r="D90" i="97"/>
  <c r="D86" i="97"/>
  <c r="D79" i="97"/>
  <c r="D75" i="97"/>
  <c r="D71" i="97"/>
  <c r="D67" i="97"/>
  <c r="D60" i="97"/>
  <c r="D56" i="97"/>
  <c r="D52" i="97"/>
  <c r="D48" i="97"/>
  <c r="D44" i="97"/>
  <c r="D36" i="97"/>
  <c r="D32" i="97"/>
  <c r="D28" i="97"/>
  <c r="D20" i="97"/>
  <c r="D16" i="97"/>
  <c r="E224" i="103"/>
  <c r="E223" i="103"/>
  <c r="F102" i="87"/>
  <c r="F61" i="87"/>
  <c r="F93" i="87"/>
  <c r="F111" i="87"/>
  <c r="F119" i="87"/>
  <c r="F161" i="135"/>
  <c r="F206" i="135"/>
  <c r="F228" i="31"/>
  <c r="F161" i="21"/>
  <c r="E233" i="172"/>
  <c r="G233" i="172" s="1"/>
  <c r="F228" i="172"/>
  <c r="K208" i="172"/>
  <c r="K18" i="172" s="1"/>
  <c r="J208" i="172"/>
  <c r="K17" i="172" s="1"/>
  <c r="F206" i="172"/>
  <c r="F197" i="172"/>
  <c r="F161" i="172"/>
  <c r="F119" i="172"/>
  <c r="F111" i="172"/>
  <c r="F102" i="172"/>
  <c r="F93" i="172"/>
  <c r="F79" i="172"/>
  <c r="F61" i="172"/>
  <c r="F21" i="172"/>
  <c r="F197" i="45"/>
  <c r="F161" i="45"/>
  <c r="F119" i="45"/>
  <c r="F111" i="45"/>
  <c r="F102" i="45"/>
  <c r="F93" i="45"/>
  <c r="F79" i="45"/>
  <c r="F61" i="45"/>
  <c r="F197" i="102"/>
  <c r="F161" i="102"/>
  <c r="F119" i="102"/>
  <c r="F111" i="102"/>
  <c r="F102" i="102"/>
  <c r="F93" i="102"/>
  <c r="F79" i="102"/>
  <c r="F61" i="102"/>
  <c r="F206" i="83"/>
  <c r="F197" i="83"/>
  <c r="F161" i="83"/>
  <c r="F119" i="83"/>
  <c r="F111" i="83"/>
  <c r="F102" i="83"/>
  <c r="F93" i="83"/>
  <c r="F79" i="83"/>
  <c r="F61" i="83"/>
  <c r="F21" i="83"/>
  <c r="F197" i="66"/>
  <c r="F161" i="66"/>
  <c r="F119" i="66"/>
  <c r="F111" i="66"/>
  <c r="F102" i="66"/>
  <c r="F93" i="66"/>
  <c r="F79" i="66"/>
  <c r="F61" i="66"/>
  <c r="F206" i="84"/>
  <c r="F197" i="84"/>
  <c r="F119" i="84"/>
  <c r="F111" i="84"/>
  <c r="F102" i="84"/>
  <c r="F93" i="84"/>
  <c r="F79" i="84"/>
  <c r="F61" i="84"/>
  <c r="F197" i="10"/>
  <c r="F111" i="10"/>
  <c r="F119" i="10"/>
  <c r="F61" i="103"/>
  <c r="X208" i="152"/>
  <c r="W208" i="152"/>
  <c r="V208" i="152"/>
  <c r="U208" i="152"/>
  <c r="V208" i="158"/>
  <c r="U208" i="158"/>
  <c r="W208" i="158"/>
  <c r="X208" i="158"/>
  <c r="F228" i="43"/>
  <c r="E219" i="136"/>
  <c r="G219" i="136" s="1"/>
  <c r="E219" i="57"/>
  <c r="G219" i="57" s="1"/>
  <c r="E219" i="135"/>
  <c r="E219" i="33"/>
  <c r="E219" i="159"/>
  <c r="G219" i="159" s="1"/>
  <c r="E219" i="111"/>
  <c r="E219" i="21"/>
  <c r="E219" i="85"/>
  <c r="F161" i="103"/>
  <c r="F161" i="10"/>
  <c r="F161" i="118"/>
  <c r="F161" i="60"/>
  <c r="F161" i="133"/>
  <c r="F161" i="54"/>
  <c r="F161" i="155"/>
  <c r="F161" i="156"/>
  <c r="F161" i="157"/>
  <c r="F161" i="158"/>
  <c r="F161" i="94"/>
  <c r="F161" i="145"/>
  <c r="F161" i="164"/>
  <c r="F161" i="15"/>
  <c r="F161" i="150"/>
  <c r="F161" i="68"/>
  <c r="F161" i="63"/>
  <c r="F161" i="62"/>
  <c r="F161" i="58"/>
  <c r="F161" i="136"/>
  <c r="F161" i="53"/>
  <c r="F161" i="98"/>
  <c r="F161" i="49"/>
  <c r="F161" i="47"/>
  <c r="F161" i="46"/>
  <c r="F161" i="104"/>
  <c r="F161" i="57"/>
  <c r="F161" i="42"/>
  <c r="F161" i="167"/>
  <c r="F161" i="39"/>
  <c r="F161" i="38"/>
  <c r="F161" i="152"/>
  <c r="F161" i="120"/>
  <c r="F161" i="37"/>
  <c r="F161" i="90"/>
  <c r="F161" i="24"/>
  <c r="F161" i="141"/>
  <c r="F161" i="33"/>
  <c r="F161" i="32"/>
  <c r="F161" i="79"/>
  <c r="F161" i="31"/>
  <c r="F161" i="64"/>
  <c r="F161" i="72"/>
  <c r="F161" i="28"/>
  <c r="F161" i="65"/>
  <c r="F161" i="119"/>
  <c r="F161" i="25"/>
  <c r="F161" i="20"/>
  <c r="F161" i="159"/>
  <c r="F161" i="16"/>
  <c r="F161" i="27"/>
  <c r="F161" i="111"/>
  <c r="F161" i="165"/>
  <c r="F161" i="55"/>
  <c r="F161" i="14"/>
  <c r="F161" i="85"/>
  <c r="F161" i="149"/>
  <c r="F161" i="143"/>
  <c r="F161" i="69"/>
  <c r="F161" i="86"/>
  <c r="F161" i="89"/>
  <c r="F161" i="142"/>
  <c r="F161" i="92"/>
  <c r="F161" i="113"/>
  <c r="F161" i="1"/>
  <c r="F161" i="50"/>
  <c r="F161" i="95"/>
  <c r="F161" i="43"/>
  <c r="F206" i="103"/>
  <c r="F206" i="10"/>
  <c r="F206" i="118"/>
  <c r="F206" i="60"/>
  <c r="F206" i="133"/>
  <c r="F206" i="54"/>
  <c r="F206" i="156"/>
  <c r="F206" i="157"/>
  <c r="F206" i="158"/>
  <c r="F206" i="94"/>
  <c r="F206" i="145"/>
  <c r="F206" i="164"/>
  <c r="F206" i="15"/>
  <c r="F206" i="150"/>
  <c r="F206" i="68"/>
  <c r="F206" i="63"/>
  <c r="F206" i="62"/>
  <c r="F206" i="58"/>
  <c r="F206" i="136"/>
  <c r="F206" i="53"/>
  <c r="F206" i="98"/>
  <c r="F206" i="49"/>
  <c r="F206" i="47"/>
  <c r="F206" i="46"/>
  <c r="F206" i="102"/>
  <c r="F206" i="45"/>
  <c r="F206" i="104"/>
  <c r="F206" i="106"/>
  <c r="F206" i="57"/>
  <c r="F206" i="42"/>
  <c r="F206" i="71"/>
  <c r="F206" i="167"/>
  <c r="F206" i="38"/>
  <c r="F206" i="152"/>
  <c r="F206" i="120"/>
  <c r="F206" i="37"/>
  <c r="F206" i="90"/>
  <c r="F206" i="24"/>
  <c r="F206" i="141"/>
  <c r="F206" i="33"/>
  <c r="F206" i="32"/>
  <c r="F206" i="79"/>
  <c r="F206" i="31"/>
  <c r="F206" i="64"/>
  <c r="F206" i="72"/>
  <c r="F206" i="28"/>
  <c r="F206" i="65"/>
  <c r="F206" i="119"/>
  <c r="F206" i="25"/>
  <c r="F206" i="20"/>
  <c r="F206" i="159"/>
  <c r="F206" i="16"/>
  <c r="F206" i="27"/>
  <c r="F206" i="111"/>
  <c r="F206" i="165"/>
  <c r="F206" i="55"/>
  <c r="F206" i="21"/>
  <c r="F206" i="14"/>
  <c r="F206" i="85"/>
  <c r="F206" i="149"/>
  <c r="F206" i="143"/>
  <c r="F206" i="87"/>
  <c r="F206" i="69"/>
  <c r="F206" i="86"/>
  <c r="F206" i="89"/>
  <c r="F206" i="142"/>
  <c r="F206" i="92"/>
  <c r="F206" i="113"/>
  <c r="F206" i="1"/>
  <c r="F206" i="50"/>
  <c r="F206" i="95"/>
  <c r="F206" i="43"/>
  <c r="E205" i="136"/>
  <c r="G205" i="136" s="1"/>
  <c r="E204" i="136"/>
  <c r="E203" i="136"/>
  <c r="E202" i="136"/>
  <c r="E201" i="136"/>
  <c r="G201" i="136" s="1"/>
  <c r="E200" i="136"/>
  <c r="E203" i="45"/>
  <c r="E205" i="57"/>
  <c r="E204" i="57"/>
  <c r="E203" i="57"/>
  <c r="G203" i="57" s="1"/>
  <c r="E202" i="57"/>
  <c r="E201" i="57"/>
  <c r="E200" i="57"/>
  <c r="E205" i="167"/>
  <c r="E205" i="135"/>
  <c r="E204" i="135"/>
  <c r="G204" i="135" s="1"/>
  <c r="E203" i="135"/>
  <c r="E202" i="135"/>
  <c r="E201" i="135"/>
  <c r="G201" i="135" s="1"/>
  <c r="E200" i="135"/>
  <c r="E205" i="33"/>
  <c r="E204" i="33"/>
  <c r="E203" i="33"/>
  <c r="G203" i="33" s="1"/>
  <c r="E202" i="33"/>
  <c r="E201" i="33"/>
  <c r="E200" i="33"/>
  <c r="E205" i="159"/>
  <c r="E204" i="159"/>
  <c r="E203" i="159"/>
  <c r="E202" i="159"/>
  <c r="G202" i="159" s="1"/>
  <c r="E201" i="159"/>
  <c r="E200" i="159"/>
  <c r="E205" i="111"/>
  <c r="E204" i="111"/>
  <c r="G204" i="111" s="1"/>
  <c r="E203" i="111"/>
  <c r="E202" i="111"/>
  <c r="G202" i="111" s="1"/>
  <c r="E201" i="111"/>
  <c r="E200" i="111"/>
  <c r="E205" i="21"/>
  <c r="E204" i="21"/>
  <c r="E203" i="21"/>
  <c r="G203" i="21" s="1"/>
  <c r="E202" i="21"/>
  <c r="E201" i="21"/>
  <c r="E200" i="21"/>
  <c r="G200" i="21" s="1"/>
  <c r="F197" i="103"/>
  <c r="F197" i="118"/>
  <c r="F197" i="60"/>
  <c r="F197" i="133"/>
  <c r="F197" i="54"/>
  <c r="F197" i="155"/>
  <c r="F197" i="156"/>
  <c r="F197" i="157"/>
  <c r="F197" i="158"/>
  <c r="F197" i="94"/>
  <c r="F197" i="145"/>
  <c r="F197" i="164"/>
  <c r="F197" i="15"/>
  <c r="F197" i="150"/>
  <c r="F197" i="68"/>
  <c r="F197" i="63"/>
  <c r="F197" i="62"/>
  <c r="F197" i="58"/>
  <c r="F197" i="136"/>
  <c r="F197" i="53"/>
  <c r="F197" i="98"/>
  <c r="F197" i="49"/>
  <c r="F197" i="47"/>
  <c r="F197" i="46"/>
  <c r="F197" i="104"/>
  <c r="F197" i="106"/>
  <c r="F197" i="57"/>
  <c r="F197" i="42"/>
  <c r="F197" i="71"/>
  <c r="F197" i="167"/>
  <c r="F197" i="39"/>
  <c r="F197" i="135"/>
  <c r="F197" i="38"/>
  <c r="F197" i="152"/>
  <c r="F197" i="120"/>
  <c r="F197" i="37"/>
  <c r="F197" i="90"/>
  <c r="F197" i="24"/>
  <c r="F197" i="141"/>
  <c r="F197" i="33"/>
  <c r="F197" i="32"/>
  <c r="F197" i="79"/>
  <c r="F197" i="31"/>
  <c r="F197" i="64"/>
  <c r="F197" i="72"/>
  <c r="F197" i="28"/>
  <c r="F197" i="65"/>
  <c r="F197" i="119"/>
  <c r="F197" i="25"/>
  <c r="F197" i="20"/>
  <c r="F197" i="159"/>
  <c r="F197" i="16"/>
  <c r="F197" i="27"/>
  <c r="F197" i="111"/>
  <c r="F197" i="165"/>
  <c r="F197" i="55"/>
  <c r="F197" i="21"/>
  <c r="F197" i="14"/>
  <c r="F197" i="85"/>
  <c r="F197" i="149"/>
  <c r="F197" i="143"/>
  <c r="F197" i="87"/>
  <c r="F197" i="69"/>
  <c r="F197" i="86"/>
  <c r="F197" i="89"/>
  <c r="F197" i="142"/>
  <c r="F197" i="92"/>
  <c r="F197" i="113"/>
  <c r="F197" i="1"/>
  <c r="F197" i="50"/>
  <c r="F197" i="95"/>
  <c r="F197" i="43"/>
  <c r="E196" i="136"/>
  <c r="E195" i="136"/>
  <c r="E194" i="136"/>
  <c r="E193" i="136"/>
  <c r="E192" i="136"/>
  <c r="E191" i="136"/>
  <c r="E190" i="136"/>
  <c r="G190" i="136" s="1"/>
  <c r="E189" i="136"/>
  <c r="E188" i="136"/>
  <c r="E187" i="136"/>
  <c r="G187" i="136" s="1"/>
  <c r="E186" i="136"/>
  <c r="E185" i="136"/>
  <c r="G185" i="136" s="1"/>
  <c r="E184" i="136"/>
  <c r="G184" i="136" s="1"/>
  <c r="E183" i="136"/>
  <c r="G183" i="136" s="1"/>
  <c r="E182" i="136"/>
  <c r="G182" i="136" s="1"/>
  <c r="E181" i="136"/>
  <c r="E180" i="136"/>
  <c r="E179" i="136"/>
  <c r="E178" i="136"/>
  <c r="G178" i="136" s="1"/>
  <c r="E177" i="136"/>
  <c r="G177" i="136" s="1"/>
  <c r="E176" i="136"/>
  <c r="G176" i="136" s="1"/>
  <c r="E175" i="136"/>
  <c r="E174" i="136"/>
  <c r="E173" i="136"/>
  <c r="E172" i="136"/>
  <c r="G172" i="136" s="1"/>
  <c r="E171" i="136"/>
  <c r="E170" i="136"/>
  <c r="G170" i="136" s="1"/>
  <c r="E169" i="136"/>
  <c r="E168" i="136"/>
  <c r="G168" i="136" s="1"/>
  <c r="E167" i="136"/>
  <c r="G167" i="136" s="1"/>
  <c r="E166" i="136"/>
  <c r="E165" i="136"/>
  <c r="E164" i="136"/>
  <c r="E180" i="45"/>
  <c r="G180" i="45" s="1"/>
  <c r="E172" i="45"/>
  <c r="G172" i="45" s="1"/>
  <c r="E168" i="45"/>
  <c r="E196" i="57"/>
  <c r="G196" i="57" s="1"/>
  <c r="E195" i="57"/>
  <c r="G195" i="57" s="1"/>
  <c r="E194" i="57"/>
  <c r="E193" i="57"/>
  <c r="E192" i="57"/>
  <c r="E191" i="57"/>
  <c r="G191" i="57" s="1"/>
  <c r="E190" i="57"/>
  <c r="E189" i="57"/>
  <c r="G189" i="57" s="1"/>
  <c r="E188" i="57"/>
  <c r="E187" i="57"/>
  <c r="E186" i="57"/>
  <c r="E185" i="57"/>
  <c r="E184" i="57"/>
  <c r="E183" i="57"/>
  <c r="G183" i="57" s="1"/>
  <c r="E182" i="57"/>
  <c r="E181" i="57"/>
  <c r="G181" i="57" s="1"/>
  <c r="E180" i="57"/>
  <c r="E179" i="57"/>
  <c r="E178" i="57"/>
  <c r="E177" i="57"/>
  <c r="G177" i="57" s="1"/>
  <c r="E176" i="57"/>
  <c r="E175" i="57"/>
  <c r="G175" i="57" s="1"/>
  <c r="E174" i="57"/>
  <c r="E173" i="57"/>
  <c r="E172" i="57"/>
  <c r="G172" i="57" s="1"/>
  <c r="E171" i="57"/>
  <c r="E170" i="57"/>
  <c r="G170" i="57" s="1"/>
  <c r="E169" i="57"/>
  <c r="G169" i="57" s="1"/>
  <c r="E168" i="57"/>
  <c r="G168" i="57" s="1"/>
  <c r="E167" i="57"/>
  <c r="E166" i="57"/>
  <c r="E165" i="57"/>
  <c r="G165" i="57" s="1"/>
  <c r="E164" i="57"/>
  <c r="G164" i="57" s="1"/>
  <c r="E190" i="167"/>
  <c r="E177" i="167"/>
  <c r="G177" i="167" s="1"/>
  <c r="E174" i="167"/>
  <c r="E169" i="167"/>
  <c r="E196" i="135"/>
  <c r="E195" i="135"/>
  <c r="E194" i="135"/>
  <c r="E193" i="135"/>
  <c r="G193" i="135" s="1"/>
  <c r="E192" i="135"/>
  <c r="E191" i="135"/>
  <c r="G191" i="135" s="1"/>
  <c r="E190" i="135"/>
  <c r="G190" i="135" s="1"/>
  <c r="E189" i="135"/>
  <c r="E188" i="135"/>
  <c r="G188" i="135" s="1"/>
  <c r="E187" i="135"/>
  <c r="E186" i="135"/>
  <c r="G186" i="135" s="1"/>
  <c r="E185" i="135"/>
  <c r="E184" i="135"/>
  <c r="E183" i="135"/>
  <c r="E182" i="135"/>
  <c r="E181" i="135"/>
  <c r="E180" i="135"/>
  <c r="G180" i="135" s="1"/>
  <c r="E179" i="135"/>
  <c r="E178" i="135"/>
  <c r="E177" i="135"/>
  <c r="G177" i="135" s="1"/>
  <c r="E176" i="135"/>
  <c r="G176" i="135" s="1"/>
  <c r="E175" i="135"/>
  <c r="E174" i="135"/>
  <c r="E173" i="135"/>
  <c r="E172" i="135"/>
  <c r="G172" i="135" s="1"/>
  <c r="E171" i="135"/>
  <c r="G171" i="135" s="1"/>
  <c r="E170" i="135"/>
  <c r="E169" i="135"/>
  <c r="G169" i="135" s="1"/>
  <c r="E168" i="135"/>
  <c r="E167" i="135"/>
  <c r="E166" i="135"/>
  <c r="E165" i="135"/>
  <c r="G165" i="135" s="1"/>
  <c r="E164" i="135"/>
  <c r="G164" i="135" s="1"/>
  <c r="E196" i="33"/>
  <c r="G196" i="33" s="1"/>
  <c r="E195" i="33"/>
  <c r="E194" i="33"/>
  <c r="E193" i="33"/>
  <c r="E192" i="33"/>
  <c r="E191" i="33"/>
  <c r="G191" i="33" s="1"/>
  <c r="E190" i="33"/>
  <c r="E189" i="33"/>
  <c r="G189" i="33" s="1"/>
  <c r="E188" i="33"/>
  <c r="E187" i="33"/>
  <c r="E186" i="33"/>
  <c r="E185" i="33"/>
  <c r="G185" i="33" s="1"/>
  <c r="E184" i="33"/>
  <c r="E183" i="33"/>
  <c r="E182" i="33"/>
  <c r="E181" i="33"/>
  <c r="G181" i="33" s="1"/>
  <c r="E180" i="33"/>
  <c r="E179" i="33"/>
  <c r="G179" i="33" s="1"/>
  <c r="E178" i="33"/>
  <c r="E177" i="33"/>
  <c r="G177" i="33" s="1"/>
  <c r="E176" i="33"/>
  <c r="E175" i="33"/>
  <c r="E174" i="33"/>
  <c r="G174" i="33" s="1"/>
  <c r="E173" i="33"/>
  <c r="E172" i="33"/>
  <c r="G172" i="33" s="1"/>
  <c r="E171" i="33"/>
  <c r="G171" i="33" s="1"/>
  <c r="E170" i="33"/>
  <c r="E169" i="33"/>
  <c r="G169" i="33" s="1"/>
  <c r="E168" i="33"/>
  <c r="G168" i="33" s="1"/>
  <c r="E167" i="33"/>
  <c r="E166" i="33"/>
  <c r="E165" i="33"/>
  <c r="E164" i="33"/>
  <c r="G164" i="33" s="1"/>
  <c r="E194" i="20"/>
  <c r="E182" i="20"/>
  <c r="E165" i="20"/>
  <c r="E196" i="159"/>
  <c r="G196" i="159" s="1"/>
  <c r="E195" i="159"/>
  <c r="G195" i="159" s="1"/>
  <c r="E194" i="159"/>
  <c r="G194" i="159" s="1"/>
  <c r="E193" i="159"/>
  <c r="G193" i="159" s="1"/>
  <c r="E192" i="159"/>
  <c r="E191" i="159"/>
  <c r="E190" i="159"/>
  <c r="E189" i="159"/>
  <c r="G189" i="159" s="1"/>
  <c r="E188" i="159"/>
  <c r="G188" i="159" s="1"/>
  <c r="E187" i="159"/>
  <c r="E186" i="159"/>
  <c r="G186" i="159" s="1"/>
  <c r="E185" i="159"/>
  <c r="E184" i="159"/>
  <c r="G184" i="159" s="1"/>
  <c r="E183" i="159"/>
  <c r="G183" i="159" s="1"/>
  <c r="E182" i="159"/>
  <c r="G182" i="159" s="1"/>
  <c r="E181" i="159"/>
  <c r="G181" i="159" s="1"/>
  <c r="E180" i="159"/>
  <c r="G180" i="159" s="1"/>
  <c r="E179" i="159"/>
  <c r="E178" i="159"/>
  <c r="G178" i="159" s="1"/>
  <c r="E177" i="159"/>
  <c r="G177" i="159" s="1"/>
  <c r="E176" i="159"/>
  <c r="E175" i="159"/>
  <c r="G175" i="159" s="1"/>
  <c r="E174" i="159"/>
  <c r="E173" i="159"/>
  <c r="G173" i="159" s="1"/>
  <c r="E172" i="159"/>
  <c r="E171" i="159"/>
  <c r="G171" i="159" s="1"/>
  <c r="E170" i="159"/>
  <c r="G170" i="159" s="1"/>
  <c r="E169" i="159"/>
  <c r="E168" i="159"/>
  <c r="E167" i="159"/>
  <c r="G167" i="159" s="1"/>
  <c r="E166" i="159"/>
  <c r="E165" i="159"/>
  <c r="E164" i="159"/>
  <c r="G164" i="159" s="1"/>
  <c r="E196" i="111"/>
  <c r="G196" i="111" s="1"/>
  <c r="E195" i="111"/>
  <c r="G195" i="111" s="1"/>
  <c r="E194" i="111"/>
  <c r="E193" i="111"/>
  <c r="E192" i="111"/>
  <c r="E191" i="111"/>
  <c r="G191" i="111" s="1"/>
  <c r="E190" i="111"/>
  <c r="G190" i="111" s="1"/>
  <c r="E189" i="111"/>
  <c r="G189" i="111" s="1"/>
  <c r="E188" i="111"/>
  <c r="E187" i="111"/>
  <c r="E186" i="111"/>
  <c r="E185" i="111"/>
  <c r="E184" i="111"/>
  <c r="E183" i="111"/>
  <c r="E182" i="111"/>
  <c r="G182" i="111" s="1"/>
  <c r="E181" i="111"/>
  <c r="E180" i="111"/>
  <c r="E179" i="111"/>
  <c r="E178" i="111"/>
  <c r="G178" i="111" s="1"/>
  <c r="E177" i="111"/>
  <c r="E176" i="111"/>
  <c r="E175" i="111"/>
  <c r="G175" i="111" s="1"/>
  <c r="E174" i="111"/>
  <c r="G174" i="111" s="1"/>
  <c r="E173" i="111"/>
  <c r="G173" i="111" s="1"/>
  <c r="E172" i="111"/>
  <c r="E171" i="111"/>
  <c r="G171" i="111" s="1"/>
  <c r="E170" i="111"/>
  <c r="E169" i="111"/>
  <c r="E168" i="111"/>
  <c r="E167" i="111"/>
  <c r="E166" i="111"/>
  <c r="G166" i="111" s="1"/>
  <c r="E165" i="111"/>
  <c r="E164" i="111"/>
  <c r="E196" i="21"/>
  <c r="E195" i="21"/>
  <c r="G195" i="21" s="1"/>
  <c r="E194" i="21"/>
  <c r="E193" i="21"/>
  <c r="E192" i="21"/>
  <c r="E191" i="21"/>
  <c r="E190" i="21"/>
  <c r="G190" i="21" s="1"/>
  <c r="E189" i="21"/>
  <c r="E188" i="21"/>
  <c r="E187" i="21"/>
  <c r="E186" i="21"/>
  <c r="G186" i="21" s="1"/>
  <c r="E185" i="21"/>
  <c r="E184" i="21"/>
  <c r="E183" i="21"/>
  <c r="G183" i="21" s="1"/>
  <c r="E182" i="21"/>
  <c r="E181" i="21"/>
  <c r="E180" i="21"/>
  <c r="E179" i="21"/>
  <c r="G179" i="21" s="1"/>
  <c r="E178" i="21"/>
  <c r="E177" i="21"/>
  <c r="E176" i="21"/>
  <c r="E175" i="21"/>
  <c r="G175" i="21" s="1"/>
  <c r="E174" i="21"/>
  <c r="E173" i="21"/>
  <c r="E172" i="21"/>
  <c r="G172" i="21" s="1"/>
  <c r="E171" i="21"/>
  <c r="E170" i="21"/>
  <c r="G170" i="21" s="1"/>
  <c r="E169" i="21"/>
  <c r="E168" i="21"/>
  <c r="E167" i="21"/>
  <c r="E166" i="21"/>
  <c r="E165" i="21"/>
  <c r="E164" i="21"/>
  <c r="G164" i="21" s="1"/>
  <c r="E188" i="85"/>
  <c r="E160" i="136"/>
  <c r="E159" i="136"/>
  <c r="E158" i="136"/>
  <c r="G158" i="136" s="1"/>
  <c r="E157" i="136"/>
  <c r="G157" i="136" s="1"/>
  <c r="E156" i="136"/>
  <c r="E155" i="136"/>
  <c r="E159" i="102"/>
  <c r="G159" i="102" s="1"/>
  <c r="E160" i="57"/>
  <c r="G160" i="57" s="1"/>
  <c r="E159" i="57"/>
  <c r="E158" i="57"/>
  <c r="E157" i="57"/>
  <c r="E156" i="57"/>
  <c r="E155" i="57"/>
  <c r="G155" i="57" s="1"/>
  <c r="E159" i="167"/>
  <c r="G159" i="167" s="1"/>
  <c r="E158" i="167"/>
  <c r="E160" i="135"/>
  <c r="E159" i="135"/>
  <c r="G159" i="135" s="1"/>
  <c r="E158" i="135"/>
  <c r="E157" i="135"/>
  <c r="E156" i="135"/>
  <c r="G156" i="135" s="1"/>
  <c r="E155" i="135"/>
  <c r="E160" i="33"/>
  <c r="E159" i="33"/>
  <c r="E158" i="33"/>
  <c r="G158" i="33" s="1"/>
  <c r="E157" i="33"/>
  <c r="G157" i="33" s="1"/>
  <c r="E156" i="33"/>
  <c r="E155" i="33"/>
  <c r="G155" i="33" s="1"/>
  <c r="E160" i="159"/>
  <c r="E159" i="159"/>
  <c r="E158" i="159"/>
  <c r="G158" i="159" s="1"/>
  <c r="E157" i="159"/>
  <c r="G157" i="159" s="1"/>
  <c r="E156" i="159"/>
  <c r="E155" i="159"/>
  <c r="G155" i="159" s="1"/>
  <c r="E160" i="111"/>
  <c r="G160" i="111" s="1"/>
  <c r="E159" i="111"/>
  <c r="E158" i="111"/>
  <c r="G158" i="111" s="1"/>
  <c r="E157" i="111"/>
  <c r="E156" i="111"/>
  <c r="E155" i="111"/>
  <c r="G155" i="111" s="1"/>
  <c r="E160" i="21"/>
  <c r="E159" i="21"/>
  <c r="E158" i="21"/>
  <c r="E157" i="21"/>
  <c r="E156" i="21"/>
  <c r="E155" i="21"/>
  <c r="E153" i="136"/>
  <c r="G153" i="136" s="1"/>
  <c r="E152" i="136"/>
  <c r="E151" i="136"/>
  <c r="E150" i="136"/>
  <c r="E149" i="136"/>
  <c r="E148" i="136"/>
  <c r="E147" i="136"/>
  <c r="G147" i="136" s="1"/>
  <c r="E146" i="136"/>
  <c r="G146" i="136" s="1"/>
  <c r="E145" i="136"/>
  <c r="E146" i="102"/>
  <c r="E148" i="45"/>
  <c r="E153" i="57"/>
  <c r="E152" i="57"/>
  <c r="E151" i="57"/>
  <c r="G151" i="57" s="1"/>
  <c r="E150" i="57"/>
  <c r="E149" i="57"/>
  <c r="E148" i="57"/>
  <c r="E147" i="57"/>
  <c r="E146" i="57"/>
  <c r="E145" i="57"/>
  <c r="E153" i="167"/>
  <c r="G153" i="167" s="1"/>
  <c r="E150" i="167"/>
  <c r="E149" i="167"/>
  <c r="E146" i="167"/>
  <c r="E145" i="167"/>
  <c r="E153" i="135"/>
  <c r="E152" i="135"/>
  <c r="G152" i="135" s="1"/>
  <c r="E151" i="135"/>
  <c r="G151" i="135" s="1"/>
  <c r="E150" i="135"/>
  <c r="E149" i="135"/>
  <c r="E148" i="135"/>
  <c r="G148" i="135" s="1"/>
  <c r="E147" i="135"/>
  <c r="E146" i="135"/>
  <c r="E145" i="135"/>
  <c r="E153" i="33"/>
  <c r="E152" i="33"/>
  <c r="E151" i="33"/>
  <c r="E150" i="33"/>
  <c r="E149" i="33"/>
  <c r="E148" i="33"/>
  <c r="E147" i="33"/>
  <c r="E146" i="33"/>
  <c r="G146" i="33" s="1"/>
  <c r="E145" i="33"/>
  <c r="E153" i="79"/>
  <c r="G153" i="79" s="1"/>
  <c r="E150" i="72"/>
  <c r="G150" i="72" s="1"/>
  <c r="E153" i="159"/>
  <c r="G153" i="159" s="1"/>
  <c r="E152" i="159"/>
  <c r="E151" i="159"/>
  <c r="G151" i="159" s="1"/>
  <c r="E150" i="159"/>
  <c r="E149" i="159"/>
  <c r="G149" i="159" s="1"/>
  <c r="E148" i="159"/>
  <c r="G148" i="159" s="1"/>
  <c r="E147" i="159"/>
  <c r="E146" i="159"/>
  <c r="G146" i="159" s="1"/>
  <c r="E145" i="159"/>
  <c r="E153" i="111"/>
  <c r="E152" i="111"/>
  <c r="G152" i="111" s="1"/>
  <c r="E151" i="111"/>
  <c r="G151" i="111" s="1"/>
  <c r="E150" i="111"/>
  <c r="E149" i="111"/>
  <c r="E148" i="111"/>
  <c r="E147" i="111"/>
  <c r="G147" i="111" s="1"/>
  <c r="E146" i="111"/>
  <c r="G146" i="111" s="1"/>
  <c r="E145" i="111"/>
  <c r="G145" i="111" s="1"/>
  <c r="E153" i="21"/>
  <c r="E152" i="21"/>
  <c r="E151" i="21"/>
  <c r="E150" i="21"/>
  <c r="E149" i="21"/>
  <c r="G149" i="21" s="1"/>
  <c r="E148" i="21"/>
  <c r="E147" i="21"/>
  <c r="E146" i="21"/>
  <c r="G146" i="21" s="1"/>
  <c r="E145" i="21"/>
  <c r="E151" i="85"/>
  <c r="E143" i="136"/>
  <c r="G143" i="136" s="1"/>
  <c r="E142" i="136"/>
  <c r="E141" i="136"/>
  <c r="E140" i="136"/>
  <c r="G140" i="136" s="1"/>
  <c r="E143" i="45"/>
  <c r="G143" i="45" s="1"/>
  <c r="E143" i="57"/>
  <c r="E142" i="57"/>
  <c r="G142" i="57" s="1"/>
  <c r="E141" i="57"/>
  <c r="G141" i="57" s="1"/>
  <c r="E140" i="57"/>
  <c r="G140" i="57" s="1"/>
  <c r="E141" i="167"/>
  <c r="E140" i="167"/>
  <c r="G140" i="167" s="1"/>
  <c r="E143" i="135"/>
  <c r="G143" i="135" s="1"/>
  <c r="E142" i="135"/>
  <c r="G142" i="135" s="1"/>
  <c r="E141" i="135"/>
  <c r="E140" i="135"/>
  <c r="G140" i="135" s="1"/>
  <c r="E143" i="33"/>
  <c r="G143" i="33" s="1"/>
  <c r="E142" i="33"/>
  <c r="E141" i="33"/>
  <c r="G141" i="33" s="1"/>
  <c r="E140" i="33"/>
  <c r="G140" i="33" s="1"/>
  <c r="E140" i="20"/>
  <c r="E143" i="159"/>
  <c r="E142" i="159"/>
  <c r="G142" i="159" s="1"/>
  <c r="E141" i="159"/>
  <c r="G141" i="159" s="1"/>
  <c r="E140" i="159"/>
  <c r="E143" i="111"/>
  <c r="G143" i="111" s="1"/>
  <c r="E142" i="111"/>
  <c r="G142" i="111" s="1"/>
  <c r="E141" i="111"/>
  <c r="E140" i="111"/>
  <c r="E143" i="21"/>
  <c r="G143" i="21" s="1"/>
  <c r="E142" i="21"/>
  <c r="E141" i="21"/>
  <c r="E140" i="21"/>
  <c r="G140" i="21" s="1"/>
  <c r="E142" i="85"/>
  <c r="E138" i="136"/>
  <c r="G138" i="136" s="1"/>
  <c r="E137" i="136"/>
  <c r="E136" i="136"/>
  <c r="E135" i="136"/>
  <c r="E138" i="57"/>
  <c r="E137" i="57"/>
  <c r="E136" i="57"/>
  <c r="E135" i="57"/>
  <c r="E136" i="167"/>
  <c r="E138" i="135"/>
  <c r="E137" i="135"/>
  <c r="G137" i="135" s="1"/>
  <c r="E136" i="135"/>
  <c r="E135" i="135"/>
  <c r="E138" i="33"/>
  <c r="E137" i="33"/>
  <c r="E136" i="33"/>
  <c r="E135" i="33"/>
  <c r="E138" i="159"/>
  <c r="E137" i="159"/>
  <c r="E136" i="159"/>
  <c r="G136" i="159" s="1"/>
  <c r="E135" i="159"/>
  <c r="G135" i="159" s="1"/>
  <c r="E138" i="111"/>
  <c r="G138" i="111" s="1"/>
  <c r="E137" i="111"/>
  <c r="G137" i="111" s="1"/>
  <c r="E136" i="111"/>
  <c r="G136" i="111" s="1"/>
  <c r="E135" i="111"/>
  <c r="G135" i="111" s="1"/>
  <c r="E138" i="21"/>
  <c r="E137" i="21"/>
  <c r="G137" i="21" s="1"/>
  <c r="E136" i="21"/>
  <c r="E135" i="21"/>
  <c r="G135" i="21" s="1"/>
  <c r="E133" i="136"/>
  <c r="E132" i="136"/>
  <c r="E131" i="136"/>
  <c r="G131" i="136" s="1"/>
  <c r="E130" i="136"/>
  <c r="E129" i="136"/>
  <c r="E133" i="57"/>
  <c r="E132" i="57"/>
  <c r="G132" i="57" s="1"/>
  <c r="E131" i="57"/>
  <c r="G131" i="57" s="1"/>
  <c r="E130" i="57"/>
  <c r="G130" i="57" s="1"/>
  <c r="E129" i="57"/>
  <c r="G129" i="57" s="1"/>
  <c r="E130" i="167"/>
  <c r="E133" i="135"/>
  <c r="G133" i="135" s="1"/>
  <c r="E132" i="135"/>
  <c r="G132" i="135" s="1"/>
  <c r="E131" i="135"/>
  <c r="G131" i="135" s="1"/>
  <c r="E130" i="135"/>
  <c r="G130" i="135" s="1"/>
  <c r="E129" i="135"/>
  <c r="E133" i="33"/>
  <c r="E132" i="33"/>
  <c r="G132" i="33" s="1"/>
  <c r="E131" i="33"/>
  <c r="G131" i="33" s="1"/>
  <c r="E130" i="33"/>
  <c r="G130" i="33" s="1"/>
  <c r="E129" i="33"/>
  <c r="G129" i="33" s="1"/>
  <c r="E130" i="20"/>
  <c r="G130" i="20" s="1"/>
  <c r="E133" i="159"/>
  <c r="G133" i="159" s="1"/>
  <c r="E132" i="159"/>
  <c r="G132" i="159" s="1"/>
  <c r="E131" i="159"/>
  <c r="G131" i="159" s="1"/>
  <c r="E130" i="159"/>
  <c r="E129" i="159"/>
  <c r="E133" i="111"/>
  <c r="E132" i="111"/>
  <c r="E131" i="111"/>
  <c r="G131" i="111" s="1"/>
  <c r="E130" i="111"/>
  <c r="E129" i="111"/>
  <c r="E133" i="21"/>
  <c r="G133" i="21" s="1"/>
  <c r="E132" i="21"/>
  <c r="E131" i="21"/>
  <c r="E130" i="21"/>
  <c r="G130" i="21" s="1"/>
  <c r="E129" i="21"/>
  <c r="E127" i="136"/>
  <c r="E126" i="136"/>
  <c r="E125" i="136"/>
  <c r="E124" i="136"/>
  <c r="E123" i="136"/>
  <c r="G123" i="136" s="1"/>
  <c r="E124" i="45"/>
  <c r="E127" i="57"/>
  <c r="G127" i="57" s="1"/>
  <c r="E126" i="57"/>
  <c r="G126" i="57" s="1"/>
  <c r="E125" i="57"/>
  <c r="E124" i="57"/>
  <c r="E123" i="57"/>
  <c r="E127" i="135"/>
  <c r="G127" i="135" s="1"/>
  <c r="E126" i="135"/>
  <c r="G126" i="135" s="1"/>
  <c r="E125" i="135"/>
  <c r="E124" i="135"/>
  <c r="E123" i="135"/>
  <c r="G123" i="135" s="1"/>
  <c r="E127" i="33"/>
  <c r="E126" i="33"/>
  <c r="E125" i="33"/>
  <c r="G125" i="33" s="1"/>
  <c r="E124" i="33"/>
  <c r="E123" i="33"/>
  <c r="E126" i="20"/>
  <c r="E127" i="159"/>
  <c r="G127" i="159" s="1"/>
  <c r="E126" i="159"/>
  <c r="G126" i="159" s="1"/>
  <c r="E125" i="159"/>
  <c r="E124" i="159"/>
  <c r="E123" i="159"/>
  <c r="G123" i="159" s="1"/>
  <c r="E127" i="111"/>
  <c r="E126" i="111"/>
  <c r="G126" i="111" s="1"/>
  <c r="E125" i="111"/>
  <c r="G125" i="111" s="1"/>
  <c r="E124" i="111"/>
  <c r="E123" i="111"/>
  <c r="G123" i="111" s="1"/>
  <c r="E127" i="21"/>
  <c r="G127" i="21" s="1"/>
  <c r="E126" i="21"/>
  <c r="G126" i="21" s="1"/>
  <c r="E125" i="21"/>
  <c r="E124" i="21"/>
  <c r="G124" i="21" s="1"/>
  <c r="E123" i="21"/>
  <c r="G123" i="21" s="1"/>
  <c r="E125" i="149"/>
  <c r="E118" i="136"/>
  <c r="E117" i="136"/>
  <c r="G117" i="136" s="1"/>
  <c r="E116" i="136"/>
  <c r="E115" i="136"/>
  <c r="E114" i="136"/>
  <c r="G114" i="136" s="1"/>
  <c r="E116" i="45"/>
  <c r="G116" i="45" s="1"/>
  <c r="E118" i="57"/>
  <c r="E117" i="57"/>
  <c r="E116" i="57"/>
  <c r="E115" i="57"/>
  <c r="G115" i="57" s="1"/>
  <c r="E114" i="57"/>
  <c r="E118" i="167"/>
  <c r="E114" i="167"/>
  <c r="E118" i="135"/>
  <c r="G118" i="135" s="1"/>
  <c r="E117" i="135"/>
  <c r="G117" i="135" s="1"/>
  <c r="E116" i="135"/>
  <c r="E115" i="135"/>
  <c r="E114" i="135"/>
  <c r="G114" i="135" s="1"/>
  <c r="E118" i="33"/>
  <c r="E117" i="33"/>
  <c r="E116" i="33"/>
  <c r="G116" i="33" s="1"/>
  <c r="E115" i="33"/>
  <c r="E114" i="33"/>
  <c r="G114" i="33" s="1"/>
  <c r="E117" i="20"/>
  <c r="E118" i="159"/>
  <c r="G118" i="159" s="1"/>
  <c r="E117" i="159"/>
  <c r="E116" i="159"/>
  <c r="E115" i="159"/>
  <c r="E114" i="159"/>
  <c r="G114" i="159" s="1"/>
  <c r="E118" i="111"/>
  <c r="E117" i="111"/>
  <c r="E116" i="111"/>
  <c r="G116" i="111" s="1"/>
  <c r="E115" i="111"/>
  <c r="E114" i="111"/>
  <c r="G114" i="111" s="1"/>
  <c r="E118" i="21"/>
  <c r="E117" i="21"/>
  <c r="G117" i="21" s="1"/>
  <c r="E116" i="21"/>
  <c r="E115" i="21"/>
  <c r="E114" i="21"/>
  <c r="E110" i="136"/>
  <c r="E109" i="136"/>
  <c r="E108" i="136"/>
  <c r="E107" i="136"/>
  <c r="E106" i="136"/>
  <c r="E105" i="136"/>
  <c r="G105" i="136" s="1"/>
  <c r="E108" i="102"/>
  <c r="E110" i="57"/>
  <c r="G110" i="57" s="1"/>
  <c r="E109" i="57"/>
  <c r="E108" i="57"/>
  <c r="E107" i="57"/>
  <c r="G107" i="57" s="1"/>
  <c r="E106" i="57"/>
  <c r="E105" i="57"/>
  <c r="G105" i="57" s="1"/>
  <c r="E107" i="167"/>
  <c r="G107" i="167" s="1"/>
  <c r="E110" i="135"/>
  <c r="G110" i="135" s="1"/>
  <c r="E109" i="135"/>
  <c r="G109" i="135" s="1"/>
  <c r="E108" i="135"/>
  <c r="E107" i="135"/>
  <c r="E106" i="135"/>
  <c r="E105" i="135"/>
  <c r="G105" i="135" s="1"/>
  <c r="E110" i="33"/>
  <c r="E109" i="33"/>
  <c r="E108" i="33"/>
  <c r="E107" i="33"/>
  <c r="E106" i="33"/>
  <c r="E105" i="33"/>
  <c r="E107" i="72"/>
  <c r="E110" i="159"/>
  <c r="E109" i="159"/>
  <c r="E108" i="159"/>
  <c r="G108" i="159" s="1"/>
  <c r="E107" i="159"/>
  <c r="G107" i="159" s="1"/>
  <c r="E106" i="159"/>
  <c r="E105" i="159"/>
  <c r="G105" i="159" s="1"/>
  <c r="E110" i="111"/>
  <c r="E109" i="111"/>
  <c r="G109" i="111" s="1"/>
  <c r="E108" i="111"/>
  <c r="E107" i="111"/>
  <c r="E106" i="111"/>
  <c r="G106" i="111" s="1"/>
  <c r="E105" i="111"/>
  <c r="G105" i="111" s="1"/>
  <c r="E110" i="21"/>
  <c r="E109" i="21"/>
  <c r="E108" i="21"/>
  <c r="E107" i="21"/>
  <c r="E106" i="21"/>
  <c r="E105" i="21"/>
  <c r="F119" i="103"/>
  <c r="F119" i="118"/>
  <c r="F119" i="60"/>
  <c r="F119" i="133"/>
  <c r="F119" i="54"/>
  <c r="F119" i="155"/>
  <c r="F119" i="156"/>
  <c r="F119" i="157"/>
  <c r="F119" i="158"/>
  <c r="F119" i="94"/>
  <c r="F119" i="145"/>
  <c r="F119" i="164"/>
  <c r="F119" i="15"/>
  <c r="F119" i="150"/>
  <c r="F119" i="68"/>
  <c r="F119" i="63"/>
  <c r="F119" i="62"/>
  <c r="F119" i="58"/>
  <c r="F119" i="136"/>
  <c r="F119" i="53"/>
  <c r="F119" i="98"/>
  <c r="F119" i="49"/>
  <c r="F119" i="47"/>
  <c r="F119" i="46"/>
  <c r="F119" i="104"/>
  <c r="F119" i="106"/>
  <c r="F119" i="57"/>
  <c r="F119" i="42"/>
  <c r="F119" i="71"/>
  <c r="F119" i="167"/>
  <c r="F119" i="39"/>
  <c r="F119" i="135"/>
  <c r="F119" i="38"/>
  <c r="F119" i="152"/>
  <c r="F119" i="120"/>
  <c r="F119" i="37"/>
  <c r="F119" i="90"/>
  <c r="F119" i="24"/>
  <c r="F119" i="141"/>
  <c r="F119" i="33"/>
  <c r="F119" i="32"/>
  <c r="F119" i="79"/>
  <c r="F119" i="31"/>
  <c r="F119" i="64"/>
  <c r="F119" i="72"/>
  <c r="F119" i="28"/>
  <c r="F119" i="65"/>
  <c r="F119" i="119"/>
  <c r="F119" i="25"/>
  <c r="F119" i="20"/>
  <c r="F119" i="159"/>
  <c r="F119" i="16"/>
  <c r="F119" i="27"/>
  <c r="F119" i="111"/>
  <c r="F119" i="165"/>
  <c r="F119" i="55"/>
  <c r="F119" i="21"/>
  <c r="F119" i="14"/>
  <c r="F119" i="85"/>
  <c r="F119" i="149"/>
  <c r="F119" i="143"/>
  <c r="F119" i="69"/>
  <c r="F119" i="86"/>
  <c r="F119" i="89"/>
  <c r="F119" i="142"/>
  <c r="F119" i="92"/>
  <c r="F119" i="113"/>
  <c r="F119" i="1"/>
  <c r="F119" i="50"/>
  <c r="F119" i="95"/>
  <c r="F119" i="43"/>
  <c r="F111" i="103"/>
  <c r="F111" i="118"/>
  <c r="F111" i="60"/>
  <c r="F111" i="133"/>
  <c r="F111" i="54"/>
  <c r="F111" i="155"/>
  <c r="F111" i="156"/>
  <c r="F111" i="157"/>
  <c r="F111" i="158"/>
  <c r="F111" i="94"/>
  <c r="F111" i="145"/>
  <c r="F111" i="164"/>
  <c r="F111" i="15"/>
  <c r="F111" i="150"/>
  <c r="F111" i="68"/>
  <c r="F111" i="63"/>
  <c r="F111" i="62"/>
  <c r="F111" i="58"/>
  <c r="F111" i="136"/>
  <c r="F111" i="53"/>
  <c r="F111" i="98"/>
  <c r="F111" i="49"/>
  <c r="F111" i="47"/>
  <c r="F111" i="46"/>
  <c r="F111" i="104"/>
  <c r="F111" i="106"/>
  <c r="F111" i="57"/>
  <c r="F111" i="42"/>
  <c r="F111" i="71"/>
  <c r="F111" i="167"/>
  <c r="F111" i="39"/>
  <c r="F111" i="135"/>
  <c r="F111" i="38"/>
  <c r="F111" i="152"/>
  <c r="F111" i="120"/>
  <c r="F111" i="37"/>
  <c r="F111" i="90"/>
  <c r="F111" i="24"/>
  <c r="F111" i="141"/>
  <c r="F111" i="33"/>
  <c r="F111" i="32"/>
  <c r="F111" i="79"/>
  <c r="F111" i="31"/>
  <c r="F111" i="64"/>
  <c r="F111" i="72"/>
  <c r="F111" i="28"/>
  <c r="F111" i="65"/>
  <c r="F111" i="119"/>
  <c r="F111" i="25"/>
  <c r="F111" i="20"/>
  <c r="F111" i="159"/>
  <c r="F111" i="16"/>
  <c r="F111" i="27"/>
  <c r="F111" i="111"/>
  <c r="F111" i="165"/>
  <c r="F111" i="55"/>
  <c r="F111" i="21"/>
  <c r="F111" i="14"/>
  <c r="F111" i="85"/>
  <c r="F111" i="149"/>
  <c r="F111" i="143"/>
  <c r="F111" i="69"/>
  <c r="F111" i="86"/>
  <c r="F111" i="89"/>
  <c r="F111" i="142"/>
  <c r="F111" i="92"/>
  <c r="F111" i="113"/>
  <c r="F111" i="1"/>
  <c r="F111" i="50"/>
  <c r="F111" i="95"/>
  <c r="F111" i="43"/>
  <c r="F102" i="103"/>
  <c r="F102" i="10"/>
  <c r="F102" i="118"/>
  <c r="F102" i="60"/>
  <c r="F102" i="133"/>
  <c r="F102" i="54"/>
  <c r="F102" i="155"/>
  <c r="F102" i="156"/>
  <c r="F102" i="157"/>
  <c r="F102" i="158"/>
  <c r="F102" i="94"/>
  <c r="F102" i="145"/>
  <c r="F102" i="164"/>
  <c r="F102" i="15"/>
  <c r="F102" i="150"/>
  <c r="F102" i="68"/>
  <c r="F102" i="63"/>
  <c r="F102" i="62"/>
  <c r="F102" i="58"/>
  <c r="F102" i="136"/>
  <c r="F102" i="53"/>
  <c r="F102" i="98"/>
  <c r="F102" i="49"/>
  <c r="F102" i="47"/>
  <c r="F102" i="46"/>
  <c r="F102" i="104"/>
  <c r="F102" i="106"/>
  <c r="F102" i="57"/>
  <c r="F102" i="42"/>
  <c r="F102" i="71"/>
  <c r="F102" i="167"/>
  <c r="F102" i="39"/>
  <c r="F102" i="135"/>
  <c r="F102" i="38"/>
  <c r="F102" i="152"/>
  <c r="F102" i="120"/>
  <c r="F102" i="37"/>
  <c r="F102" i="90"/>
  <c r="F102" i="24"/>
  <c r="F102" i="141"/>
  <c r="F102" i="33"/>
  <c r="F102" i="32"/>
  <c r="F102" i="79"/>
  <c r="F102" i="31"/>
  <c r="F102" i="64"/>
  <c r="F102" i="72"/>
  <c r="F102" i="28"/>
  <c r="F102" i="65"/>
  <c r="F102" i="119"/>
  <c r="F102" i="25"/>
  <c r="F102" i="20"/>
  <c r="F102" i="159"/>
  <c r="F102" i="16"/>
  <c r="F102" i="27"/>
  <c r="F102" i="111"/>
  <c r="F102" i="165"/>
  <c r="F102" i="55"/>
  <c r="F102" i="21"/>
  <c r="F102" i="14"/>
  <c r="F102" i="85"/>
  <c r="F102" i="149"/>
  <c r="F102" i="143"/>
  <c r="F102" i="69"/>
  <c r="F102" i="86"/>
  <c r="F102" i="89"/>
  <c r="F102" i="142"/>
  <c r="F102" i="92"/>
  <c r="F102" i="113"/>
  <c r="F102" i="1"/>
  <c r="F102" i="50"/>
  <c r="F102" i="95"/>
  <c r="F102" i="43"/>
  <c r="E101" i="136"/>
  <c r="G101" i="136" s="1"/>
  <c r="E100" i="136"/>
  <c r="E99" i="136"/>
  <c r="G99" i="136" s="1"/>
  <c r="E98" i="136"/>
  <c r="G98" i="136" s="1"/>
  <c r="E97" i="136"/>
  <c r="G97" i="136" s="1"/>
  <c r="E96" i="136"/>
  <c r="E96" i="102"/>
  <c r="E101" i="57"/>
  <c r="G101" i="57" s="1"/>
  <c r="E100" i="57"/>
  <c r="G100" i="57" s="1"/>
  <c r="E99" i="57"/>
  <c r="E98" i="57"/>
  <c r="E97" i="57"/>
  <c r="G97" i="57" s="1"/>
  <c r="E96" i="57"/>
  <c r="E100" i="167"/>
  <c r="E99" i="167"/>
  <c r="G99" i="167" s="1"/>
  <c r="E101" i="135"/>
  <c r="G101" i="135" s="1"/>
  <c r="E100" i="135"/>
  <c r="E99" i="135"/>
  <c r="G99" i="135" s="1"/>
  <c r="E98" i="135"/>
  <c r="E97" i="135"/>
  <c r="E96" i="135"/>
  <c r="E101" i="33"/>
  <c r="E100" i="33"/>
  <c r="E99" i="33"/>
  <c r="E98" i="33"/>
  <c r="G98" i="33" s="1"/>
  <c r="E97" i="33"/>
  <c r="G97" i="33" s="1"/>
  <c r="E96" i="33"/>
  <c r="E100" i="20"/>
  <c r="E101" i="159"/>
  <c r="E100" i="159"/>
  <c r="E99" i="159"/>
  <c r="E98" i="159"/>
  <c r="G98" i="159" s="1"/>
  <c r="E97" i="159"/>
  <c r="G97" i="159" s="1"/>
  <c r="E96" i="159"/>
  <c r="E101" i="111"/>
  <c r="E100" i="111"/>
  <c r="G100" i="111" s="1"/>
  <c r="E99" i="111"/>
  <c r="E98" i="111"/>
  <c r="E97" i="111"/>
  <c r="G97" i="111" s="1"/>
  <c r="E96" i="111"/>
  <c r="E101" i="21"/>
  <c r="E100" i="21"/>
  <c r="G100" i="21" s="1"/>
  <c r="E99" i="21"/>
  <c r="E98" i="21"/>
  <c r="G98" i="21" s="1"/>
  <c r="E97" i="21"/>
  <c r="G97" i="21" s="1"/>
  <c r="E96" i="21"/>
  <c r="G96" i="21" s="1"/>
  <c r="F93" i="103"/>
  <c r="F93" i="10"/>
  <c r="F93" i="118"/>
  <c r="F93" i="60"/>
  <c r="F93" i="133"/>
  <c r="F93" i="54"/>
  <c r="F93" i="155"/>
  <c r="F93" i="156"/>
  <c r="F93" i="157"/>
  <c r="F93" i="158"/>
  <c r="F93" i="94"/>
  <c r="F93" i="145"/>
  <c r="F93" i="164"/>
  <c r="F93" i="15"/>
  <c r="F93" i="150"/>
  <c r="F93" i="68"/>
  <c r="F93" i="63"/>
  <c r="F93" i="62"/>
  <c r="F93" i="58"/>
  <c r="F93" i="136"/>
  <c r="F93" i="53"/>
  <c r="F93" i="98"/>
  <c r="F93" i="49"/>
  <c r="F93" i="47"/>
  <c r="F93" i="46"/>
  <c r="F93" i="104"/>
  <c r="F93" i="106"/>
  <c r="F93" i="57"/>
  <c r="F93" i="42"/>
  <c r="F93" i="71"/>
  <c r="F93" i="167"/>
  <c r="F93" i="39"/>
  <c r="F93" i="135"/>
  <c r="F93" i="38"/>
  <c r="F93" i="152"/>
  <c r="F93" i="120"/>
  <c r="F93" i="37"/>
  <c r="F93" i="90"/>
  <c r="F93" i="24"/>
  <c r="F93" i="141"/>
  <c r="F93" i="33"/>
  <c r="F93" i="32"/>
  <c r="F93" i="79"/>
  <c r="F93" i="31"/>
  <c r="F93" i="64"/>
  <c r="F93" i="72"/>
  <c r="F93" i="28"/>
  <c r="F93" i="65"/>
  <c r="F93" i="119"/>
  <c r="F93" i="25"/>
  <c r="F93" i="20"/>
  <c r="F93" i="159"/>
  <c r="F93" i="16"/>
  <c r="F93" i="27"/>
  <c r="F93" i="111"/>
  <c r="F93" i="165"/>
  <c r="F93" i="55"/>
  <c r="F93" i="21"/>
  <c r="F93" i="14"/>
  <c r="F93" i="85"/>
  <c r="F93" i="149"/>
  <c r="F93" i="143"/>
  <c r="F93" i="69"/>
  <c r="F93" i="86"/>
  <c r="F93" i="89"/>
  <c r="F93" i="142"/>
  <c r="F93" i="92"/>
  <c r="F93" i="113"/>
  <c r="F93" i="1"/>
  <c r="F93" i="50"/>
  <c r="F93" i="95"/>
  <c r="F93" i="43"/>
  <c r="E92" i="136"/>
  <c r="E91" i="136"/>
  <c r="G91" i="136" s="1"/>
  <c r="E90" i="136"/>
  <c r="E89" i="136"/>
  <c r="E88" i="136"/>
  <c r="E87" i="136"/>
  <c r="E86" i="136"/>
  <c r="E85" i="136"/>
  <c r="E84" i="136"/>
  <c r="G84" i="136" s="1"/>
  <c r="E83" i="136"/>
  <c r="E82" i="136"/>
  <c r="E89" i="102"/>
  <c r="G89" i="102" s="1"/>
  <c r="E92" i="57"/>
  <c r="E91" i="57"/>
  <c r="E90" i="57"/>
  <c r="G90" i="57" s="1"/>
  <c r="E89" i="57"/>
  <c r="G89" i="57" s="1"/>
  <c r="E88" i="57"/>
  <c r="E87" i="57"/>
  <c r="G87" i="57" s="1"/>
  <c r="E86" i="57"/>
  <c r="E85" i="57"/>
  <c r="E84" i="57"/>
  <c r="E83" i="57"/>
  <c r="E82" i="57"/>
  <c r="G82" i="57" s="1"/>
  <c r="E92" i="167"/>
  <c r="G92" i="167" s="1"/>
  <c r="E88" i="167"/>
  <c r="E85" i="167"/>
  <c r="E84" i="167"/>
  <c r="G84" i="167" s="1"/>
  <c r="E92" i="135"/>
  <c r="G92" i="135" s="1"/>
  <c r="E91" i="135"/>
  <c r="E90" i="135"/>
  <c r="G90" i="135" s="1"/>
  <c r="E89" i="135"/>
  <c r="E88" i="135"/>
  <c r="E87" i="135"/>
  <c r="E86" i="135"/>
  <c r="E85" i="135"/>
  <c r="E84" i="135"/>
  <c r="G84" i="135" s="1"/>
  <c r="E83" i="135"/>
  <c r="G83" i="135" s="1"/>
  <c r="E82" i="135"/>
  <c r="G82" i="135" s="1"/>
  <c r="E82" i="37"/>
  <c r="E92" i="33"/>
  <c r="E91" i="33"/>
  <c r="E90" i="33"/>
  <c r="E89" i="33"/>
  <c r="G89" i="33" s="1"/>
  <c r="E88" i="33"/>
  <c r="G88" i="33" s="1"/>
  <c r="E87" i="33"/>
  <c r="G87" i="33" s="1"/>
  <c r="E86" i="33"/>
  <c r="E85" i="33"/>
  <c r="G85" i="33" s="1"/>
  <c r="E84" i="33"/>
  <c r="E83" i="33"/>
  <c r="E82" i="33"/>
  <c r="G82" i="33" s="1"/>
  <c r="E92" i="79"/>
  <c r="E92" i="159"/>
  <c r="G92" i="159" s="1"/>
  <c r="E91" i="159"/>
  <c r="G91" i="159" s="1"/>
  <c r="E90" i="159"/>
  <c r="G90" i="159" s="1"/>
  <c r="E89" i="159"/>
  <c r="G89" i="159" s="1"/>
  <c r="E88" i="159"/>
  <c r="G88" i="159" s="1"/>
  <c r="E87" i="159"/>
  <c r="E86" i="159"/>
  <c r="E85" i="159"/>
  <c r="G85" i="159" s="1"/>
  <c r="E84" i="159"/>
  <c r="E83" i="159"/>
  <c r="G83" i="159" s="1"/>
  <c r="E82" i="159"/>
  <c r="E92" i="111"/>
  <c r="E91" i="111"/>
  <c r="E90" i="111"/>
  <c r="E89" i="111"/>
  <c r="G89" i="111" s="1"/>
  <c r="E88" i="111"/>
  <c r="E87" i="111"/>
  <c r="G87" i="111" s="1"/>
  <c r="E86" i="111"/>
  <c r="E85" i="111"/>
  <c r="G85" i="111" s="1"/>
  <c r="E84" i="111"/>
  <c r="G84" i="111" s="1"/>
  <c r="E83" i="111"/>
  <c r="G83" i="111" s="1"/>
  <c r="E82" i="111"/>
  <c r="G82" i="111" s="1"/>
  <c r="E92" i="21"/>
  <c r="G92" i="21" s="1"/>
  <c r="E91" i="21"/>
  <c r="E90" i="21"/>
  <c r="G90" i="21" s="1"/>
  <c r="E89" i="21"/>
  <c r="E88" i="21"/>
  <c r="E87" i="21"/>
  <c r="G87" i="21" s="1"/>
  <c r="E86" i="21"/>
  <c r="E85" i="21"/>
  <c r="E84" i="21"/>
  <c r="E83" i="21"/>
  <c r="G83" i="21" s="1"/>
  <c r="E82" i="21"/>
  <c r="G82" i="21" s="1"/>
  <c r="E87" i="85"/>
  <c r="G87" i="85" s="1"/>
  <c r="F79" i="103"/>
  <c r="F79" i="10"/>
  <c r="F79" i="118"/>
  <c r="F79" i="60"/>
  <c r="F79" i="133"/>
  <c r="F79" i="54"/>
  <c r="F79" i="155"/>
  <c r="F79" i="156"/>
  <c r="F79" i="157"/>
  <c r="F79" i="158"/>
  <c r="F79" i="94"/>
  <c r="F79" i="145"/>
  <c r="F79" i="164"/>
  <c r="F79" i="15"/>
  <c r="F79" i="150"/>
  <c r="F79" i="68"/>
  <c r="F79" i="63"/>
  <c r="F79" i="62"/>
  <c r="F79" i="58"/>
  <c r="F79" i="136"/>
  <c r="F79" i="53"/>
  <c r="F79" i="98"/>
  <c r="F79" i="49"/>
  <c r="F79" i="47"/>
  <c r="F79" i="46"/>
  <c r="F79" i="104"/>
  <c r="F79" i="106"/>
  <c r="F79" i="57"/>
  <c r="F79" i="42"/>
  <c r="F79" i="71"/>
  <c r="F79" i="167"/>
  <c r="F79" i="39"/>
  <c r="F79" i="135"/>
  <c r="F79" i="38"/>
  <c r="F79" i="152"/>
  <c r="F79" i="120"/>
  <c r="F79" i="37"/>
  <c r="F79" i="90"/>
  <c r="F79" i="24"/>
  <c r="F79" i="141"/>
  <c r="F79" i="33"/>
  <c r="F79" i="32"/>
  <c r="F79" i="79"/>
  <c r="F79" i="31"/>
  <c r="F79" i="64"/>
  <c r="F79" i="72"/>
  <c r="F79" i="28"/>
  <c r="F79" i="65"/>
  <c r="F79" i="119"/>
  <c r="F79" i="25"/>
  <c r="F79" i="20"/>
  <c r="F79" i="159"/>
  <c r="F79" i="16"/>
  <c r="F79" i="27"/>
  <c r="F79" i="111"/>
  <c r="F79" i="165"/>
  <c r="F79" i="55"/>
  <c r="F79" i="21"/>
  <c r="F79" i="14"/>
  <c r="F79" i="85"/>
  <c r="F79" i="149"/>
  <c r="F79" i="143"/>
  <c r="F79" i="87"/>
  <c r="F79" i="69"/>
  <c r="F79" i="86"/>
  <c r="F79" i="89"/>
  <c r="F79" i="142"/>
  <c r="F79" i="92"/>
  <c r="F79" i="113"/>
  <c r="F79" i="1"/>
  <c r="F79" i="50"/>
  <c r="F79" i="95"/>
  <c r="F79" i="43"/>
  <c r="E78" i="136"/>
  <c r="G78" i="136" s="1"/>
  <c r="E77" i="136"/>
  <c r="E76" i="136"/>
  <c r="G76" i="136" s="1"/>
  <c r="E75" i="136"/>
  <c r="G75" i="136" s="1"/>
  <c r="E74" i="136"/>
  <c r="G74" i="136" s="1"/>
  <c r="E73" i="136"/>
  <c r="G73" i="136" s="1"/>
  <c r="E72" i="136"/>
  <c r="G72" i="136" s="1"/>
  <c r="E71" i="136"/>
  <c r="G71" i="136" s="1"/>
  <c r="E70" i="136"/>
  <c r="G70" i="136" s="1"/>
  <c r="E69" i="136"/>
  <c r="G69" i="136" s="1"/>
  <c r="E68" i="136"/>
  <c r="G68" i="136" s="1"/>
  <c r="E67" i="136"/>
  <c r="G67" i="136" s="1"/>
  <c r="E66" i="136"/>
  <c r="G66" i="136" s="1"/>
  <c r="E65" i="136"/>
  <c r="G65" i="136" s="1"/>
  <c r="E64" i="136"/>
  <c r="G64" i="136" s="1"/>
  <c r="E66" i="102"/>
  <c r="E78" i="57"/>
  <c r="E77" i="57"/>
  <c r="G77" i="57" s="1"/>
  <c r="E76" i="57"/>
  <c r="E75" i="57"/>
  <c r="E74" i="57"/>
  <c r="E73" i="57"/>
  <c r="E72" i="57"/>
  <c r="E71" i="57"/>
  <c r="G71" i="57" s="1"/>
  <c r="E70" i="57"/>
  <c r="G70" i="57" s="1"/>
  <c r="E69" i="57"/>
  <c r="E68" i="57"/>
  <c r="G68" i="57" s="1"/>
  <c r="E67" i="57"/>
  <c r="G67" i="57" s="1"/>
  <c r="E66" i="57"/>
  <c r="E65" i="57"/>
  <c r="G65" i="57" s="1"/>
  <c r="E64" i="57"/>
  <c r="E77" i="167"/>
  <c r="G77" i="167" s="1"/>
  <c r="E74" i="167"/>
  <c r="G74" i="167" s="1"/>
  <c r="E69" i="167"/>
  <c r="E66" i="167"/>
  <c r="E78" i="135"/>
  <c r="E77" i="135"/>
  <c r="E76" i="135"/>
  <c r="G76" i="135" s="1"/>
  <c r="E75" i="135"/>
  <c r="G75" i="135" s="1"/>
  <c r="E74" i="135"/>
  <c r="G74" i="135" s="1"/>
  <c r="E73" i="135"/>
  <c r="E72" i="135"/>
  <c r="E71" i="135"/>
  <c r="E70" i="135"/>
  <c r="E69" i="135"/>
  <c r="G69" i="135" s="1"/>
  <c r="E68" i="135"/>
  <c r="G68" i="135" s="1"/>
  <c r="E67" i="135"/>
  <c r="G67" i="135" s="1"/>
  <c r="E66" i="135"/>
  <c r="G66" i="135" s="1"/>
  <c r="E65" i="135"/>
  <c r="E64" i="135"/>
  <c r="G64" i="135" s="1"/>
  <c r="E78" i="33"/>
  <c r="G78" i="33" s="1"/>
  <c r="E77" i="33"/>
  <c r="E76" i="33"/>
  <c r="E75" i="33"/>
  <c r="E74" i="33"/>
  <c r="G74" i="33" s="1"/>
  <c r="E73" i="33"/>
  <c r="E72" i="33"/>
  <c r="E71" i="33"/>
  <c r="E70" i="33"/>
  <c r="E69" i="33"/>
  <c r="E68" i="33"/>
  <c r="E67" i="33"/>
  <c r="G67" i="33" s="1"/>
  <c r="E66" i="33"/>
  <c r="E65" i="33"/>
  <c r="E64" i="33"/>
  <c r="G64" i="33" s="1"/>
  <c r="E77" i="79"/>
  <c r="E78" i="72"/>
  <c r="E78" i="159"/>
  <c r="E77" i="159"/>
  <c r="G77" i="159" s="1"/>
  <c r="E76" i="159"/>
  <c r="G76" i="159" s="1"/>
  <c r="E75" i="159"/>
  <c r="E74" i="159"/>
  <c r="G74" i="159" s="1"/>
  <c r="E73" i="159"/>
  <c r="E72" i="159"/>
  <c r="G72" i="159" s="1"/>
  <c r="E71" i="159"/>
  <c r="G71" i="159" s="1"/>
  <c r="E70" i="159"/>
  <c r="E69" i="159"/>
  <c r="E68" i="159"/>
  <c r="G68" i="159" s="1"/>
  <c r="E67" i="159"/>
  <c r="G67" i="159" s="1"/>
  <c r="E66" i="159"/>
  <c r="G66" i="159" s="1"/>
  <c r="E65" i="159"/>
  <c r="E64" i="159"/>
  <c r="G64" i="159" s="1"/>
  <c r="E78" i="111"/>
  <c r="E77" i="111"/>
  <c r="G77" i="111" s="1"/>
  <c r="E76" i="111"/>
  <c r="E75" i="111"/>
  <c r="G75" i="111" s="1"/>
  <c r="E74" i="111"/>
  <c r="E73" i="111"/>
  <c r="E72" i="111"/>
  <c r="G72" i="111" s="1"/>
  <c r="E71" i="111"/>
  <c r="G71" i="111" s="1"/>
  <c r="E70" i="111"/>
  <c r="E69" i="111"/>
  <c r="G69" i="111" s="1"/>
  <c r="E68" i="111"/>
  <c r="E67" i="111"/>
  <c r="E66" i="111"/>
  <c r="E65" i="111"/>
  <c r="E64" i="111"/>
  <c r="G64" i="111" s="1"/>
  <c r="E78" i="21"/>
  <c r="E77" i="21"/>
  <c r="E76" i="21"/>
  <c r="G76" i="21" s="1"/>
  <c r="E75" i="21"/>
  <c r="E74" i="21"/>
  <c r="E73" i="21"/>
  <c r="E72" i="21"/>
  <c r="E71" i="21"/>
  <c r="G71" i="21" s="1"/>
  <c r="E70" i="21"/>
  <c r="E69" i="21"/>
  <c r="E68" i="21"/>
  <c r="G68" i="21" s="1"/>
  <c r="E67" i="21"/>
  <c r="G67" i="21" s="1"/>
  <c r="E66" i="21"/>
  <c r="E65" i="21"/>
  <c r="E64" i="21"/>
  <c r="G64" i="21" s="1"/>
  <c r="E71" i="85"/>
  <c r="E67" i="85"/>
  <c r="E77" i="149"/>
  <c r="F61" i="10"/>
  <c r="F61" i="118"/>
  <c r="F61" i="60"/>
  <c r="F61" i="133"/>
  <c r="F61" i="54"/>
  <c r="F61" i="155"/>
  <c r="F61" i="156"/>
  <c r="F61" i="157"/>
  <c r="F61" i="158"/>
  <c r="F61" i="94"/>
  <c r="F61" i="145"/>
  <c r="F61" i="164"/>
  <c r="F61" i="15"/>
  <c r="F61" i="150"/>
  <c r="F61" i="68"/>
  <c r="F61" i="63"/>
  <c r="F61" i="62"/>
  <c r="F61" i="58"/>
  <c r="F61" i="136"/>
  <c r="F61" i="53"/>
  <c r="F61" i="98"/>
  <c r="F61" i="49"/>
  <c r="F61" i="47"/>
  <c r="F61" i="46"/>
  <c r="F61" i="104"/>
  <c r="F61" i="106"/>
  <c r="F61" i="57"/>
  <c r="F61" i="42"/>
  <c r="F61" i="71"/>
  <c r="F61" i="167"/>
  <c r="F61" i="39"/>
  <c r="F61" i="135"/>
  <c r="F61" i="38"/>
  <c r="F61" i="152"/>
  <c r="F61" i="120"/>
  <c r="F61" i="37"/>
  <c r="F61" i="90"/>
  <c r="F61" i="24"/>
  <c r="F61" i="141"/>
  <c r="F61" i="33"/>
  <c r="F61" i="32"/>
  <c r="F61" i="79"/>
  <c r="F61" i="31"/>
  <c r="F61" i="64"/>
  <c r="F61" i="72"/>
  <c r="F61" i="28"/>
  <c r="F61" i="65"/>
  <c r="F61" i="119"/>
  <c r="F61" i="25"/>
  <c r="F61" i="20"/>
  <c r="F61" i="159"/>
  <c r="F61" i="16"/>
  <c r="F61" i="27"/>
  <c r="F61" i="165"/>
  <c r="F61" i="55"/>
  <c r="F61" i="21"/>
  <c r="F61" i="14"/>
  <c r="F61" i="85"/>
  <c r="F61" i="149"/>
  <c r="F61" i="143"/>
  <c r="F61" i="69"/>
  <c r="F61" i="86"/>
  <c r="F61" i="89"/>
  <c r="F61" i="142"/>
  <c r="F61" i="92"/>
  <c r="F61" i="113"/>
  <c r="F61" i="1"/>
  <c r="F61" i="50"/>
  <c r="F61" i="95"/>
  <c r="F61" i="43"/>
  <c r="E60" i="136"/>
  <c r="G60" i="136" s="1"/>
  <c r="E59" i="136"/>
  <c r="G59" i="136" s="1"/>
  <c r="E58" i="136"/>
  <c r="G58" i="136" s="1"/>
  <c r="E57" i="136"/>
  <c r="E56" i="136"/>
  <c r="G56" i="136" s="1"/>
  <c r="E55" i="136"/>
  <c r="E54" i="136"/>
  <c r="E53" i="136"/>
  <c r="G53" i="136" s="1"/>
  <c r="E52" i="136"/>
  <c r="E51" i="136"/>
  <c r="E50" i="136"/>
  <c r="E49" i="136"/>
  <c r="E48" i="136"/>
  <c r="E47" i="136"/>
  <c r="E46" i="136"/>
  <c r="G46" i="136" s="1"/>
  <c r="E45" i="136"/>
  <c r="E44" i="136"/>
  <c r="G44" i="136" s="1"/>
  <c r="E43" i="136"/>
  <c r="E42" i="136"/>
  <c r="E41" i="136"/>
  <c r="G41" i="136" s="1"/>
  <c r="E40" i="136"/>
  <c r="E39" i="136"/>
  <c r="E38" i="136"/>
  <c r="G38" i="136" s="1"/>
  <c r="E37" i="136"/>
  <c r="G37" i="136" s="1"/>
  <c r="E36" i="136"/>
  <c r="E35" i="136"/>
  <c r="G35" i="136" s="1"/>
  <c r="E34" i="136"/>
  <c r="G34" i="136" s="1"/>
  <c r="E33" i="136"/>
  <c r="G33" i="136" s="1"/>
  <c r="E32" i="136"/>
  <c r="E31" i="136"/>
  <c r="E30" i="136"/>
  <c r="G30" i="136" s="1"/>
  <c r="E29" i="136"/>
  <c r="E28" i="136"/>
  <c r="G28" i="136" s="1"/>
  <c r="E27" i="136"/>
  <c r="G27" i="136" s="1"/>
  <c r="E26" i="136"/>
  <c r="G26" i="136" s="1"/>
  <c r="E25" i="136"/>
  <c r="E55" i="102"/>
  <c r="G55" i="102" s="1"/>
  <c r="E52" i="102"/>
  <c r="E48" i="102"/>
  <c r="E44" i="102"/>
  <c r="G44" i="102" s="1"/>
  <c r="E40" i="102"/>
  <c r="E36" i="102"/>
  <c r="E32" i="102"/>
  <c r="E57" i="45"/>
  <c r="E49" i="45"/>
  <c r="E45" i="45"/>
  <c r="E25" i="45"/>
  <c r="E60" i="57"/>
  <c r="G60" i="57" s="1"/>
  <c r="E59" i="57"/>
  <c r="G59" i="57" s="1"/>
  <c r="E58" i="57"/>
  <c r="E57" i="57"/>
  <c r="E56" i="57"/>
  <c r="E55" i="57"/>
  <c r="E54" i="57"/>
  <c r="E53" i="57"/>
  <c r="G53" i="57" s="1"/>
  <c r="E52" i="57"/>
  <c r="G52" i="57" s="1"/>
  <c r="E51" i="57"/>
  <c r="G51" i="57" s="1"/>
  <c r="E50" i="57"/>
  <c r="G50" i="57" s="1"/>
  <c r="E49" i="57"/>
  <c r="E48" i="57"/>
  <c r="E47" i="57"/>
  <c r="E46" i="57"/>
  <c r="E45" i="57"/>
  <c r="G45" i="57" s="1"/>
  <c r="E44" i="57"/>
  <c r="E43" i="57"/>
  <c r="E42" i="57"/>
  <c r="E41" i="57"/>
  <c r="E40" i="57"/>
  <c r="G40" i="57" s="1"/>
  <c r="E39" i="57"/>
  <c r="G39" i="57" s="1"/>
  <c r="E38" i="57"/>
  <c r="E37" i="57"/>
  <c r="G37" i="57" s="1"/>
  <c r="E36" i="57"/>
  <c r="E35" i="57"/>
  <c r="E34" i="57"/>
  <c r="E33" i="57"/>
  <c r="E32" i="57"/>
  <c r="E31" i="57"/>
  <c r="G31" i="57" s="1"/>
  <c r="E30" i="57"/>
  <c r="E29" i="57"/>
  <c r="G29" i="57" s="1"/>
  <c r="E28" i="57"/>
  <c r="G28" i="57" s="1"/>
  <c r="E27" i="57"/>
  <c r="G27" i="57" s="1"/>
  <c r="E26" i="57"/>
  <c r="E25" i="57"/>
  <c r="E58" i="167"/>
  <c r="G58" i="167" s="1"/>
  <c r="E55" i="167"/>
  <c r="E54" i="167"/>
  <c r="G54" i="167" s="1"/>
  <c r="E50" i="167"/>
  <c r="G50" i="167" s="1"/>
  <c r="E47" i="167"/>
  <c r="E46" i="167"/>
  <c r="G46" i="167" s="1"/>
  <c r="E42" i="167"/>
  <c r="E39" i="167"/>
  <c r="G39" i="167" s="1"/>
  <c r="E38" i="167"/>
  <c r="E34" i="167"/>
  <c r="E31" i="167"/>
  <c r="E30" i="167"/>
  <c r="G30" i="167" s="1"/>
  <c r="E26" i="167"/>
  <c r="E60" i="135"/>
  <c r="E59" i="135"/>
  <c r="E58" i="135"/>
  <c r="G58" i="135" s="1"/>
  <c r="E57" i="135"/>
  <c r="E56" i="135"/>
  <c r="E55" i="135"/>
  <c r="E54" i="135"/>
  <c r="E53" i="135"/>
  <c r="E52" i="135"/>
  <c r="E51" i="135"/>
  <c r="G51" i="135" s="1"/>
  <c r="E50" i="135"/>
  <c r="G50" i="135" s="1"/>
  <c r="E49" i="135"/>
  <c r="E48" i="135"/>
  <c r="E47" i="135"/>
  <c r="E46" i="135"/>
  <c r="E45" i="135"/>
  <c r="E44" i="135"/>
  <c r="E43" i="135"/>
  <c r="E42" i="135"/>
  <c r="E41" i="135"/>
  <c r="G41" i="135" s="1"/>
  <c r="E40" i="135"/>
  <c r="E39" i="135"/>
  <c r="G39" i="135" s="1"/>
  <c r="E38" i="135"/>
  <c r="G38" i="135" s="1"/>
  <c r="E37" i="135"/>
  <c r="G37" i="135" s="1"/>
  <c r="E36" i="135"/>
  <c r="E35" i="135"/>
  <c r="G35" i="135" s="1"/>
  <c r="E34" i="135"/>
  <c r="E33" i="135"/>
  <c r="E32" i="135"/>
  <c r="E31" i="135"/>
  <c r="E30" i="135"/>
  <c r="G30" i="135" s="1"/>
  <c r="E29" i="135"/>
  <c r="E28" i="135"/>
  <c r="E27" i="135"/>
  <c r="G27" i="135" s="1"/>
  <c r="E26" i="135"/>
  <c r="E25" i="135"/>
  <c r="G25" i="135" s="1"/>
  <c r="E60" i="33"/>
  <c r="E59" i="33"/>
  <c r="E58" i="33"/>
  <c r="E57" i="33"/>
  <c r="E56" i="33"/>
  <c r="G56" i="33" s="1"/>
  <c r="E55" i="33"/>
  <c r="E54" i="33"/>
  <c r="E53" i="33"/>
  <c r="E52" i="33"/>
  <c r="G52" i="33" s="1"/>
  <c r="E51" i="33"/>
  <c r="E50" i="33"/>
  <c r="E49" i="33"/>
  <c r="G49" i="33" s="1"/>
  <c r="E48" i="33"/>
  <c r="E47" i="33"/>
  <c r="G47" i="33" s="1"/>
  <c r="E46" i="33"/>
  <c r="G46" i="33" s="1"/>
  <c r="E45" i="33"/>
  <c r="E44" i="33"/>
  <c r="G44" i="33" s="1"/>
  <c r="E43" i="33"/>
  <c r="E42" i="33"/>
  <c r="E41" i="33"/>
  <c r="G41" i="33" s="1"/>
  <c r="E40" i="33"/>
  <c r="G40" i="33" s="1"/>
  <c r="E39" i="33"/>
  <c r="E38" i="33"/>
  <c r="E37" i="33"/>
  <c r="E36" i="33"/>
  <c r="G36" i="33" s="1"/>
  <c r="E35" i="33"/>
  <c r="E34" i="33"/>
  <c r="G34" i="33" s="1"/>
  <c r="E33" i="33"/>
  <c r="E32" i="33"/>
  <c r="G32" i="33" s="1"/>
  <c r="E31" i="33"/>
  <c r="G31" i="33" s="1"/>
  <c r="E30" i="33"/>
  <c r="E29" i="33"/>
  <c r="E28" i="33"/>
  <c r="E27" i="33"/>
  <c r="E26" i="33"/>
  <c r="E25" i="33"/>
  <c r="E43" i="72"/>
  <c r="E31" i="72"/>
  <c r="E39" i="20"/>
  <c r="E60" i="159"/>
  <c r="E59" i="159"/>
  <c r="E58" i="159"/>
  <c r="E57" i="159"/>
  <c r="E56" i="159"/>
  <c r="E55" i="159"/>
  <c r="G55" i="159" s="1"/>
  <c r="E54" i="159"/>
  <c r="G54" i="159" s="1"/>
  <c r="E53" i="159"/>
  <c r="E52" i="159"/>
  <c r="G52" i="159" s="1"/>
  <c r="E51" i="159"/>
  <c r="E50" i="159"/>
  <c r="E49" i="159"/>
  <c r="E48" i="159"/>
  <c r="G48" i="159" s="1"/>
  <c r="E47" i="159"/>
  <c r="E46" i="159"/>
  <c r="E45" i="159"/>
  <c r="G45" i="159" s="1"/>
  <c r="E44" i="159"/>
  <c r="G44" i="159" s="1"/>
  <c r="E43" i="159"/>
  <c r="E42" i="159"/>
  <c r="E41" i="159"/>
  <c r="E40" i="159"/>
  <c r="G40" i="159" s="1"/>
  <c r="E39" i="159"/>
  <c r="G39" i="159" s="1"/>
  <c r="E38" i="159"/>
  <c r="E37" i="159"/>
  <c r="E36" i="159"/>
  <c r="G36" i="159" s="1"/>
  <c r="E35" i="159"/>
  <c r="E34" i="159"/>
  <c r="G34" i="159" s="1"/>
  <c r="E33" i="159"/>
  <c r="G33" i="159" s="1"/>
  <c r="E32" i="159"/>
  <c r="E31" i="159"/>
  <c r="E30" i="159"/>
  <c r="G30" i="159" s="1"/>
  <c r="E29" i="159"/>
  <c r="G29" i="159" s="1"/>
  <c r="E28" i="159"/>
  <c r="G28" i="159" s="1"/>
  <c r="E27" i="159"/>
  <c r="E26" i="159"/>
  <c r="E25" i="159"/>
  <c r="E60" i="111"/>
  <c r="E59" i="111"/>
  <c r="G59" i="111" s="1"/>
  <c r="E58" i="111"/>
  <c r="E57" i="111"/>
  <c r="E56" i="111"/>
  <c r="E55" i="111"/>
  <c r="E54" i="111"/>
  <c r="G54" i="111" s="1"/>
  <c r="E53" i="111"/>
  <c r="E52" i="111"/>
  <c r="G52" i="111" s="1"/>
  <c r="E51" i="111"/>
  <c r="E50" i="111"/>
  <c r="E49" i="111"/>
  <c r="G49" i="111" s="1"/>
  <c r="E48" i="111"/>
  <c r="G48" i="111" s="1"/>
  <c r="E47" i="111"/>
  <c r="E46" i="111"/>
  <c r="G46" i="111" s="1"/>
  <c r="E45" i="111"/>
  <c r="G45" i="111" s="1"/>
  <c r="E44" i="111"/>
  <c r="G44" i="111" s="1"/>
  <c r="E43" i="111"/>
  <c r="E42" i="111"/>
  <c r="G42" i="111" s="1"/>
  <c r="E41" i="111"/>
  <c r="E40" i="111"/>
  <c r="E39" i="111"/>
  <c r="E38" i="111"/>
  <c r="E37" i="111"/>
  <c r="E36" i="111"/>
  <c r="G36" i="111" s="1"/>
  <c r="E35" i="111"/>
  <c r="E34" i="111"/>
  <c r="E33" i="111"/>
  <c r="G33" i="111" s="1"/>
  <c r="E32" i="111"/>
  <c r="G32" i="111" s="1"/>
  <c r="E31" i="111"/>
  <c r="E30" i="111"/>
  <c r="G30" i="111" s="1"/>
  <c r="E29" i="111"/>
  <c r="E28" i="111"/>
  <c r="G28" i="111" s="1"/>
  <c r="E27" i="111"/>
  <c r="E26" i="111"/>
  <c r="G26" i="111" s="1"/>
  <c r="E25" i="111"/>
  <c r="E60" i="21"/>
  <c r="E59" i="21"/>
  <c r="E58" i="21"/>
  <c r="E57" i="21"/>
  <c r="E56" i="21"/>
  <c r="G56" i="21" s="1"/>
  <c r="E55" i="21"/>
  <c r="E54" i="21"/>
  <c r="E53" i="21"/>
  <c r="E52" i="21"/>
  <c r="G52" i="21" s="1"/>
  <c r="E51" i="21"/>
  <c r="E50" i="21"/>
  <c r="E49" i="21"/>
  <c r="E48" i="21"/>
  <c r="E47" i="21"/>
  <c r="E46" i="21"/>
  <c r="E45" i="21"/>
  <c r="E44" i="21"/>
  <c r="G44" i="21" s="1"/>
  <c r="E43" i="21"/>
  <c r="E42" i="21"/>
  <c r="G42" i="21" s="1"/>
  <c r="E41" i="21"/>
  <c r="E40" i="21"/>
  <c r="E39" i="21"/>
  <c r="G39" i="21" s="1"/>
  <c r="E38" i="21"/>
  <c r="E37" i="21"/>
  <c r="E36" i="21"/>
  <c r="E35" i="21"/>
  <c r="E34" i="21"/>
  <c r="G34" i="21" s="1"/>
  <c r="E33" i="21"/>
  <c r="E32" i="21"/>
  <c r="G32" i="21" s="1"/>
  <c r="E31" i="21"/>
  <c r="E30" i="21"/>
  <c r="G30" i="21" s="1"/>
  <c r="E29" i="21"/>
  <c r="E28" i="21"/>
  <c r="E27" i="21"/>
  <c r="E26" i="21"/>
  <c r="G26" i="21" s="1"/>
  <c r="E25" i="21"/>
  <c r="E60" i="85"/>
  <c r="E56" i="85"/>
  <c r="G56" i="85" s="1"/>
  <c r="E52" i="85"/>
  <c r="E49" i="85"/>
  <c r="E48" i="85"/>
  <c r="E45" i="85"/>
  <c r="G45" i="85" s="1"/>
  <c r="E41" i="85"/>
  <c r="E33" i="85"/>
  <c r="G33" i="85" s="1"/>
  <c r="E32" i="85"/>
  <c r="E25" i="149"/>
  <c r="E233" i="167"/>
  <c r="G233" i="167" s="1"/>
  <c r="E232" i="167"/>
  <c r="F228" i="167"/>
  <c r="E226" i="167"/>
  <c r="E225" i="167"/>
  <c r="E224" i="167"/>
  <c r="E223" i="167"/>
  <c r="E222" i="167"/>
  <c r="K208" i="167"/>
  <c r="J208" i="167"/>
  <c r="F21" i="167"/>
  <c r="E19" i="167"/>
  <c r="E18" i="167"/>
  <c r="E14" i="167"/>
  <c r="E11" i="167"/>
  <c r="E15" i="167"/>
  <c r="G15" i="167" s="1"/>
  <c r="E233" i="165"/>
  <c r="G233" i="165" s="1"/>
  <c r="F228" i="165"/>
  <c r="K208" i="165"/>
  <c r="K18" i="165" s="1"/>
  <c r="J208" i="165"/>
  <c r="K17" i="165" s="1"/>
  <c r="F21" i="165"/>
  <c r="E233" i="164"/>
  <c r="F228" i="164"/>
  <c r="K208" i="164"/>
  <c r="J208" i="164"/>
  <c r="F21" i="164"/>
  <c r="E233" i="159"/>
  <c r="G233" i="159" s="1"/>
  <c r="F228" i="159"/>
  <c r="E227" i="159"/>
  <c r="E225" i="159"/>
  <c r="E224" i="159"/>
  <c r="K208" i="159"/>
  <c r="J208" i="159"/>
  <c r="F21" i="159"/>
  <c r="E18" i="159"/>
  <c r="E16" i="159"/>
  <c r="E12" i="159"/>
  <c r="G12" i="159" s="1"/>
  <c r="F228" i="158"/>
  <c r="K208" i="158"/>
  <c r="K18" i="158" s="1"/>
  <c r="J208" i="158"/>
  <c r="K17" i="158" s="1"/>
  <c r="F21" i="158"/>
  <c r="E233" i="157"/>
  <c r="F228" i="157"/>
  <c r="K208" i="157"/>
  <c r="J208" i="157"/>
  <c r="F21" i="157"/>
  <c r="F228" i="156"/>
  <c r="K208" i="156"/>
  <c r="K18" i="156" s="1"/>
  <c r="J208" i="156"/>
  <c r="F21" i="156"/>
  <c r="F228" i="155"/>
  <c r="K208" i="155"/>
  <c r="K18" i="155" s="1"/>
  <c r="J208" i="155"/>
  <c r="F21" i="155"/>
  <c r="G233" i="157"/>
  <c r="E222" i="159"/>
  <c r="E13" i="159"/>
  <c r="G13" i="159" s="1"/>
  <c r="E223" i="159"/>
  <c r="E19" i="159"/>
  <c r="E221" i="159"/>
  <c r="G221" i="159" s="1"/>
  <c r="E14" i="159"/>
  <c r="E17" i="159"/>
  <c r="G17" i="159" s="1"/>
  <c r="E20" i="159"/>
  <c r="G20" i="159" s="1"/>
  <c r="E232" i="159"/>
  <c r="E15" i="159"/>
  <c r="G15" i="159" s="1"/>
  <c r="E220" i="159"/>
  <c r="E231" i="159"/>
  <c r="E11" i="159"/>
  <c r="E226" i="159"/>
  <c r="J208" i="152"/>
  <c r="K208" i="152"/>
  <c r="E233" i="152"/>
  <c r="G233" i="152" s="1"/>
  <c r="F228" i="152"/>
  <c r="F21" i="152"/>
  <c r="E233" i="150"/>
  <c r="F228" i="150"/>
  <c r="K208" i="150"/>
  <c r="K18" i="150" s="1"/>
  <c r="J208" i="150"/>
  <c r="F21" i="150"/>
  <c r="E232" i="149"/>
  <c r="F228" i="149"/>
  <c r="K208" i="149"/>
  <c r="J208" i="149"/>
  <c r="F21" i="149"/>
  <c r="E221" i="149"/>
  <c r="G221" i="149" s="1"/>
  <c r="E14" i="149"/>
  <c r="E18" i="149"/>
  <c r="E222" i="149"/>
  <c r="F21" i="84"/>
  <c r="K208" i="10"/>
  <c r="K208" i="118"/>
  <c r="K208" i="60"/>
  <c r="K208" i="133"/>
  <c r="K208" i="54"/>
  <c r="K18" i="54" s="1"/>
  <c r="K208" i="145"/>
  <c r="K208" i="94"/>
  <c r="K18" i="94" s="1"/>
  <c r="K208" i="68"/>
  <c r="K208" i="63"/>
  <c r="K18" i="63" s="1"/>
  <c r="K208" i="62"/>
  <c r="K18" i="62" s="1"/>
  <c r="K208" i="58"/>
  <c r="K208" i="136"/>
  <c r="K18" i="136" s="1"/>
  <c r="K208" i="53"/>
  <c r="K18" i="53" s="1"/>
  <c r="K208" i="98"/>
  <c r="K18" i="98" s="1"/>
  <c r="K208" i="49"/>
  <c r="K18" i="49" s="1"/>
  <c r="K208" i="83"/>
  <c r="K208" i="47"/>
  <c r="K18" i="47" s="1"/>
  <c r="K208" i="46"/>
  <c r="K18" i="46" s="1"/>
  <c r="K208" i="102"/>
  <c r="K208" i="45"/>
  <c r="K208" i="104"/>
  <c r="K208" i="106"/>
  <c r="K18" i="106" s="1"/>
  <c r="K208" i="43"/>
  <c r="K208" i="42"/>
  <c r="K208" i="84"/>
  <c r="K18" i="84" s="1"/>
  <c r="K208" i="39"/>
  <c r="K208" i="135"/>
  <c r="K208" i="38"/>
  <c r="K208" i="120"/>
  <c r="K208" i="37"/>
  <c r="K18" i="37" s="1"/>
  <c r="K208" i="90"/>
  <c r="K208" i="24"/>
  <c r="K18" i="24" s="1"/>
  <c r="K208" i="141"/>
  <c r="K208" i="32"/>
  <c r="K208" i="79"/>
  <c r="K208" i="31"/>
  <c r="K18" i="31" s="1"/>
  <c r="K208" i="64"/>
  <c r="K208" i="28"/>
  <c r="K18" i="28" s="1"/>
  <c r="K208" i="27"/>
  <c r="K18" i="27" s="1"/>
  <c r="K208" i="119"/>
  <c r="K208" i="25"/>
  <c r="K18" i="25" s="1"/>
  <c r="K208" i="20"/>
  <c r="K208" i="16"/>
  <c r="K208" i="111"/>
  <c r="K208" i="55"/>
  <c r="K208" i="21"/>
  <c r="K208" i="14"/>
  <c r="K18" i="14" s="1"/>
  <c r="K208" i="85"/>
  <c r="K208" i="143"/>
  <c r="K208" i="87"/>
  <c r="K208" i="69"/>
  <c r="K208" i="86"/>
  <c r="K208" i="89"/>
  <c r="K208" i="142"/>
  <c r="K208" i="92"/>
  <c r="K18" i="92" s="1"/>
  <c r="K208" i="1"/>
  <c r="K208" i="50"/>
  <c r="K18" i="50" s="1"/>
  <c r="K208" i="95"/>
  <c r="K208" i="103"/>
  <c r="K18" i="103" s="1"/>
  <c r="J208" i="10"/>
  <c r="K17" i="10" s="1"/>
  <c r="J208" i="118"/>
  <c r="J208" i="60"/>
  <c r="J208" i="133"/>
  <c r="J208" i="54"/>
  <c r="J208" i="145"/>
  <c r="J208" i="94"/>
  <c r="J208" i="68"/>
  <c r="K17" i="68" s="1"/>
  <c r="J208" i="63"/>
  <c r="J208" i="62"/>
  <c r="J208" i="58"/>
  <c r="J208" i="136"/>
  <c r="J208" i="53"/>
  <c r="J208" i="98"/>
  <c r="J208" i="49"/>
  <c r="K17" i="49" s="1"/>
  <c r="J208" i="83"/>
  <c r="J208" i="47"/>
  <c r="J208" i="46"/>
  <c r="K17" i="46" s="1"/>
  <c r="J208" i="102"/>
  <c r="J208" i="45"/>
  <c r="J208" i="104"/>
  <c r="J208" i="106"/>
  <c r="J208" i="43"/>
  <c r="K17" i="43" s="1"/>
  <c r="J208" i="42"/>
  <c r="J208" i="84"/>
  <c r="J208" i="39"/>
  <c r="J208" i="135"/>
  <c r="J208" i="38"/>
  <c r="J208" i="120"/>
  <c r="K17" i="120" s="1"/>
  <c r="J208" i="37"/>
  <c r="J208" i="90"/>
  <c r="J208" i="24"/>
  <c r="J208" i="141"/>
  <c r="J208" i="33"/>
  <c r="J208" i="32"/>
  <c r="K17" i="32" s="1"/>
  <c r="J208" i="79"/>
  <c r="J208" i="31"/>
  <c r="K17" i="31" s="1"/>
  <c r="J208" i="64"/>
  <c r="J208" i="28"/>
  <c r="J208" i="27"/>
  <c r="K17" i="27" s="1"/>
  <c r="J208" i="119"/>
  <c r="J208" i="25"/>
  <c r="J208" i="20"/>
  <c r="K17" i="20" s="1"/>
  <c r="J208" i="16"/>
  <c r="K17" i="16" s="1"/>
  <c r="J208" i="111"/>
  <c r="J208" i="55"/>
  <c r="K17" i="55" s="1"/>
  <c r="J208" i="21"/>
  <c r="J208" i="14"/>
  <c r="K17" i="14" s="1"/>
  <c r="J208" i="85"/>
  <c r="J208" i="143"/>
  <c r="J208" i="87"/>
  <c r="J208" i="69"/>
  <c r="J208" i="86"/>
  <c r="K17" i="86" s="1"/>
  <c r="J208" i="89"/>
  <c r="J208" i="142"/>
  <c r="K17" i="142" s="1"/>
  <c r="J208" i="92"/>
  <c r="J208" i="1"/>
  <c r="J208" i="50"/>
  <c r="K17" i="50" s="1"/>
  <c r="J208" i="95"/>
  <c r="K17" i="95" s="1"/>
  <c r="J208" i="103"/>
  <c r="E14" i="111"/>
  <c r="E18" i="111"/>
  <c r="E15" i="111"/>
  <c r="E12" i="111"/>
  <c r="E16" i="111"/>
  <c r="G16" i="111" s="1"/>
  <c r="E20" i="111"/>
  <c r="E13" i="111"/>
  <c r="G13" i="111" s="1"/>
  <c r="E17" i="111"/>
  <c r="E19" i="111"/>
  <c r="G19" i="111" s="1"/>
  <c r="E11" i="111"/>
  <c r="F21" i="62"/>
  <c r="F228" i="118"/>
  <c r="F21" i="118"/>
  <c r="F228" i="103"/>
  <c r="F21" i="103"/>
  <c r="E233" i="103"/>
  <c r="G233" i="103" s="1"/>
  <c r="F228" i="83"/>
  <c r="F228" i="68"/>
  <c r="F21" i="68"/>
  <c r="F21" i="111"/>
  <c r="F228" i="145"/>
  <c r="F21" i="145"/>
  <c r="E233" i="83"/>
  <c r="F228" i="143"/>
  <c r="F21" i="143"/>
  <c r="E233" i="143"/>
  <c r="E19" i="72"/>
  <c r="E20" i="21"/>
  <c r="E19" i="21"/>
  <c r="E18" i="21"/>
  <c r="E17" i="21"/>
  <c r="E16" i="21"/>
  <c r="E15" i="21"/>
  <c r="E14" i="21"/>
  <c r="E13" i="21"/>
  <c r="G13" i="21" s="1"/>
  <c r="E12" i="21"/>
  <c r="E18" i="62"/>
  <c r="E20" i="57"/>
  <c r="E19" i="57"/>
  <c r="G19" i="57" s="1"/>
  <c r="E18" i="57"/>
  <c r="E17" i="57"/>
  <c r="G17" i="57" s="1"/>
  <c r="E16" i="57"/>
  <c r="E15" i="57"/>
  <c r="E14" i="57"/>
  <c r="E13" i="57"/>
  <c r="G13" i="57" s="1"/>
  <c r="E12" i="57"/>
  <c r="E20" i="136"/>
  <c r="G20" i="136" s="1"/>
  <c r="E19" i="136"/>
  <c r="E18" i="136"/>
  <c r="G18" i="136" s="1"/>
  <c r="E17" i="136"/>
  <c r="E16" i="136"/>
  <c r="E15" i="136"/>
  <c r="G15" i="136" s="1"/>
  <c r="E14" i="136"/>
  <c r="E13" i="136"/>
  <c r="G13" i="136" s="1"/>
  <c r="E12" i="136"/>
  <c r="E12" i="102"/>
  <c r="E19" i="45"/>
  <c r="E17" i="45"/>
  <c r="G17" i="45" s="1"/>
  <c r="E13" i="45"/>
  <c r="E20" i="135"/>
  <c r="G20" i="135" s="1"/>
  <c r="E19" i="135"/>
  <c r="E18" i="135"/>
  <c r="E17" i="135"/>
  <c r="G17" i="135" s="1"/>
  <c r="E16" i="135"/>
  <c r="E15" i="135"/>
  <c r="G15" i="135" s="1"/>
  <c r="E14" i="135"/>
  <c r="G14" i="135" s="1"/>
  <c r="E13" i="135"/>
  <c r="G13" i="135" s="1"/>
  <c r="E12" i="135"/>
  <c r="E16" i="37"/>
  <c r="E20" i="33"/>
  <c r="E19" i="33"/>
  <c r="E18" i="33"/>
  <c r="G18" i="33" s="1"/>
  <c r="E17" i="33"/>
  <c r="G17" i="33" s="1"/>
  <c r="E16" i="33"/>
  <c r="G16" i="33" s="1"/>
  <c r="E15" i="33"/>
  <c r="E14" i="33"/>
  <c r="E13" i="33"/>
  <c r="E12" i="33"/>
  <c r="E11" i="21"/>
  <c r="G11" i="21" s="1"/>
  <c r="E11" i="57"/>
  <c r="E11" i="136"/>
  <c r="G11" i="136" s="1"/>
  <c r="E11" i="45"/>
  <c r="G11" i="45" s="1"/>
  <c r="E11" i="135"/>
  <c r="G11" i="135" s="1"/>
  <c r="E11" i="33"/>
  <c r="F228" i="95"/>
  <c r="F21" i="95"/>
  <c r="F228" i="50"/>
  <c r="F21" i="50"/>
  <c r="F228" i="1"/>
  <c r="F21" i="1"/>
  <c r="F228" i="25"/>
  <c r="F21" i="25"/>
  <c r="F228" i="28"/>
  <c r="F21" i="28"/>
  <c r="F228" i="142"/>
  <c r="F21" i="142"/>
  <c r="F228" i="141"/>
  <c r="F21" i="141"/>
  <c r="F228" i="24"/>
  <c r="F21" i="24"/>
  <c r="F228" i="62"/>
  <c r="E227" i="62"/>
  <c r="E221" i="62"/>
  <c r="F228" i="98"/>
  <c r="F21" i="98"/>
  <c r="F228" i="53"/>
  <c r="F21" i="53"/>
  <c r="F228" i="86"/>
  <c r="F21" i="86"/>
  <c r="F228" i="94"/>
  <c r="F21" i="94"/>
  <c r="F228" i="54"/>
  <c r="F21" i="54"/>
  <c r="F228" i="60"/>
  <c r="F21" i="60"/>
  <c r="F228" i="38"/>
  <c r="F21" i="38"/>
  <c r="F228" i="49"/>
  <c r="F21" i="49"/>
  <c r="F228" i="69"/>
  <c r="F21" i="69"/>
  <c r="F228" i="84"/>
  <c r="F228" i="104"/>
  <c r="F21" i="104"/>
  <c r="F228" i="106"/>
  <c r="F21" i="106"/>
  <c r="F228" i="42"/>
  <c r="F21" i="42"/>
  <c r="F228" i="87"/>
  <c r="F21" i="87"/>
  <c r="E232" i="20"/>
  <c r="F228" i="20"/>
  <c r="F21" i="20"/>
  <c r="F228" i="90"/>
  <c r="F21" i="90"/>
  <c r="F228" i="113"/>
  <c r="E226" i="113"/>
  <c r="E222" i="113"/>
  <c r="F21" i="113"/>
  <c r="F228" i="92"/>
  <c r="F21" i="92"/>
  <c r="F228" i="89"/>
  <c r="F21" i="89"/>
  <c r="E232" i="57"/>
  <c r="E231" i="57"/>
  <c r="F228" i="57"/>
  <c r="E227" i="57"/>
  <c r="G227" i="57" s="1"/>
  <c r="E226" i="57"/>
  <c r="E225" i="57"/>
  <c r="E224" i="57"/>
  <c r="E223" i="57"/>
  <c r="G223" i="57" s="1"/>
  <c r="E222" i="57"/>
  <c r="E221" i="57"/>
  <c r="E220" i="57"/>
  <c r="F21" i="57"/>
  <c r="F21" i="14"/>
  <c r="F228" i="14"/>
  <c r="F228" i="55"/>
  <c r="F21" i="55"/>
  <c r="E232" i="111"/>
  <c r="E231" i="111"/>
  <c r="F228" i="111"/>
  <c r="E226" i="111"/>
  <c r="G226" i="111" s="1"/>
  <c r="E224" i="111"/>
  <c r="E222" i="111"/>
  <c r="E220" i="111"/>
  <c r="F228" i="16"/>
  <c r="F21" i="16"/>
  <c r="F228" i="79"/>
  <c r="F21" i="79"/>
  <c r="F228" i="32"/>
  <c r="F21" i="32"/>
  <c r="F228" i="33"/>
  <c r="E227" i="33"/>
  <c r="E226" i="33"/>
  <c r="E224" i="33"/>
  <c r="E222" i="33"/>
  <c r="E220" i="33"/>
  <c r="F21" i="33"/>
  <c r="F228" i="119"/>
  <c r="F21" i="119"/>
  <c r="F228" i="39"/>
  <c r="F21" i="39"/>
  <c r="F21" i="43"/>
  <c r="F228" i="46"/>
  <c r="F21" i="46"/>
  <c r="F228" i="47"/>
  <c r="F21" i="47"/>
  <c r="E232" i="136"/>
  <c r="E231" i="136"/>
  <c r="G231" i="136" s="1"/>
  <c r="F228" i="136"/>
  <c r="E227" i="136"/>
  <c r="G227" i="136" s="1"/>
  <c r="E226" i="136"/>
  <c r="E224" i="136"/>
  <c r="E222" i="136"/>
  <c r="E220" i="136"/>
  <c r="F21" i="136"/>
  <c r="E232" i="27"/>
  <c r="F228" i="27"/>
  <c r="E224" i="27"/>
  <c r="G224" i="27" s="1"/>
  <c r="F21" i="27"/>
  <c r="F228" i="64"/>
  <c r="F21" i="64"/>
  <c r="F21" i="31"/>
  <c r="E232" i="135"/>
  <c r="F228" i="135"/>
  <c r="E226" i="135"/>
  <c r="G226" i="135" s="1"/>
  <c r="E225" i="135"/>
  <c r="F21" i="135"/>
  <c r="F228" i="63"/>
  <c r="F21" i="63"/>
  <c r="F228" i="72"/>
  <c r="E222" i="72"/>
  <c r="F21" i="72"/>
  <c r="F228" i="120"/>
  <c r="F21" i="120"/>
  <c r="E232" i="37"/>
  <c r="F228" i="37"/>
  <c r="E226" i="37"/>
  <c r="E224" i="37"/>
  <c r="F21" i="37"/>
  <c r="E232" i="21"/>
  <c r="G232" i="21" s="1"/>
  <c r="E231" i="21"/>
  <c r="G231" i="21" s="1"/>
  <c r="F228" i="21"/>
  <c r="E227" i="21"/>
  <c r="G227" i="21" s="1"/>
  <c r="E225" i="21"/>
  <c r="E223" i="21"/>
  <c r="G223" i="21" s="1"/>
  <c r="E222" i="21"/>
  <c r="E220" i="21"/>
  <c r="F21" i="21"/>
  <c r="E233" i="21"/>
  <c r="F228" i="65"/>
  <c r="F21" i="65"/>
  <c r="F228" i="15"/>
  <c r="F21" i="15"/>
  <c r="F228" i="45"/>
  <c r="F21" i="45"/>
  <c r="F228" i="133"/>
  <c r="F21" i="133"/>
  <c r="F228" i="58"/>
  <c r="F21" i="58"/>
  <c r="F228" i="10"/>
  <c r="F21" i="10"/>
  <c r="F228" i="66"/>
  <c r="F21" i="66"/>
  <c r="F228" i="19"/>
  <c r="E223" i="19"/>
  <c r="F228" i="85"/>
  <c r="E226" i="85"/>
  <c r="E224" i="85"/>
  <c r="F21" i="85"/>
  <c r="E233" i="85"/>
  <c r="G233" i="85" s="1"/>
  <c r="F228" i="71"/>
  <c r="F21" i="71"/>
  <c r="F228" i="102"/>
  <c r="E227" i="102"/>
  <c r="G227" i="102" s="1"/>
  <c r="E226" i="102"/>
  <c r="E224" i="102"/>
  <c r="E222" i="102"/>
  <c r="F21" i="102"/>
  <c r="G236" i="97"/>
  <c r="E236" i="97"/>
  <c r="E233" i="57"/>
  <c r="E233" i="104"/>
  <c r="E233" i="53"/>
  <c r="E233" i="49"/>
  <c r="E233" i="58"/>
  <c r="E233" i="38"/>
  <c r="E233" i="45"/>
  <c r="G233" i="45" s="1"/>
  <c r="E233" i="46"/>
  <c r="E233" i="113"/>
  <c r="E233" i="64"/>
  <c r="E233" i="92"/>
  <c r="G233" i="92" s="1"/>
  <c r="E233" i="62"/>
  <c r="E233" i="42"/>
  <c r="E233" i="135"/>
  <c r="E233" i="27"/>
  <c r="E233" i="136"/>
  <c r="E233" i="33"/>
  <c r="E233" i="111"/>
  <c r="E233" i="50"/>
  <c r="E233" i="47"/>
  <c r="E233" i="106"/>
  <c r="G233" i="106" s="1"/>
  <c r="E233" i="31"/>
  <c r="E233" i="94"/>
  <c r="E233" i="25"/>
  <c r="E233" i="1"/>
  <c r="E233" i="95"/>
  <c r="E233" i="54"/>
  <c r="E233" i="71"/>
  <c r="E233" i="120"/>
  <c r="G233" i="120" s="1"/>
  <c r="E233" i="89"/>
  <c r="E233" i="87"/>
  <c r="G233" i="87" s="1"/>
  <c r="E233" i="60"/>
  <c r="E233" i="133"/>
  <c r="E220" i="45"/>
  <c r="E221" i="45"/>
  <c r="E224" i="45"/>
  <c r="E225" i="45"/>
  <c r="E232" i="45"/>
  <c r="E221" i="21"/>
  <c r="E224" i="21"/>
  <c r="G224" i="21" s="1"/>
  <c r="E226" i="21"/>
  <c r="E220" i="135"/>
  <c r="E221" i="135"/>
  <c r="G221" i="135" s="1"/>
  <c r="E222" i="135"/>
  <c r="E223" i="135"/>
  <c r="E224" i="135"/>
  <c r="E227" i="135"/>
  <c r="G227" i="135" s="1"/>
  <c r="E231" i="135"/>
  <c r="G231" i="135" s="1"/>
  <c r="K14" i="135" s="1"/>
  <c r="E222" i="27"/>
  <c r="G222" i="27" s="1"/>
  <c r="E221" i="136"/>
  <c r="G221" i="136" s="1"/>
  <c r="E223" i="136"/>
  <c r="E225" i="136"/>
  <c r="E233" i="43"/>
  <c r="E221" i="33"/>
  <c r="G221" i="33" s="1"/>
  <c r="E223" i="33"/>
  <c r="E225" i="33"/>
  <c r="E223" i="79"/>
  <c r="E224" i="79"/>
  <c r="E221" i="20"/>
  <c r="E222" i="20"/>
  <c r="E223" i="20"/>
  <c r="E224" i="20"/>
  <c r="E225" i="20"/>
  <c r="G225" i="20" s="1"/>
  <c r="E233" i="86"/>
  <c r="E233" i="90"/>
  <c r="E223" i="102"/>
  <c r="E221" i="85"/>
  <c r="G221" i="85" s="1"/>
  <c r="E225" i="85"/>
  <c r="G225" i="85" s="1"/>
  <c r="E227" i="85"/>
  <c r="E220" i="37"/>
  <c r="E227" i="37"/>
  <c r="G227" i="37" s="1"/>
  <c r="E224" i="72"/>
  <c r="E226" i="72"/>
  <c r="E231" i="72"/>
  <c r="E231" i="33"/>
  <c r="G231" i="33" s="1"/>
  <c r="K14" i="33" s="1"/>
  <c r="E232" i="33"/>
  <c r="E221" i="111"/>
  <c r="G221" i="111" s="1"/>
  <c r="E223" i="111"/>
  <c r="E225" i="111"/>
  <c r="G225" i="111" s="1"/>
  <c r="E227" i="111"/>
  <c r="G227" i="111" s="1"/>
  <c r="O167" i="97"/>
  <c r="E135" i="85"/>
  <c r="G135" i="85" s="1"/>
  <c r="E151" i="72"/>
  <c r="E225" i="27"/>
  <c r="E221" i="72"/>
  <c r="E16" i="62"/>
  <c r="E65" i="37"/>
  <c r="G65" i="37" s="1"/>
  <c r="E99" i="37"/>
  <c r="E12" i="79"/>
  <c r="E40" i="79"/>
  <c r="E44" i="79"/>
  <c r="E116" i="72"/>
  <c r="E12" i="27"/>
  <c r="E101" i="27"/>
  <c r="E27" i="85"/>
  <c r="E35" i="85"/>
  <c r="E118" i="85"/>
  <c r="E126" i="85"/>
  <c r="E150" i="85"/>
  <c r="G150" i="85" s="1"/>
  <c r="E166" i="85"/>
  <c r="E219" i="62"/>
  <c r="E44" i="37"/>
  <c r="E142" i="37"/>
  <c r="E42" i="79"/>
  <c r="E69" i="79"/>
  <c r="E73" i="79"/>
  <c r="G73" i="79" s="1"/>
  <c r="E84" i="79"/>
  <c r="E88" i="79"/>
  <c r="E130" i="79"/>
  <c r="E145" i="79"/>
  <c r="E149" i="79"/>
  <c r="E165" i="79"/>
  <c r="E181" i="79"/>
  <c r="G181" i="79" s="1"/>
  <c r="E185" i="79"/>
  <c r="G185" i="79" s="1"/>
  <c r="E35" i="72"/>
  <c r="E51" i="72"/>
  <c r="E66" i="72"/>
  <c r="E70" i="72"/>
  <c r="E96" i="72"/>
  <c r="E141" i="72"/>
  <c r="E155" i="72"/>
  <c r="E174" i="72"/>
  <c r="E182" i="72"/>
  <c r="E186" i="72"/>
  <c r="E106" i="20"/>
  <c r="E110" i="20"/>
  <c r="E125" i="20"/>
  <c r="E135" i="20"/>
  <c r="E145" i="20"/>
  <c r="E149" i="20"/>
  <c r="E181" i="20"/>
  <c r="E185" i="20"/>
  <c r="E53" i="102"/>
  <c r="E76" i="102"/>
  <c r="E91" i="102"/>
  <c r="E124" i="102"/>
  <c r="G124" i="102" s="1"/>
  <c r="E196" i="102"/>
  <c r="G196" i="102" s="1"/>
  <c r="E164" i="37"/>
  <c r="E184" i="37"/>
  <c r="E19" i="79"/>
  <c r="E55" i="79"/>
  <c r="E126" i="79"/>
  <c r="E141" i="79"/>
  <c r="E182" i="79"/>
  <c r="E205" i="79"/>
  <c r="E16" i="72"/>
  <c r="E32" i="72"/>
  <c r="E44" i="72"/>
  <c r="E67" i="72"/>
  <c r="G67" i="72" s="1"/>
  <c r="E137" i="72"/>
  <c r="G137" i="72" s="1"/>
  <c r="E147" i="72"/>
  <c r="G147" i="72" s="1"/>
  <c r="E160" i="72"/>
  <c r="E171" i="72"/>
  <c r="E183" i="72"/>
  <c r="G183" i="72" s="1"/>
  <c r="E16" i="20"/>
  <c r="E40" i="20"/>
  <c r="E67" i="20"/>
  <c r="E71" i="20"/>
  <c r="E82" i="20"/>
  <c r="E142" i="20"/>
  <c r="G142" i="20" s="1"/>
  <c r="E167" i="20"/>
  <c r="E179" i="20"/>
  <c r="G179" i="20" s="1"/>
  <c r="E187" i="20"/>
  <c r="E202" i="20"/>
  <c r="G202" i="20" s="1"/>
  <c r="E14" i="85"/>
  <c r="E117" i="85"/>
  <c r="E96" i="149"/>
  <c r="E224" i="149"/>
  <c r="G224" i="149" s="1"/>
  <c r="E232" i="19"/>
  <c r="G232" i="19" s="1"/>
  <c r="E46" i="37"/>
  <c r="E145" i="37"/>
  <c r="E16" i="79"/>
  <c r="G16" i="79" s="1"/>
  <c r="E28" i="79"/>
  <c r="G28" i="79" s="1"/>
  <c r="E36" i="79"/>
  <c r="E48" i="79"/>
  <c r="E226" i="79"/>
  <c r="E25" i="72"/>
  <c r="E124" i="72"/>
  <c r="E52" i="27"/>
  <c r="E100" i="85"/>
  <c r="E221" i="38"/>
  <c r="G221" i="38" s="1"/>
  <c r="E222" i="19"/>
  <c r="E13" i="102"/>
  <c r="E29" i="102"/>
  <c r="E57" i="102"/>
  <c r="E176" i="102"/>
  <c r="E33" i="37"/>
  <c r="G33" i="37" s="1"/>
  <c r="E116" i="37"/>
  <c r="E15" i="79"/>
  <c r="E66" i="79"/>
  <c r="E78" i="79"/>
  <c r="E96" i="79"/>
  <c r="E186" i="79"/>
  <c r="E20" i="72"/>
  <c r="G20" i="72" s="1"/>
  <c r="E71" i="72"/>
  <c r="E82" i="72"/>
  <c r="E156" i="72"/>
  <c r="E20" i="20"/>
  <c r="E75" i="20"/>
  <c r="G75" i="20" s="1"/>
  <c r="E90" i="20"/>
  <c r="E147" i="20"/>
  <c r="E160" i="20"/>
  <c r="E175" i="20"/>
  <c r="E101" i="79"/>
  <c r="E115" i="79"/>
  <c r="E29" i="72"/>
  <c r="E13" i="20"/>
  <c r="E25" i="20"/>
  <c r="E49" i="20"/>
  <c r="G49" i="20" s="1"/>
  <c r="E57" i="20"/>
  <c r="E20" i="27"/>
  <c r="E56" i="27"/>
  <c r="E15" i="85"/>
  <c r="E31" i="85"/>
  <c r="E55" i="85"/>
  <c r="G55" i="85" s="1"/>
  <c r="E78" i="85"/>
  <c r="G78" i="85" s="1"/>
  <c r="E49" i="102"/>
  <c r="E116" i="102"/>
  <c r="G116" i="102" s="1"/>
  <c r="E45" i="37"/>
  <c r="E196" i="37"/>
  <c r="G196" i="37" s="1"/>
  <c r="E47" i="79"/>
  <c r="E59" i="79"/>
  <c r="E136" i="79"/>
  <c r="E166" i="79"/>
  <c r="E178" i="79"/>
  <c r="E225" i="79"/>
  <c r="E40" i="72"/>
  <c r="E75" i="72"/>
  <c r="G75" i="72" s="1"/>
  <c r="E179" i="72"/>
  <c r="E32" i="20"/>
  <c r="E56" i="20"/>
  <c r="E156" i="20"/>
  <c r="E171" i="20"/>
  <c r="E183" i="20"/>
  <c r="E195" i="20"/>
  <c r="E38" i="85"/>
  <c r="E130" i="85"/>
  <c r="E169" i="85"/>
  <c r="G169" i="85" s="1"/>
  <c r="E225" i="62"/>
  <c r="G225" i="62" s="1"/>
  <c r="E50" i="37"/>
  <c r="E20" i="79"/>
  <c r="G20" i="79" s="1"/>
  <c r="E52" i="79"/>
  <c r="E71" i="79"/>
  <c r="E108" i="79"/>
  <c r="E17" i="20"/>
  <c r="G17" i="20" s="1"/>
  <c r="E16" i="27"/>
  <c r="E48" i="27"/>
  <c r="E142" i="27"/>
  <c r="E231" i="38"/>
  <c r="E42" i="37"/>
  <c r="G42" i="37" s="1"/>
  <c r="E58" i="37"/>
  <c r="E73" i="37"/>
  <c r="E88" i="37"/>
  <c r="E92" i="37"/>
  <c r="G92" i="37" s="1"/>
  <c r="E177" i="37"/>
  <c r="E185" i="37"/>
  <c r="E189" i="37"/>
  <c r="E32" i="79"/>
  <c r="E67" i="79"/>
  <c r="E175" i="79"/>
  <c r="E183" i="79"/>
  <c r="E195" i="79"/>
  <c r="E76" i="72"/>
  <c r="E98" i="72"/>
  <c r="G98" i="72" s="1"/>
  <c r="E105" i="72"/>
  <c r="G105" i="72" s="1"/>
  <c r="E133" i="72"/>
  <c r="E143" i="72"/>
  <c r="E176" i="72"/>
  <c r="G176" i="72" s="1"/>
  <c r="E192" i="72"/>
  <c r="E86" i="27"/>
  <c r="E108" i="27"/>
  <c r="G108" i="27" s="1"/>
  <c r="E151" i="27"/>
  <c r="E167" i="27"/>
  <c r="E96" i="85"/>
  <c r="E131" i="85"/>
  <c r="E136" i="85"/>
  <c r="E174" i="85"/>
  <c r="E20" i="149"/>
  <c r="G20" i="149" s="1"/>
  <c r="E40" i="149"/>
  <c r="E48" i="149"/>
  <c r="G48" i="149" s="1"/>
  <c r="E60" i="149"/>
  <c r="E71" i="149"/>
  <c r="E108" i="149"/>
  <c r="E147" i="149"/>
  <c r="G147" i="149" s="1"/>
  <c r="E46" i="38"/>
  <c r="E96" i="62"/>
  <c r="E100" i="62"/>
  <c r="G100" i="62" s="1"/>
  <c r="E179" i="62"/>
  <c r="E187" i="62"/>
  <c r="E55" i="37"/>
  <c r="E174" i="37"/>
  <c r="E178" i="37"/>
  <c r="E149" i="72"/>
  <c r="E132" i="102"/>
  <c r="E167" i="102"/>
  <c r="E183" i="102"/>
  <c r="E191" i="102"/>
  <c r="G191" i="102" s="1"/>
  <c r="E68" i="27"/>
  <c r="G68" i="27" s="1"/>
  <c r="E76" i="27"/>
  <c r="E87" i="27"/>
  <c r="G87" i="27" s="1"/>
  <c r="E91" i="27"/>
  <c r="E75" i="85"/>
  <c r="G75" i="85" s="1"/>
  <c r="E82" i="85"/>
  <c r="G82" i="85" s="1"/>
  <c r="E86" i="85"/>
  <c r="G86" i="85" s="1"/>
  <c r="E101" i="85"/>
  <c r="G101" i="85" s="1"/>
  <c r="E108" i="85"/>
  <c r="E132" i="85"/>
  <c r="G132" i="85" s="1"/>
  <c r="E147" i="85"/>
  <c r="G147" i="85" s="1"/>
  <c r="E156" i="85"/>
  <c r="E171" i="85"/>
  <c r="G171" i="85" s="1"/>
  <c r="E175" i="85"/>
  <c r="E179" i="85"/>
  <c r="E191" i="85"/>
  <c r="G191" i="85" s="1"/>
  <c r="E195" i="85"/>
  <c r="E137" i="149"/>
  <c r="E142" i="149"/>
  <c r="G142" i="149" s="1"/>
  <c r="E160" i="149"/>
  <c r="E167" i="149"/>
  <c r="E187" i="149"/>
  <c r="G187" i="149" s="1"/>
  <c r="E191" i="149"/>
  <c r="E65" i="167"/>
  <c r="E73" i="167"/>
  <c r="E106" i="167"/>
  <c r="E110" i="167"/>
  <c r="G110" i="167" s="1"/>
  <c r="E117" i="167"/>
  <c r="E125" i="167"/>
  <c r="E135" i="167"/>
  <c r="E165" i="167"/>
  <c r="G165" i="167" s="1"/>
  <c r="E173" i="167"/>
  <c r="E181" i="167"/>
  <c r="E185" i="167"/>
  <c r="G185" i="167" s="1"/>
  <c r="E189" i="167"/>
  <c r="E193" i="167"/>
  <c r="E220" i="167"/>
  <c r="G220" i="167" s="1"/>
  <c r="E202" i="27"/>
  <c r="E82" i="149"/>
  <c r="E151" i="149"/>
  <c r="E47" i="102"/>
  <c r="E59" i="102"/>
  <c r="E70" i="102"/>
  <c r="G70" i="102" s="1"/>
  <c r="E114" i="102"/>
  <c r="E170" i="102"/>
  <c r="G170" i="102" s="1"/>
  <c r="E202" i="85"/>
  <c r="E183" i="62"/>
  <c r="E70" i="20"/>
  <c r="E78" i="20"/>
  <c r="E85" i="20"/>
  <c r="E107" i="20"/>
  <c r="E114" i="20"/>
  <c r="E118" i="20"/>
  <c r="G118" i="20" s="1"/>
  <c r="E170" i="20"/>
  <c r="E174" i="20"/>
  <c r="E178" i="20"/>
  <c r="E186" i="20"/>
  <c r="G186" i="20" s="1"/>
  <c r="E99" i="27"/>
  <c r="E135" i="27"/>
  <c r="E165" i="27"/>
  <c r="E189" i="27"/>
  <c r="E109" i="167"/>
  <c r="E148" i="167"/>
  <c r="E72" i="85"/>
  <c r="G72" i="85" s="1"/>
  <c r="E76" i="85"/>
  <c r="G76" i="85" s="1"/>
  <c r="E83" i="85"/>
  <c r="E124" i="85"/>
  <c r="G124" i="85" s="1"/>
  <c r="E129" i="85"/>
  <c r="E133" i="85"/>
  <c r="G133" i="85" s="1"/>
  <c r="E143" i="85"/>
  <c r="E148" i="85"/>
  <c r="E152" i="85"/>
  <c r="G152" i="85" s="1"/>
  <c r="E164" i="85"/>
  <c r="E168" i="85"/>
  <c r="E172" i="85"/>
  <c r="E180" i="85"/>
  <c r="E192" i="85"/>
  <c r="E30" i="149"/>
  <c r="G30" i="149" s="1"/>
  <c r="E38" i="149"/>
  <c r="G38" i="149" s="1"/>
  <c r="E46" i="149"/>
  <c r="E54" i="149"/>
  <c r="E65" i="149"/>
  <c r="E73" i="149"/>
  <c r="G73" i="149" s="1"/>
  <c r="E106" i="149"/>
  <c r="E110" i="149"/>
  <c r="E117" i="149"/>
  <c r="E130" i="149"/>
  <c r="E135" i="149"/>
  <c r="E140" i="149"/>
  <c r="E145" i="149"/>
  <c r="E153" i="149"/>
  <c r="E158" i="149"/>
  <c r="E165" i="149"/>
  <c r="G165" i="149" s="1"/>
  <c r="E169" i="149"/>
  <c r="E173" i="149"/>
  <c r="E177" i="149"/>
  <c r="G177" i="149" s="1"/>
  <c r="E181" i="149"/>
  <c r="E185" i="149"/>
  <c r="E189" i="149"/>
  <c r="E201" i="72"/>
  <c r="E205" i="72"/>
  <c r="E201" i="20"/>
  <c r="E205" i="20"/>
  <c r="E200" i="27"/>
  <c r="G200" i="27" s="1"/>
  <c r="E204" i="27"/>
  <c r="E203" i="85"/>
  <c r="E200" i="149"/>
  <c r="E204" i="149"/>
  <c r="G204" i="149" s="1"/>
  <c r="E73" i="62"/>
  <c r="G73" i="62" s="1"/>
  <c r="E135" i="62"/>
  <c r="G135" i="62" s="1"/>
  <c r="E149" i="62"/>
  <c r="E158" i="62"/>
  <c r="E55" i="62"/>
  <c r="E59" i="62"/>
  <c r="E78" i="62"/>
  <c r="G78" i="62" s="1"/>
  <c r="E223" i="177"/>
  <c r="E45" i="20"/>
  <c r="E53" i="20"/>
  <c r="E64" i="20"/>
  <c r="E116" i="20"/>
  <c r="G116" i="20" s="1"/>
  <c r="E133" i="20"/>
  <c r="G133" i="20" s="1"/>
  <c r="E138" i="20"/>
  <c r="G138" i="20" s="1"/>
  <c r="E143" i="20"/>
  <c r="E148" i="20"/>
  <c r="E152" i="20"/>
  <c r="E157" i="20"/>
  <c r="E90" i="113"/>
  <c r="E115" i="113"/>
  <c r="E97" i="102"/>
  <c r="E160" i="102"/>
  <c r="G160" i="102" s="1"/>
  <c r="E187" i="102"/>
  <c r="E27" i="167"/>
  <c r="G27" i="167" s="1"/>
  <c r="E35" i="167"/>
  <c r="E43" i="167"/>
  <c r="E51" i="167"/>
  <c r="G51" i="167" s="1"/>
  <c r="E59" i="167"/>
  <c r="G59" i="167" s="1"/>
  <c r="E70" i="167"/>
  <c r="E78" i="167"/>
  <c r="E89" i="167"/>
  <c r="E96" i="167"/>
  <c r="E126" i="167"/>
  <c r="E131" i="167"/>
  <c r="G131" i="167" s="1"/>
  <c r="E155" i="167"/>
  <c r="E166" i="167"/>
  <c r="G166" i="167" s="1"/>
  <c r="E170" i="167"/>
  <c r="E178" i="167"/>
  <c r="E182" i="167"/>
  <c r="E186" i="167"/>
  <c r="G186" i="167" s="1"/>
  <c r="E194" i="167"/>
  <c r="E15" i="37"/>
  <c r="E31" i="37"/>
  <c r="G31" i="37" s="1"/>
  <c r="E66" i="37"/>
  <c r="E150" i="37"/>
  <c r="E194" i="37"/>
  <c r="E98" i="79"/>
  <c r="G98" i="79" s="1"/>
  <c r="E221" i="79"/>
  <c r="E30" i="72"/>
  <c r="E54" i="72"/>
  <c r="E19" i="37"/>
  <c r="G19" i="37" s="1"/>
  <c r="E39" i="37"/>
  <c r="E146" i="37"/>
  <c r="G146" i="37" s="1"/>
  <c r="E231" i="79"/>
  <c r="E46" i="72"/>
  <c r="E99" i="72"/>
  <c r="E130" i="72"/>
  <c r="E73" i="177"/>
  <c r="E13" i="167"/>
  <c r="G13" i="167" s="1"/>
  <c r="E17" i="167"/>
  <c r="G17" i="167" s="1"/>
  <c r="E25" i="167"/>
  <c r="G25" i="167" s="1"/>
  <c r="E29" i="167"/>
  <c r="E33" i="167"/>
  <c r="E37" i="167"/>
  <c r="E41" i="167"/>
  <c r="E45" i="167"/>
  <c r="E49" i="167"/>
  <c r="E53" i="167"/>
  <c r="G53" i="167" s="1"/>
  <c r="E57" i="167"/>
  <c r="G57" i="167" s="1"/>
  <c r="E64" i="167"/>
  <c r="E68" i="167"/>
  <c r="G68" i="167" s="1"/>
  <c r="E72" i="167"/>
  <c r="E76" i="167"/>
  <c r="G76" i="167" s="1"/>
  <c r="E83" i="167"/>
  <c r="E87" i="167"/>
  <c r="G87" i="167" s="1"/>
  <c r="E91" i="167"/>
  <c r="G91" i="167" s="1"/>
  <c r="E98" i="167"/>
  <c r="E105" i="167"/>
  <c r="G105" i="167" s="1"/>
  <c r="E116" i="167"/>
  <c r="E124" i="167"/>
  <c r="G124" i="167" s="1"/>
  <c r="E129" i="167"/>
  <c r="E133" i="167"/>
  <c r="G133" i="167" s="1"/>
  <c r="E138" i="167"/>
  <c r="E143" i="167"/>
  <c r="E152" i="167"/>
  <c r="E157" i="167"/>
  <c r="E164" i="167"/>
  <c r="G164" i="167" s="1"/>
  <c r="E168" i="167"/>
  <c r="E172" i="167"/>
  <c r="E176" i="167"/>
  <c r="G176" i="167" s="1"/>
  <c r="E180" i="167"/>
  <c r="G180" i="167" s="1"/>
  <c r="E184" i="167"/>
  <c r="E188" i="167"/>
  <c r="E225" i="37"/>
  <c r="E35" i="37"/>
  <c r="E166" i="37"/>
  <c r="E13" i="79"/>
  <c r="E105" i="79"/>
  <c r="E50" i="72"/>
  <c r="E84" i="72"/>
  <c r="G84" i="72" s="1"/>
  <c r="E135" i="72"/>
  <c r="E189" i="72"/>
  <c r="E204" i="72"/>
  <c r="E223" i="72"/>
  <c r="G223" i="72" s="1"/>
  <c r="E27" i="37"/>
  <c r="E159" i="37"/>
  <c r="E58" i="72"/>
  <c r="E106" i="72"/>
  <c r="E125" i="72"/>
  <c r="E12" i="167"/>
  <c r="E16" i="167"/>
  <c r="E20" i="167"/>
  <c r="G20" i="167" s="1"/>
  <c r="E28" i="167"/>
  <c r="E32" i="167"/>
  <c r="E36" i="167"/>
  <c r="E40" i="167"/>
  <c r="E44" i="167"/>
  <c r="G44" i="167" s="1"/>
  <c r="E48" i="167"/>
  <c r="E52" i="167"/>
  <c r="G52" i="167" s="1"/>
  <c r="E56" i="167"/>
  <c r="G56" i="167" s="1"/>
  <c r="E60" i="167"/>
  <c r="E67" i="167"/>
  <c r="E71" i="167"/>
  <c r="E75" i="167"/>
  <c r="G75" i="167" s="1"/>
  <c r="E82" i="167"/>
  <c r="E86" i="167"/>
  <c r="G86" i="167" s="1"/>
  <c r="E90" i="167"/>
  <c r="G90" i="167" s="1"/>
  <c r="E97" i="167"/>
  <c r="E101" i="167"/>
  <c r="E108" i="167"/>
  <c r="E115" i="167"/>
  <c r="E123" i="167"/>
  <c r="E127" i="167"/>
  <c r="E132" i="167"/>
  <c r="E137" i="167"/>
  <c r="E142" i="167"/>
  <c r="G142" i="167" s="1"/>
  <c r="E147" i="167"/>
  <c r="E151" i="167"/>
  <c r="G151" i="167" s="1"/>
  <c r="E156" i="167"/>
  <c r="G156" i="167" s="1"/>
  <c r="E160" i="167"/>
  <c r="E167" i="167"/>
  <c r="G167" i="167" s="1"/>
  <c r="E171" i="167"/>
  <c r="E175" i="167"/>
  <c r="E179" i="167"/>
  <c r="E183" i="167"/>
  <c r="E187" i="167"/>
  <c r="E191" i="167"/>
  <c r="E195" i="167"/>
  <c r="E202" i="167"/>
  <c r="G202" i="167" s="1"/>
  <c r="E219" i="167"/>
  <c r="E227" i="167"/>
  <c r="E12" i="113"/>
  <c r="G12" i="113" s="1"/>
  <c r="E20" i="113"/>
  <c r="G20" i="113" s="1"/>
  <c r="E28" i="113"/>
  <c r="G28" i="113" s="1"/>
  <c r="E32" i="113"/>
  <c r="E40" i="113"/>
  <c r="E44" i="113"/>
  <c r="G44" i="113" s="1"/>
  <c r="E48" i="113"/>
  <c r="E60" i="113"/>
  <c r="G60" i="113" s="1"/>
  <c r="E97" i="113"/>
  <c r="G97" i="113" s="1"/>
  <c r="E108" i="113"/>
  <c r="G108" i="113" s="1"/>
  <c r="E132" i="113"/>
  <c r="E151" i="113"/>
  <c r="E171" i="113"/>
  <c r="E191" i="113"/>
  <c r="G191" i="113" s="1"/>
  <c r="E227" i="113"/>
  <c r="E192" i="167"/>
  <c r="E196" i="167"/>
  <c r="G196" i="167" s="1"/>
  <c r="E203" i="167"/>
  <c r="E221" i="167"/>
  <c r="E231" i="167"/>
  <c r="E221" i="113"/>
  <c r="E126" i="37"/>
  <c r="E141" i="37"/>
  <c r="E155" i="37"/>
  <c r="G155" i="37" s="1"/>
  <c r="E170" i="37"/>
  <c r="E182" i="37"/>
  <c r="G182" i="37" s="1"/>
  <c r="E87" i="79"/>
  <c r="E91" i="79"/>
  <c r="G91" i="79" s="1"/>
  <c r="E129" i="79"/>
  <c r="E164" i="79"/>
  <c r="G164" i="79" s="1"/>
  <c r="E168" i="79"/>
  <c r="G168" i="79" s="1"/>
  <c r="E172" i="79"/>
  <c r="E188" i="79"/>
  <c r="G188" i="79" s="1"/>
  <c r="E192" i="79"/>
  <c r="G192" i="79" s="1"/>
  <c r="E110" i="72"/>
  <c r="G110" i="72" s="1"/>
  <c r="E117" i="72"/>
  <c r="G117" i="72" s="1"/>
  <c r="E185" i="72"/>
  <c r="E200" i="72"/>
  <c r="G200" i="72" s="1"/>
  <c r="E204" i="85"/>
  <c r="G204" i="85" s="1"/>
  <c r="E201" i="149"/>
  <c r="E129" i="62"/>
  <c r="E172" i="62"/>
  <c r="E196" i="62"/>
  <c r="G196" i="62" s="1"/>
  <c r="E54" i="19"/>
  <c r="E109" i="72"/>
  <c r="E129" i="72"/>
  <c r="G129" i="72" s="1"/>
  <c r="E138" i="72"/>
  <c r="E148" i="72"/>
  <c r="G148" i="72" s="1"/>
  <c r="E172" i="72"/>
  <c r="G172" i="72" s="1"/>
  <c r="E180" i="72"/>
  <c r="E114" i="85"/>
  <c r="E159" i="85"/>
  <c r="E170" i="85"/>
  <c r="E178" i="85"/>
  <c r="E201" i="85"/>
  <c r="E107" i="149"/>
  <c r="G107" i="149" s="1"/>
  <c r="E146" i="149"/>
  <c r="E49" i="113"/>
  <c r="G49" i="113" s="1"/>
  <c r="E76" i="113"/>
  <c r="E143" i="113"/>
  <c r="E72" i="113"/>
  <c r="E83" i="113"/>
  <c r="E98" i="113"/>
  <c r="E124" i="113"/>
  <c r="E133" i="113"/>
  <c r="E138" i="113"/>
  <c r="E152" i="113"/>
  <c r="G152" i="113" s="1"/>
  <c r="E168" i="113"/>
  <c r="G168" i="113" s="1"/>
  <c r="E172" i="113"/>
  <c r="E192" i="113"/>
  <c r="E203" i="113"/>
  <c r="G203" i="113" s="1"/>
  <c r="E220" i="113"/>
  <c r="G220" i="113" s="1"/>
  <c r="E44" i="177"/>
  <c r="E232" i="113"/>
  <c r="E200" i="167"/>
  <c r="E204" i="167"/>
  <c r="E203" i="37"/>
  <c r="E60" i="177"/>
  <c r="E86" i="177"/>
  <c r="G86" i="177" s="1"/>
  <c r="E231" i="177"/>
  <c r="E85" i="62"/>
  <c r="E89" i="62"/>
  <c r="E107" i="62"/>
  <c r="E114" i="62"/>
  <c r="E126" i="62"/>
  <c r="E174" i="102"/>
  <c r="E165" i="177"/>
  <c r="E67" i="177"/>
  <c r="G67" i="177" s="1"/>
  <c r="E106" i="85"/>
  <c r="G106" i="85" s="1"/>
  <c r="E201" i="167"/>
  <c r="E205" i="149"/>
  <c r="E201" i="102"/>
  <c r="E205" i="102"/>
  <c r="E40" i="37"/>
  <c r="E48" i="37"/>
  <c r="E71" i="37"/>
  <c r="E86" i="37"/>
  <c r="G86" i="37" s="1"/>
  <c r="E127" i="37"/>
  <c r="E137" i="37"/>
  <c r="G137" i="37" s="1"/>
  <c r="E147" i="37"/>
  <c r="E167" i="37"/>
  <c r="E171" i="37"/>
  <c r="G171" i="37" s="1"/>
  <c r="E153" i="177"/>
  <c r="E48" i="177"/>
  <c r="E12" i="177"/>
  <c r="E204" i="177"/>
  <c r="G204" i="177" s="1"/>
  <c r="E181" i="177"/>
  <c r="E38" i="113"/>
  <c r="E58" i="113"/>
  <c r="E69" i="113"/>
  <c r="E73" i="113"/>
  <c r="E106" i="113"/>
  <c r="E110" i="113"/>
  <c r="G110" i="113" s="1"/>
  <c r="E117" i="113"/>
  <c r="E125" i="113"/>
  <c r="E149" i="113"/>
  <c r="E165" i="113"/>
  <c r="E169" i="113"/>
  <c r="E173" i="113"/>
  <c r="E185" i="113"/>
  <c r="E189" i="113"/>
  <c r="G189" i="113" s="1"/>
  <c r="E193" i="113"/>
  <c r="E204" i="113"/>
  <c r="G204" i="113" s="1"/>
  <c r="E202" i="149"/>
  <c r="E170" i="62"/>
  <c r="E99" i="19"/>
  <c r="G99" i="19" s="1"/>
  <c r="E158" i="19"/>
  <c r="E88" i="177"/>
  <c r="E26" i="177"/>
  <c r="E232" i="177"/>
  <c r="E110" i="177"/>
  <c r="G110" i="177" s="1"/>
  <c r="E28" i="177"/>
  <c r="E32" i="177"/>
  <c r="G32" i="177" s="1"/>
  <c r="E177" i="177"/>
  <c r="G177" i="177" s="1"/>
  <c r="E90" i="177"/>
  <c r="G90" i="177" s="1"/>
  <c r="E40" i="177"/>
  <c r="G40" i="177" s="1"/>
  <c r="E82" i="177"/>
  <c r="E158" i="177"/>
  <c r="E20" i="177"/>
  <c r="E50" i="177"/>
  <c r="E75" i="177"/>
  <c r="E106" i="177"/>
  <c r="E16" i="177"/>
  <c r="E169" i="177"/>
  <c r="E71" i="177"/>
  <c r="E140" i="177"/>
  <c r="E222" i="177"/>
  <c r="G222" i="177" s="1"/>
  <c r="E18" i="177"/>
  <c r="E36" i="177"/>
  <c r="E56" i="177"/>
  <c r="G56" i="177" s="1"/>
  <c r="E149" i="177"/>
  <c r="E145" i="177"/>
  <c r="E52" i="177"/>
  <c r="G52" i="177" s="1"/>
  <c r="K17" i="177" l="1"/>
  <c r="G233" i="60"/>
  <c r="G12" i="33"/>
  <c r="G55" i="33"/>
  <c r="G124" i="33"/>
  <c r="G233" i="57"/>
  <c r="E235" i="57"/>
  <c r="G204" i="136"/>
  <c r="G40" i="136"/>
  <c r="G175" i="136"/>
  <c r="G107" i="33"/>
  <c r="G148" i="136"/>
  <c r="G107" i="136"/>
  <c r="G99" i="33"/>
  <c r="G38" i="33"/>
  <c r="G42" i="136"/>
  <c r="G30" i="33"/>
  <c r="G117" i="33"/>
  <c r="G135" i="136"/>
  <c r="G57" i="136"/>
  <c r="G169" i="136"/>
  <c r="G29" i="33"/>
  <c r="G126" i="136"/>
  <c r="G82" i="136"/>
  <c r="G50" i="136"/>
  <c r="G186" i="33"/>
  <c r="G193" i="136"/>
  <c r="G34" i="57"/>
  <c r="G201" i="33"/>
  <c r="G126" i="33"/>
  <c r="G114" i="57"/>
  <c r="G90" i="136"/>
  <c r="G20" i="33"/>
  <c r="G110" i="33"/>
  <c r="G187" i="33"/>
  <c r="G53" i="33"/>
  <c r="G178" i="33"/>
  <c r="G173" i="57"/>
  <c r="G116" i="136"/>
  <c r="G150" i="33"/>
  <c r="G45" i="33"/>
  <c r="G19" i="136"/>
  <c r="G68" i="33"/>
  <c r="G233" i="42"/>
  <c r="G66" i="33"/>
  <c r="G191" i="136"/>
  <c r="G105" i="33"/>
  <c r="G70" i="33"/>
  <c r="G160" i="33"/>
  <c r="G137" i="33"/>
  <c r="G108" i="57"/>
  <c r="G135" i="33"/>
  <c r="G155" i="136"/>
  <c r="G232" i="33"/>
  <c r="G142" i="136"/>
  <c r="G176" i="33"/>
  <c r="G48" i="33"/>
  <c r="G125" i="136"/>
  <c r="G60" i="33"/>
  <c r="G91" i="33"/>
  <c r="G184" i="33"/>
  <c r="G193" i="33"/>
  <c r="G32" i="136"/>
  <c r="G149" i="33"/>
  <c r="G115" i="33"/>
  <c r="G222" i="33"/>
  <c r="G153" i="135"/>
  <c r="G86" i="33"/>
  <c r="G180" i="57"/>
  <c r="G13" i="33"/>
  <c r="G194" i="33"/>
  <c r="G138" i="33"/>
  <c r="G133" i="136"/>
  <c r="G170" i="33"/>
  <c r="G89" i="136"/>
  <c r="G166" i="33"/>
  <c r="G37" i="33"/>
  <c r="G25" i="136"/>
  <c r="G226" i="33"/>
  <c r="G233" i="86"/>
  <c r="G225" i="136"/>
  <c r="G136" i="33"/>
  <c r="G108" i="135"/>
  <c r="G175" i="33"/>
  <c r="G166" i="136"/>
  <c r="G70" i="21"/>
  <c r="G65" i="33"/>
  <c r="G33" i="33"/>
  <c r="G124" i="136"/>
  <c r="G123" i="33"/>
  <c r="G50" i="33"/>
  <c r="G77" i="33"/>
  <c r="G148" i="57"/>
  <c r="G84" i="33"/>
  <c r="G202" i="33"/>
  <c r="G133" i="33"/>
  <c r="G202" i="136"/>
  <c r="G39" i="136"/>
  <c r="G16" i="136"/>
  <c r="G152" i="136"/>
  <c r="G156" i="136"/>
  <c r="G57" i="33"/>
  <c r="G148" i="33"/>
  <c r="G204" i="33"/>
  <c r="G219" i="33"/>
  <c r="G183" i="33"/>
  <c r="G83" i="57"/>
  <c r="G225" i="57"/>
  <c r="G87" i="136"/>
  <c r="G15" i="33"/>
  <c r="G101" i="33"/>
  <c r="G106" i="33"/>
  <c r="G205" i="33"/>
  <c r="G182" i="33"/>
  <c r="G180" i="136"/>
  <c r="G25" i="33"/>
  <c r="G31" i="136"/>
  <c r="G72" i="33"/>
  <c r="G147" i="33"/>
  <c r="G190" i="33"/>
  <c r="G192" i="33"/>
  <c r="E102" i="136"/>
  <c r="G167" i="33"/>
  <c r="G39" i="33"/>
  <c r="G233" i="54"/>
  <c r="G195" i="33"/>
  <c r="G145" i="33"/>
  <c r="G76" i="33"/>
  <c r="G224" i="33"/>
  <c r="G54" i="33"/>
  <c r="G69" i="33"/>
  <c r="G71" i="33"/>
  <c r="G100" i="33"/>
  <c r="G127" i="33"/>
  <c r="G152" i="33"/>
  <c r="G233" i="33"/>
  <c r="K14" i="136"/>
  <c r="G58" i="57"/>
  <c r="G203" i="135"/>
  <c r="G164" i="136"/>
  <c r="G45" i="135"/>
  <c r="G59" i="135"/>
  <c r="G49" i="136"/>
  <c r="G171" i="136"/>
  <c r="G136" i="57"/>
  <c r="G42" i="57"/>
  <c r="G116" i="135"/>
  <c r="G226" i="57"/>
  <c r="G109" i="21"/>
  <c r="G53" i="135"/>
  <c r="G189" i="135"/>
  <c r="G71" i="135"/>
  <c r="G43" i="135"/>
  <c r="G188" i="136"/>
  <c r="G185" i="57"/>
  <c r="G145" i="136"/>
  <c r="G70" i="135"/>
  <c r="G100" i="136"/>
  <c r="G26" i="57"/>
  <c r="G75" i="57"/>
  <c r="G153" i="57"/>
  <c r="G51" i="136"/>
  <c r="G192" i="136"/>
  <c r="G16" i="135"/>
  <c r="G56" i="57"/>
  <c r="G203" i="136"/>
  <c r="G88" i="135"/>
  <c r="G110" i="136"/>
  <c r="G195" i="136"/>
  <c r="G233" i="58"/>
  <c r="E93" i="136"/>
  <c r="G160" i="136"/>
  <c r="G179" i="136"/>
  <c r="G83" i="136"/>
  <c r="G108" i="136"/>
  <c r="G196" i="136"/>
  <c r="G77" i="136"/>
  <c r="G118" i="136"/>
  <c r="G96" i="136"/>
  <c r="G86" i="136"/>
  <c r="G174" i="136"/>
  <c r="G36" i="136"/>
  <c r="G43" i="136"/>
  <c r="G45" i="136"/>
  <c r="G48" i="136"/>
  <c r="G55" i="136"/>
  <c r="G88" i="136"/>
  <c r="G109" i="136"/>
  <c r="G141" i="136"/>
  <c r="G29" i="136"/>
  <c r="G52" i="136"/>
  <c r="G189" i="136"/>
  <c r="G132" i="136"/>
  <c r="G224" i="136"/>
  <c r="G130" i="136"/>
  <c r="G124" i="57"/>
  <c r="G43" i="57"/>
  <c r="G35" i="57"/>
  <c r="G28" i="135"/>
  <c r="G157" i="57"/>
  <c r="G196" i="135"/>
  <c r="G41" i="57"/>
  <c r="G85" i="57"/>
  <c r="G167" i="57"/>
  <c r="G143" i="57"/>
  <c r="G15" i="57"/>
  <c r="G116" i="57"/>
  <c r="G233" i="83"/>
  <c r="G178" i="57"/>
  <c r="G149" i="57"/>
  <c r="G19" i="21"/>
  <c r="G174" i="57"/>
  <c r="G65" i="111"/>
  <c r="G106" i="57"/>
  <c r="G202" i="135"/>
  <c r="G200" i="57"/>
  <c r="G159" i="57"/>
  <c r="G91" i="57"/>
  <c r="G168" i="135"/>
  <c r="G25" i="57"/>
  <c r="G14" i="57"/>
  <c r="G194" i="57"/>
  <c r="G106" i="135"/>
  <c r="G186" i="57"/>
  <c r="G137" i="57"/>
  <c r="G86" i="57"/>
  <c r="G49" i="57"/>
  <c r="G233" i="47"/>
  <c r="G37" i="45"/>
  <c r="G179" i="57"/>
  <c r="G156" i="57"/>
  <c r="G129" i="135"/>
  <c r="G12" i="135"/>
  <c r="G123" i="57"/>
  <c r="G84" i="57"/>
  <c r="G55" i="57"/>
  <c r="G176" i="21"/>
  <c r="G192" i="135"/>
  <c r="G201" i="57"/>
  <c r="G188" i="57"/>
  <c r="G138" i="57"/>
  <c r="G72" i="135"/>
  <c r="G188" i="21"/>
  <c r="G222" i="135"/>
  <c r="G187" i="57"/>
  <c r="G171" i="57"/>
  <c r="G98" i="57"/>
  <c r="G92" i="57"/>
  <c r="G47" i="57"/>
  <c r="G181" i="135"/>
  <c r="G224" i="57"/>
  <c r="G11" i="57"/>
  <c r="G100" i="135"/>
  <c r="G184" i="135"/>
  <c r="G99" i="57"/>
  <c r="G187" i="111"/>
  <c r="G150" i="57"/>
  <c r="G48" i="57"/>
  <c r="G66" i="111"/>
  <c r="G29" i="135"/>
  <c r="G44" i="57"/>
  <c r="G170" i="135"/>
  <c r="G32" i="57"/>
  <c r="G205" i="111"/>
  <c r="G176" i="57"/>
  <c r="G232" i="57"/>
  <c r="G193" i="57"/>
  <c r="G147" i="57"/>
  <c r="G135" i="57"/>
  <c r="G109" i="57"/>
  <c r="G74" i="57"/>
  <c r="G57" i="57"/>
  <c r="G36" i="57"/>
  <c r="G231" i="57"/>
  <c r="G192" i="57"/>
  <c r="G184" i="57"/>
  <c r="G69" i="57"/>
  <c r="G117" i="57"/>
  <c r="G66" i="57"/>
  <c r="G76" i="57"/>
  <c r="G33" i="57"/>
  <c r="G204" i="57"/>
  <c r="G88" i="57"/>
  <c r="G18" i="57"/>
  <c r="G205" i="57"/>
  <c r="E111" i="57"/>
  <c r="G91" i="135"/>
  <c r="G98" i="135"/>
  <c r="G135" i="135"/>
  <c r="G149" i="135"/>
  <c r="G183" i="135"/>
  <c r="G167" i="135"/>
  <c r="G141" i="135"/>
  <c r="G34" i="135"/>
  <c r="G175" i="135"/>
  <c r="G48" i="21"/>
  <c r="G129" i="111"/>
  <c r="G182" i="21"/>
  <c r="G78" i="21"/>
  <c r="G14" i="111"/>
  <c r="G180" i="21"/>
  <c r="G56" i="159"/>
  <c r="D231" i="97"/>
  <c r="G127" i="111"/>
  <c r="G145" i="21"/>
  <c r="G141" i="21"/>
  <c r="G130" i="111"/>
  <c r="G155" i="21"/>
  <c r="G56" i="111"/>
  <c r="G203" i="111"/>
  <c r="G96" i="159"/>
  <c r="G46" i="21"/>
  <c r="G165" i="21"/>
  <c r="G219" i="111"/>
  <c r="G107" i="21"/>
  <c r="G70" i="159"/>
  <c r="G46" i="159"/>
  <c r="G227" i="159"/>
  <c r="G88" i="21"/>
  <c r="G174" i="21"/>
  <c r="G181" i="111"/>
  <c r="G78" i="159"/>
  <c r="G176" i="159"/>
  <c r="G99" i="159"/>
  <c r="G32" i="159"/>
  <c r="G49" i="21"/>
  <c r="G153" i="111"/>
  <c r="G110" i="159"/>
  <c r="G29" i="21"/>
  <c r="G100" i="159"/>
  <c r="G152" i="21"/>
  <c r="G221" i="21"/>
  <c r="G19" i="159"/>
  <c r="G233" i="25"/>
  <c r="G40" i="21"/>
  <c r="G110" i="21"/>
  <c r="G151" i="21"/>
  <c r="G153" i="21"/>
  <c r="G166" i="21"/>
  <c r="G87" i="159"/>
  <c r="G47" i="159"/>
  <c r="G169" i="159"/>
  <c r="G47" i="21"/>
  <c r="G220" i="21"/>
  <c r="G201" i="111"/>
  <c r="G220" i="111"/>
  <c r="G132" i="21"/>
  <c r="G181" i="21"/>
  <c r="G98" i="111"/>
  <c r="G165" i="111"/>
  <c r="G31" i="159"/>
  <c r="G225" i="21"/>
  <c r="G201" i="159"/>
  <c r="G55" i="21"/>
  <c r="G58" i="21"/>
  <c r="G187" i="21"/>
  <c r="G196" i="21"/>
  <c r="G110" i="111"/>
  <c r="G170" i="111"/>
  <c r="G185" i="159"/>
  <c r="G224" i="111"/>
  <c r="G226" i="21"/>
  <c r="G50" i="21"/>
  <c r="G77" i="21"/>
  <c r="G200" i="111"/>
  <c r="G115" i="111"/>
  <c r="G179" i="111"/>
  <c r="G223" i="159"/>
  <c r="G129" i="159"/>
  <c r="G140" i="159"/>
  <c r="G137" i="159"/>
  <c r="G124" i="159"/>
  <c r="G37" i="159"/>
  <c r="G191" i="159"/>
  <c r="G150" i="159"/>
  <c r="G11" i="159"/>
  <c r="G117" i="159"/>
  <c r="G86" i="159"/>
  <c r="G200" i="159"/>
  <c r="G130" i="159"/>
  <c r="G187" i="159"/>
  <c r="G38" i="159"/>
  <c r="G143" i="159"/>
  <c r="G205" i="159"/>
  <c r="G101" i="159"/>
  <c r="G160" i="159"/>
  <c r="G179" i="159"/>
  <c r="G156" i="111"/>
  <c r="G188" i="111"/>
  <c r="G86" i="111"/>
  <c r="G92" i="111"/>
  <c r="G101" i="21"/>
  <c r="E111" i="21"/>
  <c r="G38" i="21"/>
  <c r="G219" i="21"/>
  <c r="G75" i="21"/>
  <c r="G185" i="21"/>
  <c r="G142" i="21"/>
  <c r="G54" i="21"/>
  <c r="G36" i="21"/>
  <c r="G169" i="21"/>
  <c r="G205" i="21"/>
  <c r="G15" i="21"/>
  <c r="G18" i="21"/>
  <c r="G125" i="21"/>
  <c r="G31" i="21"/>
  <c r="K17" i="58"/>
  <c r="K17" i="83"/>
  <c r="K18" i="133"/>
  <c r="K18" i="79"/>
  <c r="K18" i="142"/>
  <c r="K17" i="63"/>
  <c r="K18" i="87"/>
  <c r="K18" i="120"/>
  <c r="K17" i="98"/>
  <c r="K18" i="119"/>
  <c r="K17" i="136"/>
  <c r="K17" i="156"/>
  <c r="K17" i="141"/>
  <c r="K17" i="39"/>
  <c r="K18" i="159"/>
  <c r="K17" i="62"/>
  <c r="K18" i="89"/>
  <c r="K18" i="43"/>
  <c r="K17" i="106"/>
  <c r="K17" i="104"/>
  <c r="K17" i="85"/>
  <c r="K17" i="92"/>
  <c r="K17" i="118"/>
  <c r="K18" i="58"/>
  <c r="K18" i="111"/>
  <c r="K18" i="68"/>
  <c r="K17" i="157"/>
  <c r="K17" i="69"/>
  <c r="K18" i="42"/>
  <c r="K18" i="141"/>
  <c r="K17" i="119"/>
  <c r="K17" i="21"/>
  <c r="K17" i="133"/>
  <c r="K17" i="87"/>
  <c r="K18" i="60"/>
  <c r="K18" i="86"/>
  <c r="K18" i="143"/>
  <c r="K18" i="21"/>
  <c r="K17" i="111"/>
  <c r="K18" i="90"/>
  <c r="K18" i="1"/>
  <c r="K17" i="89"/>
  <c r="K17" i="37"/>
  <c r="K18" i="102"/>
  <c r="K17" i="84"/>
  <c r="K17" i="64"/>
  <c r="K18" i="10"/>
  <c r="K18" i="45"/>
  <c r="K17" i="79"/>
  <c r="K17" i="54"/>
  <c r="K17" i="1"/>
  <c r="K17" i="143"/>
  <c r="K17" i="102"/>
  <c r="K18" i="104"/>
  <c r="K17" i="24"/>
  <c r="K17" i="90"/>
  <c r="K18" i="85"/>
  <c r="K18" i="95"/>
  <c r="K17" i="94"/>
  <c r="K18" i="55"/>
  <c r="K18" i="149"/>
  <c r="K18" i="69"/>
  <c r="K17" i="149"/>
  <c r="K18" i="64"/>
  <c r="K17" i="53"/>
  <c r="K18" i="118"/>
  <c r="K18" i="83"/>
  <c r="K17" i="103"/>
  <c r="K17" i="47"/>
  <c r="K18" i="145"/>
  <c r="K18" i="167"/>
  <c r="K17" i="60"/>
  <c r="K17" i="28"/>
  <c r="K17" i="33"/>
  <c r="K18" i="32"/>
  <c r="K18" i="38"/>
  <c r="K18" i="135"/>
  <c r="K17" i="150"/>
  <c r="K18" i="175"/>
  <c r="K18" i="152"/>
  <c r="K17" i="164"/>
  <c r="K17" i="174"/>
  <c r="K17" i="175"/>
  <c r="K17" i="38"/>
  <c r="F231" i="97"/>
  <c r="F208" i="49"/>
  <c r="F208" i="43"/>
  <c r="F200" i="97"/>
  <c r="F208" i="86"/>
  <c r="F208" i="1"/>
  <c r="F208" i="157"/>
  <c r="F122" i="97"/>
  <c r="F208" i="32"/>
  <c r="F208" i="15"/>
  <c r="F208" i="50"/>
  <c r="F208" i="90"/>
  <c r="F208" i="27"/>
  <c r="F208" i="54"/>
  <c r="F208" i="143"/>
  <c r="F114" i="97"/>
  <c r="F208" i="135"/>
  <c r="F208" i="89"/>
  <c r="F208" i="119"/>
  <c r="F208" i="33"/>
  <c r="F208" i="46"/>
  <c r="F208" i="63"/>
  <c r="F215" i="63" s="1"/>
  <c r="F208" i="103"/>
  <c r="F105" i="97"/>
  <c r="F208" i="45"/>
  <c r="F215" i="45" s="1"/>
  <c r="F208" i="120"/>
  <c r="F96" i="97"/>
  <c r="F208" i="16"/>
  <c r="F215" i="16" s="1"/>
  <c r="F208" i="142"/>
  <c r="F208" i="60"/>
  <c r="F208" i="14"/>
  <c r="F208" i="152"/>
  <c r="F208" i="58"/>
  <c r="F208" i="94"/>
  <c r="F208" i="118"/>
  <c r="F208" i="172"/>
  <c r="F208" i="24"/>
  <c r="F82" i="97"/>
  <c r="F208" i="98"/>
  <c r="F208" i="159"/>
  <c r="F208" i="31"/>
  <c r="F208" i="136"/>
  <c r="F208" i="145"/>
  <c r="F208" i="113"/>
  <c r="F208" i="165"/>
  <c r="F215" i="165" s="1"/>
  <c r="F208" i="65"/>
  <c r="F208" i="141"/>
  <c r="F208" i="47"/>
  <c r="F208" i="68"/>
  <c r="F208" i="156"/>
  <c r="F208" i="83"/>
  <c r="F215" i="43"/>
  <c r="F24" i="97"/>
  <c r="G174" i="159"/>
  <c r="G16" i="159"/>
  <c r="G152" i="159"/>
  <c r="G53" i="159"/>
  <c r="G69" i="159"/>
  <c r="G116" i="159"/>
  <c r="G60" i="159"/>
  <c r="G165" i="159"/>
  <c r="G84" i="159"/>
  <c r="G204" i="159"/>
  <c r="G145" i="159"/>
  <c r="G203" i="159"/>
  <c r="G224" i="159"/>
  <c r="G172" i="159"/>
  <c r="G109" i="159"/>
  <c r="G18" i="159"/>
  <c r="G190" i="159"/>
  <c r="G147" i="159"/>
  <c r="G75" i="159"/>
  <c r="G50" i="159"/>
  <c r="G105" i="21"/>
  <c r="G136" i="21"/>
  <c r="G156" i="21"/>
  <c r="G167" i="21"/>
  <c r="G66" i="21"/>
  <c r="G192" i="21"/>
  <c r="G201" i="21"/>
  <c r="G147" i="21"/>
  <c r="G74" i="21"/>
  <c r="G89" i="21"/>
  <c r="G91" i="21"/>
  <c r="G177" i="21"/>
  <c r="G28" i="21"/>
  <c r="G60" i="21"/>
  <c r="G118" i="21"/>
  <c r="G157" i="21"/>
  <c r="G168" i="21"/>
  <c r="G191" i="21"/>
  <c r="G193" i="21"/>
  <c r="G16" i="21"/>
  <c r="G106" i="21"/>
  <c r="G108" i="21"/>
  <c r="G184" i="21"/>
  <c r="G69" i="21"/>
  <c r="G171" i="21"/>
  <c r="G222" i="111"/>
  <c r="G107" i="111"/>
  <c r="G67" i="111"/>
  <c r="G159" i="111"/>
  <c r="G183" i="111"/>
  <c r="G150" i="111"/>
  <c r="G167" i="111"/>
  <c r="G40" i="111"/>
  <c r="G233" i="111"/>
  <c r="E235" i="111"/>
  <c r="G78" i="135"/>
  <c r="G26" i="135"/>
  <c r="G44" i="135"/>
  <c r="G52" i="135"/>
  <c r="G157" i="135"/>
  <c r="G194" i="135"/>
  <c r="G115" i="135"/>
  <c r="G60" i="135"/>
  <c r="G107" i="135"/>
  <c r="G125" i="135"/>
  <c r="G205" i="135"/>
  <c r="G36" i="135"/>
  <c r="G173" i="135"/>
  <c r="G85" i="135"/>
  <c r="G138" i="135"/>
  <c r="G49" i="135"/>
  <c r="G178" i="135"/>
  <c r="G233" i="1"/>
  <c r="E235" i="136"/>
  <c r="G233" i="21"/>
  <c r="G233" i="136"/>
  <c r="G232" i="136"/>
  <c r="E235" i="135"/>
  <c r="E237" i="135" s="1"/>
  <c r="G232" i="159"/>
  <c r="E235" i="33"/>
  <c r="G231" i="111"/>
  <c r="G223" i="135"/>
  <c r="G223" i="33"/>
  <c r="G226" i="136"/>
  <c r="E228" i="159"/>
  <c r="G224" i="135"/>
  <c r="E228" i="135"/>
  <c r="G225" i="33"/>
  <c r="G223" i="136"/>
  <c r="G221" i="57"/>
  <c r="G225" i="135"/>
  <c r="G222" i="159"/>
  <c r="G222" i="21"/>
  <c r="G222" i="57"/>
  <c r="G220" i="33"/>
  <c r="E206" i="33"/>
  <c r="G200" i="33"/>
  <c r="G202" i="57"/>
  <c r="G200" i="135"/>
  <c r="G202" i="21"/>
  <c r="G200" i="136"/>
  <c r="G204" i="21"/>
  <c r="G180" i="33"/>
  <c r="G179" i="135"/>
  <c r="G187" i="135"/>
  <c r="G186" i="136"/>
  <c r="G181" i="136"/>
  <c r="G173" i="136"/>
  <c r="G165" i="136"/>
  <c r="G190" i="57"/>
  <c r="G185" i="135"/>
  <c r="G169" i="111"/>
  <c r="G180" i="111"/>
  <c r="G178" i="21"/>
  <c r="G194" i="21"/>
  <c r="G194" i="136"/>
  <c r="G188" i="33"/>
  <c r="G172" i="111"/>
  <c r="G182" i="57"/>
  <c r="G173" i="21"/>
  <c r="G189" i="21"/>
  <c r="G195" i="135"/>
  <c r="E197" i="21"/>
  <c r="E197" i="136"/>
  <c r="G173" i="33"/>
  <c r="G165" i="33"/>
  <c r="G166" i="57"/>
  <c r="G166" i="159"/>
  <c r="E161" i="136"/>
  <c r="E161" i="21"/>
  <c r="G159" i="21"/>
  <c r="G150" i="136"/>
  <c r="G150" i="135"/>
  <c r="G160" i="135"/>
  <c r="G131" i="21"/>
  <c r="G133" i="57"/>
  <c r="G142" i="33"/>
  <c r="G137" i="136"/>
  <c r="G127" i="136"/>
  <c r="G145" i="135"/>
  <c r="G159" i="33"/>
  <c r="G138" i="159"/>
  <c r="G152" i="57"/>
  <c r="G146" i="57"/>
  <c r="G129" i="136"/>
  <c r="G145" i="57"/>
  <c r="G136" i="136"/>
  <c r="G150" i="21"/>
  <c r="G158" i="21"/>
  <c r="G124" i="135"/>
  <c r="G159" i="136"/>
  <c r="G151" i="33"/>
  <c r="G153" i="33"/>
  <c r="G125" i="159"/>
  <c r="G156" i="159"/>
  <c r="G158" i="57"/>
  <c r="G149" i="136"/>
  <c r="G148" i="21"/>
  <c r="G138" i="21"/>
  <c r="G129" i="21"/>
  <c r="G125" i="57"/>
  <c r="G160" i="21"/>
  <c r="G151" i="136"/>
  <c r="G156" i="33"/>
  <c r="G117" i="111"/>
  <c r="G116" i="21"/>
  <c r="G118" i="57"/>
  <c r="G114" i="21"/>
  <c r="E119" i="159"/>
  <c r="G118" i="111"/>
  <c r="E119" i="33"/>
  <c r="G115" i="136"/>
  <c r="G118" i="33"/>
  <c r="G115" i="159"/>
  <c r="E119" i="136"/>
  <c r="G115" i="21"/>
  <c r="E119" i="57"/>
  <c r="E111" i="136"/>
  <c r="G106" i="136"/>
  <c r="G109" i="33"/>
  <c r="E111" i="33"/>
  <c r="E111" i="135"/>
  <c r="G108" i="33"/>
  <c r="G96" i="57"/>
  <c r="G99" i="111"/>
  <c r="E102" i="21"/>
  <c r="G99" i="21"/>
  <c r="G101" i="111"/>
  <c r="G96" i="33"/>
  <c r="G86" i="135"/>
  <c r="G83" i="33"/>
  <c r="G84" i="21"/>
  <c r="G86" i="21"/>
  <c r="G85" i="136"/>
  <c r="G90" i="33"/>
  <c r="G92" i="136"/>
  <c r="G92" i="33"/>
  <c r="E93" i="33"/>
  <c r="E93" i="57"/>
  <c r="G87" i="135"/>
  <c r="E93" i="21"/>
  <c r="G85" i="21"/>
  <c r="G73" i="111"/>
  <c r="G73" i="21"/>
  <c r="G78" i="57"/>
  <c r="G73" i="57"/>
  <c r="G65" i="135"/>
  <c r="G73" i="33"/>
  <c r="G75" i="33"/>
  <c r="G74" i="111"/>
  <c r="E79" i="33"/>
  <c r="G72" i="21"/>
  <c r="G65" i="21"/>
  <c r="G65" i="159"/>
  <c r="G73" i="159"/>
  <c r="E79" i="159"/>
  <c r="G72" i="57"/>
  <c r="G64" i="57"/>
  <c r="G73" i="135"/>
  <c r="G38" i="111"/>
  <c r="G58" i="159"/>
  <c r="G26" i="159"/>
  <c r="G45" i="45"/>
  <c r="G25" i="21"/>
  <c r="G46" i="135"/>
  <c r="G31" i="135"/>
  <c r="G28" i="33"/>
  <c r="G33" i="21"/>
  <c r="G57" i="21"/>
  <c r="G58" i="33"/>
  <c r="G29" i="111"/>
  <c r="G57" i="159"/>
  <c r="G41" i="21"/>
  <c r="G47" i="135"/>
  <c r="G47" i="136"/>
  <c r="G54" i="136"/>
  <c r="G49" i="159"/>
  <c r="G42" i="159"/>
  <c r="G26" i="33"/>
  <c r="G53" i="111"/>
  <c r="G42" i="33"/>
  <c r="G37" i="111"/>
  <c r="G20" i="21"/>
  <c r="G12" i="136"/>
  <c r="G12" i="21"/>
  <c r="G14" i="21"/>
  <c r="E21" i="21"/>
  <c r="G14" i="136"/>
  <c r="G14" i="33"/>
  <c r="G11" i="33"/>
  <c r="G19" i="135"/>
  <c r="G20" i="111"/>
  <c r="G220" i="45"/>
  <c r="G164" i="45"/>
  <c r="G68" i="45"/>
  <c r="D206" i="97"/>
  <c r="C21" i="97"/>
  <c r="C49" i="97"/>
  <c r="C68" i="97"/>
  <c r="C87" i="97"/>
  <c r="C109" i="97"/>
  <c r="C133" i="97"/>
  <c r="C152" i="97"/>
  <c r="C180" i="97"/>
  <c r="C188" i="97"/>
  <c r="C203" i="97"/>
  <c r="D17" i="97"/>
  <c r="D29" i="97"/>
  <c r="D37" i="97"/>
  <c r="D45" i="97"/>
  <c r="D53" i="97"/>
  <c r="D57" i="97"/>
  <c r="D68" i="97"/>
  <c r="D76" i="97"/>
  <c r="D87" i="97"/>
  <c r="D102" i="97"/>
  <c r="D113" i="97"/>
  <c r="D143" i="97"/>
  <c r="D148" i="97"/>
  <c r="D152" i="97"/>
  <c r="D176" i="97"/>
  <c r="D188" i="97"/>
  <c r="D196" i="97"/>
  <c r="D207" i="97"/>
  <c r="C14" i="97"/>
  <c r="C18" i="97"/>
  <c r="C22" i="97"/>
  <c r="C30" i="97"/>
  <c r="C34" i="97"/>
  <c r="C38" i="97"/>
  <c r="C42" i="97"/>
  <c r="C46" i="97"/>
  <c r="C50" i="97"/>
  <c r="C54" i="97"/>
  <c r="C58" i="97"/>
  <c r="C62" i="97"/>
  <c r="C69" i="97"/>
  <c r="C73" i="97"/>
  <c r="C77" i="97"/>
  <c r="C81" i="97"/>
  <c r="C88" i="97"/>
  <c r="C92" i="97"/>
  <c r="C99" i="97"/>
  <c r="C103" i="97"/>
  <c r="C110" i="97"/>
  <c r="C117" i="97"/>
  <c r="C121" i="97"/>
  <c r="C129" i="97"/>
  <c r="C134" i="97"/>
  <c r="C139" i="97"/>
  <c r="C144" i="97"/>
  <c r="C149" i="97"/>
  <c r="C153" i="97"/>
  <c r="C158" i="97"/>
  <c r="C162" i="97"/>
  <c r="C169" i="97"/>
  <c r="C173" i="97"/>
  <c r="C177" i="97"/>
  <c r="C181" i="97"/>
  <c r="C185" i="97"/>
  <c r="C189" i="97"/>
  <c r="C193" i="97"/>
  <c r="C197" i="97"/>
  <c r="C204" i="97"/>
  <c r="C208" i="97"/>
  <c r="C227" i="97"/>
  <c r="C238" i="97"/>
  <c r="C29" i="97"/>
  <c r="C33" i="97"/>
  <c r="C45" i="97"/>
  <c r="C61" i="97"/>
  <c r="C80" i="97"/>
  <c r="C102" i="97"/>
  <c r="C128" i="97"/>
  <c r="C143" i="97"/>
  <c r="C168" i="97"/>
  <c r="C184" i="97"/>
  <c r="C192" i="97"/>
  <c r="C196" i="97"/>
  <c r="C207" i="97"/>
  <c r="D21" i="97"/>
  <c r="D33" i="97"/>
  <c r="D41" i="97"/>
  <c r="D49" i="97"/>
  <c r="D61" i="97"/>
  <c r="D72" i="97"/>
  <c r="D80" i="97"/>
  <c r="D91" i="97"/>
  <c r="D95" i="97"/>
  <c r="D109" i="97"/>
  <c r="D120" i="97"/>
  <c r="D128" i="97"/>
  <c r="D133" i="97"/>
  <c r="D138" i="97"/>
  <c r="D156" i="97"/>
  <c r="D161" i="97"/>
  <c r="D168" i="97"/>
  <c r="D172" i="97"/>
  <c r="D180" i="97"/>
  <c r="D184" i="97"/>
  <c r="D192" i="97"/>
  <c r="D203" i="97"/>
  <c r="C226" i="97"/>
  <c r="G89" i="45"/>
  <c r="D14" i="97"/>
  <c r="D18" i="97"/>
  <c r="D22" i="97"/>
  <c r="D30" i="97"/>
  <c r="D34" i="97"/>
  <c r="D38" i="97"/>
  <c r="D42" i="97"/>
  <c r="D46" i="97"/>
  <c r="D50" i="97"/>
  <c r="D54" i="97"/>
  <c r="D58" i="97"/>
  <c r="D62" i="97"/>
  <c r="D69" i="97"/>
  <c r="D73" i="97"/>
  <c r="D77" i="97"/>
  <c r="D81" i="97"/>
  <c r="D88" i="97"/>
  <c r="D92" i="97"/>
  <c r="D99" i="97"/>
  <c r="D103" i="97"/>
  <c r="D110" i="97"/>
  <c r="D117" i="97"/>
  <c r="D121" i="97"/>
  <c r="D129" i="97"/>
  <c r="D134" i="97"/>
  <c r="D139" i="97"/>
  <c r="D144" i="97"/>
  <c r="D149" i="97"/>
  <c r="D153" i="97"/>
  <c r="D158" i="97"/>
  <c r="D162" i="97"/>
  <c r="D169" i="97"/>
  <c r="D173" i="97"/>
  <c r="D177" i="97"/>
  <c r="D181" i="97"/>
  <c r="D185" i="97"/>
  <c r="D189" i="97"/>
  <c r="D193" i="97"/>
  <c r="D197" i="97"/>
  <c r="D204" i="97"/>
  <c r="D208" i="97"/>
  <c r="C228" i="97"/>
  <c r="D108" i="97"/>
  <c r="D199" i="97"/>
  <c r="C17" i="97"/>
  <c r="C41" i="97"/>
  <c r="C57" i="97"/>
  <c r="C76" i="97"/>
  <c r="C95" i="97"/>
  <c r="C120" i="97"/>
  <c r="C148" i="97"/>
  <c r="C156" i="97"/>
  <c r="C176" i="97"/>
  <c r="C225" i="97"/>
  <c r="C19" i="97"/>
  <c r="C31" i="97"/>
  <c r="C35" i="97"/>
  <c r="C43" i="97"/>
  <c r="C47" i="97"/>
  <c r="C51" i="97"/>
  <c r="C55" i="97"/>
  <c r="C63" i="97"/>
  <c r="C74" i="97"/>
  <c r="C78" i="97"/>
  <c r="C89" i="97"/>
  <c r="C93" i="97"/>
  <c r="C100" i="97"/>
  <c r="C111" i="97"/>
  <c r="C118" i="97"/>
  <c r="C126" i="97"/>
  <c r="C135" i="97"/>
  <c r="C150" i="97"/>
  <c r="C159" i="97"/>
  <c r="C170" i="97"/>
  <c r="C178" i="97"/>
  <c r="C186" i="97"/>
  <c r="C190" i="97"/>
  <c r="C198" i="97"/>
  <c r="C205" i="97"/>
  <c r="C229" i="97"/>
  <c r="D15" i="97"/>
  <c r="D19" i="97"/>
  <c r="D23" i="97"/>
  <c r="D31" i="97"/>
  <c r="D35" i="97"/>
  <c r="D39" i="97"/>
  <c r="D43" i="97"/>
  <c r="D47" i="97"/>
  <c r="D51" i="97"/>
  <c r="D55" i="97"/>
  <c r="D59" i="97"/>
  <c r="D63" i="97"/>
  <c r="D70" i="97"/>
  <c r="D74" i="97"/>
  <c r="D78" i="97"/>
  <c r="D85" i="97"/>
  <c r="D89" i="97"/>
  <c r="D93" i="97"/>
  <c r="D100" i="97"/>
  <c r="D104" i="97"/>
  <c r="D111" i="97"/>
  <c r="D118" i="97"/>
  <c r="D126" i="97"/>
  <c r="D130" i="97"/>
  <c r="D135" i="97"/>
  <c r="D140" i="97"/>
  <c r="D145" i="97"/>
  <c r="D150" i="97"/>
  <c r="D154" i="97"/>
  <c r="D159" i="97"/>
  <c r="D163" i="97"/>
  <c r="D170" i="97"/>
  <c r="D174" i="97"/>
  <c r="D178" i="97"/>
  <c r="D182" i="97"/>
  <c r="D186" i="97"/>
  <c r="D190" i="97"/>
  <c r="D194" i="97"/>
  <c r="D198" i="97"/>
  <c r="D205" i="97"/>
  <c r="C222" i="97"/>
  <c r="C230" i="97"/>
  <c r="D40" i="97"/>
  <c r="C37" i="97"/>
  <c r="C53" i="97"/>
  <c r="C72" i="97"/>
  <c r="C91" i="97"/>
  <c r="C113" i="97"/>
  <c r="C138" i="97"/>
  <c r="C161" i="97"/>
  <c r="C172" i="97"/>
  <c r="C235" i="97"/>
  <c r="C15" i="97"/>
  <c r="C23" i="97"/>
  <c r="C39" i="97"/>
  <c r="C59" i="97"/>
  <c r="C70" i="97"/>
  <c r="C85" i="97"/>
  <c r="C104" i="97"/>
  <c r="C130" i="97"/>
  <c r="C140" i="97"/>
  <c r="C145" i="97"/>
  <c r="C154" i="97"/>
  <c r="C163" i="97"/>
  <c r="C174" i="97"/>
  <c r="C182" i="97"/>
  <c r="C194" i="97"/>
  <c r="C214" i="97"/>
  <c r="C16" i="97"/>
  <c r="C20" i="97"/>
  <c r="C28" i="97"/>
  <c r="C32" i="97"/>
  <c r="C36" i="97"/>
  <c r="C40" i="97"/>
  <c r="C44" i="97"/>
  <c r="C48" i="97"/>
  <c r="C52" i="97"/>
  <c r="C56" i="97"/>
  <c r="C60" i="97"/>
  <c r="C67" i="97"/>
  <c r="C71" i="97"/>
  <c r="C75" i="97"/>
  <c r="C79" i="97"/>
  <c r="C86" i="97"/>
  <c r="C90" i="97"/>
  <c r="C94" i="97"/>
  <c r="C101" i="97"/>
  <c r="C108" i="97"/>
  <c r="C112" i="97"/>
  <c r="C119" i="97"/>
  <c r="C127" i="97"/>
  <c r="C132" i="97"/>
  <c r="C136" i="97"/>
  <c r="C141" i="97"/>
  <c r="C146" i="97"/>
  <c r="C151" i="97"/>
  <c r="C155" i="97"/>
  <c r="C160" i="97"/>
  <c r="C167" i="97"/>
  <c r="C171" i="97"/>
  <c r="C175" i="97"/>
  <c r="C179" i="97"/>
  <c r="C183" i="97"/>
  <c r="C187" i="97"/>
  <c r="C191" i="97"/>
  <c r="C195" i="97"/>
  <c r="C199" i="97"/>
  <c r="C206" i="97"/>
  <c r="C223" i="97"/>
  <c r="E235" i="14"/>
  <c r="G233" i="133"/>
  <c r="G224" i="45"/>
  <c r="E221" i="164"/>
  <c r="G221" i="164" s="1"/>
  <c r="G188" i="45"/>
  <c r="G168" i="45"/>
  <c r="G233" i="71"/>
  <c r="G91" i="45"/>
  <c r="G157" i="45"/>
  <c r="G64" i="45"/>
  <c r="G29" i="45"/>
  <c r="G233" i="95"/>
  <c r="G233" i="50"/>
  <c r="E233" i="142"/>
  <c r="G173" i="149"/>
  <c r="G233" i="14"/>
  <c r="G192" i="111"/>
  <c r="G223" i="111"/>
  <c r="G132" i="111"/>
  <c r="G141" i="111"/>
  <c r="G50" i="111"/>
  <c r="G193" i="111"/>
  <c r="G18" i="111"/>
  <c r="G27" i="111"/>
  <c r="G35" i="111"/>
  <c r="G43" i="111"/>
  <c r="G70" i="111"/>
  <c r="G78" i="111"/>
  <c r="G90" i="111"/>
  <c r="G124" i="111"/>
  <c r="G133" i="111"/>
  <c r="G57" i="111"/>
  <c r="G184" i="111"/>
  <c r="G140" i="111"/>
  <c r="G58" i="111"/>
  <c r="G96" i="111"/>
  <c r="G51" i="111"/>
  <c r="G185" i="111"/>
  <c r="G25" i="111"/>
  <c r="E79" i="111"/>
  <c r="G68" i="111"/>
  <c r="G176" i="111"/>
  <c r="G15" i="111"/>
  <c r="G41" i="111"/>
  <c r="G148" i="111"/>
  <c r="G186" i="111"/>
  <c r="G194" i="111"/>
  <c r="G149" i="111"/>
  <c r="G177" i="111"/>
  <c r="G76" i="111"/>
  <c r="G108" i="111"/>
  <c r="G168" i="111"/>
  <c r="G34" i="111"/>
  <c r="E119" i="111"/>
  <c r="E197" i="111"/>
  <c r="G91" i="111"/>
  <c r="E102" i="111"/>
  <c r="G232" i="111"/>
  <c r="G164" i="111"/>
  <c r="E233" i="16"/>
  <c r="E233" i="158"/>
  <c r="E233" i="156"/>
  <c r="G233" i="156" s="1"/>
  <c r="E233" i="155"/>
  <c r="G233" i="155" s="1"/>
  <c r="G233" i="119"/>
  <c r="G233" i="31"/>
  <c r="G233" i="32"/>
  <c r="G233" i="141"/>
  <c r="G233" i="24"/>
  <c r="G233" i="90"/>
  <c r="G54" i="135"/>
  <c r="G96" i="135"/>
  <c r="G146" i="135"/>
  <c r="G33" i="135"/>
  <c r="G57" i="135"/>
  <c r="E206" i="135"/>
  <c r="G182" i="135"/>
  <c r="G174" i="135"/>
  <c r="G166" i="135"/>
  <c r="G55" i="135"/>
  <c r="G97" i="135"/>
  <c r="G136" i="135"/>
  <c r="G158" i="135"/>
  <c r="E93" i="135"/>
  <c r="G219" i="135"/>
  <c r="G42" i="135"/>
  <c r="G77" i="135"/>
  <c r="G89" i="135"/>
  <c r="G147" i="135"/>
  <c r="G155" i="135"/>
  <c r="E197" i="135"/>
  <c r="E102" i="135"/>
  <c r="G220" i="135"/>
  <c r="E119" i="135"/>
  <c r="G233" i="39"/>
  <c r="G233" i="175"/>
  <c r="G76" i="45"/>
  <c r="G109" i="45"/>
  <c r="G148" i="45"/>
  <c r="G57" i="45"/>
  <c r="G33" i="45"/>
  <c r="G138" i="45"/>
  <c r="G49" i="45"/>
  <c r="E233" i="98"/>
  <c r="G233" i="63"/>
  <c r="G233" i="66"/>
  <c r="E233" i="68"/>
  <c r="G222" i="167"/>
  <c r="E87" i="69"/>
  <c r="G87" i="69" s="1"/>
  <c r="E231" i="143"/>
  <c r="G231" i="143" s="1"/>
  <c r="K14" i="143" s="1"/>
  <c r="E29" i="15"/>
  <c r="G29" i="15" s="1"/>
  <c r="E42" i="174"/>
  <c r="E92" i="174"/>
  <c r="G92" i="174" s="1"/>
  <c r="E169" i="174"/>
  <c r="G169" i="174" s="1"/>
  <c r="E200" i="174"/>
  <c r="E205" i="119"/>
  <c r="E226" i="141"/>
  <c r="E133" i="69"/>
  <c r="E231" i="142"/>
  <c r="G219" i="176"/>
  <c r="E177" i="98"/>
  <c r="G177" i="98" s="1"/>
  <c r="E221" i="143"/>
  <c r="G221" i="143" s="1"/>
  <c r="E231" i="10"/>
  <c r="E235" i="10" s="1"/>
  <c r="E221" i="86"/>
  <c r="G221" i="86" s="1"/>
  <c r="G191" i="167"/>
  <c r="E124" i="10"/>
  <c r="G124" i="10" s="1"/>
  <c r="E137" i="176"/>
  <c r="E224" i="90"/>
  <c r="E200" i="31"/>
  <c r="G200" i="31" s="1"/>
  <c r="G30" i="72"/>
  <c r="G182" i="72"/>
  <c r="E227" i="176"/>
  <c r="E221" i="95"/>
  <c r="G32" i="113"/>
  <c r="E145" i="133"/>
  <c r="G145" i="133" s="1"/>
  <c r="G232" i="149"/>
  <c r="G130" i="149"/>
  <c r="E106" i="174"/>
  <c r="E172" i="106"/>
  <c r="E90" i="64"/>
  <c r="G90" i="64" s="1"/>
  <c r="G125" i="113"/>
  <c r="G192" i="85"/>
  <c r="G156" i="72"/>
  <c r="G149" i="20"/>
  <c r="G141" i="167"/>
  <c r="G31" i="167"/>
  <c r="E146" i="120"/>
  <c r="G146" i="120" s="1"/>
  <c r="G160" i="72"/>
  <c r="E233" i="55"/>
  <c r="E86" i="71"/>
  <c r="E222" i="42"/>
  <c r="G222" i="42" s="1"/>
  <c r="E42" i="165"/>
  <c r="E221" i="10"/>
  <c r="E193" i="174"/>
  <c r="E115" i="176"/>
  <c r="G222" i="149"/>
  <c r="E148" i="31"/>
  <c r="G148" i="31" s="1"/>
  <c r="E231" i="95"/>
  <c r="E226" i="158"/>
  <c r="E221" i="1"/>
  <c r="E84" i="86"/>
  <c r="G84" i="86" s="1"/>
  <c r="G82" i="167"/>
  <c r="E226" i="175"/>
  <c r="G226" i="175" s="1"/>
  <c r="E200" i="55"/>
  <c r="E142" i="94"/>
  <c r="G142" i="94" s="1"/>
  <c r="E110" i="46"/>
  <c r="E231" i="50"/>
  <c r="E222" i="31"/>
  <c r="E231" i="69"/>
  <c r="E235" i="69" s="1"/>
  <c r="E146" i="174"/>
  <c r="E147" i="90"/>
  <c r="E36" i="24"/>
  <c r="E40" i="24"/>
  <c r="G40" i="24" s="1"/>
  <c r="E82" i="24"/>
  <c r="E147" i="24"/>
  <c r="E20" i="141"/>
  <c r="E32" i="32"/>
  <c r="E92" i="157"/>
  <c r="E165" i="157"/>
  <c r="E82" i="158"/>
  <c r="E123" i="158"/>
  <c r="E156" i="158"/>
  <c r="E202" i="16"/>
  <c r="G202" i="16" s="1"/>
  <c r="E72" i="176"/>
  <c r="E98" i="176"/>
  <c r="E124" i="176"/>
  <c r="E164" i="176"/>
  <c r="E172" i="176"/>
  <c r="E14" i="142"/>
  <c r="E110" i="142"/>
  <c r="G110" i="142" s="1"/>
  <c r="E18" i="1"/>
  <c r="E58" i="50"/>
  <c r="E204" i="50"/>
  <c r="E34" i="55"/>
  <c r="E16" i="176"/>
  <c r="G16" i="176" s="1"/>
  <c r="E48" i="176"/>
  <c r="E52" i="176"/>
  <c r="E175" i="176"/>
  <c r="E49" i="87"/>
  <c r="E72" i="86"/>
  <c r="E172" i="69"/>
  <c r="E204" i="31"/>
  <c r="G224" i="103"/>
  <c r="G201" i="20"/>
  <c r="E33" i="176"/>
  <c r="E127" i="24"/>
  <c r="G127" i="24" s="1"/>
  <c r="E101" i="32"/>
  <c r="E153" i="87"/>
  <c r="G153" i="87" s="1"/>
  <c r="E85" i="98"/>
  <c r="G85" i="98" s="1"/>
  <c r="G71" i="72"/>
  <c r="E204" i="94"/>
  <c r="E127" i="141"/>
  <c r="E118" i="133"/>
  <c r="E97" i="32"/>
  <c r="G97" i="32" s="1"/>
  <c r="E84" i="50"/>
  <c r="E84" i="143"/>
  <c r="G84" i="143" s="1"/>
  <c r="E231" i="156"/>
  <c r="G231" i="156" s="1"/>
  <c r="E232" i="16"/>
  <c r="G232" i="16" s="1"/>
  <c r="E53" i="176"/>
  <c r="E178" i="174"/>
  <c r="E64" i="176"/>
  <c r="E153" i="10"/>
  <c r="E158" i="95"/>
  <c r="G158" i="95" s="1"/>
  <c r="E196" i="176"/>
  <c r="E55" i="120"/>
  <c r="G60" i="167"/>
  <c r="E152" i="176"/>
  <c r="E191" i="32"/>
  <c r="E16" i="141"/>
  <c r="E150" i="120"/>
  <c r="E132" i="141"/>
  <c r="E156" i="90"/>
  <c r="E73" i="69"/>
  <c r="E181" i="92"/>
  <c r="E30" i="1"/>
  <c r="G126" i="37"/>
  <c r="E186" i="174"/>
  <c r="E188" i="31"/>
  <c r="E99" i="94"/>
  <c r="E205" i="98"/>
  <c r="E225" i="174"/>
  <c r="E204" i="10"/>
  <c r="G204" i="10" s="1"/>
  <c r="E39" i="152"/>
  <c r="E36" i="32"/>
  <c r="E174" i="133"/>
  <c r="E99" i="95"/>
  <c r="E223" i="157"/>
  <c r="E145" i="176"/>
  <c r="E182" i="174"/>
  <c r="E191" i="141"/>
  <c r="G191" i="141" s="1"/>
  <c r="E32" i="24"/>
  <c r="E52" i="141"/>
  <c r="E47" i="120"/>
  <c r="E165" i="142"/>
  <c r="E58" i="142"/>
  <c r="E60" i="158"/>
  <c r="E225" i="14"/>
  <c r="G19" i="72"/>
  <c r="E98" i="69"/>
  <c r="E180" i="69"/>
  <c r="E188" i="69"/>
  <c r="G188" i="69" s="1"/>
  <c r="E29" i="142"/>
  <c r="E196" i="1"/>
  <c r="E29" i="50"/>
  <c r="E143" i="50"/>
  <c r="G143" i="50" s="1"/>
  <c r="E29" i="95"/>
  <c r="E83" i="95"/>
  <c r="E138" i="95"/>
  <c r="E204" i="69"/>
  <c r="G204" i="69" s="1"/>
  <c r="E201" i="120"/>
  <c r="E127" i="16"/>
  <c r="E174" i="98"/>
  <c r="G174" i="98" s="1"/>
  <c r="E147" i="158"/>
  <c r="G147" i="167"/>
  <c r="E202" i="141"/>
  <c r="E49" i="176"/>
  <c r="E183" i="90"/>
  <c r="E71" i="32"/>
  <c r="G166" i="37"/>
  <c r="E37" i="176"/>
  <c r="E131" i="174"/>
  <c r="E177" i="157"/>
  <c r="G77" i="149"/>
  <c r="E156" i="141"/>
  <c r="E160" i="90"/>
  <c r="E82" i="90"/>
  <c r="E205" i="174"/>
  <c r="E202" i="104"/>
  <c r="E205" i="43"/>
  <c r="G132" i="113"/>
  <c r="G98" i="113"/>
  <c r="G73" i="113"/>
  <c r="G222" i="113"/>
  <c r="G70" i="167"/>
  <c r="G226" i="167"/>
  <c r="G19" i="167"/>
  <c r="G43" i="167"/>
  <c r="E64" i="84"/>
  <c r="G64" i="84" s="1"/>
  <c r="E233" i="84"/>
  <c r="G233" i="84" s="1"/>
  <c r="F208" i="57"/>
  <c r="F215" i="57" s="1"/>
  <c r="E191" i="60"/>
  <c r="E223" i="60"/>
  <c r="E227" i="60"/>
  <c r="E175" i="54"/>
  <c r="E46" i="94"/>
  <c r="E50" i="94"/>
  <c r="G50" i="94" s="1"/>
  <c r="E97" i="94"/>
  <c r="G97" i="94" s="1"/>
  <c r="E179" i="94"/>
  <c r="E219" i="94"/>
  <c r="E223" i="94"/>
  <c r="E165" i="164"/>
  <c r="E41" i="15"/>
  <c r="E49" i="15"/>
  <c r="G49" i="15" s="1"/>
  <c r="E87" i="15"/>
  <c r="G87" i="15" s="1"/>
  <c r="E224" i="15"/>
  <c r="E168" i="68"/>
  <c r="E225" i="66"/>
  <c r="E73" i="174"/>
  <c r="E158" i="174"/>
  <c r="E173" i="174"/>
  <c r="E177" i="174"/>
  <c r="E114" i="53"/>
  <c r="E231" i="83"/>
  <c r="E221" i="47"/>
  <c r="E231" i="47"/>
  <c r="E232" i="46"/>
  <c r="G138" i="102"/>
  <c r="E28" i="106"/>
  <c r="E43" i="104"/>
  <c r="E43" i="175"/>
  <c r="E166" i="175"/>
  <c r="E190" i="175"/>
  <c r="E123" i="84"/>
  <c r="G123" i="84" s="1"/>
  <c r="E202" i="84"/>
  <c r="G202" i="84" s="1"/>
  <c r="G226" i="84"/>
  <c r="E222" i="133"/>
  <c r="E232" i="133"/>
  <c r="E222" i="152"/>
  <c r="E232" i="152"/>
  <c r="E46" i="120"/>
  <c r="E69" i="120"/>
  <c r="G69" i="120" s="1"/>
  <c r="E130" i="120"/>
  <c r="E145" i="120"/>
  <c r="G145" i="120" s="1"/>
  <c r="E225" i="32"/>
  <c r="G225" i="32" s="1"/>
  <c r="E225" i="64"/>
  <c r="E32" i="28"/>
  <c r="E175" i="28"/>
  <c r="E202" i="28"/>
  <c r="E226" i="28"/>
  <c r="G226" i="28" s="1"/>
  <c r="E146" i="119"/>
  <c r="E155" i="119"/>
  <c r="E170" i="119"/>
  <c r="G170" i="119" s="1"/>
  <c r="E186" i="119"/>
  <c r="E201" i="119"/>
  <c r="E201" i="25"/>
  <c r="E136" i="155"/>
  <c r="G136" i="155" s="1"/>
  <c r="E164" i="155"/>
  <c r="E168" i="155"/>
  <c r="E172" i="155"/>
  <c r="E188" i="155"/>
  <c r="E192" i="155"/>
  <c r="E224" i="155"/>
  <c r="E17" i="156"/>
  <c r="G17" i="156" s="1"/>
  <c r="E33" i="156"/>
  <c r="E43" i="156"/>
  <c r="E87" i="156"/>
  <c r="E91" i="156"/>
  <c r="E194" i="156"/>
  <c r="E205" i="156"/>
  <c r="E225" i="42"/>
  <c r="E221" i="158"/>
  <c r="E231" i="158"/>
  <c r="E225" i="16"/>
  <c r="G225" i="16" s="1"/>
  <c r="E231" i="16"/>
  <c r="G231" i="16" s="1"/>
  <c r="E14" i="165"/>
  <c r="G14" i="165" s="1"/>
  <c r="E34" i="165"/>
  <c r="E88" i="165"/>
  <c r="E145" i="165"/>
  <c r="E158" i="165"/>
  <c r="E181" i="165"/>
  <c r="E117" i="55"/>
  <c r="E125" i="55"/>
  <c r="G125" i="55" s="1"/>
  <c r="E140" i="55"/>
  <c r="E145" i="55"/>
  <c r="E181" i="55"/>
  <c r="E226" i="55"/>
  <c r="E232" i="55"/>
  <c r="G232" i="55" s="1"/>
  <c r="E43" i="14"/>
  <c r="E74" i="14"/>
  <c r="E89" i="14"/>
  <c r="E96" i="14"/>
  <c r="E182" i="14"/>
  <c r="E186" i="14"/>
  <c r="E28" i="172"/>
  <c r="G28" i="172" s="1"/>
  <c r="E67" i="172"/>
  <c r="E108" i="176"/>
  <c r="G108" i="176" s="1"/>
  <c r="E142" i="176"/>
  <c r="E167" i="176"/>
  <c r="E171" i="176"/>
  <c r="E202" i="176"/>
  <c r="E83" i="143"/>
  <c r="E98" i="143"/>
  <c r="E105" i="143"/>
  <c r="G105" i="143" s="1"/>
  <c r="E109" i="143"/>
  <c r="E116" i="143"/>
  <c r="E138" i="143"/>
  <c r="G138" i="143" s="1"/>
  <c r="E143" i="143"/>
  <c r="E164" i="143"/>
  <c r="E172" i="143"/>
  <c r="E184" i="143"/>
  <c r="E220" i="143"/>
  <c r="E33" i="10"/>
  <c r="E41" i="10"/>
  <c r="E72" i="10"/>
  <c r="E168" i="10"/>
  <c r="E172" i="10"/>
  <c r="E184" i="10"/>
  <c r="E64" i="87"/>
  <c r="G64" i="87" s="1"/>
  <c r="E68" i="87"/>
  <c r="G68" i="87" s="1"/>
  <c r="E129" i="87"/>
  <c r="E37" i="86"/>
  <c r="E45" i="86"/>
  <c r="E105" i="86"/>
  <c r="E133" i="86"/>
  <c r="E138" i="86"/>
  <c r="E220" i="86"/>
  <c r="E224" i="86"/>
  <c r="E17" i="89"/>
  <c r="E220" i="89"/>
  <c r="E224" i="89"/>
  <c r="G224" i="89" s="1"/>
  <c r="E68" i="69"/>
  <c r="E72" i="69"/>
  <c r="G72" i="69" s="1"/>
  <c r="E168" i="69"/>
  <c r="E178" i="69"/>
  <c r="E192" i="69"/>
  <c r="E13" i="142"/>
  <c r="G13" i="142" s="1"/>
  <c r="E25" i="142"/>
  <c r="E83" i="142"/>
  <c r="G83" i="142" s="1"/>
  <c r="E87" i="142"/>
  <c r="E91" i="142"/>
  <c r="E98" i="142"/>
  <c r="E105" i="142"/>
  <c r="G105" i="142" s="1"/>
  <c r="E109" i="142"/>
  <c r="E116" i="142"/>
  <c r="E124" i="142"/>
  <c r="E138" i="142"/>
  <c r="E152" i="142"/>
  <c r="E164" i="142"/>
  <c r="E220" i="142"/>
  <c r="G220" i="142" s="1"/>
  <c r="E25" i="92"/>
  <c r="E29" i="92"/>
  <c r="E33" i="92"/>
  <c r="E53" i="92"/>
  <c r="E68" i="92"/>
  <c r="G68" i="92" s="1"/>
  <c r="E105" i="92"/>
  <c r="E109" i="92"/>
  <c r="E133" i="92"/>
  <c r="G133" i="92" s="1"/>
  <c r="E138" i="92"/>
  <c r="E143" i="92"/>
  <c r="E164" i="92"/>
  <c r="E168" i="92"/>
  <c r="E203" i="92"/>
  <c r="E220" i="92"/>
  <c r="G220" i="92" s="1"/>
  <c r="E188" i="1"/>
  <c r="E220" i="1"/>
  <c r="E45" i="50"/>
  <c r="E49" i="50"/>
  <c r="E72" i="50"/>
  <c r="E76" i="50"/>
  <c r="E124" i="50"/>
  <c r="E148" i="50"/>
  <c r="E180" i="50"/>
  <c r="E13" i="95"/>
  <c r="E45" i="95"/>
  <c r="G45" i="95" s="1"/>
  <c r="E53" i="95"/>
  <c r="E57" i="95"/>
  <c r="G57" i="95" s="1"/>
  <c r="E68" i="95"/>
  <c r="E76" i="95"/>
  <c r="E116" i="95"/>
  <c r="E143" i="95"/>
  <c r="G143" i="95" s="1"/>
  <c r="E192" i="95"/>
  <c r="E220" i="95"/>
  <c r="G220" i="95" s="1"/>
  <c r="E181" i="31"/>
  <c r="E177" i="31"/>
  <c r="G177" i="31" s="1"/>
  <c r="E173" i="31"/>
  <c r="E169" i="31"/>
  <c r="G169" i="31" s="1"/>
  <c r="E165" i="31"/>
  <c r="E135" i="31"/>
  <c r="G135" i="31" s="1"/>
  <c r="E125" i="31"/>
  <c r="E106" i="31"/>
  <c r="E92" i="31"/>
  <c r="G92" i="31" s="1"/>
  <c r="E73" i="31"/>
  <c r="E69" i="31"/>
  <c r="E65" i="31"/>
  <c r="G65" i="31" s="1"/>
  <c r="E58" i="31"/>
  <c r="G58" i="31" s="1"/>
  <c r="E54" i="31"/>
  <c r="G54" i="31" s="1"/>
  <c r="E50" i="31"/>
  <c r="E46" i="31"/>
  <c r="G46" i="31" s="1"/>
  <c r="E98" i="38"/>
  <c r="E143" i="38"/>
  <c r="G143" i="38" s="1"/>
  <c r="E188" i="38"/>
  <c r="E192" i="38"/>
  <c r="E196" i="38"/>
  <c r="E203" i="38"/>
  <c r="G203" i="38" s="1"/>
  <c r="E231" i="150"/>
  <c r="E65" i="174"/>
  <c r="G65" i="174" s="1"/>
  <c r="E77" i="174"/>
  <c r="E202" i="94"/>
  <c r="E189" i="176"/>
  <c r="G189" i="176" s="1"/>
  <c r="E170" i="175"/>
  <c r="E97" i="164"/>
  <c r="E166" i="92"/>
  <c r="E203" i="155"/>
  <c r="E184" i="155"/>
  <c r="E138" i="10"/>
  <c r="G138" i="10" s="1"/>
  <c r="E136" i="69"/>
  <c r="E131" i="155"/>
  <c r="G131" i="155" s="1"/>
  <c r="G202" i="27"/>
  <c r="G191" i="149"/>
  <c r="E165" i="55"/>
  <c r="E170" i="104"/>
  <c r="G170" i="104" s="1"/>
  <c r="E124" i="92"/>
  <c r="E33" i="87"/>
  <c r="E192" i="1"/>
  <c r="G223" i="103"/>
  <c r="E153" i="118"/>
  <c r="G153" i="118" s="1"/>
  <c r="E173" i="118"/>
  <c r="G173" i="118" s="1"/>
  <c r="E189" i="118"/>
  <c r="G189" i="118" s="1"/>
  <c r="E169" i="60"/>
  <c r="E171" i="54"/>
  <c r="E189" i="164"/>
  <c r="G189" i="164" s="1"/>
  <c r="E25" i="15"/>
  <c r="G25" i="15" s="1"/>
  <c r="E37" i="15"/>
  <c r="E64" i="15"/>
  <c r="E68" i="15"/>
  <c r="G68" i="15" s="1"/>
  <c r="E83" i="15"/>
  <c r="E225" i="68"/>
  <c r="E231" i="68"/>
  <c r="E225" i="63"/>
  <c r="E223" i="58"/>
  <c r="E227" i="58"/>
  <c r="G227" i="58" s="1"/>
  <c r="E69" i="174"/>
  <c r="E84" i="174"/>
  <c r="E110" i="174"/>
  <c r="E117" i="174"/>
  <c r="E125" i="174"/>
  <c r="E130" i="174"/>
  <c r="G130" i="174" s="1"/>
  <c r="E153" i="174"/>
  <c r="E185" i="174"/>
  <c r="G185" i="174" s="1"/>
  <c r="E204" i="174"/>
  <c r="E231" i="174"/>
  <c r="E136" i="53"/>
  <c r="G136" i="53" s="1"/>
  <c r="E178" i="98"/>
  <c r="G178" i="98" s="1"/>
  <c r="E194" i="98"/>
  <c r="E170" i="83"/>
  <c r="E140" i="46"/>
  <c r="G140" i="46" s="1"/>
  <c r="E149" i="46"/>
  <c r="E193" i="46"/>
  <c r="G193" i="46" s="1"/>
  <c r="E147" i="106"/>
  <c r="G147" i="106" s="1"/>
  <c r="E226" i="106"/>
  <c r="E174" i="104"/>
  <c r="E205" i="104"/>
  <c r="E224" i="104"/>
  <c r="E60" i="84"/>
  <c r="G60" i="84" s="1"/>
  <c r="E147" i="84"/>
  <c r="E54" i="133"/>
  <c r="E117" i="133"/>
  <c r="E130" i="133"/>
  <c r="E65" i="152"/>
  <c r="G65" i="152" s="1"/>
  <c r="E77" i="152"/>
  <c r="E110" i="152"/>
  <c r="E140" i="152"/>
  <c r="G140" i="152" s="1"/>
  <c r="E149" i="152"/>
  <c r="E58" i="120"/>
  <c r="G58" i="120" s="1"/>
  <c r="E77" i="120"/>
  <c r="G77" i="120" s="1"/>
  <c r="E88" i="120"/>
  <c r="E117" i="120"/>
  <c r="E125" i="120"/>
  <c r="E186" i="141"/>
  <c r="G186" i="141" s="1"/>
  <c r="E60" i="28"/>
  <c r="E82" i="28"/>
  <c r="E137" i="28"/>
  <c r="E183" i="28"/>
  <c r="E191" i="28"/>
  <c r="E36" i="65"/>
  <c r="G36" i="65" s="1"/>
  <c r="E56" i="65"/>
  <c r="G56" i="65" s="1"/>
  <c r="E82" i="65"/>
  <c r="G82" i="65" s="1"/>
  <c r="E127" i="65"/>
  <c r="E137" i="65"/>
  <c r="E160" i="65"/>
  <c r="E183" i="65"/>
  <c r="E191" i="65"/>
  <c r="E202" i="65"/>
  <c r="G202" i="65" s="1"/>
  <c r="E226" i="65"/>
  <c r="E118" i="119"/>
  <c r="E224" i="119"/>
  <c r="G224" i="119" s="1"/>
  <c r="E100" i="25"/>
  <c r="E131" i="25"/>
  <c r="E15" i="155"/>
  <c r="G15" i="155" s="1"/>
  <c r="E114" i="155"/>
  <c r="G114" i="155" s="1"/>
  <c r="E159" i="155"/>
  <c r="G159" i="155" s="1"/>
  <c r="E176" i="155"/>
  <c r="G176" i="155" s="1"/>
  <c r="E37" i="156"/>
  <c r="E105" i="156"/>
  <c r="G105" i="156" s="1"/>
  <c r="E141" i="156"/>
  <c r="G141" i="156" s="1"/>
  <c r="E152" i="156"/>
  <c r="G152" i="156" s="1"/>
  <c r="E164" i="156"/>
  <c r="G164" i="156" s="1"/>
  <c r="E172" i="156"/>
  <c r="E190" i="156"/>
  <c r="G190" i="156" s="1"/>
  <c r="E220" i="156"/>
  <c r="E146" i="42"/>
  <c r="E194" i="157"/>
  <c r="E221" i="16"/>
  <c r="E26" i="165"/>
  <c r="E50" i="165"/>
  <c r="E54" i="165"/>
  <c r="E106" i="165"/>
  <c r="E110" i="165"/>
  <c r="G110" i="165" s="1"/>
  <c r="E130" i="165"/>
  <c r="E140" i="165"/>
  <c r="G140" i="165" s="1"/>
  <c r="E177" i="165"/>
  <c r="E185" i="165"/>
  <c r="G185" i="165" s="1"/>
  <c r="E189" i="165"/>
  <c r="E193" i="165"/>
  <c r="E200" i="165"/>
  <c r="G200" i="165" s="1"/>
  <c r="E14" i="55"/>
  <c r="E18" i="55"/>
  <c r="E26" i="55"/>
  <c r="E50" i="55"/>
  <c r="G50" i="55" s="1"/>
  <c r="E58" i="55"/>
  <c r="G58" i="55" s="1"/>
  <c r="E65" i="55"/>
  <c r="E69" i="55"/>
  <c r="G69" i="55" s="1"/>
  <c r="E73" i="55"/>
  <c r="E77" i="55"/>
  <c r="E130" i="55"/>
  <c r="E135" i="55"/>
  <c r="E158" i="55"/>
  <c r="G158" i="55" s="1"/>
  <c r="E169" i="55"/>
  <c r="E173" i="55"/>
  <c r="E185" i="55"/>
  <c r="E193" i="55"/>
  <c r="E222" i="55"/>
  <c r="E51" i="14"/>
  <c r="E55" i="14"/>
  <c r="E70" i="14"/>
  <c r="E78" i="14"/>
  <c r="G78" i="14" s="1"/>
  <c r="E170" i="14"/>
  <c r="E194" i="14"/>
  <c r="G26" i="85"/>
  <c r="G97" i="85"/>
  <c r="E71" i="172"/>
  <c r="E92" i="172"/>
  <c r="G92" i="172" s="1"/>
  <c r="E127" i="172"/>
  <c r="G127" i="172" s="1"/>
  <c r="E193" i="172"/>
  <c r="E223" i="172"/>
  <c r="E12" i="176"/>
  <c r="E20" i="176"/>
  <c r="G20" i="176" s="1"/>
  <c r="E38" i="176"/>
  <c r="E42" i="176"/>
  <c r="E50" i="176"/>
  <c r="E67" i="176"/>
  <c r="E71" i="176"/>
  <c r="E132" i="176"/>
  <c r="E149" i="176"/>
  <c r="E195" i="176"/>
  <c r="E204" i="176"/>
  <c r="E17" i="143"/>
  <c r="G17" i="143" s="1"/>
  <c r="E87" i="143"/>
  <c r="E124" i="143"/>
  <c r="G124" i="143" s="1"/>
  <c r="E129" i="143"/>
  <c r="E148" i="143"/>
  <c r="E152" i="143"/>
  <c r="E168" i="143"/>
  <c r="G168" i="143" s="1"/>
  <c r="E180" i="143"/>
  <c r="E192" i="143"/>
  <c r="E196" i="143"/>
  <c r="G196" i="143" s="1"/>
  <c r="E203" i="143"/>
  <c r="E29" i="10"/>
  <c r="E76" i="10"/>
  <c r="E109" i="10"/>
  <c r="E116" i="10"/>
  <c r="G116" i="10" s="1"/>
  <c r="E143" i="10"/>
  <c r="G143" i="10" s="1"/>
  <c r="E176" i="10"/>
  <c r="E203" i="10"/>
  <c r="G203" i="10" s="1"/>
  <c r="E29" i="87"/>
  <c r="E57" i="87"/>
  <c r="E72" i="87"/>
  <c r="G72" i="87" s="1"/>
  <c r="E91" i="87"/>
  <c r="E116" i="87"/>
  <c r="E152" i="87"/>
  <c r="E157" i="87"/>
  <c r="E164" i="87"/>
  <c r="E180" i="87"/>
  <c r="E184" i="87"/>
  <c r="E196" i="87"/>
  <c r="E203" i="87"/>
  <c r="E13" i="86"/>
  <c r="G13" i="86" s="1"/>
  <c r="E53" i="86"/>
  <c r="E68" i="86"/>
  <c r="E109" i="86"/>
  <c r="E172" i="86"/>
  <c r="E188" i="86"/>
  <c r="E203" i="86"/>
  <c r="E25" i="89"/>
  <c r="E41" i="89"/>
  <c r="E45" i="89"/>
  <c r="G45" i="89" s="1"/>
  <c r="E76" i="69"/>
  <c r="E83" i="69"/>
  <c r="G83" i="69" s="1"/>
  <c r="E105" i="69"/>
  <c r="E109" i="69"/>
  <c r="E116" i="69"/>
  <c r="G116" i="69" s="1"/>
  <c r="E126" i="69"/>
  <c r="E148" i="69"/>
  <c r="G148" i="69" s="1"/>
  <c r="E152" i="69"/>
  <c r="E157" i="69"/>
  <c r="E164" i="69"/>
  <c r="E196" i="69"/>
  <c r="E203" i="69"/>
  <c r="E33" i="142"/>
  <c r="E37" i="142"/>
  <c r="E133" i="142"/>
  <c r="E148" i="142"/>
  <c r="G148" i="142" s="1"/>
  <c r="E168" i="142"/>
  <c r="E176" i="142"/>
  <c r="E180" i="142"/>
  <c r="G180" i="142" s="1"/>
  <c r="E184" i="142"/>
  <c r="E188" i="142"/>
  <c r="G188" i="142" s="1"/>
  <c r="E192" i="142"/>
  <c r="E196" i="142"/>
  <c r="E203" i="142"/>
  <c r="E17" i="92"/>
  <c r="E41" i="92"/>
  <c r="G41" i="92" s="1"/>
  <c r="E57" i="92"/>
  <c r="E72" i="92"/>
  <c r="E76" i="92"/>
  <c r="E91" i="92"/>
  <c r="G91" i="92" s="1"/>
  <c r="E98" i="92"/>
  <c r="E116" i="92"/>
  <c r="E150" i="92"/>
  <c r="E152" i="92"/>
  <c r="E157" i="92"/>
  <c r="E13" i="50"/>
  <c r="E17" i="50"/>
  <c r="G17" i="50" s="1"/>
  <c r="E25" i="50"/>
  <c r="E53" i="50"/>
  <c r="E68" i="50"/>
  <c r="E83" i="50"/>
  <c r="E98" i="50"/>
  <c r="E105" i="50"/>
  <c r="G105" i="50" s="1"/>
  <c r="E129" i="50"/>
  <c r="G129" i="50" s="1"/>
  <c r="E152" i="50"/>
  <c r="G152" i="50" s="1"/>
  <c r="E157" i="50"/>
  <c r="G157" i="50" s="1"/>
  <c r="E164" i="50"/>
  <c r="E168" i="50"/>
  <c r="E172" i="50"/>
  <c r="G172" i="50" s="1"/>
  <c r="E176" i="50"/>
  <c r="E184" i="50"/>
  <c r="E188" i="50"/>
  <c r="G188" i="50" s="1"/>
  <c r="E194" i="50"/>
  <c r="E220" i="50"/>
  <c r="E37" i="95"/>
  <c r="G37" i="95" s="1"/>
  <c r="E49" i="95"/>
  <c r="E64" i="95"/>
  <c r="G64" i="95" s="1"/>
  <c r="E91" i="95"/>
  <c r="G91" i="95" s="1"/>
  <c r="E105" i="95"/>
  <c r="E124" i="95"/>
  <c r="G124" i="95" s="1"/>
  <c r="E129" i="95"/>
  <c r="E133" i="95"/>
  <c r="E148" i="95"/>
  <c r="E182" i="95"/>
  <c r="E188" i="95"/>
  <c r="E196" i="95"/>
  <c r="G196" i="95" s="1"/>
  <c r="E223" i="31"/>
  <c r="E158" i="31"/>
  <c r="G158" i="31" s="1"/>
  <c r="E153" i="31"/>
  <c r="E149" i="31"/>
  <c r="E145" i="31"/>
  <c r="G145" i="31" s="1"/>
  <c r="E130" i="31"/>
  <c r="G130" i="31" s="1"/>
  <c r="E110" i="31"/>
  <c r="E99" i="31"/>
  <c r="G99" i="31" s="1"/>
  <c r="E88" i="31"/>
  <c r="E84" i="31"/>
  <c r="E105" i="38"/>
  <c r="E109" i="38"/>
  <c r="E124" i="38"/>
  <c r="E129" i="38"/>
  <c r="E133" i="38"/>
  <c r="E138" i="38"/>
  <c r="E164" i="38"/>
  <c r="G164" i="38" s="1"/>
  <c r="E168" i="38"/>
  <c r="G168" i="38" s="1"/>
  <c r="E184" i="38"/>
  <c r="E220" i="38"/>
  <c r="E221" i="150"/>
  <c r="G221" i="150" s="1"/>
  <c r="E225" i="150"/>
  <c r="E145" i="174"/>
  <c r="G145" i="174" s="1"/>
  <c r="E149" i="174"/>
  <c r="E123" i="164"/>
  <c r="E160" i="176"/>
  <c r="G160" i="176" s="1"/>
  <c r="E34" i="174"/>
  <c r="G34" i="174" s="1"/>
  <c r="E145" i="164"/>
  <c r="E101" i="176"/>
  <c r="G152" i="167"/>
  <c r="G116" i="167"/>
  <c r="E176" i="69"/>
  <c r="E41" i="156"/>
  <c r="E141" i="155"/>
  <c r="E11" i="83"/>
  <c r="G11" i="83" s="1"/>
  <c r="E50" i="172"/>
  <c r="G50" i="172" s="1"/>
  <c r="E145" i="46"/>
  <c r="G145" i="46" s="1"/>
  <c r="G167" i="72"/>
  <c r="E26" i="31"/>
  <c r="E17" i="142"/>
  <c r="E47" i="14"/>
  <c r="E140" i="118"/>
  <c r="G140" i="118" s="1"/>
  <c r="E177" i="60"/>
  <c r="G177" i="60" s="1"/>
  <c r="E200" i="60"/>
  <c r="E173" i="54"/>
  <c r="E48" i="164"/>
  <c r="E60" i="164"/>
  <c r="E108" i="164"/>
  <c r="E223" i="164"/>
  <c r="G223" i="164" s="1"/>
  <c r="E53" i="15"/>
  <c r="E72" i="15"/>
  <c r="E91" i="15"/>
  <c r="E88" i="174"/>
  <c r="E99" i="174"/>
  <c r="E140" i="174"/>
  <c r="E222" i="174"/>
  <c r="E55" i="53"/>
  <c r="E107" i="98"/>
  <c r="E225" i="49"/>
  <c r="E130" i="46"/>
  <c r="E185" i="46"/>
  <c r="E189" i="46"/>
  <c r="E200" i="46"/>
  <c r="E187" i="106"/>
  <c r="E114" i="104"/>
  <c r="E224" i="175"/>
  <c r="E44" i="84"/>
  <c r="E97" i="84"/>
  <c r="E183" i="84"/>
  <c r="E158" i="133"/>
  <c r="E165" i="133"/>
  <c r="E193" i="133"/>
  <c r="G193" i="133" s="1"/>
  <c r="E54" i="120"/>
  <c r="E73" i="120"/>
  <c r="E99" i="120"/>
  <c r="G99" i="120" s="1"/>
  <c r="E106" i="120"/>
  <c r="G106" i="120" s="1"/>
  <c r="E110" i="120"/>
  <c r="E140" i="120"/>
  <c r="E222" i="120"/>
  <c r="E232" i="120"/>
  <c r="G232" i="120" s="1"/>
  <c r="E225" i="90"/>
  <c r="E107" i="24"/>
  <c r="E225" i="24"/>
  <c r="E225" i="141"/>
  <c r="G225" i="141" s="1"/>
  <c r="E205" i="32"/>
  <c r="G28" i="72"/>
  <c r="E127" i="28"/>
  <c r="E147" i="28"/>
  <c r="E31" i="119"/>
  <c r="E70" i="119"/>
  <c r="E107" i="119"/>
  <c r="G107" i="119" s="1"/>
  <c r="E194" i="119"/>
  <c r="G194" i="119" s="1"/>
  <c r="E35" i="25"/>
  <c r="E85" i="25"/>
  <c r="E114" i="25"/>
  <c r="G114" i="25" s="1"/>
  <c r="E205" i="25"/>
  <c r="E224" i="25"/>
  <c r="G224" i="25" s="1"/>
  <c r="E27" i="155"/>
  <c r="E85" i="155"/>
  <c r="E126" i="155"/>
  <c r="E157" i="155"/>
  <c r="G157" i="155" s="1"/>
  <c r="E166" i="155"/>
  <c r="E170" i="155"/>
  <c r="G170" i="155" s="1"/>
  <c r="E25" i="156"/>
  <c r="E68" i="156"/>
  <c r="E129" i="156"/>
  <c r="E143" i="156"/>
  <c r="G143" i="156" s="1"/>
  <c r="E178" i="156"/>
  <c r="G178" i="156" s="1"/>
  <c r="E182" i="156"/>
  <c r="E188" i="156"/>
  <c r="E201" i="156"/>
  <c r="E225" i="157"/>
  <c r="G225" i="157" s="1"/>
  <c r="E68" i="158"/>
  <c r="G68" i="158" s="1"/>
  <c r="E18" i="165"/>
  <c r="E30" i="165"/>
  <c r="E38" i="165"/>
  <c r="E58" i="165"/>
  <c r="E99" i="165"/>
  <c r="G99" i="165" s="1"/>
  <c r="E117" i="165"/>
  <c r="E125" i="165"/>
  <c r="E149" i="165"/>
  <c r="G149" i="165" s="1"/>
  <c r="E204" i="165"/>
  <c r="E222" i="165"/>
  <c r="E232" i="165"/>
  <c r="E30" i="55"/>
  <c r="G30" i="55" s="1"/>
  <c r="E38" i="55"/>
  <c r="E42" i="55"/>
  <c r="E54" i="55"/>
  <c r="G54" i="55" s="1"/>
  <c r="E149" i="55"/>
  <c r="E153" i="55"/>
  <c r="E177" i="55"/>
  <c r="E11" i="14"/>
  <c r="G11" i="14" s="1"/>
  <c r="E15" i="14"/>
  <c r="E19" i="14"/>
  <c r="G19" i="14" s="1"/>
  <c r="E27" i="14"/>
  <c r="E31" i="14"/>
  <c r="E35" i="14"/>
  <c r="E39" i="14"/>
  <c r="E59" i="14"/>
  <c r="E66" i="14"/>
  <c r="E205" i="14"/>
  <c r="E220" i="14"/>
  <c r="E224" i="14"/>
  <c r="E18" i="172"/>
  <c r="E40" i="176"/>
  <c r="E44" i="176"/>
  <c r="G44" i="176" s="1"/>
  <c r="E56" i="176"/>
  <c r="E60" i="176"/>
  <c r="G60" i="176" s="1"/>
  <c r="E82" i="176"/>
  <c r="E86" i="176"/>
  <c r="E90" i="176"/>
  <c r="E97" i="176"/>
  <c r="E106" i="176"/>
  <c r="E110" i="176"/>
  <c r="G110" i="176" s="1"/>
  <c r="E156" i="176"/>
  <c r="E191" i="176"/>
  <c r="E222" i="176"/>
  <c r="G222" i="176" s="1"/>
  <c r="E226" i="176"/>
  <c r="E133" i="143"/>
  <c r="E157" i="143"/>
  <c r="G157" i="143" s="1"/>
  <c r="E176" i="143"/>
  <c r="E188" i="143"/>
  <c r="G188" i="143" s="1"/>
  <c r="E25" i="10"/>
  <c r="E45" i="10"/>
  <c r="E49" i="10"/>
  <c r="E129" i="10"/>
  <c r="E133" i="10"/>
  <c r="E152" i="10"/>
  <c r="E192" i="10"/>
  <c r="E205" i="10"/>
  <c r="E220" i="10"/>
  <c r="E224" i="10"/>
  <c r="E41" i="87"/>
  <c r="E45" i="87"/>
  <c r="E83" i="87"/>
  <c r="E87" i="87"/>
  <c r="E105" i="87"/>
  <c r="E109" i="87"/>
  <c r="E148" i="87"/>
  <c r="E172" i="87"/>
  <c r="G172" i="87" s="1"/>
  <c r="E192" i="87"/>
  <c r="E220" i="87"/>
  <c r="G220" i="87" s="1"/>
  <c r="E224" i="87"/>
  <c r="E17" i="86"/>
  <c r="E33" i="86"/>
  <c r="E49" i="86"/>
  <c r="E64" i="86"/>
  <c r="G64" i="86" s="1"/>
  <c r="E83" i="86"/>
  <c r="G83" i="86" s="1"/>
  <c r="E87" i="86"/>
  <c r="E91" i="86"/>
  <c r="E116" i="86"/>
  <c r="E143" i="86"/>
  <c r="G143" i="86" s="1"/>
  <c r="E184" i="86"/>
  <c r="E33" i="89"/>
  <c r="G33" i="89" s="1"/>
  <c r="E49" i="89"/>
  <c r="E53" i="89"/>
  <c r="E57" i="89"/>
  <c r="E64" i="89"/>
  <c r="G64" i="89" s="1"/>
  <c r="E68" i="89"/>
  <c r="E72" i="89"/>
  <c r="E76" i="89"/>
  <c r="E83" i="89"/>
  <c r="E91" i="69"/>
  <c r="E124" i="69"/>
  <c r="E129" i="69"/>
  <c r="E138" i="69"/>
  <c r="E143" i="69"/>
  <c r="E184" i="69"/>
  <c r="E220" i="69"/>
  <c r="G220" i="69" s="1"/>
  <c r="E224" i="69"/>
  <c r="E129" i="142"/>
  <c r="E143" i="142"/>
  <c r="E157" i="142"/>
  <c r="E172" i="142"/>
  <c r="E13" i="92"/>
  <c r="E37" i="92"/>
  <c r="E45" i="92"/>
  <c r="E49" i="92"/>
  <c r="E64" i="92"/>
  <c r="E83" i="92"/>
  <c r="E87" i="92"/>
  <c r="E129" i="92"/>
  <c r="E148" i="92"/>
  <c r="E203" i="1"/>
  <c r="G203" i="1" s="1"/>
  <c r="E33" i="50"/>
  <c r="E37" i="50"/>
  <c r="G37" i="50" s="1"/>
  <c r="E41" i="50"/>
  <c r="E57" i="50"/>
  <c r="E64" i="50"/>
  <c r="E87" i="50"/>
  <c r="E91" i="50"/>
  <c r="G91" i="50" s="1"/>
  <c r="E109" i="50"/>
  <c r="E116" i="50"/>
  <c r="E133" i="50"/>
  <c r="E138" i="50"/>
  <c r="G138" i="50" s="1"/>
  <c r="E170" i="50"/>
  <c r="E192" i="50"/>
  <c r="E196" i="50"/>
  <c r="E203" i="50"/>
  <c r="E17" i="95"/>
  <c r="G17" i="95" s="1"/>
  <c r="E25" i="95"/>
  <c r="G25" i="95" s="1"/>
  <c r="E33" i="95"/>
  <c r="E41" i="95"/>
  <c r="G41" i="95" s="1"/>
  <c r="E72" i="95"/>
  <c r="G72" i="95" s="1"/>
  <c r="E87" i="95"/>
  <c r="E98" i="95"/>
  <c r="G98" i="95" s="1"/>
  <c r="E109" i="95"/>
  <c r="E152" i="95"/>
  <c r="E184" i="95"/>
  <c r="E203" i="95"/>
  <c r="E193" i="31"/>
  <c r="E189" i="31"/>
  <c r="E185" i="31"/>
  <c r="E140" i="31"/>
  <c r="E117" i="31"/>
  <c r="G117" i="31" s="1"/>
  <c r="E42" i="31"/>
  <c r="E38" i="31"/>
  <c r="G38" i="31" s="1"/>
  <c r="E34" i="31"/>
  <c r="E30" i="31"/>
  <c r="G30" i="31" s="1"/>
  <c r="E18" i="31"/>
  <c r="G18" i="31" s="1"/>
  <c r="E14" i="31"/>
  <c r="G14" i="31" s="1"/>
  <c r="E13" i="38"/>
  <c r="G13" i="38" s="1"/>
  <c r="E76" i="38"/>
  <c r="E83" i="38"/>
  <c r="G83" i="38" s="1"/>
  <c r="E87" i="38"/>
  <c r="G87" i="38" s="1"/>
  <c r="E91" i="38"/>
  <c r="E116" i="38"/>
  <c r="G116" i="38" s="1"/>
  <c r="E152" i="38"/>
  <c r="E157" i="38"/>
  <c r="G157" i="38" s="1"/>
  <c r="E172" i="38"/>
  <c r="E176" i="38"/>
  <c r="G226" i="174"/>
  <c r="E185" i="176"/>
  <c r="E189" i="174"/>
  <c r="E75" i="176"/>
  <c r="E124" i="87"/>
  <c r="E174" i="156"/>
  <c r="G174" i="156" s="1"/>
  <c r="E92" i="120"/>
  <c r="E180" i="38"/>
  <c r="E200" i="15"/>
  <c r="G200" i="15" s="1"/>
  <c r="E191" i="64"/>
  <c r="E183" i="16"/>
  <c r="E195" i="16"/>
  <c r="E232" i="10"/>
  <c r="E232" i="87"/>
  <c r="E222" i="92"/>
  <c r="G222" i="92" s="1"/>
  <c r="E135" i="53"/>
  <c r="G135" i="53" s="1"/>
  <c r="E99" i="118"/>
  <c r="G99" i="118" s="1"/>
  <c r="E117" i="118"/>
  <c r="E38" i="60"/>
  <c r="G38" i="60" s="1"/>
  <c r="E179" i="54"/>
  <c r="E200" i="94"/>
  <c r="E71" i="164"/>
  <c r="G71" i="164" s="1"/>
  <c r="E151" i="164"/>
  <c r="E146" i="53"/>
  <c r="G146" i="53" s="1"/>
  <c r="E66" i="49"/>
  <c r="E205" i="83"/>
  <c r="E66" i="47"/>
  <c r="E114" i="47"/>
  <c r="G114" i="47" s="1"/>
  <c r="E190" i="141"/>
  <c r="E59" i="32"/>
  <c r="G59" i="32" s="1"/>
  <c r="E14" i="172"/>
  <c r="E32" i="172"/>
  <c r="G32" i="172" s="1"/>
  <c r="E38" i="172"/>
  <c r="G38" i="172" s="1"/>
  <c r="E42" i="172"/>
  <c r="G42" i="172" s="1"/>
  <c r="E48" i="172"/>
  <c r="E73" i="172"/>
  <c r="E90" i="172"/>
  <c r="E130" i="172"/>
  <c r="G130" i="172" s="1"/>
  <c r="E153" i="172"/>
  <c r="G153" i="172" s="1"/>
  <c r="E204" i="172"/>
  <c r="E96" i="150"/>
  <c r="E135" i="120"/>
  <c r="G135" i="120" s="1"/>
  <c r="E97" i="28"/>
  <c r="E156" i="28"/>
  <c r="E187" i="28"/>
  <c r="E171" i="65"/>
  <c r="E205" i="95"/>
  <c r="G59" i="102"/>
  <c r="E221" i="118"/>
  <c r="E231" i="118"/>
  <c r="G231" i="118" s="1"/>
  <c r="E221" i="60"/>
  <c r="E231" i="60"/>
  <c r="E231" i="54"/>
  <c r="E150" i="94"/>
  <c r="E231" i="164"/>
  <c r="E235" i="164" s="1"/>
  <c r="E142" i="15"/>
  <c r="G142" i="15" s="1"/>
  <c r="E151" i="15"/>
  <c r="G151" i="15" s="1"/>
  <c r="E222" i="15"/>
  <c r="D79" i="68"/>
  <c r="D93" i="68"/>
  <c r="D206" i="68"/>
  <c r="E219" i="68"/>
  <c r="G219" i="68" s="1"/>
  <c r="E223" i="66"/>
  <c r="E223" i="63"/>
  <c r="E196" i="58"/>
  <c r="E221" i="58"/>
  <c r="G221" i="58" s="1"/>
  <c r="E231" i="58"/>
  <c r="E11" i="174"/>
  <c r="E15" i="174"/>
  <c r="E19" i="174"/>
  <c r="E31" i="174"/>
  <c r="E72" i="174"/>
  <c r="G72" i="174" s="1"/>
  <c r="E141" i="174"/>
  <c r="G141" i="174" s="1"/>
  <c r="E143" i="174"/>
  <c r="G143" i="174" s="1"/>
  <c r="E148" i="174"/>
  <c r="E166" i="174"/>
  <c r="E170" i="174"/>
  <c r="G170" i="174" s="1"/>
  <c r="E174" i="174"/>
  <c r="E190" i="174"/>
  <c r="E194" i="174"/>
  <c r="E201" i="174"/>
  <c r="E220" i="174"/>
  <c r="G220" i="174" s="1"/>
  <c r="E224" i="174"/>
  <c r="E38" i="53"/>
  <c r="E42" i="53"/>
  <c r="E50" i="53"/>
  <c r="E58" i="53"/>
  <c r="E69" i="53"/>
  <c r="E84" i="53"/>
  <c r="E92" i="53"/>
  <c r="E99" i="53"/>
  <c r="E106" i="53"/>
  <c r="E117" i="53"/>
  <c r="G117" i="53" s="1"/>
  <c r="E125" i="53"/>
  <c r="G125" i="53" s="1"/>
  <c r="E130" i="53"/>
  <c r="G130" i="53" s="1"/>
  <c r="E140" i="53"/>
  <c r="E153" i="53"/>
  <c r="E165" i="53"/>
  <c r="E169" i="53"/>
  <c r="G169" i="53" s="1"/>
  <c r="E173" i="53"/>
  <c r="E177" i="53"/>
  <c r="E181" i="53"/>
  <c r="G181" i="53" s="1"/>
  <c r="E185" i="53"/>
  <c r="E189" i="53"/>
  <c r="G189" i="53" s="1"/>
  <c r="E193" i="53"/>
  <c r="E200" i="53"/>
  <c r="G200" i="53" s="1"/>
  <c r="E204" i="53"/>
  <c r="E219" i="53"/>
  <c r="E227" i="53"/>
  <c r="E26" i="98"/>
  <c r="E34" i="98"/>
  <c r="E46" i="98"/>
  <c r="G46" i="98" s="1"/>
  <c r="E58" i="98"/>
  <c r="E65" i="98"/>
  <c r="E181" i="98"/>
  <c r="E185" i="98"/>
  <c r="E189" i="98"/>
  <c r="G189" i="98" s="1"/>
  <c r="E193" i="98"/>
  <c r="E200" i="98"/>
  <c r="G200" i="98" s="1"/>
  <c r="E204" i="98"/>
  <c r="E219" i="98"/>
  <c r="E227" i="98"/>
  <c r="E34" i="49"/>
  <c r="E36" i="49"/>
  <c r="E42" i="49"/>
  <c r="E50" i="49"/>
  <c r="G50" i="49" s="1"/>
  <c r="E69" i="49"/>
  <c r="E84" i="49"/>
  <c r="E88" i="49"/>
  <c r="E92" i="49"/>
  <c r="E99" i="49"/>
  <c r="G99" i="49" s="1"/>
  <c r="E110" i="49"/>
  <c r="E117" i="49"/>
  <c r="G117" i="49" s="1"/>
  <c r="E125" i="49"/>
  <c r="E204" i="83"/>
  <c r="G204" i="83" s="1"/>
  <c r="E219" i="83"/>
  <c r="E227" i="83"/>
  <c r="E140" i="47"/>
  <c r="E145" i="47"/>
  <c r="E149" i="47"/>
  <c r="E153" i="47"/>
  <c r="E165" i="47"/>
  <c r="G72" i="113"/>
  <c r="G45" i="167"/>
  <c r="G73" i="177"/>
  <c r="E169" i="47"/>
  <c r="E173" i="47"/>
  <c r="E181" i="47"/>
  <c r="E183" i="47"/>
  <c r="E58" i="46"/>
  <c r="E73" i="46"/>
  <c r="E178" i="46"/>
  <c r="G178" i="46" s="1"/>
  <c r="E186" i="46"/>
  <c r="G186" i="46" s="1"/>
  <c r="E129" i="106"/>
  <c r="E133" i="106"/>
  <c r="E143" i="106"/>
  <c r="E148" i="106"/>
  <c r="E164" i="106"/>
  <c r="E168" i="106"/>
  <c r="E176" i="106"/>
  <c r="E180" i="106"/>
  <c r="E184" i="106"/>
  <c r="G184" i="106" s="1"/>
  <c r="E188" i="106"/>
  <c r="E192" i="106"/>
  <c r="E196" i="106"/>
  <c r="E201" i="106"/>
  <c r="E220" i="106"/>
  <c r="E60" i="104"/>
  <c r="G60" i="104" s="1"/>
  <c r="E71" i="104"/>
  <c r="E86" i="104"/>
  <c r="E97" i="104"/>
  <c r="G97" i="104" s="1"/>
  <c r="E108" i="104"/>
  <c r="G108" i="104" s="1"/>
  <c r="E123" i="104"/>
  <c r="E137" i="104"/>
  <c r="E151" i="104"/>
  <c r="G151" i="104" s="1"/>
  <c r="E187" i="104"/>
  <c r="E195" i="104"/>
  <c r="E114" i="43"/>
  <c r="E126" i="43"/>
  <c r="E150" i="43"/>
  <c r="E159" i="43"/>
  <c r="E170" i="43"/>
  <c r="E174" i="43"/>
  <c r="E190" i="43"/>
  <c r="E12" i="175"/>
  <c r="G12" i="175" s="1"/>
  <c r="E20" i="175"/>
  <c r="E28" i="175"/>
  <c r="E34" i="175"/>
  <c r="E73" i="175"/>
  <c r="G73" i="175" s="1"/>
  <c r="E149" i="175"/>
  <c r="E17" i="84"/>
  <c r="E37" i="84"/>
  <c r="G37" i="84" s="1"/>
  <c r="E41" i="84"/>
  <c r="E45" i="84"/>
  <c r="E53" i="84"/>
  <c r="G53" i="84" s="1"/>
  <c r="E57" i="84"/>
  <c r="E68" i="84"/>
  <c r="E72" i="84"/>
  <c r="G72" i="84" s="1"/>
  <c r="E76" i="84"/>
  <c r="E83" i="84"/>
  <c r="E87" i="84"/>
  <c r="E91" i="84"/>
  <c r="E98" i="84"/>
  <c r="G98" i="84" s="1"/>
  <c r="E105" i="84"/>
  <c r="E116" i="84"/>
  <c r="E164" i="84"/>
  <c r="G164" i="84" s="1"/>
  <c r="E168" i="84"/>
  <c r="G168" i="84" s="1"/>
  <c r="E184" i="84"/>
  <c r="G184" i="84" s="1"/>
  <c r="E188" i="84"/>
  <c r="E192" i="84"/>
  <c r="E196" i="84"/>
  <c r="E132" i="71"/>
  <c r="E160" i="71"/>
  <c r="E219" i="71"/>
  <c r="E227" i="71"/>
  <c r="E143" i="39"/>
  <c r="E221" i="39"/>
  <c r="E231" i="39"/>
  <c r="G231" i="39" s="1"/>
  <c r="E31" i="133"/>
  <c r="E35" i="133"/>
  <c r="E43" i="133"/>
  <c r="G43" i="133" s="1"/>
  <c r="E47" i="133"/>
  <c r="E51" i="133"/>
  <c r="E55" i="133"/>
  <c r="E59" i="133"/>
  <c r="G59" i="133" s="1"/>
  <c r="E66" i="133"/>
  <c r="E70" i="133"/>
  <c r="E74" i="133"/>
  <c r="E78" i="133"/>
  <c r="E96" i="133"/>
  <c r="E100" i="133"/>
  <c r="G100" i="133" s="1"/>
  <c r="E107" i="133"/>
  <c r="E126" i="133"/>
  <c r="G126" i="133" s="1"/>
  <c r="E136" i="133"/>
  <c r="E170" i="133"/>
  <c r="E178" i="133"/>
  <c r="G178" i="133" s="1"/>
  <c r="E182" i="133"/>
  <c r="E186" i="133"/>
  <c r="E190" i="133"/>
  <c r="E194" i="133"/>
  <c r="G194" i="133" s="1"/>
  <c r="E201" i="133"/>
  <c r="E205" i="133"/>
  <c r="E224" i="133"/>
  <c r="E11" i="152"/>
  <c r="E15" i="152"/>
  <c r="G15" i="152" s="1"/>
  <c r="E19" i="152"/>
  <c r="G19" i="152" s="1"/>
  <c r="E27" i="152"/>
  <c r="G27" i="152" s="1"/>
  <c r="E31" i="152"/>
  <c r="E35" i="152"/>
  <c r="E47" i="152"/>
  <c r="E51" i="152"/>
  <c r="E55" i="152"/>
  <c r="E59" i="152"/>
  <c r="E39" i="120"/>
  <c r="E51" i="120"/>
  <c r="E85" i="120"/>
  <c r="E89" i="120"/>
  <c r="E126" i="120"/>
  <c r="E136" i="120"/>
  <c r="E155" i="120"/>
  <c r="E159" i="120"/>
  <c r="E166" i="120"/>
  <c r="E170" i="120"/>
  <c r="E174" i="120"/>
  <c r="E178" i="120"/>
  <c r="E182" i="120"/>
  <c r="E186" i="120"/>
  <c r="E190" i="120"/>
  <c r="E194" i="120"/>
  <c r="E224" i="120"/>
  <c r="G219" i="37"/>
  <c r="E75" i="90"/>
  <c r="E86" i="90"/>
  <c r="E90" i="90"/>
  <c r="E97" i="90"/>
  <c r="E101" i="90"/>
  <c r="E137" i="90"/>
  <c r="E142" i="90"/>
  <c r="G142" i="90" s="1"/>
  <c r="E151" i="90"/>
  <c r="G151" i="90" s="1"/>
  <c r="E167" i="90"/>
  <c r="E171" i="90"/>
  <c r="E175" i="90"/>
  <c r="G175" i="90" s="1"/>
  <c r="E179" i="90"/>
  <c r="E187" i="90"/>
  <c r="E191" i="90"/>
  <c r="E195" i="90"/>
  <c r="E219" i="90"/>
  <c r="E227" i="90"/>
  <c r="G227" i="90" s="1"/>
  <c r="E12" i="24"/>
  <c r="E16" i="24"/>
  <c r="E44" i="24"/>
  <c r="E67" i="24"/>
  <c r="G67" i="24" s="1"/>
  <c r="E71" i="24"/>
  <c r="E75" i="24"/>
  <c r="G75" i="24" s="1"/>
  <c r="E86" i="24"/>
  <c r="E90" i="24"/>
  <c r="G90" i="24" s="1"/>
  <c r="E97" i="24"/>
  <c r="E101" i="24"/>
  <c r="E108" i="24"/>
  <c r="E115" i="24"/>
  <c r="E123" i="24"/>
  <c r="E132" i="24"/>
  <c r="E137" i="24"/>
  <c r="E142" i="24"/>
  <c r="E151" i="24"/>
  <c r="E156" i="24"/>
  <c r="E160" i="24"/>
  <c r="G160" i="24" s="1"/>
  <c r="E171" i="24"/>
  <c r="E175" i="24"/>
  <c r="E187" i="24"/>
  <c r="E191" i="24"/>
  <c r="G191" i="24" s="1"/>
  <c r="E195" i="24"/>
  <c r="E202" i="24"/>
  <c r="E219" i="24"/>
  <c r="G219" i="24" s="1"/>
  <c r="E227" i="24"/>
  <c r="G227" i="24" s="1"/>
  <c r="E12" i="141"/>
  <c r="E28" i="141"/>
  <c r="G28" i="141" s="1"/>
  <c r="E32" i="141"/>
  <c r="G32" i="141" s="1"/>
  <c r="E36" i="141"/>
  <c r="G36" i="141" s="1"/>
  <c r="E40" i="141"/>
  <c r="E44" i="141"/>
  <c r="E48" i="141"/>
  <c r="E56" i="141"/>
  <c r="E82" i="141"/>
  <c r="G82" i="141" s="1"/>
  <c r="E86" i="141"/>
  <c r="E90" i="141"/>
  <c r="E97" i="141"/>
  <c r="E101" i="141"/>
  <c r="E108" i="141"/>
  <c r="E142" i="141"/>
  <c r="E147" i="141"/>
  <c r="G147" i="141" s="1"/>
  <c r="E151" i="141"/>
  <c r="E160" i="141"/>
  <c r="E167" i="141"/>
  <c r="E171" i="141"/>
  <c r="E173" i="141"/>
  <c r="E175" i="141"/>
  <c r="E179" i="141"/>
  <c r="E183" i="141"/>
  <c r="E187" i="141"/>
  <c r="G187" i="141" s="1"/>
  <c r="E195" i="141"/>
  <c r="E219" i="141"/>
  <c r="G227" i="141"/>
  <c r="E12" i="32"/>
  <c r="E16" i="32"/>
  <c r="E40" i="32"/>
  <c r="G40" i="32" s="1"/>
  <c r="E44" i="32"/>
  <c r="E48" i="32"/>
  <c r="E52" i="32"/>
  <c r="E56" i="32"/>
  <c r="E67" i="32"/>
  <c r="E82" i="32"/>
  <c r="E86" i="32"/>
  <c r="E90" i="32"/>
  <c r="G90" i="32" s="1"/>
  <c r="E108" i="32"/>
  <c r="E123" i="32"/>
  <c r="E127" i="32"/>
  <c r="E132" i="32"/>
  <c r="E137" i="32"/>
  <c r="G137" i="32" s="1"/>
  <c r="E142" i="32"/>
  <c r="G142" i="32" s="1"/>
  <c r="E147" i="32"/>
  <c r="G147" i="32" s="1"/>
  <c r="E151" i="32"/>
  <c r="E156" i="32"/>
  <c r="G156" i="32" s="1"/>
  <c r="E179" i="32"/>
  <c r="E183" i="32"/>
  <c r="E187" i="32"/>
  <c r="G187" i="32" s="1"/>
  <c r="E195" i="32"/>
  <c r="E202" i="32"/>
  <c r="E219" i="32"/>
  <c r="E227" i="32"/>
  <c r="G227" i="32" s="1"/>
  <c r="E12" i="64"/>
  <c r="E20" i="64"/>
  <c r="E28" i="64"/>
  <c r="E32" i="64"/>
  <c r="E36" i="64"/>
  <c r="G36" i="64" s="1"/>
  <c r="E40" i="64"/>
  <c r="E48" i="64"/>
  <c r="E52" i="64"/>
  <c r="G52" i="64" s="1"/>
  <c r="E56" i="64"/>
  <c r="E67" i="64"/>
  <c r="G67" i="64" s="1"/>
  <c r="E69" i="64"/>
  <c r="G69" i="64" s="1"/>
  <c r="E75" i="64"/>
  <c r="E82" i="64"/>
  <c r="E86" i="64"/>
  <c r="E108" i="64"/>
  <c r="E115" i="64"/>
  <c r="E127" i="64"/>
  <c r="E132" i="64"/>
  <c r="E137" i="64"/>
  <c r="E147" i="64"/>
  <c r="E171" i="64"/>
  <c r="E175" i="64"/>
  <c r="G175" i="64" s="1"/>
  <c r="E179" i="64"/>
  <c r="E187" i="64"/>
  <c r="E195" i="64"/>
  <c r="E219" i="64"/>
  <c r="G219" i="64" s="1"/>
  <c r="G219" i="150"/>
  <c r="E220" i="28"/>
  <c r="G220" i="28" s="1"/>
  <c r="E30" i="42"/>
  <c r="G30" i="42" s="1"/>
  <c r="E88" i="42"/>
  <c r="E125" i="42"/>
  <c r="E88" i="157"/>
  <c r="G88" i="157" s="1"/>
  <c r="E135" i="157"/>
  <c r="G135" i="157" s="1"/>
  <c r="E149" i="157"/>
  <c r="E158" i="157"/>
  <c r="E189" i="157"/>
  <c r="E193" i="157"/>
  <c r="E204" i="157"/>
  <c r="E16" i="158"/>
  <c r="E20" i="158"/>
  <c r="E32" i="158"/>
  <c r="E44" i="158"/>
  <c r="E56" i="158"/>
  <c r="G56" i="158" s="1"/>
  <c r="E101" i="158"/>
  <c r="G101" i="158" s="1"/>
  <c r="E127" i="158"/>
  <c r="E132" i="158"/>
  <c r="G132" i="158" s="1"/>
  <c r="E137" i="158"/>
  <c r="E142" i="158"/>
  <c r="G142" i="158" s="1"/>
  <c r="E160" i="158"/>
  <c r="E183" i="158"/>
  <c r="G183" i="158" s="1"/>
  <c r="E90" i="16"/>
  <c r="E147" i="16"/>
  <c r="E151" i="16"/>
  <c r="E175" i="16"/>
  <c r="E187" i="16"/>
  <c r="G187" i="16" s="1"/>
  <c r="E114" i="55"/>
  <c r="G114" i="55" s="1"/>
  <c r="E184" i="55"/>
  <c r="E33" i="172"/>
  <c r="E41" i="172"/>
  <c r="E45" i="172"/>
  <c r="G45" i="172" s="1"/>
  <c r="E57" i="172"/>
  <c r="E68" i="172"/>
  <c r="E83" i="172"/>
  <c r="G83" i="172" s="1"/>
  <c r="E98" i="172"/>
  <c r="G98" i="172" s="1"/>
  <c r="E109" i="172"/>
  <c r="E133" i="172"/>
  <c r="E164" i="172"/>
  <c r="G164" i="172" s="1"/>
  <c r="E180" i="172"/>
  <c r="E221" i="172"/>
  <c r="E41" i="176"/>
  <c r="E57" i="176"/>
  <c r="E133" i="176"/>
  <c r="E138" i="176"/>
  <c r="E148" i="176"/>
  <c r="E157" i="176"/>
  <c r="E192" i="176"/>
  <c r="E135" i="143"/>
  <c r="E181" i="143"/>
  <c r="E165" i="10"/>
  <c r="E173" i="10"/>
  <c r="G173" i="10" s="1"/>
  <c r="E222" i="10"/>
  <c r="E125" i="87"/>
  <c r="E165" i="87"/>
  <c r="E200" i="87"/>
  <c r="E204" i="87"/>
  <c r="E222" i="87"/>
  <c r="E99" i="86"/>
  <c r="E125" i="86"/>
  <c r="E232" i="86"/>
  <c r="E222" i="89"/>
  <c r="G222" i="89" s="1"/>
  <c r="E232" i="89"/>
  <c r="E140" i="69"/>
  <c r="E145" i="69"/>
  <c r="G145" i="69" s="1"/>
  <c r="E158" i="69"/>
  <c r="E200" i="69"/>
  <c r="E222" i="69"/>
  <c r="E232" i="69"/>
  <c r="E34" i="142"/>
  <c r="E50" i="142"/>
  <c r="E65" i="142"/>
  <c r="G65" i="142" s="1"/>
  <c r="E69" i="142"/>
  <c r="E88" i="142"/>
  <c r="E92" i="142"/>
  <c r="G92" i="142" s="1"/>
  <c r="E158" i="142"/>
  <c r="G158" i="142" s="1"/>
  <c r="E232" i="142"/>
  <c r="E69" i="92"/>
  <c r="E158" i="92"/>
  <c r="E173" i="92"/>
  <c r="G173" i="92" s="1"/>
  <c r="E204" i="92"/>
  <c r="G204" i="92" s="1"/>
  <c r="E73" i="1"/>
  <c r="G73" i="1" s="1"/>
  <c r="E84" i="1"/>
  <c r="E125" i="1"/>
  <c r="G125" i="1" s="1"/>
  <c r="E204" i="1"/>
  <c r="E88" i="50"/>
  <c r="E145" i="50"/>
  <c r="E169" i="50"/>
  <c r="G169" i="50" s="1"/>
  <c r="E200" i="50"/>
  <c r="E30" i="95"/>
  <c r="E46" i="95"/>
  <c r="E65" i="95"/>
  <c r="G65" i="95" s="1"/>
  <c r="E110" i="95"/>
  <c r="G110" i="95" s="1"/>
  <c r="E165" i="95"/>
  <c r="G165" i="95" s="1"/>
  <c r="E181" i="95"/>
  <c r="E204" i="95"/>
  <c r="G204" i="95" s="1"/>
  <c r="E222" i="95"/>
  <c r="E232" i="95"/>
  <c r="E231" i="31"/>
  <c r="E221" i="31"/>
  <c r="G221" i="31" s="1"/>
  <c r="E232" i="38"/>
  <c r="E227" i="150"/>
  <c r="E168" i="176"/>
  <c r="G168" i="176" s="1"/>
  <c r="E87" i="176"/>
  <c r="E29" i="176"/>
  <c r="G29" i="176" s="1"/>
  <c r="E169" i="157"/>
  <c r="G169" i="157" s="1"/>
  <c r="E152" i="31"/>
  <c r="E192" i="31"/>
  <c r="G192" i="31" s="1"/>
  <c r="E180" i="176"/>
  <c r="E205" i="65"/>
  <c r="E70" i="65"/>
  <c r="E193" i="50"/>
  <c r="G193" i="50" s="1"/>
  <c r="E181" i="1"/>
  <c r="E140" i="92"/>
  <c r="E193" i="69"/>
  <c r="E65" i="86"/>
  <c r="G65" i="86" s="1"/>
  <c r="E140" i="87"/>
  <c r="E145" i="10"/>
  <c r="G145" i="10" s="1"/>
  <c r="E165" i="143"/>
  <c r="E169" i="92"/>
  <c r="E92" i="1"/>
  <c r="G92" i="1" s="1"/>
  <c r="E191" i="16"/>
  <c r="E97" i="16"/>
  <c r="G97" i="16" s="1"/>
  <c r="E86" i="158"/>
  <c r="G86" i="158" s="1"/>
  <c r="E29" i="172"/>
  <c r="E110" i="118"/>
  <c r="E125" i="118"/>
  <c r="E145" i="118"/>
  <c r="E149" i="118"/>
  <c r="E177" i="118"/>
  <c r="E181" i="118"/>
  <c r="E222" i="118"/>
  <c r="G222" i="118" s="1"/>
  <c r="E232" i="118"/>
  <c r="G232" i="118" s="1"/>
  <c r="E97" i="60"/>
  <c r="E123" i="60"/>
  <c r="E137" i="60"/>
  <c r="E158" i="60"/>
  <c r="E165" i="60"/>
  <c r="E173" i="60"/>
  <c r="E185" i="60"/>
  <c r="E193" i="60"/>
  <c r="E232" i="60"/>
  <c r="E34" i="54"/>
  <c r="E38" i="54"/>
  <c r="G38" i="54" s="1"/>
  <c r="E42" i="54"/>
  <c r="E65" i="54"/>
  <c r="G65" i="54" s="1"/>
  <c r="E73" i="54"/>
  <c r="E77" i="54"/>
  <c r="E88" i="54"/>
  <c r="E108" i="54"/>
  <c r="E132" i="54"/>
  <c r="G132" i="54" s="1"/>
  <c r="E153" i="54"/>
  <c r="E191" i="54"/>
  <c r="G191" i="54" s="1"/>
  <c r="E200" i="54"/>
  <c r="E204" i="54"/>
  <c r="E18" i="94"/>
  <c r="G18" i="94" s="1"/>
  <c r="E58" i="94"/>
  <c r="G58" i="94" s="1"/>
  <c r="E73" i="94"/>
  <c r="E75" i="94"/>
  <c r="G75" i="94" s="1"/>
  <c r="E77" i="94"/>
  <c r="E90" i="94"/>
  <c r="E156" i="94"/>
  <c r="E160" i="94"/>
  <c r="E185" i="94"/>
  <c r="E189" i="94"/>
  <c r="E195" i="94"/>
  <c r="E232" i="94"/>
  <c r="E18" i="164"/>
  <c r="E26" i="164"/>
  <c r="G26" i="164" s="1"/>
  <c r="E30" i="164"/>
  <c r="E34" i="164"/>
  <c r="E36" i="164"/>
  <c r="G36" i="164" s="1"/>
  <c r="E40" i="164"/>
  <c r="E54" i="164"/>
  <c r="E56" i="164"/>
  <c r="E58" i="164"/>
  <c r="G58" i="164" s="1"/>
  <c r="E84" i="164"/>
  <c r="E88" i="164"/>
  <c r="E90" i="164"/>
  <c r="E92" i="164"/>
  <c r="G92" i="164" s="1"/>
  <c r="E99" i="164"/>
  <c r="E115" i="164"/>
  <c r="E171" i="164"/>
  <c r="E181" i="164"/>
  <c r="G181" i="164" s="1"/>
  <c r="E185" i="164"/>
  <c r="E200" i="164"/>
  <c r="E222" i="164"/>
  <c r="E29" i="68"/>
  <c r="E31" i="66"/>
  <c r="E35" i="66"/>
  <c r="G35" i="66" s="1"/>
  <c r="E159" i="63"/>
  <c r="E18" i="58"/>
  <c r="E145" i="58"/>
  <c r="E204" i="58"/>
  <c r="G204" i="58" s="1"/>
  <c r="E35" i="174"/>
  <c r="E66" i="53"/>
  <c r="E100" i="53"/>
  <c r="E131" i="53"/>
  <c r="E27" i="98"/>
  <c r="E31" i="98"/>
  <c r="E96" i="98"/>
  <c r="E114" i="98"/>
  <c r="E150" i="98"/>
  <c r="E166" i="98"/>
  <c r="E170" i="98"/>
  <c r="E182" i="98"/>
  <c r="E186" i="98"/>
  <c r="G186" i="98" s="1"/>
  <c r="E190" i="98"/>
  <c r="G190" i="98" s="1"/>
  <c r="E201" i="98"/>
  <c r="E31" i="49"/>
  <c r="G31" i="49" s="1"/>
  <c r="E74" i="49"/>
  <c r="E43" i="83"/>
  <c r="E152" i="83"/>
  <c r="E155" i="83"/>
  <c r="E157" i="83"/>
  <c r="E31" i="47"/>
  <c r="E59" i="47"/>
  <c r="E70" i="47"/>
  <c r="E13" i="84"/>
  <c r="G13" i="84" s="1"/>
  <c r="E25" i="84"/>
  <c r="E29" i="84"/>
  <c r="E221" i="84"/>
  <c r="E231" i="84"/>
  <c r="E220" i="71"/>
  <c r="G220" i="71" s="1"/>
  <c r="E75" i="39"/>
  <c r="E90" i="39"/>
  <c r="E181" i="39"/>
  <c r="E39" i="133"/>
  <c r="G39" i="133" s="1"/>
  <c r="E85" i="133"/>
  <c r="E114" i="133"/>
  <c r="G114" i="133" s="1"/>
  <c r="E225" i="133"/>
  <c r="G225" i="133" s="1"/>
  <c r="E43" i="120"/>
  <c r="E78" i="120"/>
  <c r="E19" i="90"/>
  <c r="E96" i="90"/>
  <c r="E136" i="90"/>
  <c r="E96" i="24"/>
  <c r="G96" i="24" s="1"/>
  <c r="E100" i="24"/>
  <c r="E114" i="24"/>
  <c r="G114" i="24" s="1"/>
  <c r="E118" i="24"/>
  <c r="G118" i="24" s="1"/>
  <c r="E126" i="24"/>
  <c r="E131" i="24"/>
  <c r="E136" i="24"/>
  <c r="E146" i="24"/>
  <c r="E150" i="24"/>
  <c r="E155" i="24"/>
  <c r="G155" i="24" s="1"/>
  <c r="E182" i="24"/>
  <c r="G182" i="24" s="1"/>
  <c r="E224" i="24"/>
  <c r="E11" i="141"/>
  <c r="G11" i="141" s="1"/>
  <c r="E15" i="141"/>
  <c r="E19" i="141"/>
  <c r="G19" i="141" s="1"/>
  <c r="E35" i="141"/>
  <c r="E39" i="141"/>
  <c r="E43" i="141"/>
  <c r="E47" i="141"/>
  <c r="G47" i="141" s="1"/>
  <c r="E51" i="141"/>
  <c r="E59" i="141"/>
  <c r="E66" i="141"/>
  <c r="E70" i="141"/>
  <c r="E74" i="141"/>
  <c r="E85" i="141"/>
  <c r="E89" i="141"/>
  <c r="G89" i="141" s="1"/>
  <c r="E96" i="141"/>
  <c r="E100" i="141"/>
  <c r="E107" i="141"/>
  <c r="E114" i="141"/>
  <c r="E118" i="141"/>
  <c r="G118" i="141" s="1"/>
  <c r="E131" i="141"/>
  <c r="E136" i="141"/>
  <c r="E15" i="32"/>
  <c r="G15" i="32" s="1"/>
  <c r="E19" i="32"/>
  <c r="E27" i="32"/>
  <c r="E35" i="32"/>
  <c r="E39" i="32"/>
  <c r="G39" i="32" s="1"/>
  <c r="E47" i="32"/>
  <c r="E51" i="32"/>
  <c r="E55" i="32"/>
  <c r="E70" i="32"/>
  <c r="E74" i="32"/>
  <c r="G74" i="32" s="1"/>
  <c r="E85" i="32"/>
  <c r="E96" i="32"/>
  <c r="E107" i="32"/>
  <c r="G107" i="32" s="1"/>
  <c r="E114" i="32"/>
  <c r="E131" i="32"/>
  <c r="E136" i="32"/>
  <c r="E146" i="32"/>
  <c r="E166" i="32"/>
  <c r="G166" i="32" s="1"/>
  <c r="E170" i="32"/>
  <c r="E178" i="32"/>
  <c r="E190" i="32"/>
  <c r="G190" i="32" s="1"/>
  <c r="E31" i="64"/>
  <c r="E66" i="64"/>
  <c r="E96" i="64"/>
  <c r="E118" i="64"/>
  <c r="E131" i="64"/>
  <c r="E141" i="64"/>
  <c r="E146" i="64"/>
  <c r="E150" i="64"/>
  <c r="E178" i="64"/>
  <c r="E224" i="64"/>
  <c r="G175" i="72"/>
  <c r="E225" i="28"/>
  <c r="E225" i="65"/>
  <c r="E223" i="119"/>
  <c r="G191" i="20"/>
  <c r="E51" i="157"/>
  <c r="G51" i="157" s="1"/>
  <c r="E66" i="157"/>
  <c r="E74" i="157"/>
  <c r="E85" i="157"/>
  <c r="E126" i="157"/>
  <c r="G126" i="157" s="1"/>
  <c r="E136" i="157"/>
  <c r="E155" i="157"/>
  <c r="E166" i="157"/>
  <c r="E174" i="157"/>
  <c r="E186" i="157"/>
  <c r="E201" i="157"/>
  <c r="G201" i="157" s="1"/>
  <c r="E205" i="157"/>
  <c r="E29" i="158"/>
  <c r="E49" i="158"/>
  <c r="G49" i="158" s="1"/>
  <c r="E91" i="158"/>
  <c r="E176" i="158"/>
  <c r="E91" i="16"/>
  <c r="G91" i="16" s="1"/>
  <c r="E109" i="16"/>
  <c r="E164" i="16"/>
  <c r="E172" i="16"/>
  <c r="G172" i="16" s="1"/>
  <c r="E188" i="16"/>
  <c r="G188" i="16" s="1"/>
  <c r="E196" i="16"/>
  <c r="G221" i="165"/>
  <c r="E231" i="55"/>
  <c r="G231" i="55" s="1"/>
  <c r="K14" i="55" s="1"/>
  <c r="E20" i="172"/>
  <c r="E26" i="172"/>
  <c r="E30" i="172"/>
  <c r="E40" i="172"/>
  <c r="E44" i="172"/>
  <c r="E54" i="172"/>
  <c r="E56" i="172"/>
  <c r="G56" i="172" s="1"/>
  <c r="E60" i="172"/>
  <c r="E75" i="172"/>
  <c r="E77" i="172"/>
  <c r="E82" i="172"/>
  <c r="E88" i="172"/>
  <c r="E110" i="172"/>
  <c r="E117" i="172"/>
  <c r="E123" i="172"/>
  <c r="E135" i="172"/>
  <c r="E137" i="172"/>
  <c r="E140" i="172"/>
  <c r="E142" i="172"/>
  <c r="E149" i="172"/>
  <c r="E158" i="172"/>
  <c r="E165" i="172"/>
  <c r="E222" i="172"/>
  <c r="E226" i="172"/>
  <c r="E232" i="172"/>
  <c r="E30" i="10"/>
  <c r="E69" i="10"/>
  <c r="E18" i="86"/>
  <c r="G18" i="86" s="1"/>
  <c r="E153" i="69"/>
  <c r="G223" i="69"/>
  <c r="E18" i="92"/>
  <c r="E30" i="92"/>
  <c r="E130" i="92"/>
  <c r="G130" i="92" s="1"/>
  <c r="E185" i="92"/>
  <c r="E189" i="92"/>
  <c r="G189" i="92" s="1"/>
  <c r="E135" i="1"/>
  <c r="G135" i="1" s="1"/>
  <c r="E185" i="1"/>
  <c r="E227" i="1"/>
  <c r="G227" i="1" s="1"/>
  <c r="E46" i="50"/>
  <c r="E54" i="50"/>
  <c r="E223" i="95"/>
  <c r="G223" i="95" s="1"/>
  <c r="E232" i="175"/>
  <c r="E203" i="31"/>
  <c r="E196" i="31"/>
  <c r="E184" i="31"/>
  <c r="E180" i="31"/>
  <c r="E168" i="31"/>
  <c r="E164" i="31"/>
  <c r="E138" i="31"/>
  <c r="G138" i="31" s="1"/>
  <c r="E133" i="31"/>
  <c r="E129" i="31"/>
  <c r="E124" i="31"/>
  <c r="G124" i="31" s="1"/>
  <c r="E105" i="31"/>
  <c r="E98" i="31"/>
  <c r="G98" i="31" s="1"/>
  <c r="E231" i="45"/>
  <c r="G130" i="37"/>
  <c r="E82" i="164"/>
  <c r="E27" i="66"/>
  <c r="G27" i="66" s="1"/>
  <c r="E123" i="94"/>
  <c r="E65" i="94"/>
  <c r="E220" i="176"/>
  <c r="E143" i="176"/>
  <c r="E135" i="118"/>
  <c r="E86" i="164"/>
  <c r="E146" i="98"/>
  <c r="G221" i="37"/>
  <c r="E35" i="98"/>
  <c r="G35" i="98" s="1"/>
  <c r="E166" i="63"/>
  <c r="E178" i="66"/>
  <c r="E179" i="158"/>
  <c r="E109" i="31"/>
  <c r="E172" i="31"/>
  <c r="E176" i="55"/>
  <c r="E76" i="176"/>
  <c r="E173" i="94"/>
  <c r="E91" i="176"/>
  <c r="E142" i="54"/>
  <c r="E201" i="49"/>
  <c r="E137" i="94"/>
  <c r="E200" i="92"/>
  <c r="E129" i="176"/>
  <c r="E55" i="28"/>
  <c r="E92" i="69"/>
  <c r="G92" i="69" s="1"/>
  <c r="E181" i="69"/>
  <c r="E101" i="172"/>
  <c r="E52" i="172"/>
  <c r="G52" i="172" s="1"/>
  <c r="E96" i="47"/>
  <c r="G96" i="47" s="1"/>
  <c r="E96" i="49"/>
  <c r="E181" i="50"/>
  <c r="G181" i="50" s="1"/>
  <c r="E165" i="1"/>
  <c r="G165" i="1" s="1"/>
  <c r="E200" i="142"/>
  <c r="E149" i="69"/>
  <c r="G149" i="69" s="1"/>
  <c r="E185" i="69"/>
  <c r="E203" i="16"/>
  <c r="E165" i="86"/>
  <c r="E189" i="87"/>
  <c r="E193" i="10"/>
  <c r="E149" i="143"/>
  <c r="E200" i="172"/>
  <c r="E125" i="172"/>
  <c r="G125" i="172" s="1"/>
  <c r="E65" i="172"/>
  <c r="E99" i="92"/>
  <c r="E180" i="16"/>
  <c r="E146" i="157"/>
  <c r="G146" i="157" s="1"/>
  <c r="E145" i="142"/>
  <c r="E171" i="16"/>
  <c r="E175" i="158"/>
  <c r="E97" i="158"/>
  <c r="G97" i="158" s="1"/>
  <c r="E125" i="157"/>
  <c r="E78" i="141"/>
  <c r="E231" i="172"/>
  <c r="E203" i="172"/>
  <c r="E157" i="172"/>
  <c r="E173" i="157"/>
  <c r="G173" i="157" s="1"/>
  <c r="E38" i="164"/>
  <c r="E227" i="64"/>
  <c r="E18" i="42"/>
  <c r="E110" i="42"/>
  <c r="E165" i="42"/>
  <c r="G165" i="42" s="1"/>
  <c r="E69" i="157"/>
  <c r="E73" i="157"/>
  <c r="E77" i="157"/>
  <c r="E84" i="157"/>
  <c r="G84" i="157" s="1"/>
  <c r="E140" i="157"/>
  <c r="G140" i="157" s="1"/>
  <c r="E145" i="157"/>
  <c r="E153" i="157"/>
  <c r="G153" i="157" s="1"/>
  <c r="E181" i="157"/>
  <c r="E185" i="157"/>
  <c r="E12" i="158"/>
  <c r="G12" i="158" s="1"/>
  <c r="E28" i="158"/>
  <c r="E48" i="158"/>
  <c r="E52" i="158"/>
  <c r="E67" i="158"/>
  <c r="E71" i="158"/>
  <c r="E75" i="158"/>
  <c r="E90" i="158"/>
  <c r="E108" i="158"/>
  <c r="G108" i="158" s="1"/>
  <c r="E151" i="158"/>
  <c r="E195" i="158"/>
  <c r="G195" i="158" s="1"/>
  <c r="E101" i="16"/>
  <c r="G101" i="16" s="1"/>
  <c r="E108" i="16"/>
  <c r="E115" i="16"/>
  <c r="E123" i="16"/>
  <c r="E132" i="16"/>
  <c r="E137" i="16"/>
  <c r="E142" i="16"/>
  <c r="G142" i="16" s="1"/>
  <c r="E160" i="16"/>
  <c r="G160" i="16" s="1"/>
  <c r="E167" i="16"/>
  <c r="E179" i="16"/>
  <c r="E227" i="16"/>
  <c r="E13" i="172"/>
  <c r="E17" i="172"/>
  <c r="E25" i="172"/>
  <c r="G25" i="172" s="1"/>
  <c r="E49" i="172"/>
  <c r="E53" i="172"/>
  <c r="G53" i="172" s="1"/>
  <c r="E76" i="172"/>
  <c r="G76" i="172" s="1"/>
  <c r="E91" i="172"/>
  <c r="E105" i="172"/>
  <c r="G105" i="172" s="1"/>
  <c r="E116" i="172"/>
  <c r="E172" i="172"/>
  <c r="E176" i="172"/>
  <c r="E184" i="172"/>
  <c r="G184" i="172" s="1"/>
  <c r="E192" i="172"/>
  <c r="G192" i="172" s="1"/>
  <c r="E196" i="172"/>
  <c r="E105" i="176"/>
  <c r="G105" i="176" s="1"/>
  <c r="E109" i="176"/>
  <c r="G109" i="176" s="1"/>
  <c r="E116" i="176"/>
  <c r="G116" i="176" s="1"/>
  <c r="E18" i="143"/>
  <c r="G18" i="143" s="1"/>
  <c r="E117" i="143"/>
  <c r="G117" i="143" s="1"/>
  <c r="E14" i="10"/>
  <c r="E54" i="10"/>
  <c r="E99" i="10"/>
  <c r="G99" i="10" s="1"/>
  <c r="E84" i="87"/>
  <c r="G84" i="87" s="1"/>
  <c r="E173" i="87"/>
  <c r="E110" i="69"/>
  <c r="E30" i="142"/>
  <c r="G30" i="142" s="1"/>
  <c r="E125" i="142"/>
  <c r="G125" i="142" s="1"/>
  <c r="E135" i="142"/>
  <c r="G135" i="142" s="1"/>
  <c r="E149" i="142"/>
  <c r="E189" i="142"/>
  <c r="E193" i="142"/>
  <c r="G193" i="142" s="1"/>
  <c r="E204" i="142"/>
  <c r="G204" i="142" s="1"/>
  <c r="E222" i="142"/>
  <c r="E26" i="1"/>
  <c r="E34" i="1"/>
  <c r="E54" i="1"/>
  <c r="E58" i="1"/>
  <c r="E99" i="1"/>
  <c r="G99" i="1" s="1"/>
  <c r="E130" i="1"/>
  <c r="G130" i="1" s="1"/>
  <c r="E140" i="1"/>
  <c r="E189" i="1"/>
  <c r="G189" i="1" s="1"/>
  <c r="E222" i="1"/>
  <c r="E158" i="50"/>
  <c r="E222" i="50"/>
  <c r="E54" i="95"/>
  <c r="G201" i="167"/>
  <c r="E28" i="164"/>
  <c r="E115" i="94"/>
  <c r="E26" i="94"/>
  <c r="G222" i="60"/>
  <c r="E68" i="176"/>
  <c r="E204" i="60"/>
  <c r="E169" i="118"/>
  <c r="G169" i="118" s="1"/>
  <c r="E201" i="53"/>
  <c r="E153" i="164"/>
  <c r="G223" i="167"/>
  <c r="E171" i="158"/>
  <c r="E116" i="31"/>
  <c r="E176" i="31"/>
  <c r="E45" i="176"/>
  <c r="E169" i="94"/>
  <c r="G169" i="94" s="1"/>
  <c r="E181" i="60"/>
  <c r="G181" i="60" s="1"/>
  <c r="E127" i="164"/>
  <c r="E124" i="47"/>
  <c r="G124" i="47" s="1"/>
  <c r="E183" i="94"/>
  <c r="E183" i="54"/>
  <c r="E200" i="103"/>
  <c r="E201" i="83"/>
  <c r="E99" i="69"/>
  <c r="E147" i="172"/>
  <c r="E15" i="47"/>
  <c r="G15" i="47" s="1"/>
  <c r="E15" i="49"/>
  <c r="E165" i="94"/>
  <c r="E117" i="95"/>
  <c r="E135" i="50"/>
  <c r="G135" i="50" s="1"/>
  <c r="E193" i="92"/>
  <c r="E177" i="142"/>
  <c r="E46" i="172"/>
  <c r="E106" i="69"/>
  <c r="E135" i="86"/>
  <c r="G135" i="86" s="1"/>
  <c r="E181" i="87"/>
  <c r="E185" i="10"/>
  <c r="E84" i="10"/>
  <c r="G84" i="10" s="1"/>
  <c r="E99" i="143"/>
  <c r="E106" i="172"/>
  <c r="E200" i="157"/>
  <c r="G200" i="157" s="1"/>
  <c r="E189" i="95"/>
  <c r="E152" i="16"/>
  <c r="E107" i="157"/>
  <c r="G107" i="157" s="1"/>
  <c r="E30" i="58"/>
  <c r="E232" i="1"/>
  <c r="E222" i="143"/>
  <c r="E156" i="16"/>
  <c r="E155" i="32"/>
  <c r="E126" i="141"/>
  <c r="G126" i="141" s="1"/>
  <c r="E130" i="157"/>
  <c r="G130" i="157" s="1"/>
  <c r="E141" i="24"/>
  <c r="E30" i="54"/>
  <c r="E174" i="64"/>
  <c r="G174" i="64" s="1"/>
  <c r="E181" i="10"/>
  <c r="E33" i="103"/>
  <c r="E64" i="60"/>
  <c r="G64" i="60" s="1"/>
  <c r="E152" i="145"/>
  <c r="E67" i="53"/>
  <c r="G67" i="53" s="1"/>
  <c r="E37" i="172"/>
  <c r="G37" i="172" s="1"/>
  <c r="E64" i="172"/>
  <c r="E72" i="172"/>
  <c r="E87" i="172"/>
  <c r="G87" i="172" s="1"/>
  <c r="E168" i="172"/>
  <c r="E188" i="172"/>
  <c r="G188" i="172" s="1"/>
  <c r="E222" i="178"/>
  <c r="G151" i="113"/>
  <c r="G14" i="167"/>
  <c r="G78" i="72"/>
  <c r="G66" i="167"/>
  <c r="E46" i="103"/>
  <c r="E50" i="103"/>
  <c r="E92" i="103"/>
  <c r="E110" i="103"/>
  <c r="E153" i="103"/>
  <c r="E169" i="103"/>
  <c r="E181" i="103"/>
  <c r="E232" i="103"/>
  <c r="E65" i="118"/>
  <c r="E130" i="118"/>
  <c r="E158" i="118"/>
  <c r="G158" i="118" s="1"/>
  <c r="E226" i="118"/>
  <c r="E32" i="60"/>
  <c r="E40" i="60"/>
  <c r="E65" i="60"/>
  <c r="E75" i="60"/>
  <c r="E82" i="60"/>
  <c r="G82" i="60" s="1"/>
  <c r="E90" i="60"/>
  <c r="E92" i="60"/>
  <c r="E106" i="60"/>
  <c r="E132" i="60"/>
  <c r="E135" i="60"/>
  <c r="E140" i="60"/>
  <c r="E142" i="60"/>
  <c r="E167" i="60"/>
  <c r="G167" i="60" s="1"/>
  <c r="E179" i="60"/>
  <c r="E183" i="60"/>
  <c r="E187" i="60"/>
  <c r="G187" i="60" s="1"/>
  <c r="E189" i="60"/>
  <c r="E202" i="60"/>
  <c r="E226" i="60"/>
  <c r="E14" i="54"/>
  <c r="E18" i="54"/>
  <c r="G18" i="54" s="1"/>
  <c r="E26" i="54"/>
  <c r="E46" i="54"/>
  <c r="G46" i="54" s="1"/>
  <c r="E50" i="54"/>
  <c r="E54" i="54"/>
  <c r="E58" i="54"/>
  <c r="E69" i="54"/>
  <c r="E84" i="54"/>
  <c r="E92" i="54"/>
  <c r="E99" i="54"/>
  <c r="E106" i="54"/>
  <c r="E110" i="54"/>
  <c r="E115" i="54"/>
  <c r="E127" i="54"/>
  <c r="G127" i="54" s="1"/>
  <c r="E147" i="54"/>
  <c r="G147" i="54" s="1"/>
  <c r="E149" i="54"/>
  <c r="E151" i="54"/>
  <c r="G151" i="54" s="1"/>
  <c r="E158" i="54"/>
  <c r="E160" i="54"/>
  <c r="E167" i="54"/>
  <c r="E169" i="54"/>
  <c r="E177" i="54"/>
  <c r="G177" i="54" s="1"/>
  <c r="E181" i="54"/>
  <c r="G181" i="54" s="1"/>
  <c r="E185" i="54"/>
  <c r="E189" i="54"/>
  <c r="G189" i="54" s="1"/>
  <c r="E193" i="54"/>
  <c r="E14" i="94"/>
  <c r="E30" i="94"/>
  <c r="E34" i="94"/>
  <c r="G34" i="94" s="1"/>
  <c r="E36" i="94"/>
  <c r="G36" i="94" s="1"/>
  <c r="E42" i="94"/>
  <c r="E54" i="94"/>
  <c r="E69" i="94"/>
  <c r="G69" i="94" s="1"/>
  <c r="E71" i="94"/>
  <c r="G71" i="94" s="1"/>
  <c r="E108" i="94"/>
  <c r="E132" i="94"/>
  <c r="E147" i="94"/>
  <c r="E151" i="94"/>
  <c r="E153" i="94"/>
  <c r="E158" i="94"/>
  <c r="E167" i="94"/>
  <c r="E171" i="94"/>
  <c r="E177" i="94"/>
  <c r="E181" i="94"/>
  <c r="E187" i="94"/>
  <c r="G187" i="94" s="1"/>
  <c r="E191" i="94"/>
  <c r="G191" i="94" s="1"/>
  <c r="E193" i="94"/>
  <c r="E222" i="94"/>
  <c r="E226" i="94"/>
  <c r="E14" i="164"/>
  <c r="G14" i="164" s="1"/>
  <c r="E16" i="164"/>
  <c r="E32" i="164"/>
  <c r="E42" i="164"/>
  <c r="E44" i="164"/>
  <c r="E46" i="164"/>
  <c r="G46" i="164" s="1"/>
  <c r="E50" i="164"/>
  <c r="G50" i="164" s="1"/>
  <c r="E52" i="164"/>
  <c r="E65" i="164"/>
  <c r="E67" i="164"/>
  <c r="E69" i="164"/>
  <c r="E73" i="164"/>
  <c r="G73" i="164" s="1"/>
  <c r="E75" i="164"/>
  <c r="E77" i="164"/>
  <c r="E106" i="164"/>
  <c r="E117" i="164"/>
  <c r="E125" i="164"/>
  <c r="G125" i="164" s="1"/>
  <c r="E130" i="164"/>
  <c r="E135" i="164"/>
  <c r="E140" i="164"/>
  <c r="G140" i="164" s="1"/>
  <c r="E149" i="164"/>
  <c r="E158" i="164"/>
  <c r="G158" i="164" s="1"/>
  <c r="E169" i="164"/>
  <c r="G169" i="164" s="1"/>
  <c r="E173" i="164"/>
  <c r="G173" i="164" s="1"/>
  <c r="E177" i="164"/>
  <c r="E193" i="164"/>
  <c r="E204" i="164"/>
  <c r="G204" i="164" s="1"/>
  <c r="E232" i="164"/>
  <c r="E25" i="68"/>
  <c r="E49" i="68"/>
  <c r="E57" i="68"/>
  <c r="E83" i="68"/>
  <c r="E87" i="68"/>
  <c r="G87" i="68" s="1"/>
  <c r="E133" i="68"/>
  <c r="G133" i="68" s="1"/>
  <c r="E138" i="68"/>
  <c r="E143" i="68"/>
  <c r="G143" i="68" s="1"/>
  <c r="E148" i="68"/>
  <c r="G148" i="68" s="1"/>
  <c r="E152" i="68"/>
  <c r="G152" i="68" s="1"/>
  <c r="E157" i="68"/>
  <c r="E164" i="68"/>
  <c r="E184" i="68"/>
  <c r="E188" i="68"/>
  <c r="E196" i="68"/>
  <c r="E25" i="66"/>
  <c r="E159" i="66"/>
  <c r="E170" i="66"/>
  <c r="G170" i="66" s="1"/>
  <c r="E59" i="63"/>
  <c r="E220" i="63"/>
  <c r="E14" i="58"/>
  <c r="G14" i="58" s="1"/>
  <c r="E26" i="58"/>
  <c r="E34" i="58"/>
  <c r="G34" i="58" s="1"/>
  <c r="E38" i="58"/>
  <c r="E42" i="58"/>
  <c r="E232" i="58"/>
  <c r="E39" i="174"/>
  <c r="E105" i="174"/>
  <c r="E31" i="53"/>
  <c r="E39" i="53"/>
  <c r="E47" i="53"/>
  <c r="G47" i="53" s="1"/>
  <c r="E51" i="53"/>
  <c r="E59" i="53"/>
  <c r="E70" i="53"/>
  <c r="G70" i="53" s="1"/>
  <c r="E74" i="53"/>
  <c r="E78" i="53"/>
  <c r="E87" i="53"/>
  <c r="E89" i="53"/>
  <c r="E96" i="53"/>
  <c r="E107" i="53"/>
  <c r="E118" i="53"/>
  <c r="E126" i="53"/>
  <c r="G126" i="53" s="1"/>
  <c r="E138" i="53"/>
  <c r="E150" i="53"/>
  <c r="G150" i="53" s="1"/>
  <c r="E155" i="53"/>
  <c r="G155" i="53" s="1"/>
  <c r="E157" i="53"/>
  <c r="G157" i="53" s="1"/>
  <c r="E159" i="53"/>
  <c r="E166" i="53"/>
  <c r="E170" i="53"/>
  <c r="E174" i="53"/>
  <c r="G145" i="177"/>
  <c r="E100" i="98"/>
  <c r="E224" i="98"/>
  <c r="E27" i="49"/>
  <c r="E35" i="49"/>
  <c r="E47" i="49"/>
  <c r="E85" i="49"/>
  <c r="E100" i="49"/>
  <c r="E114" i="49"/>
  <c r="E159" i="49"/>
  <c r="E194" i="49"/>
  <c r="G194" i="49" s="1"/>
  <c r="E224" i="49"/>
  <c r="E35" i="83"/>
  <c r="G35" i="83" s="1"/>
  <c r="E51" i="83"/>
  <c r="G51" i="83" s="1"/>
  <c r="E66" i="83"/>
  <c r="G66" i="83" s="1"/>
  <c r="E126" i="83"/>
  <c r="E159" i="83"/>
  <c r="E174" i="83"/>
  <c r="E186" i="83"/>
  <c r="E194" i="83"/>
  <c r="E27" i="47"/>
  <c r="E39" i="47"/>
  <c r="E51" i="47"/>
  <c r="G51" i="47" s="1"/>
  <c r="E89" i="47"/>
  <c r="E100" i="47"/>
  <c r="E126" i="47"/>
  <c r="E131" i="46"/>
  <c r="E155" i="46"/>
  <c r="E225" i="46"/>
  <c r="E157" i="106"/>
  <c r="E231" i="106"/>
  <c r="E67" i="104"/>
  <c r="G67" i="104" s="1"/>
  <c r="E75" i="104"/>
  <c r="E90" i="104"/>
  <c r="E101" i="104"/>
  <c r="E115" i="104"/>
  <c r="E132" i="104"/>
  <c r="E142" i="104"/>
  <c r="E160" i="104"/>
  <c r="E191" i="104"/>
  <c r="E118" i="43"/>
  <c r="E146" i="43"/>
  <c r="E155" i="43"/>
  <c r="E166" i="43"/>
  <c r="G166" i="43" s="1"/>
  <c r="E182" i="43"/>
  <c r="G182" i="43" s="1"/>
  <c r="E186" i="43"/>
  <c r="E194" i="43"/>
  <c r="E118" i="90"/>
  <c r="E190" i="90"/>
  <c r="E203" i="90"/>
  <c r="E220" i="90"/>
  <c r="E19" i="24"/>
  <c r="G19" i="24" s="1"/>
  <c r="E89" i="24"/>
  <c r="G89" i="24" s="1"/>
  <c r="E159" i="24"/>
  <c r="E178" i="24"/>
  <c r="E201" i="24"/>
  <c r="E205" i="24"/>
  <c r="E27" i="141"/>
  <c r="E31" i="141"/>
  <c r="E155" i="141"/>
  <c r="E159" i="141"/>
  <c r="G159" i="141" s="1"/>
  <c r="E166" i="141"/>
  <c r="E170" i="141"/>
  <c r="G170" i="141" s="1"/>
  <c r="E174" i="141"/>
  <c r="E178" i="141"/>
  <c r="G178" i="141" s="1"/>
  <c r="E182" i="141"/>
  <c r="G182" i="141" s="1"/>
  <c r="E31" i="32"/>
  <c r="G31" i="32" s="1"/>
  <c r="E43" i="32"/>
  <c r="G43" i="32" s="1"/>
  <c r="E66" i="32"/>
  <c r="E78" i="32"/>
  <c r="G78" i="32" s="1"/>
  <c r="E89" i="32"/>
  <c r="E100" i="32"/>
  <c r="E141" i="32"/>
  <c r="E150" i="32"/>
  <c r="E159" i="32"/>
  <c r="E174" i="32"/>
  <c r="E182" i="32"/>
  <c r="E194" i="32"/>
  <c r="E201" i="32"/>
  <c r="E224" i="32"/>
  <c r="E35" i="64"/>
  <c r="E43" i="64"/>
  <c r="E51" i="64"/>
  <c r="E55" i="64"/>
  <c r="E78" i="64"/>
  <c r="E85" i="64"/>
  <c r="E89" i="64"/>
  <c r="E107" i="64"/>
  <c r="G107" i="64" s="1"/>
  <c r="E126" i="64"/>
  <c r="E136" i="64"/>
  <c r="E155" i="64"/>
  <c r="E159" i="64"/>
  <c r="E166" i="64"/>
  <c r="E186" i="64"/>
  <c r="E223" i="25"/>
  <c r="E223" i="155"/>
  <c r="E224" i="42"/>
  <c r="E43" i="157"/>
  <c r="E55" i="157"/>
  <c r="E70" i="157"/>
  <c r="E78" i="157"/>
  <c r="E96" i="157"/>
  <c r="G96" i="157" s="1"/>
  <c r="E118" i="157"/>
  <c r="E131" i="157"/>
  <c r="E141" i="157"/>
  <c r="G141" i="157" s="1"/>
  <c r="E150" i="157"/>
  <c r="E159" i="157"/>
  <c r="E170" i="157"/>
  <c r="E178" i="157"/>
  <c r="G178" i="157" s="1"/>
  <c r="E190" i="157"/>
  <c r="E25" i="158"/>
  <c r="E33" i="158"/>
  <c r="E57" i="158"/>
  <c r="E83" i="158"/>
  <c r="E168" i="158"/>
  <c r="E72" i="16"/>
  <c r="E98" i="16"/>
  <c r="G98" i="16" s="1"/>
  <c r="E143" i="16"/>
  <c r="E157" i="16"/>
  <c r="E168" i="16"/>
  <c r="E176" i="16"/>
  <c r="E184" i="16"/>
  <c r="E192" i="16"/>
  <c r="E231" i="165"/>
  <c r="G231" i="165" s="1"/>
  <c r="G235" i="165" s="1"/>
  <c r="E107" i="55"/>
  <c r="G107" i="55" s="1"/>
  <c r="E221" i="55"/>
  <c r="E225" i="55"/>
  <c r="G225" i="55" s="1"/>
  <c r="E219" i="14"/>
  <c r="E223" i="14"/>
  <c r="E227" i="14"/>
  <c r="E34" i="172"/>
  <c r="E99" i="172"/>
  <c r="E14" i="143"/>
  <c r="E26" i="143"/>
  <c r="E30" i="143"/>
  <c r="E34" i="143"/>
  <c r="E38" i="143"/>
  <c r="E42" i="143"/>
  <c r="G42" i="143" s="1"/>
  <c r="E46" i="143"/>
  <c r="E50" i="143"/>
  <c r="E54" i="143"/>
  <c r="E58" i="143"/>
  <c r="E65" i="143"/>
  <c r="E69" i="143"/>
  <c r="E73" i="143"/>
  <c r="E77" i="143"/>
  <c r="E88" i="143"/>
  <c r="E92" i="143"/>
  <c r="E106" i="143"/>
  <c r="E110" i="143"/>
  <c r="E125" i="143"/>
  <c r="E130" i="143"/>
  <c r="E140" i="143"/>
  <c r="E145" i="143"/>
  <c r="E153" i="143"/>
  <c r="E158" i="143"/>
  <c r="E169" i="143"/>
  <c r="E173" i="143"/>
  <c r="E177" i="143"/>
  <c r="E193" i="143"/>
  <c r="E200" i="143"/>
  <c r="E204" i="143"/>
  <c r="E18" i="10"/>
  <c r="E38" i="10"/>
  <c r="E42" i="10"/>
  <c r="E77" i="10"/>
  <c r="G77" i="10" s="1"/>
  <c r="E88" i="10"/>
  <c r="G88" i="10" s="1"/>
  <c r="E92" i="10"/>
  <c r="E110" i="10"/>
  <c r="G110" i="10" s="1"/>
  <c r="E117" i="10"/>
  <c r="E130" i="10"/>
  <c r="E140" i="10"/>
  <c r="E149" i="10"/>
  <c r="E158" i="10"/>
  <c r="E169" i="10"/>
  <c r="E177" i="10"/>
  <c r="E189" i="10"/>
  <c r="E200" i="10"/>
  <c r="E227" i="10"/>
  <c r="E77" i="87"/>
  <c r="E117" i="87"/>
  <c r="E130" i="87"/>
  <c r="E135" i="87"/>
  <c r="E145" i="87"/>
  <c r="E149" i="87"/>
  <c r="E158" i="87"/>
  <c r="E169" i="87"/>
  <c r="E177" i="87"/>
  <c r="G177" i="87" s="1"/>
  <c r="E185" i="87"/>
  <c r="E193" i="87"/>
  <c r="E223" i="87"/>
  <c r="E14" i="86"/>
  <c r="E26" i="86"/>
  <c r="E58" i="86"/>
  <c r="E69" i="86"/>
  <c r="E73" i="86"/>
  <c r="E77" i="86"/>
  <c r="E88" i="86"/>
  <c r="E92" i="86"/>
  <c r="E106" i="86"/>
  <c r="G106" i="86" s="1"/>
  <c r="E110" i="86"/>
  <c r="G110" i="86" s="1"/>
  <c r="E117" i="86"/>
  <c r="E130" i="86"/>
  <c r="E140" i="86"/>
  <c r="E145" i="86"/>
  <c r="E149" i="86"/>
  <c r="E153" i="86"/>
  <c r="E158" i="86"/>
  <c r="E169" i="86"/>
  <c r="E227" i="86"/>
  <c r="E177" i="89"/>
  <c r="G177" i="89" s="1"/>
  <c r="E181" i="89"/>
  <c r="E69" i="69"/>
  <c r="E77" i="69"/>
  <c r="E84" i="69"/>
  <c r="E88" i="69"/>
  <c r="E117" i="69"/>
  <c r="E125" i="69"/>
  <c r="E130" i="69"/>
  <c r="E135" i="69"/>
  <c r="G135" i="69" s="1"/>
  <c r="E165" i="69"/>
  <c r="E169" i="69"/>
  <c r="E173" i="69"/>
  <c r="E177" i="69"/>
  <c r="E189" i="69"/>
  <c r="E18" i="142"/>
  <c r="G18" i="142" s="1"/>
  <c r="E38" i="142"/>
  <c r="E42" i="142"/>
  <c r="E46" i="142"/>
  <c r="E54" i="142"/>
  <c r="E73" i="142"/>
  <c r="G73" i="142" s="1"/>
  <c r="E77" i="142"/>
  <c r="G77" i="142" s="1"/>
  <c r="E84" i="142"/>
  <c r="G84" i="142" s="1"/>
  <c r="E99" i="142"/>
  <c r="E106" i="142"/>
  <c r="E117" i="142"/>
  <c r="E130" i="142"/>
  <c r="E140" i="142"/>
  <c r="E153" i="142"/>
  <c r="G153" i="142" s="1"/>
  <c r="E169" i="142"/>
  <c r="E173" i="142"/>
  <c r="E181" i="142"/>
  <c r="E185" i="142"/>
  <c r="E223" i="142"/>
  <c r="E14" i="92"/>
  <c r="E26" i="92"/>
  <c r="E34" i="92"/>
  <c r="G34" i="92" s="1"/>
  <c r="E38" i="92"/>
  <c r="E46" i="92"/>
  <c r="E50" i="92"/>
  <c r="E54" i="92"/>
  <c r="E58" i="92"/>
  <c r="E65" i="92"/>
  <c r="E84" i="92"/>
  <c r="E88" i="92"/>
  <c r="E92" i="92"/>
  <c r="E106" i="92"/>
  <c r="E110" i="92"/>
  <c r="E117" i="92"/>
  <c r="E125" i="92"/>
  <c r="G125" i="92" s="1"/>
  <c r="E135" i="92"/>
  <c r="E145" i="92"/>
  <c r="E149" i="92"/>
  <c r="E153" i="92"/>
  <c r="E165" i="92"/>
  <c r="E177" i="92"/>
  <c r="E223" i="92"/>
  <c r="E14" i="1"/>
  <c r="E38" i="1"/>
  <c r="E42" i="1"/>
  <c r="E46" i="1"/>
  <c r="E50" i="1"/>
  <c r="G50" i="1" s="1"/>
  <c r="E65" i="1"/>
  <c r="E69" i="1"/>
  <c r="G69" i="1" s="1"/>
  <c r="E77" i="1"/>
  <c r="E88" i="1"/>
  <c r="E106" i="1"/>
  <c r="E110" i="1"/>
  <c r="G110" i="1" s="1"/>
  <c r="E117" i="1"/>
  <c r="E145" i="1"/>
  <c r="E149" i="1"/>
  <c r="E153" i="1"/>
  <c r="E158" i="1"/>
  <c r="E169" i="1"/>
  <c r="E173" i="1"/>
  <c r="E193" i="1"/>
  <c r="E200" i="1"/>
  <c r="E223" i="1"/>
  <c r="E14" i="50"/>
  <c r="E26" i="50"/>
  <c r="G26" i="50" s="1"/>
  <c r="E30" i="50"/>
  <c r="E34" i="50"/>
  <c r="E38" i="50"/>
  <c r="E42" i="50"/>
  <c r="E50" i="50"/>
  <c r="E65" i="50"/>
  <c r="E69" i="50"/>
  <c r="G69" i="50" s="1"/>
  <c r="E73" i="50"/>
  <c r="E77" i="50"/>
  <c r="E92" i="50"/>
  <c r="G92" i="50" s="1"/>
  <c r="E99" i="50"/>
  <c r="E106" i="50"/>
  <c r="E110" i="50"/>
  <c r="E117" i="50"/>
  <c r="E125" i="50"/>
  <c r="G125" i="50" s="1"/>
  <c r="E130" i="50"/>
  <c r="G130" i="50" s="1"/>
  <c r="E140" i="50"/>
  <c r="G140" i="50" s="1"/>
  <c r="E149" i="50"/>
  <c r="E153" i="50"/>
  <c r="G153" i="50" s="1"/>
  <c r="E165" i="50"/>
  <c r="G165" i="50" s="1"/>
  <c r="E173" i="50"/>
  <c r="E177" i="50"/>
  <c r="E185" i="50"/>
  <c r="E189" i="50"/>
  <c r="E223" i="50"/>
  <c r="E14" i="95"/>
  <c r="G14" i="95" s="1"/>
  <c r="E18" i="95"/>
  <c r="E26" i="95"/>
  <c r="E34" i="95"/>
  <c r="G34" i="95" s="1"/>
  <c r="E38" i="95"/>
  <c r="E42" i="95"/>
  <c r="E50" i="95"/>
  <c r="E58" i="95"/>
  <c r="E69" i="95"/>
  <c r="G69" i="95" s="1"/>
  <c r="E73" i="95"/>
  <c r="E77" i="95"/>
  <c r="E84" i="95"/>
  <c r="E88" i="95"/>
  <c r="E92" i="95"/>
  <c r="E106" i="95"/>
  <c r="E149" i="95"/>
  <c r="E153" i="95"/>
  <c r="E169" i="95"/>
  <c r="E173" i="95"/>
  <c r="E177" i="95"/>
  <c r="G177" i="95" s="1"/>
  <c r="E185" i="95"/>
  <c r="E193" i="95"/>
  <c r="E200" i="95"/>
  <c r="E224" i="31"/>
  <c r="E220" i="31"/>
  <c r="E143" i="31"/>
  <c r="E91" i="31"/>
  <c r="E89" i="98"/>
  <c r="E205" i="49"/>
  <c r="E186" i="47"/>
  <c r="E118" i="47"/>
  <c r="E190" i="83"/>
  <c r="E89" i="83"/>
  <c r="E190" i="49"/>
  <c r="E55" i="49"/>
  <c r="G55" i="49" s="1"/>
  <c r="E29" i="106"/>
  <c r="E78" i="98"/>
  <c r="E107" i="47"/>
  <c r="E47" i="47"/>
  <c r="E178" i="83"/>
  <c r="E59" i="83"/>
  <c r="E107" i="49"/>
  <c r="E39" i="49"/>
  <c r="E220" i="103"/>
  <c r="E13" i="15"/>
  <c r="E17" i="15"/>
  <c r="E33" i="15"/>
  <c r="G33" i="15" s="1"/>
  <c r="E45" i="15"/>
  <c r="E57" i="15"/>
  <c r="G57" i="15" s="1"/>
  <c r="E76" i="15"/>
  <c r="E98" i="15"/>
  <c r="E158" i="68"/>
  <c r="E75" i="98"/>
  <c r="G75" i="98" s="1"/>
  <c r="E232" i="53"/>
  <c r="E222" i="53"/>
  <c r="E20" i="49"/>
  <c r="G20" i="49" s="1"/>
  <c r="E124" i="39"/>
  <c r="E84" i="120"/>
  <c r="G84" i="120" s="1"/>
  <c r="E223" i="120"/>
  <c r="E226" i="32"/>
  <c r="E142" i="64"/>
  <c r="E226" i="64"/>
  <c r="E28" i="28"/>
  <c r="E44" i="28"/>
  <c r="E75" i="28"/>
  <c r="E123" i="28"/>
  <c r="E132" i="28"/>
  <c r="E142" i="28"/>
  <c r="E160" i="28"/>
  <c r="E179" i="28"/>
  <c r="E195" i="28"/>
  <c r="E28" i="65"/>
  <c r="E32" i="65"/>
  <c r="E48" i="65"/>
  <c r="E67" i="65"/>
  <c r="E97" i="65"/>
  <c r="E123" i="65"/>
  <c r="E132" i="65"/>
  <c r="E142" i="65"/>
  <c r="G142" i="65" s="1"/>
  <c r="E179" i="65"/>
  <c r="E187" i="65"/>
  <c r="E195" i="65"/>
  <c r="E219" i="65"/>
  <c r="E223" i="65"/>
  <c r="E227" i="65"/>
  <c r="E15" i="119"/>
  <c r="E39" i="119"/>
  <c r="G39" i="119" s="1"/>
  <c r="E66" i="119"/>
  <c r="E85" i="119"/>
  <c r="E89" i="119"/>
  <c r="E114" i="119"/>
  <c r="E136" i="119"/>
  <c r="E141" i="119"/>
  <c r="E150" i="119"/>
  <c r="E166" i="119"/>
  <c r="G166" i="119" s="1"/>
  <c r="E178" i="119"/>
  <c r="E182" i="119"/>
  <c r="E190" i="119"/>
  <c r="G190" i="119" s="1"/>
  <c r="E27" i="25"/>
  <c r="E47" i="25"/>
  <c r="E59" i="25"/>
  <c r="E70" i="25"/>
  <c r="E89" i="25"/>
  <c r="E107" i="25"/>
  <c r="E126" i="25"/>
  <c r="E136" i="25"/>
  <c r="E11" i="155"/>
  <c r="E78" i="155"/>
  <c r="G78" i="155" s="1"/>
  <c r="E226" i="42"/>
  <c r="E46" i="55"/>
  <c r="G46" i="55" s="1"/>
  <c r="E100" i="14"/>
  <c r="E13" i="143"/>
  <c r="E91" i="143"/>
  <c r="E87" i="10"/>
  <c r="E91" i="10"/>
  <c r="E98" i="10"/>
  <c r="E196" i="10"/>
  <c r="E13" i="87"/>
  <c r="E17" i="87"/>
  <c r="E37" i="87"/>
  <c r="G37" i="87" s="1"/>
  <c r="E53" i="87"/>
  <c r="G53" i="87" s="1"/>
  <c r="E98" i="87"/>
  <c r="E188" i="87"/>
  <c r="E231" i="87"/>
  <c r="G231" i="87" s="1"/>
  <c r="E25" i="86"/>
  <c r="E29" i="86"/>
  <c r="E41" i="86"/>
  <c r="E57" i="86"/>
  <c r="E76" i="86"/>
  <c r="E98" i="86"/>
  <c r="E29" i="89"/>
  <c r="E37" i="89"/>
  <c r="G37" i="89" s="1"/>
  <c r="E231" i="1"/>
  <c r="G231" i="1" s="1"/>
  <c r="E232" i="31"/>
  <c r="E132" i="83"/>
  <c r="E54" i="175"/>
  <c r="E152" i="120"/>
  <c r="E96" i="28"/>
  <c r="E181" i="119"/>
  <c r="E200" i="155"/>
  <c r="E150" i="55"/>
  <c r="E11" i="176"/>
  <c r="E51" i="176"/>
  <c r="E74" i="176"/>
  <c r="E170" i="176"/>
  <c r="E178" i="176"/>
  <c r="E28" i="10"/>
  <c r="E40" i="10"/>
  <c r="E33" i="178"/>
  <c r="G231" i="19"/>
  <c r="E193" i="19"/>
  <c r="E50" i="19"/>
  <c r="G50" i="19" s="1"/>
  <c r="E153" i="19"/>
  <c r="E28" i="19"/>
  <c r="G178" i="85"/>
  <c r="G224" i="85"/>
  <c r="G153" i="85"/>
  <c r="G188" i="85"/>
  <c r="G179" i="85"/>
  <c r="G91" i="85"/>
  <c r="G17" i="85"/>
  <c r="G184" i="85"/>
  <c r="G105" i="85"/>
  <c r="G49" i="85"/>
  <c r="G71" i="85"/>
  <c r="G73" i="37"/>
  <c r="G52" i="27"/>
  <c r="G155" i="72"/>
  <c r="G66" i="72"/>
  <c r="G66" i="37"/>
  <c r="G160" i="167"/>
  <c r="G38" i="113"/>
  <c r="G223" i="46"/>
  <c r="G232" i="20"/>
  <c r="E75" i="178"/>
  <c r="G187" i="62"/>
  <c r="G35" i="72"/>
  <c r="E56" i="28"/>
  <c r="E12" i="65"/>
  <c r="G12" i="65" s="1"/>
  <c r="E16" i="65"/>
  <c r="E60" i="65"/>
  <c r="G60" i="65" s="1"/>
  <c r="E47" i="119"/>
  <c r="E225" i="119"/>
  <c r="E43" i="25"/>
  <c r="G43" i="25" s="1"/>
  <c r="E19" i="155"/>
  <c r="E226" i="157"/>
  <c r="E222" i="158"/>
  <c r="E232" i="158"/>
  <c r="E165" i="54"/>
  <c r="E117" i="103"/>
  <c r="E14" i="103"/>
  <c r="E223" i="54"/>
  <c r="E20" i="65"/>
  <c r="G20" i="65" s="1"/>
  <c r="E223" i="83"/>
  <c r="E158" i="141"/>
  <c r="E38" i="64"/>
  <c r="E179" i="42"/>
  <c r="G179" i="42" s="1"/>
  <c r="E52" i="157"/>
  <c r="E107" i="63"/>
  <c r="G107" i="63" s="1"/>
  <c r="E83" i="174"/>
  <c r="E152" i="174"/>
  <c r="E164" i="174"/>
  <c r="E25" i="53"/>
  <c r="E64" i="53"/>
  <c r="E83" i="53"/>
  <c r="E109" i="53"/>
  <c r="E148" i="53"/>
  <c r="G148" i="53" s="1"/>
  <c r="E152" i="53"/>
  <c r="E45" i="83"/>
  <c r="E25" i="47"/>
  <c r="E129" i="47"/>
  <c r="E132" i="39"/>
  <c r="G132" i="39" s="1"/>
  <c r="E27" i="64"/>
  <c r="E59" i="64"/>
  <c r="E100" i="64"/>
  <c r="E41" i="16"/>
  <c r="E116" i="16"/>
  <c r="E188" i="150"/>
  <c r="E196" i="150"/>
  <c r="E13" i="25"/>
  <c r="E203" i="25"/>
  <c r="G123" i="37"/>
  <c r="G170" i="37"/>
  <c r="G159" i="37"/>
  <c r="E90" i="103"/>
  <c r="E160" i="103"/>
  <c r="E219" i="103"/>
  <c r="E48" i="118"/>
  <c r="E67" i="118"/>
  <c r="E86" i="118"/>
  <c r="E151" i="118"/>
  <c r="E171" i="118"/>
  <c r="E183" i="118"/>
  <c r="E203" i="60"/>
  <c r="E25" i="54"/>
  <c r="E41" i="54"/>
  <c r="E29" i="94"/>
  <c r="E83" i="94"/>
  <c r="E143" i="145"/>
  <c r="G143" i="145" s="1"/>
  <c r="E17" i="164"/>
  <c r="E72" i="164"/>
  <c r="E219" i="47"/>
  <c r="G219" i="47" s="1"/>
  <c r="E31" i="106"/>
  <c r="E89" i="106"/>
  <c r="E178" i="106"/>
  <c r="E26" i="104"/>
  <c r="E42" i="104"/>
  <c r="E65" i="104"/>
  <c r="G65" i="104" s="1"/>
  <c r="E84" i="104"/>
  <c r="E106" i="104"/>
  <c r="E125" i="104"/>
  <c r="E140" i="104"/>
  <c r="E169" i="104"/>
  <c r="E177" i="104"/>
  <c r="E193" i="104"/>
  <c r="E57" i="43"/>
  <c r="E68" i="43"/>
  <c r="E196" i="43"/>
  <c r="E18" i="175"/>
  <c r="E30" i="175"/>
  <c r="E38" i="175"/>
  <c r="E50" i="175"/>
  <c r="E145" i="175"/>
  <c r="E181" i="175"/>
  <c r="E222" i="175"/>
  <c r="E136" i="84"/>
  <c r="E150" i="84"/>
  <c r="E170" i="84"/>
  <c r="G170" i="84" s="1"/>
  <c r="E223" i="71"/>
  <c r="E37" i="152"/>
  <c r="G37" i="152" s="1"/>
  <c r="E148" i="152"/>
  <c r="E172" i="152"/>
  <c r="E188" i="152"/>
  <c r="E33" i="120"/>
  <c r="G67" i="37"/>
  <c r="E223" i="90"/>
  <c r="E204" i="24"/>
  <c r="E42" i="141"/>
  <c r="E58" i="141"/>
  <c r="E84" i="141"/>
  <c r="G84" i="141" s="1"/>
  <c r="E92" i="141"/>
  <c r="E125" i="141"/>
  <c r="E149" i="141"/>
  <c r="E185" i="141"/>
  <c r="E200" i="141"/>
  <c r="E14" i="32"/>
  <c r="G14" i="32" s="1"/>
  <c r="E38" i="32"/>
  <c r="E54" i="32"/>
  <c r="E73" i="32"/>
  <c r="E99" i="32"/>
  <c r="E140" i="32"/>
  <c r="E158" i="32"/>
  <c r="E173" i="32"/>
  <c r="E193" i="32"/>
  <c r="E65" i="64"/>
  <c r="E84" i="64"/>
  <c r="E159" i="28"/>
  <c r="G159" i="28" s="1"/>
  <c r="E205" i="28"/>
  <c r="E15" i="65"/>
  <c r="E51" i="65"/>
  <c r="E66" i="65"/>
  <c r="E96" i="65"/>
  <c r="E182" i="65"/>
  <c r="E194" i="65"/>
  <c r="E224" i="65"/>
  <c r="E50" i="119"/>
  <c r="E88" i="119"/>
  <c r="G88" i="119" s="1"/>
  <c r="E117" i="119"/>
  <c r="E153" i="119"/>
  <c r="E200" i="119"/>
  <c r="G200" i="119" s="1"/>
  <c r="E232" i="119"/>
  <c r="E58" i="25"/>
  <c r="E84" i="25"/>
  <c r="G84" i="25" s="1"/>
  <c r="E106" i="25"/>
  <c r="G106" i="25" s="1"/>
  <c r="E158" i="25"/>
  <c r="G158" i="25" s="1"/>
  <c r="E177" i="25"/>
  <c r="E193" i="25"/>
  <c r="E222" i="25"/>
  <c r="E18" i="155"/>
  <c r="E30" i="155"/>
  <c r="E50" i="155"/>
  <c r="G50" i="155" s="1"/>
  <c r="E158" i="104"/>
  <c r="E47" i="65"/>
  <c r="E92" i="104"/>
  <c r="E194" i="84"/>
  <c r="G148" i="38"/>
  <c r="E189" i="32"/>
  <c r="E140" i="25"/>
  <c r="G146" i="102"/>
  <c r="E97" i="103"/>
  <c r="E115" i="103"/>
  <c r="E32" i="118"/>
  <c r="E75" i="118"/>
  <c r="E97" i="118"/>
  <c r="E123" i="118"/>
  <c r="E167" i="118"/>
  <c r="E191" i="118"/>
  <c r="E16" i="174"/>
  <c r="E36" i="174"/>
  <c r="G36" i="174" s="1"/>
  <c r="E196" i="118"/>
  <c r="E17" i="54"/>
  <c r="E152" i="164"/>
  <c r="G152" i="164" s="1"/>
  <c r="E180" i="164"/>
  <c r="E109" i="19"/>
  <c r="E43" i="106"/>
  <c r="E159" i="106"/>
  <c r="E174" i="106"/>
  <c r="E54" i="104"/>
  <c r="G54" i="104" s="1"/>
  <c r="E77" i="104"/>
  <c r="E135" i="104"/>
  <c r="E153" i="104"/>
  <c r="E173" i="104"/>
  <c r="E181" i="104"/>
  <c r="E200" i="104"/>
  <c r="E87" i="43"/>
  <c r="E109" i="43"/>
  <c r="E14" i="175"/>
  <c r="E26" i="175"/>
  <c r="E99" i="175"/>
  <c r="E117" i="175"/>
  <c r="E140" i="175"/>
  <c r="G140" i="175" s="1"/>
  <c r="E177" i="175"/>
  <c r="E204" i="175"/>
  <c r="E47" i="84"/>
  <c r="E146" i="84"/>
  <c r="E166" i="84"/>
  <c r="E143" i="133"/>
  <c r="E25" i="152"/>
  <c r="E76" i="152"/>
  <c r="E91" i="152"/>
  <c r="E109" i="152"/>
  <c r="G109" i="152" s="1"/>
  <c r="E116" i="152"/>
  <c r="E184" i="152"/>
  <c r="E203" i="152"/>
  <c r="E37" i="120"/>
  <c r="E105" i="120"/>
  <c r="G105" i="120" s="1"/>
  <c r="E220" i="120"/>
  <c r="G220" i="120" s="1"/>
  <c r="G124" i="37"/>
  <c r="E38" i="141"/>
  <c r="E54" i="141"/>
  <c r="E73" i="141"/>
  <c r="E106" i="141"/>
  <c r="G106" i="141" s="1"/>
  <c r="E117" i="141"/>
  <c r="E140" i="141"/>
  <c r="E177" i="141"/>
  <c r="E30" i="32"/>
  <c r="E65" i="32"/>
  <c r="E110" i="32"/>
  <c r="E135" i="32"/>
  <c r="E153" i="32"/>
  <c r="E46" i="64"/>
  <c r="E92" i="64"/>
  <c r="G92" i="64" s="1"/>
  <c r="E155" i="28"/>
  <c r="E174" i="28"/>
  <c r="E178" i="28"/>
  <c r="E194" i="28"/>
  <c r="E224" i="28"/>
  <c r="E85" i="65"/>
  <c r="E114" i="65"/>
  <c r="E131" i="65"/>
  <c r="E150" i="65"/>
  <c r="E166" i="65"/>
  <c r="G166" i="65" s="1"/>
  <c r="E190" i="65"/>
  <c r="E201" i="65"/>
  <c r="E38" i="119"/>
  <c r="E84" i="119"/>
  <c r="E140" i="119"/>
  <c r="E158" i="119"/>
  <c r="G158" i="119" s="1"/>
  <c r="E177" i="119"/>
  <c r="E204" i="119"/>
  <c r="E26" i="25"/>
  <c r="E65" i="25"/>
  <c r="E77" i="25"/>
  <c r="E99" i="25"/>
  <c r="E125" i="25"/>
  <c r="E173" i="25"/>
  <c r="E181" i="25"/>
  <c r="E200" i="25"/>
  <c r="E232" i="25"/>
  <c r="G232" i="25" s="1"/>
  <c r="E26" i="155"/>
  <c r="G26" i="155" s="1"/>
  <c r="E42" i="155"/>
  <c r="G42" i="155" s="1"/>
  <c r="E84" i="155"/>
  <c r="E110" i="155"/>
  <c r="E191" i="103"/>
  <c r="E116" i="94"/>
  <c r="E130" i="175"/>
  <c r="E201" i="84"/>
  <c r="G179" i="72"/>
  <c r="E52" i="174"/>
  <c r="G52" i="174" s="1"/>
  <c r="E142" i="118"/>
  <c r="G78" i="167"/>
  <c r="E132" i="103"/>
  <c r="E183" i="103"/>
  <c r="E202" i="103"/>
  <c r="E28" i="118"/>
  <c r="G28" i="118" s="1"/>
  <c r="E44" i="118"/>
  <c r="E60" i="118"/>
  <c r="E71" i="118"/>
  <c r="E115" i="118"/>
  <c r="G115" i="118" s="1"/>
  <c r="E160" i="118"/>
  <c r="E187" i="118"/>
  <c r="E205" i="15"/>
  <c r="G205" i="15" s="1"/>
  <c r="E117" i="66"/>
  <c r="G117" i="66" s="1"/>
  <c r="E140" i="63"/>
  <c r="G140" i="63" s="1"/>
  <c r="E169" i="63"/>
  <c r="E40" i="174"/>
  <c r="E195" i="103"/>
  <c r="E53" i="54"/>
  <c r="E116" i="54"/>
  <c r="E76" i="164"/>
  <c r="G76" i="164" s="1"/>
  <c r="E220" i="164"/>
  <c r="E53" i="19"/>
  <c r="E227" i="47"/>
  <c r="G227" i="47" s="1"/>
  <c r="E180" i="46"/>
  <c r="G181" i="102"/>
  <c r="E11" i="106"/>
  <c r="E27" i="106"/>
  <c r="G27" i="106" s="1"/>
  <c r="E39" i="106"/>
  <c r="E47" i="106"/>
  <c r="G47" i="106" s="1"/>
  <c r="E66" i="106"/>
  <c r="E170" i="106"/>
  <c r="E186" i="106"/>
  <c r="E194" i="106"/>
  <c r="E14" i="104"/>
  <c r="E30" i="104"/>
  <c r="E46" i="104"/>
  <c r="E58" i="104"/>
  <c r="G58" i="104" s="1"/>
  <c r="E73" i="104"/>
  <c r="E88" i="104"/>
  <c r="G88" i="104" s="1"/>
  <c r="E99" i="104"/>
  <c r="E130" i="104"/>
  <c r="E152" i="43"/>
  <c r="E220" i="43"/>
  <c r="E118" i="84"/>
  <c r="G118" i="84" s="1"/>
  <c r="E141" i="84"/>
  <c r="E155" i="84"/>
  <c r="E174" i="84"/>
  <c r="E203" i="133"/>
  <c r="E49" i="152"/>
  <c r="E72" i="152"/>
  <c r="E98" i="152"/>
  <c r="E204" i="90"/>
  <c r="E140" i="24"/>
  <c r="G140" i="24" s="1"/>
  <c r="E193" i="24"/>
  <c r="E46" i="141"/>
  <c r="G46" i="141" s="1"/>
  <c r="E65" i="141"/>
  <c r="G65" i="141" s="1"/>
  <c r="E77" i="141"/>
  <c r="E99" i="141"/>
  <c r="E130" i="141"/>
  <c r="E145" i="141"/>
  <c r="E189" i="141"/>
  <c r="E223" i="141"/>
  <c r="G223" i="141" s="1"/>
  <c r="E18" i="32"/>
  <c r="G18" i="32" s="1"/>
  <c r="E34" i="32"/>
  <c r="E42" i="32"/>
  <c r="G42" i="32" s="1"/>
  <c r="E69" i="32"/>
  <c r="E84" i="32"/>
  <c r="G84" i="32" s="1"/>
  <c r="E106" i="32"/>
  <c r="E125" i="32"/>
  <c r="E145" i="32"/>
  <c r="E181" i="32"/>
  <c r="E204" i="32"/>
  <c r="E77" i="64"/>
  <c r="E99" i="64"/>
  <c r="E173" i="64"/>
  <c r="E11" i="28"/>
  <c r="E166" i="28"/>
  <c r="E201" i="28"/>
  <c r="E55" i="65"/>
  <c r="E74" i="65"/>
  <c r="G74" i="65" s="1"/>
  <c r="E89" i="65"/>
  <c r="E107" i="65"/>
  <c r="E126" i="65"/>
  <c r="G126" i="65" s="1"/>
  <c r="E141" i="65"/>
  <c r="E155" i="65"/>
  <c r="E14" i="119"/>
  <c r="E92" i="119"/>
  <c r="E106" i="119"/>
  <c r="E130" i="119"/>
  <c r="E145" i="119"/>
  <c r="E185" i="119"/>
  <c r="E193" i="119"/>
  <c r="E222" i="119"/>
  <c r="E38" i="25"/>
  <c r="E73" i="25"/>
  <c r="G73" i="25" s="1"/>
  <c r="E92" i="25"/>
  <c r="E135" i="25"/>
  <c r="E149" i="25"/>
  <c r="E169" i="25"/>
  <c r="E189" i="25"/>
  <c r="E69" i="155"/>
  <c r="E136" i="65"/>
  <c r="E190" i="28"/>
  <c r="G178" i="167"/>
  <c r="E38" i="104"/>
  <c r="E189" i="104"/>
  <c r="E137" i="118"/>
  <c r="E172" i="46"/>
  <c r="E169" i="32"/>
  <c r="E13" i="152"/>
  <c r="G13" i="152" s="1"/>
  <c r="G100" i="167"/>
  <c r="G158" i="167"/>
  <c r="E82" i="103"/>
  <c r="E101" i="103"/>
  <c r="E127" i="103"/>
  <c r="E36" i="118"/>
  <c r="E52" i="118"/>
  <c r="G52" i="118" s="1"/>
  <c r="E90" i="118"/>
  <c r="E156" i="118"/>
  <c r="E175" i="118"/>
  <c r="E179" i="118"/>
  <c r="G179" i="118" s="1"/>
  <c r="E194" i="15"/>
  <c r="G194" i="15" s="1"/>
  <c r="E84" i="68"/>
  <c r="G84" i="68" s="1"/>
  <c r="E153" i="63"/>
  <c r="G153" i="63" s="1"/>
  <c r="E189" i="63"/>
  <c r="E76" i="60"/>
  <c r="E116" i="60"/>
  <c r="G116" i="60" s="1"/>
  <c r="E143" i="54"/>
  <c r="E57" i="94"/>
  <c r="E13" i="164"/>
  <c r="E176" i="164"/>
  <c r="E203" i="164"/>
  <c r="G203" i="164" s="1"/>
  <c r="E101" i="15"/>
  <c r="E15" i="106"/>
  <c r="G15" i="106" s="1"/>
  <c r="E35" i="106"/>
  <c r="E70" i="106"/>
  <c r="G70" i="106" s="1"/>
  <c r="E146" i="106"/>
  <c r="E182" i="106"/>
  <c r="E190" i="106"/>
  <c r="G190" i="106" s="1"/>
  <c r="E205" i="106"/>
  <c r="E18" i="104"/>
  <c r="E34" i="104"/>
  <c r="E50" i="104"/>
  <c r="E69" i="104"/>
  <c r="E145" i="104"/>
  <c r="E165" i="104"/>
  <c r="E204" i="104"/>
  <c r="E49" i="43"/>
  <c r="E98" i="43"/>
  <c r="E203" i="43"/>
  <c r="E69" i="175"/>
  <c r="E84" i="175"/>
  <c r="E92" i="175"/>
  <c r="E125" i="175"/>
  <c r="G125" i="175" s="1"/>
  <c r="E135" i="175"/>
  <c r="E158" i="175"/>
  <c r="E173" i="175"/>
  <c r="G173" i="175" s="1"/>
  <c r="E200" i="175"/>
  <c r="G200" i="175" s="1"/>
  <c r="E107" i="84"/>
  <c r="E159" i="84"/>
  <c r="G159" i="84" s="1"/>
  <c r="E205" i="84"/>
  <c r="G205" i="84" s="1"/>
  <c r="E196" i="133"/>
  <c r="E45" i="152"/>
  <c r="E53" i="152"/>
  <c r="G53" i="152" s="1"/>
  <c r="E83" i="152"/>
  <c r="G83" i="152" s="1"/>
  <c r="E105" i="152"/>
  <c r="G105" i="152" s="1"/>
  <c r="E129" i="152"/>
  <c r="E143" i="152"/>
  <c r="E157" i="152"/>
  <c r="E57" i="120"/>
  <c r="E172" i="120"/>
  <c r="G135" i="37"/>
  <c r="E189" i="24"/>
  <c r="E200" i="24"/>
  <c r="E14" i="141"/>
  <c r="E34" i="141"/>
  <c r="E50" i="141"/>
  <c r="E69" i="141"/>
  <c r="G69" i="141" s="1"/>
  <c r="E88" i="141"/>
  <c r="E110" i="141"/>
  <c r="E135" i="141"/>
  <c r="E181" i="141"/>
  <c r="E193" i="141"/>
  <c r="E204" i="141"/>
  <c r="E26" i="32"/>
  <c r="E58" i="32"/>
  <c r="E77" i="32"/>
  <c r="E92" i="32"/>
  <c r="G92" i="32" s="1"/>
  <c r="E149" i="32"/>
  <c r="E185" i="32"/>
  <c r="E200" i="32"/>
  <c r="G200" i="32" s="1"/>
  <c r="E223" i="32"/>
  <c r="E73" i="64"/>
  <c r="E88" i="64"/>
  <c r="E110" i="64"/>
  <c r="E150" i="28"/>
  <c r="E170" i="28"/>
  <c r="G170" i="28" s="1"/>
  <c r="E182" i="28"/>
  <c r="E59" i="65"/>
  <c r="E78" i="65"/>
  <c r="E100" i="65"/>
  <c r="G100" i="65" s="1"/>
  <c r="E118" i="65"/>
  <c r="E146" i="65"/>
  <c r="G146" i="65" s="1"/>
  <c r="E159" i="65"/>
  <c r="E186" i="65"/>
  <c r="E42" i="119"/>
  <c r="G42" i="119" s="1"/>
  <c r="E99" i="119"/>
  <c r="G99" i="119" s="1"/>
  <c r="E110" i="119"/>
  <c r="E135" i="119"/>
  <c r="G135" i="119" s="1"/>
  <c r="E149" i="119"/>
  <c r="E189" i="119"/>
  <c r="E69" i="25"/>
  <c r="G69" i="25" s="1"/>
  <c r="E88" i="25"/>
  <c r="E130" i="25"/>
  <c r="E145" i="25"/>
  <c r="E165" i="25"/>
  <c r="E185" i="25"/>
  <c r="E204" i="25"/>
  <c r="G204" i="25" s="1"/>
  <c r="E46" i="155"/>
  <c r="E88" i="155"/>
  <c r="G88" i="155" s="1"/>
  <c r="E153" i="175"/>
  <c r="E108" i="118"/>
  <c r="E193" i="175"/>
  <c r="G193" i="175" s="1"/>
  <c r="G133" i="113"/>
  <c r="E185" i="104"/>
  <c r="G185" i="104" s="1"/>
  <c r="E148" i="133"/>
  <c r="E135" i="155"/>
  <c r="E169" i="155"/>
  <c r="G169" i="155" s="1"/>
  <c r="E82" i="42"/>
  <c r="E101" i="42"/>
  <c r="G101" i="42" s="1"/>
  <c r="E115" i="42"/>
  <c r="E137" i="42"/>
  <c r="E227" i="42"/>
  <c r="E16" i="157"/>
  <c r="G16" i="157" s="1"/>
  <c r="E40" i="157"/>
  <c r="E78" i="55"/>
  <c r="E131" i="55"/>
  <c r="E166" i="55"/>
  <c r="E178" i="55"/>
  <c r="E147" i="14"/>
  <c r="E156" i="14"/>
  <c r="G64" i="85"/>
  <c r="E85" i="165"/>
  <c r="G167" i="102"/>
  <c r="G38" i="167"/>
  <c r="E164" i="103"/>
  <c r="E171" i="15"/>
  <c r="E11" i="150"/>
  <c r="E11" i="68"/>
  <c r="E224" i="68"/>
  <c r="E141" i="66"/>
  <c r="E155" i="66"/>
  <c r="E146" i="63"/>
  <c r="E68" i="174"/>
  <c r="E87" i="174"/>
  <c r="E172" i="174"/>
  <c r="E13" i="53"/>
  <c r="E45" i="53"/>
  <c r="G45" i="53" s="1"/>
  <c r="E57" i="53"/>
  <c r="G57" i="53" s="1"/>
  <c r="E105" i="53"/>
  <c r="E53" i="83"/>
  <c r="E176" i="83"/>
  <c r="E45" i="47"/>
  <c r="E83" i="47"/>
  <c r="E109" i="47"/>
  <c r="G109" i="47" s="1"/>
  <c r="E148" i="47"/>
  <c r="G148" i="47" s="1"/>
  <c r="E172" i="47"/>
  <c r="G172" i="47" s="1"/>
  <c r="E221" i="43"/>
  <c r="E39" i="71"/>
  <c r="G39" i="71" s="1"/>
  <c r="E59" i="71"/>
  <c r="E70" i="71"/>
  <c r="E71" i="39"/>
  <c r="E82" i="39"/>
  <c r="E101" i="39"/>
  <c r="E127" i="39"/>
  <c r="E151" i="39"/>
  <c r="E231" i="152"/>
  <c r="E76" i="174"/>
  <c r="E188" i="174"/>
  <c r="E155" i="63"/>
  <c r="E98" i="174"/>
  <c r="E150" i="63"/>
  <c r="E100" i="66"/>
  <c r="E188" i="49"/>
  <c r="E48" i="157"/>
  <c r="E191" i="42"/>
  <c r="E205" i="55"/>
  <c r="E127" i="14"/>
  <c r="G127" i="14" s="1"/>
  <c r="E51" i="68"/>
  <c r="E133" i="47"/>
  <c r="E140" i="155"/>
  <c r="E158" i="155"/>
  <c r="E173" i="155"/>
  <c r="G173" i="155" s="1"/>
  <c r="E193" i="155"/>
  <c r="E34" i="156"/>
  <c r="E75" i="42"/>
  <c r="E97" i="42"/>
  <c r="E202" i="42"/>
  <c r="E12" i="157"/>
  <c r="E36" i="157"/>
  <c r="E96" i="55"/>
  <c r="E141" i="55"/>
  <c r="E159" i="55"/>
  <c r="G159" i="55" s="1"/>
  <c r="E170" i="55"/>
  <c r="E52" i="14"/>
  <c r="E17" i="103"/>
  <c r="E168" i="103"/>
  <c r="E132" i="15"/>
  <c r="E183" i="15"/>
  <c r="E191" i="15"/>
  <c r="E227" i="15"/>
  <c r="E15" i="68"/>
  <c r="E35" i="68"/>
  <c r="E47" i="68"/>
  <c r="E205" i="68"/>
  <c r="G205" i="68" s="1"/>
  <c r="E47" i="66"/>
  <c r="E59" i="66"/>
  <c r="E96" i="63"/>
  <c r="E118" i="63"/>
  <c r="E124" i="174"/>
  <c r="E168" i="174"/>
  <c r="E176" i="174"/>
  <c r="G176" i="174" s="1"/>
  <c r="E221" i="174"/>
  <c r="E29" i="53"/>
  <c r="E72" i="53"/>
  <c r="E164" i="53"/>
  <c r="E124" i="49"/>
  <c r="E180" i="83"/>
  <c r="E192" i="83"/>
  <c r="E220" i="83"/>
  <c r="E87" i="47"/>
  <c r="E143" i="47"/>
  <c r="E164" i="47"/>
  <c r="E180" i="47"/>
  <c r="G180" i="47" s="1"/>
  <c r="E231" i="46"/>
  <c r="G231" i="46" s="1"/>
  <c r="E225" i="106"/>
  <c r="E223" i="104"/>
  <c r="E225" i="84"/>
  <c r="E11" i="71"/>
  <c r="E156" i="39"/>
  <c r="E183" i="39"/>
  <c r="E226" i="39"/>
  <c r="E195" i="42"/>
  <c r="E31" i="68"/>
  <c r="G31" i="68" s="1"/>
  <c r="E89" i="63"/>
  <c r="E78" i="66"/>
  <c r="E176" i="49"/>
  <c r="G176" i="49" s="1"/>
  <c r="E202" i="15"/>
  <c r="G35" i="37"/>
  <c r="G97" i="102"/>
  <c r="E187" i="42"/>
  <c r="E160" i="15"/>
  <c r="E201" i="55"/>
  <c r="E90" i="14"/>
  <c r="E49" i="83"/>
  <c r="E33" i="53"/>
  <c r="G221" i="142"/>
  <c r="E19" i="150"/>
  <c r="E130" i="155"/>
  <c r="E153" i="155"/>
  <c r="G153" i="155" s="1"/>
  <c r="E50" i="156"/>
  <c r="E71" i="42"/>
  <c r="E90" i="42"/>
  <c r="E28" i="157"/>
  <c r="G28" i="157" s="1"/>
  <c r="E44" i="157"/>
  <c r="E159" i="165"/>
  <c r="E85" i="55"/>
  <c r="E136" i="55"/>
  <c r="G136" i="55" s="1"/>
  <c r="E146" i="55"/>
  <c r="E182" i="55"/>
  <c r="E194" i="55"/>
  <c r="E224" i="55"/>
  <c r="G224" i="55" s="1"/>
  <c r="E71" i="14"/>
  <c r="G71" i="14" s="1"/>
  <c r="E101" i="14"/>
  <c r="E151" i="14"/>
  <c r="E179" i="14"/>
  <c r="E226" i="14"/>
  <c r="G185" i="85"/>
  <c r="G54" i="72"/>
  <c r="G47" i="102"/>
  <c r="E188" i="103"/>
  <c r="E203" i="103"/>
  <c r="E164" i="118"/>
  <c r="G164" i="118" s="1"/>
  <c r="E115" i="15"/>
  <c r="E127" i="15"/>
  <c r="E156" i="15"/>
  <c r="E167" i="15"/>
  <c r="G167" i="15" s="1"/>
  <c r="E179" i="15"/>
  <c r="E187" i="15"/>
  <c r="E15" i="150"/>
  <c r="G15" i="150" s="1"/>
  <c r="E39" i="68"/>
  <c r="E107" i="68"/>
  <c r="E201" i="68"/>
  <c r="E43" i="66"/>
  <c r="E136" i="66"/>
  <c r="E150" i="66"/>
  <c r="E174" i="66"/>
  <c r="E190" i="66"/>
  <c r="E47" i="63"/>
  <c r="E126" i="63"/>
  <c r="G126" i="63" s="1"/>
  <c r="E141" i="63"/>
  <c r="E127" i="58"/>
  <c r="E157" i="174"/>
  <c r="E53" i="53"/>
  <c r="E68" i="53"/>
  <c r="E98" i="53"/>
  <c r="E143" i="53"/>
  <c r="E25" i="83"/>
  <c r="G25" i="83" s="1"/>
  <c r="E164" i="83"/>
  <c r="G164" i="83" s="1"/>
  <c r="E188" i="83"/>
  <c r="G188" i="83" s="1"/>
  <c r="E196" i="83"/>
  <c r="E13" i="47"/>
  <c r="E91" i="47"/>
  <c r="E105" i="47"/>
  <c r="E138" i="47"/>
  <c r="E157" i="47"/>
  <c r="E176" i="47"/>
  <c r="G176" i="47" s="1"/>
  <c r="E51" i="71"/>
  <c r="E66" i="71"/>
  <c r="E85" i="71"/>
  <c r="E147" i="39"/>
  <c r="E167" i="39"/>
  <c r="E179" i="39"/>
  <c r="E195" i="39"/>
  <c r="E85" i="63"/>
  <c r="E133" i="174"/>
  <c r="G133" i="174" s="1"/>
  <c r="E118" i="66"/>
  <c r="E132" i="14"/>
  <c r="G200" i="19"/>
  <c r="E223" i="175"/>
  <c r="E109" i="174"/>
  <c r="E78" i="63"/>
  <c r="E70" i="66"/>
  <c r="E184" i="174"/>
  <c r="G184" i="174" s="1"/>
  <c r="G227" i="113"/>
  <c r="G101" i="167"/>
  <c r="G28" i="167"/>
  <c r="G189" i="149"/>
  <c r="E123" i="42"/>
  <c r="E137" i="15"/>
  <c r="E174" i="55"/>
  <c r="G174" i="55" s="1"/>
  <c r="E70" i="68"/>
  <c r="G185" i="37"/>
  <c r="E231" i="133"/>
  <c r="G231" i="133" s="1"/>
  <c r="K14" i="133" s="1"/>
  <c r="E125" i="155"/>
  <c r="E145" i="155"/>
  <c r="E165" i="155"/>
  <c r="E177" i="156"/>
  <c r="E108" i="42"/>
  <c r="E142" i="42"/>
  <c r="E171" i="42"/>
  <c r="G219" i="42"/>
  <c r="E20" i="157"/>
  <c r="E32" i="157"/>
  <c r="G32" i="157" s="1"/>
  <c r="E11" i="55"/>
  <c r="E97" i="14"/>
  <c r="E183" i="14"/>
  <c r="G146" i="167"/>
  <c r="E83" i="118"/>
  <c r="G83" i="118" s="1"/>
  <c r="E147" i="15"/>
  <c r="E175" i="15"/>
  <c r="E43" i="68"/>
  <c r="G43" i="68" s="1"/>
  <c r="E66" i="66"/>
  <c r="E131" i="66"/>
  <c r="E146" i="66"/>
  <c r="E194" i="66"/>
  <c r="E43" i="63"/>
  <c r="E114" i="63"/>
  <c r="E136" i="63"/>
  <c r="E52" i="58"/>
  <c r="E180" i="174"/>
  <c r="E17" i="53"/>
  <c r="G17" i="53" s="1"/>
  <c r="E37" i="53"/>
  <c r="E76" i="53"/>
  <c r="E91" i="53"/>
  <c r="E116" i="53"/>
  <c r="G116" i="53" s="1"/>
  <c r="E172" i="53"/>
  <c r="E220" i="53"/>
  <c r="E148" i="49"/>
  <c r="G148" i="49" s="1"/>
  <c r="E105" i="83"/>
  <c r="G105" i="83" s="1"/>
  <c r="E168" i="83"/>
  <c r="E184" i="83"/>
  <c r="E203" i="83"/>
  <c r="E17" i="47"/>
  <c r="G17" i="47" s="1"/>
  <c r="E53" i="47"/>
  <c r="E76" i="47"/>
  <c r="E98" i="47"/>
  <c r="E168" i="47"/>
  <c r="E184" i="47"/>
  <c r="G184" i="47" s="1"/>
  <c r="E123" i="39"/>
  <c r="E142" i="39"/>
  <c r="E160" i="39"/>
  <c r="G160" i="39" s="1"/>
  <c r="E175" i="39"/>
  <c r="E191" i="39"/>
  <c r="G191" i="39" s="1"/>
  <c r="E91" i="174"/>
  <c r="G202" i="149"/>
  <c r="E143" i="83"/>
  <c r="G143" i="83" s="1"/>
  <c r="E195" i="15"/>
  <c r="E74" i="63"/>
  <c r="E186" i="66"/>
  <c r="E39" i="66"/>
  <c r="E182" i="66"/>
  <c r="G40" i="167"/>
  <c r="G182" i="167"/>
  <c r="E126" i="55"/>
  <c r="E66" i="68"/>
  <c r="G66" i="68" s="1"/>
  <c r="E86" i="39"/>
  <c r="G40" i="102"/>
  <c r="G219" i="102"/>
  <c r="E65" i="120"/>
  <c r="G65" i="120" s="1"/>
  <c r="E226" i="24"/>
  <c r="G226" i="24" s="1"/>
  <c r="E52" i="28"/>
  <c r="E90" i="28"/>
  <c r="E151" i="28"/>
  <c r="E219" i="28"/>
  <c r="E227" i="28"/>
  <c r="G227" i="28" s="1"/>
  <c r="E115" i="65"/>
  <c r="E175" i="65"/>
  <c r="E131" i="119"/>
  <c r="E174" i="119"/>
  <c r="E51" i="25"/>
  <c r="E118" i="25"/>
  <c r="E225" i="25"/>
  <c r="E15" i="156"/>
  <c r="E225" i="156"/>
  <c r="E221" i="87"/>
  <c r="E231" i="86"/>
  <c r="E235" i="86" s="1"/>
  <c r="G67" i="85"/>
  <c r="E18" i="83"/>
  <c r="E226" i="104"/>
  <c r="G226" i="104" s="1"/>
  <c r="E219" i="16"/>
  <c r="E224" i="53"/>
  <c r="G224" i="53" s="1"/>
  <c r="E18" i="119"/>
  <c r="E30" i="119"/>
  <c r="E34" i="119"/>
  <c r="E34" i="25"/>
  <c r="E54" i="25"/>
  <c r="G54" i="25" s="1"/>
  <c r="E110" i="25"/>
  <c r="E153" i="25"/>
  <c r="E14" i="155"/>
  <c r="E34" i="155"/>
  <c r="E45" i="174"/>
  <c r="E53" i="174"/>
  <c r="E86" i="46"/>
  <c r="E18" i="176"/>
  <c r="G18" i="176" s="1"/>
  <c r="E26" i="176"/>
  <c r="E88" i="176"/>
  <c r="G88" i="176" s="1"/>
  <c r="E92" i="176"/>
  <c r="G92" i="176" s="1"/>
  <c r="E135" i="176"/>
  <c r="E153" i="176"/>
  <c r="E165" i="176"/>
  <c r="G165" i="176" s="1"/>
  <c r="E177" i="176"/>
  <c r="E159" i="60"/>
  <c r="E66" i="54"/>
  <c r="E100" i="54"/>
  <c r="G100" i="54" s="1"/>
  <c r="E182" i="54"/>
  <c r="E70" i="94"/>
  <c r="E205" i="94"/>
  <c r="E190" i="164"/>
  <c r="E108" i="66"/>
  <c r="E18" i="174"/>
  <c r="G18" i="174" s="1"/>
  <c r="E31" i="43"/>
  <c r="E43" i="43"/>
  <c r="E66" i="43"/>
  <c r="G66" i="43" s="1"/>
  <c r="E70" i="43"/>
  <c r="G70" i="43" s="1"/>
  <c r="E78" i="43"/>
  <c r="E96" i="43"/>
  <c r="E100" i="43"/>
  <c r="E107" i="43"/>
  <c r="E131" i="43"/>
  <c r="E136" i="43"/>
  <c r="E141" i="43"/>
  <c r="E44" i="175"/>
  <c r="E115" i="175"/>
  <c r="G69" i="79"/>
  <c r="G52" i="79"/>
  <c r="G170" i="79"/>
  <c r="G42" i="79"/>
  <c r="G195" i="79"/>
  <c r="G66" i="79"/>
  <c r="G35" i="79"/>
  <c r="G205" i="79"/>
  <c r="G56" i="72"/>
  <c r="G77" i="72"/>
  <c r="G27" i="72"/>
  <c r="G99" i="72"/>
  <c r="G58" i="72"/>
  <c r="G138" i="72"/>
  <c r="G174" i="72"/>
  <c r="G183" i="20"/>
  <c r="G18" i="149"/>
  <c r="G32" i="85"/>
  <c r="E13" i="103"/>
  <c r="E25" i="103"/>
  <c r="E29" i="103"/>
  <c r="E37" i="103"/>
  <c r="E41" i="103"/>
  <c r="E45" i="103"/>
  <c r="E49" i="103"/>
  <c r="E53" i="103"/>
  <c r="E57" i="103"/>
  <c r="E116" i="103"/>
  <c r="E143" i="103"/>
  <c r="E148" i="103"/>
  <c r="E152" i="103"/>
  <c r="E157" i="103"/>
  <c r="E172" i="103"/>
  <c r="E176" i="103"/>
  <c r="E180" i="103"/>
  <c r="E184" i="103"/>
  <c r="E192" i="103"/>
  <c r="E196" i="103"/>
  <c r="E221" i="103"/>
  <c r="E231" i="103"/>
  <c r="E13" i="118"/>
  <c r="E17" i="118"/>
  <c r="G17" i="118" s="1"/>
  <c r="E25" i="118"/>
  <c r="E29" i="118"/>
  <c r="G29" i="118" s="1"/>
  <c r="E41" i="118"/>
  <c r="G41" i="118" s="1"/>
  <c r="E45" i="118"/>
  <c r="G45" i="118" s="1"/>
  <c r="E49" i="118"/>
  <c r="E53" i="118"/>
  <c r="E57" i="118"/>
  <c r="E64" i="118"/>
  <c r="E68" i="118"/>
  <c r="E72" i="118"/>
  <c r="E76" i="118"/>
  <c r="E87" i="118"/>
  <c r="E91" i="118"/>
  <c r="E98" i="118"/>
  <c r="E133" i="118"/>
  <c r="E143" i="118"/>
  <c r="E148" i="118"/>
  <c r="G148" i="118" s="1"/>
  <c r="E152" i="118"/>
  <c r="E157" i="118"/>
  <c r="E172" i="118"/>
  <c r="G172" i="118" s="1"/>
  <c r="E176" i="118"/>
  <c r="E180" i="118"/>
  <c r="E184" i="118"/>
  <c r="E188" i="118"/>
  <c r="E203" i="118"/>
  <c r="G203" i="118" s="1"/>
  <c r="E13" i="60"/>
  <c r="E17" i="60"/>
  <c r="G17" i="60" s="1"/>
  <c r="E41" i="60"/>
  <c r="E51" i="60"/>
  <c r="G51" i="60" s="1"/>
  <c r="E53" i="60"/>
  <c r="E68" i="60"/>
  <c r="E72" i="60"/>
  <c r="E87" i="60"/>
  <c r="E91" i="60"/>
  <c r="E98" i="60"/>
  <c r="E148" i="60"/>
  <c r="E152" i="60"/>
  <c r="G152" i="60" s="1"/>
  <c r="E157" i="60"/>
  <c r="E196" i="60"/>
  <c r="E220" i="60"/>
  <c r="E29" i="54"/>
  <c r="E33" i="54"/>
  <c r="E37" i="54"/>
  <c r="E45" i="54"/>
  <c r="E49" i="54"/>
  <c r="E57" i="54"/>
  <c r="G57" i="54" s="1"/>
  <c r="E64" i="54"/>
  <c r="E68" i="54"/>
  <c r="E72" i="54"/>
  <c r="E76" i="54"/>
  <c r="E124" i="54"/>
  <c r="G124" i="54" s="1"/>
  <c r="E129" i="54"/>
  <c r="E133" i="54"/>
  <c r="E138" i="54"/>
  <c r="E157" i="54"/>
  <c r="E184" i="54"/>
  <c r="E196" i="54"/>
  <c r="E203" i="54"/>
  <c r="E13" i="94"/>
  <c r="E17" i="94"/>
  <c r="E25" i="94"/>
  <c r="E33" i="94"/>
  <c r="E37" i="94"/>
  <c r="E41" i="94"/>
  <c r="E49" i="94"/>
  <c r="E53" i="94"/>
  <c r="E64" i="94"/>
  <c r="G64" i="94" s="1"/>
  <c r="E68" i="94"/>
  <c r="E72" i="94"/>
  <c r="G72" i="94" s="1"/>
  <c r="E76" i="94"/>
  <c r="E87" i="94"/>
  <c r="E91" i="94"/>
  <c r="E98" i="94"/>
  <c r="G98" i="94" s="1"/>
  <c r="E105" i="94"/>
  <c r="G105" i="94" s="1"/>
  <c r="E109" i="94"/>
  <c r="E124" i="94"/>
  <c r="E129" i="94"/>
  <c r="E131" i="94"/>
  <c r="E133" i="94"/>
  <c r="E138" i="94"/>
  <c r="E174" i="94"/>
  <c r="E164" i="145"/>
  <c r="E25" i="164"/>
  <c r="E29" i="164"/>
  <c r="G29" i="164" s="1"/>
  <c r="E33" i="164"/>
  <c r="E37" i="164"/>
  <c r="E41" i="164"/>
  <c r="E45" i="164"/>
  <c r="E49" i="164"/>
  <c r="E53" i="164"/>
  <c r="E57" i="164"/>
  <c r="E64" i="164"/>
  <c r="E68" i="164"/>
  <c r="E87" i="164"/>
  <c r="E91" i="164"/>
  <c r="E98" i="164"/>
  <c r="E105" i="164"/>
  <c r="G105" i="164" s="1"/>
  <c r="E109" i="164"/>
  <c r="E116" i="164"/>
  <c r="E124" i="164"/>
  <c r="E129" i="164"/>
  <c r="E133" i="164"/>
  <c r="E138" i="164"/>
  <c r="E143" i="164"/>
  <c r="G143" i="164" s="1"/>
  <c r="E148" i="164"/>
  <c r="E157" i="164"/>
  <c r="E164" i="164"/>
  <c r="E168" i="164"/>
  <c r="E172" i="164"/>
  <c r="E182" i="164"/>
  <c r="E184" i="164"/>
  <c r="E188" i="164"/>
  <c r="E192" i="164"/>
  <c r="E196" i="164"/>
  <c r="E57" i="19"/>
  <c r="E68" i="19"/>
  <c r="E124" i="19"/>
  <c r="G124" i="19" s="1"/>
  <c r="E129" i="19"/>
  <c r="G129" i="19" s="1"/>
  <c r="E188" i="19"/>
  <c r="G188" i="19" s="1"/>
  <c r="E16" i="15"/>
  <c r="G16" i="15" s="1"/>
  <c r="E36" i="15"/>
  <c r="G36" i="15" s="1"/>
  <c r="E48" i="15"/>
  <c r="G48" i="15" s="1"/>
  <c r="E75" i="15"/>
  <c r="E86" i="15"/>
  <c r="E90" i="15"/>
  <c r="E136" i="15"/>
  <c r="G136" i="15" s="1"/>
  <c r="E182" i="15"/>
  <c r="G182" i="15" s="1"/>
  <c r="E190" i="15"/>
  <c r="E201" i="15"/>
  <c r="E73" i="68"/>
  <c r="E99" i="68"/>
  <c r="G99" i="68" s="1"/>
  <c r="E130" i="68"/>
  <c r="E145" i="68"/>
  <c r="E153" i="68"/>
  <c r="E165" i="68"/>
  <c r="E181" i="68"/>
  <c r="G181" i="68" s="1"/>
  <c r="E189" i="68"/>
  <c r="G189" i="68" s="1"/>
  <c r="E73" i="66"/>
  <c r="E88" i="66"/>
  <c r="G88" i="66" s="1"/>
  <c r="E106" i="66"/>
  <c r="E125" i="66"/>
  <c r="E173" i="66"/>
  <c r="E204" i="66"/>
  <c r="E222" i="66"/>
  <c r="E69" i="63"/>
  <c r="E88" i="63"/>
  <c r="G88" i="63" s="1"/>
  <c r="E125" i="63"/>
  <c r="E135" i="63"/>
  <c r="E149" i="63"/>
  <c r="E158" i="63"/>
  <c r="E165" i="63"/>
  <c r="E173" i="63"/>
  <c r="E177" i="63"/>
  <c r="E181" i="63"/>
  <c r="E185" i="63"/>
  <c r="E200" i="63"/>
  <c r="E204" i="63"/>
  <c r="E232" i="63"/>
  <c r="E168" i="58"/>
  <c r="E176" i="58"/>
  <c r="E184" i="58"/>
  <c r="E192" i="58"/>
  <c r="G192" i="58" s="1"/>
  <c r="E203" i="58"/>
  <c r="G203" i="58" s="1"/>
  <c r="E220" i="58"/>
  <c r="E224" i="58"/>
  <c r="E12" i="174"/>
  <c r="E14" i="174"/>
  <c r="E20" i="174"/>
  <c r="E26" i="174"/>
  <c r="E28" i="174"/>
  <c r="E30" i="174"/>
  <c r="E32" i="174"/>
  <c r="E38" i="174"/>
  <c r="E46" i="174"/>
  <c r="E50" i="174"/>
  <c r="E54" i="174"/>
  <c r="E56" i="174"/>
  <c r="E58" i="174"/>
  <c r="E60" i="174"/>
  <c r="G136" i="79"/>
  <c r="G117" i="85"/>
  <c r="G232" i="43"/>
  <c r="G47" i="79"/>
  <c r="G232" i="27"/>
  <c r="E222" i="38"/>
  <c r="G222" i="38" s="1"/>
  <c r="E221" i="83"/>
  <c r="E30" i="156"/>
  <c r="E225" i="98"/>
  <c r="E31" i="83"/>
  <c r="G31" i="83" s="1"/>
  <c r="E18" i="25"/>
  <c r="E30" i="25"/>
  <c r="E38" i="155"/>
  <c r="G38" i="155" s="1"/>
  <c r="E17" i="83"/>
  <c r="G17" i="83" s="1"/>
  <c r="E33" i="83"/>
  <c r="E123" i="174"/>
  <c r="G123" i="174" s="1"/>
  <c r="E171" i="174"/>
  <c r="E46" i="145"/>
  <c r="G46" i="145" s="1"/>
  <c r="E44" i="65"/>
  <c r="E75" i="65"/>
  <c r="E90" i="65"/>
  <c r="E59" i="119"/>
  <c r="E31" i="25"/>
  <c r="E170" i="25"/>
  <c r="E31" i="155"/>
  <c r="E127" i="42"/>
  <c r="E151" i="42"/>
  <c r="E183" i="42"/>
  <c r="E203" i="145"/>
  <c r="E133" i="145"/>
  <c r="E177" i="145"/>
  <c r="G177" i="145" s="1"/>
  <c r="E138" i="145"/>
  <c r="G138" i="145" s="1"/>
  <c r="E76" i="145"/>
  <c r="E176" i="145"/>
  <c r="G233" i="177"/>
  <c r="G165" i="177"/>
  <c r="E40" i="175"/>
  <c r="E97" i="175"/>
  <c r="E123" i="175"/>
  <c r="E179" i="175"/>
  <c r="E202" i="175"/>
  <c r="E36" i="175"/>
  <c r="E86" i="175"/>
  <c r="E187" i="175"/>
  <c r="E160" i="175"/>
  <c r="G160" i="175" s="1"/>
  <c r="E186" i="175"/>
  <c r="E191" i="175"/>
  <c r="G191" i="175" s="1"/>
  <c r="E48" i="175"/>
  <c r="E51" i="175"/>
  <c r="E90" i="175"/>
  <c r="G90" i="175" s="1"/>
  <c r="E108" i="175"/>
  <c r="G108" i="175" s="1"/>
  <c r="E47" i="175"/>
  <c r="E183" i="175"/>
  <c r="E127" i="175"/>
  <c r="E52" i="175"/>
  <c r="E101" i="175"/>
  <c r="E167" i="175"/>
  <c r="E35" i="175"/>
  <c r="E82" i="175"/>
  <c r="E19" i="175"/>
  <c r="E16" i="175"/>
  <c r="E32" i="175"/>
  <c r="G32" i="175" s="1"/>
  <c r="E60" i="175"/>
  <c r="G60" i="175" s="1"/>
  <c r="E75" i="175"/>
  <c r="E67" i="175"/>
  <c r="G181" i="149"/>
  <c r="G200" i="149"/>
  <c r="G135" i="149"/>
  <c r="E220" i="24"/>
  <c r="E220" i="141"/>
  <c r="E109" i="64"/>
  <c r="E220" i="64"/>
  <c r="G47" i="72"/>
  <c r="G170" i="72"/>
  <c r="E13" i="28"/>
  <c r="E25" i="28"/>
  <c r="E29" i="28"/>
  <c r="E41" i="28"/>
  <c r="E45" i="28"/>
  <c r="E53" i="28"/>
  <c r="E57" i="28"/>
  <c r="E68" i="28"/>
  <c r="E72" i="28"/>
  <c r="E76" i="28"/>
  <c r="E83" i="28"/>
  <c r="E98" i="28"/>
  <c r="E105" i="28"/>
  <c r="E116" i="28"/>
  <c r="E124" i="28"/>
  <c r="E133" i="28"/>
  <c r="G133" i="28" s="1"/>
  <c r="E138" i="28"/>
  <c r="E143" i="28"/>
  <c r="G143" i="28" s="1"/>
  <c r="E152" i="28"/>
  <c r="E157" i="28"/>
  <c r="E164" i="28"/>
  <c r="E168" i="28"/>
  <c r="E172" i="28"/>
  <c r="E176" i="28"/>
  <c r="E180" i="28"/>
  <c r="E192" i="28"/>
  <c r="E196" i="28"/>
  <c r="E203" i="28"/>
  <c r="E221" i="28"/>
  <c r="G221" i="28" s="1"/>
  <c r="E231" i="28"/>
  <c r="E17" i="65"/>
  <c r="G17" i="65" s="1"/>
  <c r="E33" i="65"/>
  <c r="E37" i="65"/>
  <c r="G37" i="65" s="1"/>
  <c r="E41" i="65"/>
  <c r="E49" i="65"/>
  <c r="E53" i="65"/>
  <c r="E57" i="65"/>
  <c r="E68" i="65"/>
  <c r="E76" i="65"/>
  <c r="E83" i="65"/>
  <c r="E87" i="65"/>
  <c r="E98" i="65"/>
  <c r="E109" i="65"/>
  <c r="E116" i="65"/>
  <c r="E129" i="65"/>
  <c r="E133" i="65"/>
  <c r="E143" i="65"/>
  <c r="E148" i="65"/>
  <c r="E157" i="65"/>
  <c r="E168" i="65"/>
  <c r="G168" i="65" s="1"/>
  <c r="E172" i="65"/>
  <c r="G172" i="65" s="1"/>
  <c r="E176" i="65"/>
  <c r="E180" i="65"/>
  <c r="E184" i="65"/>
  <c r="E188" i="65"/>
  <c r="E192" i="65"/>
  <c r="E196" i="65"/>
  <c r="E203" i="65"/>
  <c r="E219" i="25"/>
  <c r="E36" i="155"/>
  <c r="E40" i="155"/>
  <c r="E44" i="155"/>
  <c r="E48" i="155"/>
  <c r="E52" i="155"/>
  <c r="E60" i="155"/>
  <c r="E67" i="155"/>
  <c r="G67" i="155" s="1"/>
  <c r="E71" i="155"/>
  <c r="E75" i="155"/>
  <c r="G75" i="155" s="1"/>
  <c r="E82" i="155"/>
  <c r="G82" i="155" s="1"/>
  <c r="E86" i="155"/>
  <c r="E90" i="155"/>
  <c r="E97" i="155"/>
  <c r="G97" i="155" s="1"/>
  <c r="E101" i="155"/>
  <c r="E123" i="155"/>
  <c r="G123" i="155" s="1"/>
  <c r="E147" i="155"/>
  <c r="G147" i="155" s="1"/>
  <c r="E226" i="155"/>
  <c r="E82" i="156"/>
  <c r="E167" i="156"/>
  <c r="E187" i="156"/>
  <c r="E226" i="156"/>
  <c r="E220" i="42"/>
  <c r="E71" i="157"/>
  <c r="E75" i="157"/>
  <c r="E167" i="157"/>
  <c r="E219" i="157"/>
  <c r="G219" i="157" s="1"/>
  <c r="E227" i="157"/>
  <c r="E14" i="158"/>
  <c r="E18" i="158"/>
  <c r="E26" i="158"/>
  <c r="E34" i="158"/>
  <c r="G34" i="158" s="1"/>
  <c r="E42" i="158"/>
  <c r="G42" i="158" s="1"/>
  <c r="E50" i="158"/>
  <c r="E54" i="158"/>
  <c r="E58" i="158"/>
  <c r="E77" i="158"/>
  <c r="E84" i="158"/>
  <c r="G84" i="158" s="1"/>
  <c r="E88" i="158"/>
  <c r="G88" i="158" s="1"/>
  <c r="E92" i="158"/>
  <c r="E106" i="158"/>
  <c r="G106" i="158" s="1"/>
  <c r="E110" i="158"/>
  <c r="E117" i="158"/>
  <c r="E125" i="158"/>
  <c r="E130" i="158"/>
  <c r="G130" i="158" s="1"/>
  <c r="E135" i="158"/>
  <c r="G135" i="158" s="1"/>
  <c r="E140" i="158"/>
  <c r="G140" i="158" s="1"/>
  <c r="E145" i="158"/>
  <c r="E149" i="158"/>
  <c r="E153" i="158"/>
  <c r="E165" i="158"/>
  <c r="E189" i="158"/>
  <c r="E200" i="158"/>
  <c r="E204" i="158"/>
  <c r="E223" i="158"/>
  <c r="E14" i="16"/>
  <c r="E18" i="16"/>
  <c r="E26" i="16"/>
  <c r="E30" i="16"/>
  <c r="E34" i="16"/>
  <c r="E38" i="16"/>
  <c r="E42" i="16"/>
  <c r="E46" i="16"/>
  <c r="E50" i="16"/>
  <c r="E54" i="16"/>
  <c r="E58" i="16"/>
  <c r="E65" i="16"/>
  <c r="G65" i="16" s="1"/>
  <c r="E69" i="16"/>
  <c r="G69" i="16" s="1"/>
  <c r="E73" i="16"/>
  <c r="E77" i="16"/>
  <c r="E84" i="16"/>
  <c r="G84" i="16" s="1"/>
  <c r="E92" i="16"/>
  <c r="G92" i="16" s="1"/>
  <c r="E99" i="16"/>
  <c r="E106" i="16"/>
  <c r="E110" i="16"/>
  <c r="E117" i="16"/>
  <c r="E130" i="16"/>
  <c r="G130" i="16" s="1"/>
  <c r="E135" i="16"/>
  <c r="E140" i="16"/>
  <c r="G140" i="16" s="1"/>
  <c r="E145" i="16"/>
  <c r="E149" i="16"/>
  <c r="E153" i="16"/>
  <c r="G153" i="16" s="1"/>
  <c r="E158" i="16"/>
  <c r="E165" i="16"/>
  <c r="G165" i="16" s="1"/>
  <c r="E169" i="16"/>
  <c r="E173" i="16"/>
  <c r="E177" i="16"/>
  <c r="E181" i="16"/>
  <c r="E185" i="16"/>
  <c r="E189" i="16"/>
  <c r="E204" i="16"/>
  <c r="E16" i="165"/>
  <c r="G16" i="165" s="1"/>
  <c r="E28" i="165"/>
  <c r="E36" i="165"/>
  <c r="G36" i="165" s="1"/>
  <c r="E44" i="165"/>
  <c r="E52" i="165"/>
  <c r="E60" i="165"/>
  <c r="E67" i="165"/>
  <c r="E71" i="165"/>
  <c r="E75" i="165"/>
  <c r="E115" i="165"/>
  <c r="G115" i="165" s="1"/>
  <c r="E127" i="165"/>
  <c r="E137" i="165"/>
  <c r="E142" i="165"/>
  <c r="E147" i="165"/>
  <c r="E151" i="165"/>
  <c r="E167" i="165"/>
  <c r="E171" i="165"/>
  <c r="E191" i="165"/>
  <c r="E195" i="165"/>
  <c r="E202" i="165"/>
  <c r="G202" i="165" s="1"/>
  <c r="E219" i="165"/>
  <c r="E12" i="55"/>
  <c r="E16" i="55"/>
  <c r="E32" i="55"/>
  <c r="G32" i="55" s="1"/>
  <c r="E40" i="55"/>
  <c r="E48" i="55"/>
  <c r="E56" i="55"/>
  <c r="E60" i="55"/>
  <c r="G60" i="55" s="1"/>
  <c r="E67" i="55"/>
  <c r="E71" i="55"/>
  <c r="E75" i="55"/>
  <c r="E86" i="55"/>
  <c r="G86" i="55" s="1"/>
  <c r="E97" i="55"/>
  <c r="E101" i="55"/>
  <c r="E108" i="55"/>
  <c r="E115" i="55"/>
  <c r="E123" i="55"/>
  <c r="E127" i="55"/>
  <c r="E132" i="55"/>
  <c r="E137" i="55"/>
  <c r="E147" i="55"/>
  <c r="G147" i="55" s="1"/>
  <c r="E151" i="55"/>
  <c r="E160" i="55"/>
  <c r="G160" i="55" s="1"/>
  <c r="E167" i="55"/>
  <c r="E191" i="55"/>
  <c r="E195" i="55"/>
  <c r="E202" i="55"/>
  <c r="E219" i="55"/>
  <c r="E227" i="55"/>
  <c r="E13" i="14"/>
  <c r="E17" i="14"/>
  <c r="E25" i="14"/>
  <c r="G25" i="14" s="1"/>
  <c r="E29" i="14"/>
  <c r="E33" i="14"/>
  <c r="E37" i="14"/>
  <c r="E41" i="14"/>
  <c r="E45" i="14"/>
  <c r="E49" i="14"/>
  <c r="E53" i="14"/>
  <c r="E57" i="14"/>
  <c r="G57" i="14" s="1"/>
  <c r="E72" i="14"/>
  <c r="E76" i="14"/>
  <c r="G76" i="14" s="1"/>
  <c r="E83" i="14"/>
  <c r="E87" i="14"/>
  <c r="G87" i="14" s="1"/>
  <c r="E98" i="14"/>
  <c r="E105" i="14"/>
  <c r="E116" i="14"/>
  <c r="E124" i="14"/>
  <c r="E129" i="14"/>
  <c r="E133" i="14"/>
  <c r="E138" i="14"/>
  <c r="E143" i="14"/>
  <c r="E148" i="14"/>
  <c r="E152" i="14"/>
  <c r="E157" i="14"/>
  <c r="E164" i="14"/>
  <c r="E168" i="14"/>
  <c r="E188" i="14"/>
  <c r="E91" i="14"/>
  <c r="G205" i="20"/>
  <c r="E96" i="103"/>
  <c r="E114" i="103"/>
  <c r="E136" i="103"/>
  <c r="E194" i="103"/>
  <c r="E19" i="118"/>
  <c r="E39" i="118"/>
  <c r="E55" i="118"/>
  <c r="E74" i="118"/>
  <c r="E96" i="118"/>
  <c r="E118" i="118"/>
  <c r="G118" i="118" s="1"/>
  <c r="E141" i="118"/>
  <c r="G141" i="118" s="1"/>
  <c r="E159" i="118"/>
  <c r="E43" i="60"/>
  <c r="E55" i="60"/>
  <c r="E100" i="60"/>
  <c r="E126" i="60"/>
  <c r="E146" i="60"/>
  <c r="E166" i="60"/>
  <c r="E186" i="60"/>
  <c r="E201" i="60"/>
  <c r="E19" i="54"/>
  <c r="E59" i="54"/>
  <c r="E78" i="54"/>
  <c r="E96" i="54"/>
  <c r="E114" i="54"/>
  <c r="E136" i="54"/>
  <c r="E155" i="54"/>
  <c r="E174" i="54"/>
  <c r="E190" i="54"/>
  <c r="E27" i="94"/>
  <c r="E43" i="94"/>
  <c r="E136" i="94"/>
  <c r="E155" i="94"/>
  <c r="E170" i="94"/>
  <c r="E186" i="94"/>
  <c r="E11" i="164"/>
  <c r="E35" i="164"/>
  <c r="E85" i="164"/>
  <c r="E107" i="164"/>
  <c r="G107" i="164" s="1"/>
  <c r="E131" i="164"/>
  <c r="E150" i="164"/>
  <c r="E170" i="164"/>
  <c r="E205" i="164"/>
  <c r="E19" i="19"/>
  <c r="E89" i="19"/>
  <c r="E30" i="15"/>
  <c r="G30" i="15" s="1"/>
  <c r="E65" i="15"/>
  <c r="E88" i="15"/>
  <c r="E116" i="15"/>
  <c r="G116" i="15" s="1"/>
  <c r="E168" i="15"/>
  <c r="E12" i="68"/>
  <c r="E32" i="68"/>
  <c r="E71" i="68"/>
  <c r="E90" i="68"/>
  <c r="E115" i="68"/>
  <c r="E167" i="68"/>
  <c r="E183" i="68"/>
  <c r="G183" i="68" s="1"/>
  <c r="E202" i="68"/>
  <c r="E28" i="66"/>
  <c r="E44" i="66"/>
  <c r="G44" i="66" s="1"/>
  <c r="E82" i="66"/>
  <c r="E97" i="66"/>
  <c r="E123" i="66"/>
  <c r="G123" i="66" s="1"/>
  <c r="E142" i="66"/>
  <c r="E156" i="66"/>
  <c r="E97" i="63"/>
  <c r="E115" i="63"/>
  <c r="G115" i="63" s="1"/>
  <c r="E179" i="63"/>
  <c r="E100" i="58"/>
  <c r="E150" i="58"/>
  <c r="E170" i="58"/>
  <c r="E186" i="58"/>
  <c r="E205" i="58"/>
  <c r="E64" i="174"/>
  <c r="E82" i="174"/>
  <c r="E175" i="174"/>
  <c r="E191" i="174"/>
  <c r="E219" i="174"/>
  <c r="G219" i="174" s="1"/>
  <c r="E12" i="53"/>
  <c r="E32" i="53"/>
  <c r="E90" i="98"/>
  <c r="E171" i="98"/>
  <c r="G171" i="98" s="1"/>
  <c r="E226" i="98"/>
  <c r="E16" i="49"/>
  <c r="G16" i="49" s="1"/>
  <c r="E183" i="49"/>
  <c r="G183" i="49" s="1"/>
  <c r="E151" i="83"/>
  <c r="E195" i="83"/>
  <c r="G195" i="83" s="1"/>
  <c r="E226" i="83"/>
  <c r="E20" i="47"/>
  <c r="E44" i="47"/>
  <c r="E142" i="47"/>
  <c r="E187" i="47"/>
  <c r="E100" i="46"/>
  <c r="E226" i="46"/>
  <c r="E172" i="104"/>
  <c r="E226" i="43"/>
  <c r="E98" i="175"/>
  <c r="E222" i="84"/>
  <c r="E29" i="71"/>
  <c r="G29" i="71" s="1"/>
  <c r="E83" i="71"/>
  <c r="G83" i="71" s="1"/>
  <c r="E129" i="71"/>
  <c r="G129" i="71" s="1"/>
  <c r="E180" i="71"/>
  <c r="E192" i="71"/>
  <c r="E231" i="71"/>
  <c r="E18" i="39"/>
  <c r="E34" i="39"/>
  <c r="E145" i="39"/>
  <c r="E165" i="39"/>
  <c r="E177" i="39"/>
  <c r="E226" i="152"/>
  <c r="E33" i="90"/>
  <c r="E29" i="24"/>
  <c r="E96" i="158"/>
  <c r="E105" i="55"/>
  <c r="G105" i="55" s="1"/>
  <c r="E77" i="14"/>
  <c r="E27" i="176"/>
  <c r="E78" i="176"/>
  <c r="E114" i="176"/>
  <c r="G114" i="176" s="1"/>
  <c r="E141" i="176"/>
  <c r="E201" i="176"/>
  <c r="E175" i="143"/>
  <c r="G175" i="143" s="1"/>
  <c r="E16" i="10"/>
  <c r="E32" i="10"/>
  <c r="E52" i="10"/>
  <c r="E127" i="10"/>
  <c r="E179" i="10"/>
  <c r="E191" i="10"/>
  <c r="E60" i="87"/>
  <c r="E108" i="86"/>
  <c r="E137" i="86"/>
  <c r="E75" i="89"/>
  <c r="E28" i="69"/>
  <c r="E151" i="69"/>
  <c r="E187" i="69"/>
  <c r="E35" i="150"/>
  <c r="E114" i="150"/>
  <c r="E190" i="150"/>
  <c r="E205" i="150"/>
  <c r="E116" i="71"/>
  <c r="G116" i="71" s="1"/>
  <c r="G155" i="85"/>
  <c r="E131" i="150"/>
  <c r="G169" i="113"/>
  <c r="E204" i="14"/>
  <c r="E174" i="172"/>
  <c r="G64" i="167"/>
  <c r="E186" i="54"/>
  <c r="E76" i="24"/>
  <c r="E70" i="103"/>
  <c r="E89" i="103"/>
  <c r="E155" i="103"/>
  <c r="E190" i="103"/>
  <c r="E201" i="103"/>
  <c r="E11" i="118"/>
  <c r="G11" i="118" s="1"/>
  <c r="E27" i="118"/>
  <c r="E43" i="118"/>
  <c r="E78" i="118"/>
  <c r="E100" i="118"/>
  <c r="G100" i="118" s="1"/>
  <c r="E126" i="118"/>
  <c r="E146" i="118"/>
  <c r="E166" i="118"/>
  <c r="G166" i="118" s="1"/>
  <c r="E194" i="118"/>
  <c r="E224" i="118"/>
  <c r="E19" i="60"/>
  <c r="G19" i="60" s="1"/>
  <c r="E39" i="60"/>
  <c r="G39" i="60" s="1"/>
  <c r="E96" i="60"/>
  <c r="G96" i="60" s="1"/>
  <c r="E141" i="60"/>
  <c r="E155" i="60"/>
  <c r="G155" i="60" s="1"/>
  <c r="E174" i="60"/>
  <c r="E190" i="60"/>
  <c r="E205" i="60"/>
  <c r="E15" i="54"/>
  <c r="E35" i="54"/>
  <c r="E74" i="54"/>
  <c r="E146" i="54"/>
  <c r="G146" i="54" s="1"/>
  <c r="E166" i="54"/>
  <c r="E201" i="54"/>
  <c r="G201" i="54" s="1"/>
  <c r="E19" i="94"/>
  <c r="E39" i="94"/>
  <c r="E51" i="94"/>
  <c r="E66" i="94"/>
  <c r="E126" i="94"/>
  <c r="E166" i="94"/>
  <c r="E178" i="94"/>
  <c r="E201" i="94"/>
  <c r="E39" i="145"/>
  <c r="E15" i="164"/>
  <c r="E31" i="164"/>
  <c r="G31" i="164" s="1"/>
  <c r="E47" i="164"/>
  <c r="E55" i="164"/>
  <c r="E74" i="164"/>
  <c r="E96" i="164"/>
  <c r="E118" i="164"/>
  <c r="E141" i="164"/>
  <c r="E155" i="164"/>
  <c r="E174" i="164"/>
  <c r="E186" i="164"/>
  <c r="G186" i="164" s="1"/>
  <c r="E78" i="19"/>
  <c r="E54" i="15"/>
  <c r="E73" i="15"/>
  <c r="E92" i="15"/>
  <c r="E109" i="15"/>
  <c r="E129" i="15"/>
  <c r="G129" i="15" s="1"/>
  <c r="E143" i="15"/>
  <c r="E164" i="15"/>
  <c r="E180" i="15"/>
  <c r="E221" i="15"/>
  <c r="E16" i="68"/>
  <c r="E60" i="68"/>
  <c r="E75" i="68"/>
  <c r="E97" i="68"/>
  <c r="E123" i="68"/>
  <c r="G123" i="68" s="1"/>
  <c r="E156" i="68"/>
  <c r="E175" i="68"/>
  <c r="G175" i="68" s="1"/>
  <c r="E20" i="66"/>
  <c r="E86" i="66"/>
  <c r="E101" i="66"/>
  <c r="E151" i="66"/>
  <c r="E202" i="66"/>
  <c r="E82" i="63"/>
  <c r="E101" i="63"/>
  <c r="E171" i="63"/>
  <c r="E202" i="63"/>
  <c r="E166" i="58"/>
  <c r="E178" i="58"/>
  <c r="E194" i="58"/>
  <c r="E225" i="58"/>
  <c r="G225" i="58" s="1"/>
  <c r="E71" i="174"/>
  <c r="G71" i="174" s="1"/>
  <c r="E101" i="174"/>
  <c r="G101" i="174" s="1"/>
  <c r="E147" i="174"/>
  <c r="E160" i="174"/>
  <c r="E179" i="174"/>
  <c r="E195" i="174"/>
  <c r="E227" i="174"/>
  <c r="G227" i="174" s="1"/>
  <c r="E179" i="53"/>
  <c r="G179" i="53" s="1"/>
  <c r="E191" i="53"/>
  <c r="G191" i="53" s="1"/>
  <c r="E202" i="53"/>
  <c r="E12" i="98"/>
  <c r="E132" i="98"/>
  <c r="E167" i="98"/>
  <c r="E179" i="98"/>
  <c r="E187" i="98"/>
  <c r="E187" i="49"/>
  <c r="E202" i="49"/>
  <c r="E171" i="83"/>
  <c r="E187" i="83"/>
  <c r="E202" i="83"/>
  <c r="E16" i="47"/>
  <c r="E36" i="47"/>
  <c r="E56" i="47"/>
  <c r="E71" i="47"/>
  <c r="G71" i="47" s="1"/>
  <c r="E108" i="47"/>
  <c r="G108" i="47" s="1"/>
  <c r="E89" i="46"/>
  <c r="E107" i="46"/>
  <c r="E17" i="71"/>
  <c r="E37" i="71"/>
  <c r="E49" i="71"/>
  <c r="E68" i="71"/>
  <c r="G68" i="71" s="1"/>
  <c r="E91" i="71"/>
  <c r="E138" i="71"/>
  <c r="E152" i="71"/>
  <c r="E168" i="71"/>
  <c r="E176" i="71"/>
  <c r="G176" i="71" s="1"/>
  <c r="E184" i="71"/>
  <c r="E196" i="71"/>
  <c r="E221" i="71"/>
  <c r="E149" i="39"/>
  <c r="E173" i="39"/>
  <c r="E189" i="39"/>
  <c r="G189" i="39" s="1"/>
  <c r="E226" i="133"/>
  <c r="E86" i="152"/>
  <c r="G86" i="152" s="1"/>
  <c r="E195" i="120"/>
  <c r="E226" i="120"/>
  <c r="E87" i="90"/>
  <c r="G87" i="90" s="1"/>
  <c r="E176" i="90"/>
  <c r="E196" i="90"/>
  <c r="E45" i="24"/>
  <c r="E57" i="24"/>
  <c r="E68" i="42"/>
  <c r="G68" i="42" s="1"/>
  <c r="E17" i="157"/>
  <c r="E168" i="157"/>
  <c r="E205" i="16"/>
  <c r="G205" i="16" s="1"/>
  <c r="E17" i="165"/>
  <c r="E41" i="55"/>
  <c r="E72" i="55"/>
  <c r="E83" i="55"/>
  <c r="E133" i="55"/>
  <c r="E157" i="55"/>
  <c r="E200" i="14"/>
  <c r="E232" i="14"/>
  <c r="E19" i="176"/>
  <c r="G19" i="176" s="1"/>
  <c r="E35" i="176"/>
  <c r="G35" i="176" s="1"/>
  <c r="E47" i="176"/>
  <c r="E59" i="176"/>
  <c r="E70" i="176"/>
  <c r="E96" i="176"/>
  <c r="E118" i="176"/>
  <c r="G118" i="176" s="1"/>
  <c r="E150" i="176"/>
  <c r="E159" i="176"/>
  <c r="E205" i="176"/>
  <c r="G205" i="176" s="1"/>
  <c r="E86" i="10"/>
  <c r="E108" i="10"/>
  <c r="E32" i="87"/>
  <c r="E48" i="87"/>
  <c r="E75" i="87"/>
  <c r="E115" i="87"/>
  <c r="E132" i="87"/>
  <c r="E191" i="87"/>
  <c r="G191" i="87" s="1"/>
  <c r="E16" i="86"/>
  <c r="E67" i="89"/>
  <c r="E82" i="69"/>
  <c r="E226" i="38"/>
  <c r="G226" i="38" s="1"/>
  <c r="E27" i="150"/>
  <c r="E136" i="150"/>
  <c r="E150" i="150"/>
  <c r="E166" i="150"/>
  <c r="E186" i="150"/>
  <c r="E224" i="150"/>
  <c r="E201" i="145"/>
  <c r="E164" i="71"/>
  <c r="E133" i="71"/>
  <c r="G133" i="71" s="1"/>
  <c r="E156" i="174"/>
  <c r="E175" i="63"/>
  <c r="G56" i="20"/>
  <c r="E195" i="98"/>
  <c r="E57" i="174"/>
  <c r="E90" i="174"/>
  <c r="G69" i="113"/>
  <c r="E67" i="174"/>
  <c r="E170" i="150"/>
  <c r="E107" i="103"/>
  <c r="E146" i="150"/>
  <c r="E118" i="54"/>
  <c r="E31" i="118"/>
  <c r="E178" i="172"/>
  <c r="G178" i="172" s="1"/>
  <c r="E148" i="15"/>
  <c r="G82" i="72"/>
  <c r="E129" i="90"/>
  <c r="G129" i="90" s="1"/>
  <c r="E59" i="103"/>
  <c r="E131" i="103"/>
  <c r="E186" i="103"/>
  <c r="E205" i="103"/>
  <c r="E35" i="118"/>
  <c r="E51" i="118"/>
  <c r="E70" i="118"/>
  <c r="E114" i="118"/>
  <c r="E136" i="118"/>
  <c r="G136" i="118" s="1"/>
  <c r="E201" i="118"/>
  <c r="G201" i="118" s="1"/>
  <c r="E11" i="60"/>
  <c r="E31" i="60"/>
  <c r="E89" i="60"/>
  <c r="E114" i="60"/>
  <c r="E136" i="60"/>
  <c r="E178" i="60"/>
  <c r="E194" i="60"/>
  <c r="E224" i="60"/>
  <c r="E11" i="54"/>
  <c r="G11" i="54" s="1"/>
  <c r="E31" i="54"/>
  <c r="E85" i="54"/>
  <c r="E141" i="54"/>
  <c r="E159" i="54"/>
  <c r="E205" i="54"/>
  <c r="E15" i="94"/>
  <c r="E35" i="94"/>
  <c r="E74" i="94"/>
  <c r="E146" i="94"/>
  <c r="E190" i="94"/>
  <c r="E47" i="145"/>
  <c r="E174" i="145"/>
  <c r="E19" i="164"/>
  <c r="E39" i="164"/>
  <c r="E78" i="164"/>
  <c r="E100" i="164"/>
  <c r="E126" i="164"/>
  <c r="E146" i="164"/>
  <c r="E178" i="164"/>
  <c r="E194" i="164"/>
  <c r="E224" i="164"/>
  <c r="E11" i="19"/>
  <c r="E31" i="19"/>
  <c r="G31" i="19" s="1"/>
  <c r="E43" i="19"/>
  <c r="E50" i="15"/>
  <c r="E69" i="15"/>
  <c r="E84" i="15"/>
  <c r="G84" i="15" s="1"/>
  <c r="E105" i="15"/>
  <c r="E133" i="15"/>
  <c r="E172" i="15"/>
  <c r="E184" i="15"/>
  <c r="G184" i="15" s="1"/>
  <c r="E196" i="15"/>
  <c r="E56" i="68"/>
  <c r="E82" i="68"/>
  <c r="E101" i="68"/>
  <c r="G101" i="68" s="1"/>
  <c r="E160" i="68"/>
  <c r="E179" i="68"/>
  <c r="E191" i="68"/>
  <c r="G191" i="68" s="1"/>
  <c r="E127" i="66"/>
  <c r="E147" i="66"/>
  <c r="E147" i="63"/>
  <c r="E167" i="63"/>
  <c r="E183" i="63"/>
  <c r="E195" i="63"/>
  <c r="E107" i="58"/>
  <c r="E118" i="58"/>
  <c r="E136" i="58"/>
  <c r="G136" i="58" s="1"/>
  <c r="E155" i="58"/>
  <c r="E174" i="58"/>
  <c r="E190" i="58"/>
  <c r="G190" i="58" s="1"/>
  <c r="E201" i="58"/>
  <c r="E97" i="174"/>
  <c r="E127" i="174"/>
  <c r="E142" i="174"/>
  <c r="E151" i="174"/>
  <c r="E167" i="174"/>
  <c r="E183" i="174"/>
  <c r="E183" i="53"/>
  <c r="E195" i="53"/>
  <c r="G195" i="53" s="1"/>
  <c r="E226" i="53"/>
  <c r="E16" i="98"/>
  <c r="E137" i="98"/>
  <c r="E156" i="98"/>
  <c r="E175" i="98"/>
  <c r="G175" i="98" s="1"/>
  <c r="E191" i="98"/>
  <c r="E202" i="98"/>
  <c r="E12" i="49"/>
  <c r="E32" i="49"/>
  <c r="E179" i="49"/>
  <c r="E195" i="49"/>
  <c r="G195" i="49" s="1"/>
  <c r="E226" i="49"/>
  <c r="E20" i="83"/>
  <c r="E86" i="83"/>
  <c r="G86" i="83" s="1"/>
  <c r="E147" i="83"/>
  <c r="E167" i="83"/>
  <c r="E183" i="83"/>
  <c r="E48" i="47"/>
  <c r="E201" i="47"/>
  <c r="G201" i="47" s="1"/>
  <c r="E85" i="46"/>
  <c r="E114" i="46"/>
  <c r="E125" i="46"/>
  <c r="E76" i="175"/>
  <c r="G76" i="175" s="1"/>
  <c r="E232" i="84"/>
  <c r="E13" i="71"/>
  <c r="E33" i="71"/>
  <c r="G33" i="71" s="1"/>
  <c r="E72" i="71"/>
  <c r="E98" i="71"/>
  <c r="E148" i="71"/>
  <c r="E157" i="71"/>
  <c r="E203" i="71"/>
  <c r="E42" i="39"/>
  <c r="E153" i="39"/>
  <c r="E169" i="39"/>
  <c r="E193" i="39"/>
  <c r="E223" i="39"/>
  <c r="E138" i="90"/>
  <c r="E221" i="90"/>
  <c r="G221" i="90" s="1"/>
  <c r="E33" i="32"/>
  <c r="E87" i="119"/>
  <c r="E87" i="155"/>
  <c r="E164" i="157"/>
  <c r="G164" i="157" s="1"/>
  <c r="E220" i="157"/>
  <c r="E196" i="165"/>
  <c r="E143" i="55"/>
  <c r="E168" i="55"/>
  <c r="E192" i="55"/>
  <c r="E220" i="55"/>
  <c r="E73" i="14"/>
  <c r="E189" i="14"/>
  <c r="G189" i="14" s="1"/>
  <c r="G189" i="85"/>
  <c r="E39" i="176"/>
  <c r="E85" i="176"/>
  <c r="G85" i="176" s="1"/>
  <c r="E107" i="176"/>
  <c r="G107" i="176" s="1"/>
  <c r="E131" i="176"/>
  <c r="E186" i="176"/>
  <c r="E194" i="176"/>
  <c r="E60" i="10"/>
  <c r="E82" i="10"/>
  <c r="E101" i="10"/>
  <c r="E137" i="10"/>
  <c r="E187" i="10"/>
  <c r="E52" i="87"/>
  <c r="G52" i="87" s="1"/>
  <c r="E71" i="87"/>
  <c r="E86" i="87"/>
  <c r="E82" i="86"/>
  <c r="E160" i="89"/>
  <c r="E44" i="69"/>
  <c r="E52" i="69"/>
  <c r="E75" i="69"/>
  <c r="E90" i="69"/>
  <c r="E101" i="69"/>
  <c r="E123" i="69"/>
  <c r="G123" i="69" s="1"/>
  <c r="E156" i="69"/>
  <c r="E171" i="69"/>
  <c r="E183" i="69"/>
  <c r="E202" i="69"/>
  <c r="E226" i="92"/>
  <c r="E126" i="150"/>
  <c r="E141" i="150"/>
  <c r="G141" i="150" s="1"/>
  <c r="E155" i="150"/>
  <c r="E178" i="150"/>
  <c r="E171" i="47"/>
  <c r="G171" i="47" s="1"/>
  <c r="E166" i="176"/>
  <c r="G166" i="176" s="1"/>
  <c r="G83" i="167"/>
  <c r="E166" i="164"/>
  <c r="E137" i="83"/>
  <c r="E195" i="68"/>
  <c r="G148" i="20"/>
  <c r="E127" i="69"/>
  <c r="E114" i="58"/>
  <c r="E66" i="103"/>
  <c r="E85" i="103"/>
  <c r="E100" i="103"/>
  <c r="E126" i="103"/>
  <c r="E47" i="118"/>
  <c r="E85" i="118"/>
  <c r="E107" i="118"/>
  <c r="E131" i="118"/>
  <c r="E205" i="118"/>
  <c r="E15" i="60"/>
  <c r="E35" i="60"/>
  <c r="E47" i="60"/>
  <c r="E107" i="60"/>
  <c r="E131" i="60"/>
  <c r="E150" i="60"/>
  <c r="E170" i="60"/>
  <c r="E182" i="60"/>
  <c r="E27" i="54"/>
  <c r="E39" i="54"/>
  <c r="G39" i="54" s="1"/>
  <c r="E51" i="54"/>
  <c r="E70" i="54"/>
  <c r="E89" i="54"/>
  <c r="E107" i="54"/>
  <c r="E131" i="54"/>
  <c r="G131" i="54" s="1"/>
  <c r="E150" i="54"/>
  <c r="G150" i="54" s="1"/>
  <c r="E170" i="54"/>
  <c r="G170" i="54" s="1"/>
  <c r="E178" i="54"/>
  <c r="E194" i="54"/>
  <c r="E224" i="54"/>
  <c r="E11" i="94"/>
  <c r="E31" i="94"/>
  <c r="E47" i="94"/>
  <c r="E59" i="94"/>
  <c r="G59" i="94" s="1"/>
  <c r="E78" i="94"/>
  <c r="E118" i="94"/>
  <c r="E141" i="94"/>
  <c r="E159" i="94"/>
  <c r="E182" i="94"/>
  <c r="E194" i="94"/>
  <c r="E224" i="94"/>
  <c r="E15" i="145"/>
  <c r="G15" i="145" s="1"/>
  <c r="E150" i="145"/>
  <c r="E27" i="164"/>
  <c r="E43" i="164"/>
  <c r="E51" i="164"/>
  <c r="E70" i="164"/>
  <c r="E89" i="164"/>
  <c r="E114" i="164"/>
  <c r="G114" i="164" s="1"/>
  <c r="E136" i="164"/>
  <c r="E201" i="164"/>
  <c r="E35" i="19"/>
  <c r="E58" i="15"/>
  <c r="E77" i="15"/>
  <c r="E99" i="15"/>
  <c r="E124" i="15"/>
  <c r="E138" i="15"/>
  <c r="E157" i="15"/>
  <c r="E176" i="15"/>
  <c r="E188" i="15"/>
  <c r="G188" i="15" s="1"/>
  <c r="E67" i="68"/>
  <c r="E86" i="68"/>
  <c r="E108" i="68"/>
  <c r="E151" i="68"/>
  <c r="E171" i="68"/>
  <c r="E187" i="68"/>
  <c r="E90" i="66"/>
  <c r="E115" i="66"/>
  <c r="G115" i="66" s="1"/>
  <c r="E226" i="66"/>
  <c r="E96" i="58"/>
  <c r="E141" i="58"/>
  <c r="E159" i="58"/>
  <c r="E182" i="58"/>
  <c r="E86" i="174"/>
  <c r="E137" i="174"/>
  <c r="E187" i="174"/>
  <c r="E202" i="174"/>
  <c r="E187" i="53"/>
  <c r="E28" i="98"/>
  <c r="E82" i="98"/>
  <c r="E101" i="98"/>
  <c r="G101" i="98" s="1"/>
  <c r="E142" i="98"/>
  <c r="E160" i="98"/>
  <c r="E183" i="98"/>
  <c r="E28" i="49"/>
  <c r="E191" i="49"/>
  <c r="E28" i="83"/>
  <c r="E175" i="83"/>
  <c r="E191" i="83"/>
  <c r="E12" i="47"/>
  <c r="E28" i="47"/>
  <c r="E40" i="47"/>
  <c r="G40" i="47" s="1"/>
  <c r="E52" i="47"/>
  <c r="E60" i="47"/>
  <c r="E151" i="47"/>
  <c r="G151" i="47" s="1"/>
  <c r="E225" i="47"/>
  <c r="E59" i="46"/>
  <c r="G59" i="46" s="1"/>
  <c r="E137" i="46"/>
  <c r="E232" i="106"/>
  <c r="E124" i="175"/>
  <c r="E25" i="71"/>
  <c r="E45" i="71"/>
  <c r="E64" i="71"/>
  <c r="G64" i="71" s="1"/>
  <c r="E76" i="71"/>
  <c r="E87" i="71"/>
  <c r="E124" i="71"/>
  <c r="E143" i="71"/>
  <c r="E172" i="71"/>
  <c r="E14" i="39"/>
  <c r="E30" i="39"/>
  <c r="E46" i="39"/>
  <c r="E158" i="39"/>
  <c r="E124" i="90"/>
  <c r="E13" i="24"/>
  <c r="E87" i="24"/>
  <c r="E76" i="157"/>
  <c r="E224" i="16"/>
  <c r="E45" i="165"/>
  <c r="G45" i="165" s="1"/>
  <c r="E53" i="165"/>
  <c r="E133" i="165"/>
  <c r="E138" i="55"/>
  <c r="E152" i="55"/>
  <c r="E203" i="55"/>
  <c r="E50" i="14"/>
  <c r="E222" i="14"/>
  <c r="E31" i="176"/>
  <c r="E100" i="176"/>
  <c r="E126" i="176"/>
  <c r="G126" i="176" s="1"/>
  <c r="E146" i="176"/>
  <c r="E174" i="176"/>
  <c r="E56" i="10"/>
  <c r="E115" i="10"/>
  <c r="E132" i="10"/>
  <c r="E183" i="10"/>
  <c r="E195" i="10"/>
  <c r="E226" i="10"/>
  <c r="E40" i="87"/>
  <c r="E101" i="87"/>
  <c r="E226" i="87"/>
  <c r="E90" i="89"/>
  <c r="E132" i="89"/>
  <c r="E142" i="89"/>
  <c r="G142" i="89" s="1"/>
  <c r="E137" i="69"/>
  <c r="G137" i="69" s="1"/>
  <c r="E226" i="142"/>
  <c r="E12" i="38"/>
  <c r="E31" i="150"/>
  <c r="E118" i="150"/>
  <c r="E159" i="150"/>
  <c r="E174" i="150"/>
  <c r="G174" i="150" s="1"/>
  <c r="E182" i="150"/>
  <c r="E194" i="150"/>
  <c r="E201" i="150"/>
  <c r="G201" i="150" s="1"/>
  <c r="E96" i="46"/>
  <c r="G117" i="113"/>
  <c r="E159" i="164"/>
  <c r="E55" i="176"/>
  <c r="G55" i="176" s="1"/>
  <c r="E147" i="68"/>
  <c r="E49" i="174"/>
  <c r="G49" i="174" s="1"/>
  <c r="E185" i="39"/>
  <c r="E11" i="172"/>
  <c r="E15" i="172"/>
  <c r="E19" i="172"/>
  <c r="E27" i="172"/>
  <c r="E31" i="172"/>
  <c r="E35" i="172"/>
  <c r="E39" i="172"/>
  <c r="G39" i="172" s="1"/>
  <c r="E43" i="172"/>
  <c r="E47" i="172"/>
  <c r="E51" i="172"/>
  <c r="E55" i="172"/>
  <c r="E59" i="172"/>
  <c r="G59" i="172" s="1"/>
  <c r="E66" i="172"/>
  <c r="E70" i="172"/>
  <c r="E74" i="172"/>
  <c r="E78" i="172"/>
  <c r="E85" i="172"/>
  <c r="E89" i="172"/>
  <c r="E96" i="172"/>
  <c r="E100" i="172"/>
  <c r="E107" i="172"/>
  <c r="E114" i="172"/>
  <c r="E126" i="172"/>
  <c r="E131" i="172"/>
  <c r="G131" i="172" s="1"/>
  <c r="E141" i="172"/>
  <c r="E146" i="172"/>
  <c r="E150" i="172"/>
  <c r="E155" i="172"/>
  <c r="E159" i="172"/>
  <c r="E170" i="172"/>
  <c r="G170" i="172" s="1"/>
  <c r="E182" i="172"/>
  <c r="G182" i="172" s="1"/>
  <c r="E186" i="172"/>
  <c r="G186" i="172" s="1"/>
  <c r="E190" i="172"/>
  <c r="E194" i="172"/>
  <c r="E201" i="172"/>
  <c r="E205" i="172"/>
  <c r="E224" i="172"/>
  <c r="E14" i="176"/>
  <c r="E30" i="176"/>
  <c r="E34" i="176"/>
  <c r="E58" i="176"/>
  <c r="E99" i="176"/>
  <c r="G99" i="176" s="1"/>
  <c r="E117" i="176"/>
  <c r="G117" i="176" s="1"/>
  <c r="E140" i="176"/>
  <c r="G140" i="176" s="1"/>
  <c r="E158" i="176"/>
  <c r="E181" i="176"/>
  <c r="E223" i="176"/>
  <c r="E70" i="10"/>
  <c r="E74" i="10"/>
  <c r="E114" i="10"/>
  <c r="E178" i="10"/>
  <c r="E182" i="10"/>
  <c r="E190" i="10"/>
  <c r="E194" i="10"/>
  <c r="E201" i="10"/>
  <c r="E15" i="87"/>
  <c r="E74" i="87"/>
  <c r="E114" i="87"/>
  <c r="E131" i="87"/>
  <c r="G131" i="87" s="1"/>
  <c r="E146" i="87"/>
  <c r="E201" i="87"/>
  <c r="E186" i="86"/>
  <c r="E194" i="86"/>
  <c r="E15" i="89"/>
  <c r="E31" i="89"/>
  <c r="E43" i="89"/>
  <c r="E66" i="89"/>
  <c r="E89" i="89"/>
  <c r="E107" i="89"/>
  <c r="E114" i="89"/>
  <c r="E126" i="89"/>
  <c r="G126" i="89" s="1"/>
  <c r="E131" i="89"/>
  <c r="E136" i="89"/>
  <c r="E141" i="89"/>
  <c r="E146" i="89"/>
  <c r="E150" i="89"/>
  <c r="E159" i="89"/>
  <c r="E170" i="89"/>
  <c r="E178" i="89"/>
  <c r="E186" i="89"/>
  <c r="E194" i="89"/>
  <c r="E201" i="89"/>
  <c r="G201" i="89" s="1"/>
  <c r="E205" i="89"/>
  <c r="G205" i="89" s="1"/>
  <c r="E43" i="69"/>
  <c r="E66" i="69"/>
  <c r="E107" i="69"/>
  <c r="E131" i="69"/>
  <c r="G131" i="69" s="1"/>
  <c r="E141" i="69"/>
  <c r="G141" i="69" s="1"/>
  <c r="E146" i="69"/>
  <c r="E155" i="69"/>
  <c r="E166" i="69"/>
  <c r="E170" i="69"/>
  <c r="E186" i="69"/>
  <c r="G186" i="69" s="1"/>
  <c r="E205" i="69"/>
  <c r="G205" i="69" s="1"/>
  <c r="E89" i="142"/>
  <c r="E96" i="142"/>
  <c r="E107" i="142"/>
  <c r="E114" i="142"/>
  <c r="E186" i="142"/>
  <c r="E190" i="142"/>
  <c r="E194" i="142"/>
  <c r="E201" i="142"/>
  <c r="E205" i="142"/>
  <c r="E225" i="142"/>
  <c r="E66" i="92"/>
  <c r="E74" i="92"/>
  <c r="E89" i="92"/>
  <c r="E126" i="92"/>
  <c r="E131" i="92"/>
  <c r="E136" i="92"/>
  <c r="E141" i="92"/>
  <c r="E146" i="92"/>
  <c r="E155" i="92"/>
  <c r="G155" i="92" s="1"/>
  <c r="E170" i="92"/>
  <c r="E182" i="92"/>
  <c r="E190" i="92"/>
  <c r="E205" i="92"/>
  <c r="E225" i="92"/>
  <c r="E66" i="1"/>
  <c r="G66" i="1" s="1"/>
  <c r="E74" i="1"/>
  <c r="E150" i="1"/>
  <c r="E155" i="1"/>
  <c r="E159" i="1"/>
  <c r="E166" i="1"/>
  <c r="E170" i="1"/>
  <c r="E174" i="1"/>
  <c r="E178" i="1"/>
  <c r="G178" i="1" s="1"/>
  <c r="E182" i="1"/>
  <c r="G182" i="1" s="1"/>
  <c r="E225" i="1"/>
  <c r="G225" i="1" s="1"/>
  <c r="E89" i="50"/>
  <c r="E100" i="50"/>
  <c r="E107" i="50"/>
  <c r="E118" i="50"/>
  <c r="E141" i="50"/>
  <c r="G141" i="50" s="1"/>
  <c r="E146" i="50"/>
  <c r="E155" i="50"/>
  <c r="E166" i="50"/>
  <c r="E174" i="50"/>
  <c r="G174" i="50" s="1"/>
  <c r="E178" i="50"/>
  <c r="E182" i="50"/>
  <c r="E186" i="50"/>
  <c r="E201" i="50"/>
  <c r="E205" i="50"/>
  <c r="E114" i="95"/>
  <c r="G114" i="95" s="1"/>
  <c r="E178" i="95"/>
  <c r="G178" i="95" s="1"/>
  <c r="E186" i="95"/>
  <c r="E171" i="31"/>
  <c r="G171" i="31" s="1"/>
  <c r="E166" i="38"/>
  <c r="E182" i="38"/>
  <c r="E194" i="38"/>
  <c r="E201" i="38"/>
  <c r="E118" i="172"/>
  <c r="E166" i="172"/>
  <c r="E159" i="50"/>
  <c r="E118" i="69"/>
  <c r="G118" i="69" s="1"/>
  <c r="E173" i="176"/>
  <c r="G173" i="176" s="1"/>
  <c r="E130" i="176"/>
  <c r="E169" i="176"/>
  <c r="E107" i="1"/>
  <c r="G107" i="1" s="1"/>
  <c r="E178" i="86"/>
  <c r="G221" i="155"/>
  <c r="E201" i="92"/>
  <c r="G201" i="92" s="1"/>
  <c r="E96" i="1"/>
  <c r="G96" i="1" s="1"/>
  <c r="E186" i="10"/>
  <c r="G135" i="167"/>
  <c r="G132" i="102"/>
  <c r="E125" i="176"/>
  <c r="E84" i="176"/>
  <c r="E205" i="86"/>
  <c r="E174" i="92"/>
  <c r="G226" i="37"/>
  <c r="E226" i="103"/>
  <c r="E20" i="118"/>
  <c r="E225" i="118"/>
  <c r="E225" i="60"/>
  <c r="G225" i="60" s="1"/>
  <c r="E225" i="94"/>
  <c r="E219" i="63"/>
  <c r="E227" i="63"/>
  <c r="E32" i="58"/>
  <c r="G32" i="58" s="1"/>
  <c r="E67" i="58"/>
  <c r="E200" i="84"/>
  <c r="E40" i="120"/>
  <c r="E222" i="141"/>
  <c r="E221" i="119"/>
  <c r="E231" i="119"/>
  <c r="E221" i="25"/>
  <c r="G221" i="25" s="1"/>
  <c r="E114" i="16"/>
  <c r="G114" i="16" s="1"/>
  <c r="E188" i="165"/>
  <c r="E192" i="165"/>
  <c r="E203" i="165"/>
  <c r="E17" i="55"/>
  <c r="G17" i="55" s="1"/>
  <c r="E25" i="55"/>
  <c r="E45" i="55"/>
  <c r="E53" i="55"/>
  <c r="E57" i="55"/>
  <c r="G57" i="55" s="1"/>
  <c r="E64" i="55"/>
  <c r="E68" i="55"/>
  <c r="E76" i="55"/>
  <c r="G76" i="55" s="1"/>
  <c r="E91" i="55"/>
  <c r="E109" i="55"/>
  <c r="E124" i="55"/>
  <c r="E129" i="55"/>
  <c r="E148" i="55"/>
  <c r="G148" i="55" s="1"/>
  <c r="E172" i="55"/>
  <c r="E180" i="55"/>
  <c r="E188" i="55"/>
  <c r="G188" i="55" s="1"/>
  <c r="E26" i="14"/>
  <c r="E42" i="14"/>
  <c r="E46" i="14"/>
  <c r="E54" i="14"/>
  <c r="G54" i="14" s="1"/>
  <c r="E65" i="14"/>
  <c r="G65" i="14" s="1"/>
  <c r="E69" i="14"/>
  <c r="E84" i="14"/>
  <c r="E92" i="14"/>
  <c r="E106" i="14"/>
  <c r="E117" i="14"/>
  <c r="E173" i="14"/>
  <c r="G173" i="14" s="1"/>
  <c r="E219" i="143"/>
  <c r="E227" i="143"/>
  <c r="E219" i="10"/>
  <c r="E219" i="87"/>
  <c r="E227" i="87"/>
  <c r="E219" i="86"/>
  <c r="E219" i="89"/>
  <c r="E227" i="89"/>
  <c r="E219" i="69"/>
  <c r="E227" i="69"/>
  <c r="E175" i="92"/>
  <c r="E179" i="92"/>
  <c r="E183" i="92"/>
  <c r="E219" i="92"/>
  <c r="E227" i="92"/>
  <c r="G227" i="92" s="1"/>
  <c r="E16" i="1"/>
  <c r="E36" i="1"/>
  <c r="E219" i="50"/>
  <c r="E178" i="31"/>
  <c r="E166" i="31"/>
  <c r="E155" i="31"/>
  <c r="E141" i="31"/>
  <c r="G141" i="31" s="1"/>
  <c r="E136" i="31"/>
  <c r="E131" i="31"/>
  <c r="E126" i="31"/>
  <c r="E118" i="31"/>
  <c r="E114" i="31"/>
  <c r="E107" i="31"/>
  <c r="E89" i="31"/>
  <c r="E78" i="31"/>
  <c r="E70" i="31"/>
  <c r="E66" i="31"/>
  <c r="E59" i="31"/>
  <c r="E55" i="31"/>
  <c r="G55" i="31" s="1"/>
  <c r="E51" i="31"/>
  <c r="E47" i="31"/>
  <c r="E43" i="31"/>
  <c r="E39" i="31"/>
  <c r="E35" i="31"/>
  <c r="E31" i="31"/>
  <c r="E27" i="31"/>
  <c r="E19" i="31"/>
  <c r="E15" i="31"/>
  <c r="E11" i="31"/>
  <c r="E226" i="145"/>
  <c r="E13" i="150"/>
  <c r="E91" i="68"/>
  <c r="E222" i="104"/>
  <c r="E232" i="104"/>
  <c r="E14" i="25"/>
  <c r="E46" i="25"/>
  <c r="E77" i="155"/>
  <c r="E106" i="155"/>
  <c r="G106" i="155" s="1"/>
  <c r="E117" i="155"/>
  <c r="E168" i="145"/>
  <c r="G168" i="145" s="1"/>
  <c r="E53" i="68"/>
  <c r="E164" i="120"/>
  <c r="E158" i="24"/>
  <c r="E169" i="24"/>
  <c r="G169" i="24" s="1"/>
  <c r="E49" i="156"/>
  <c r="E76" i="156"/>
  <c r="E133" i="156"/>
  <c r="E138" i="156"/>
  <c r="E192" i="156"/>
  <c r="E203" i="156"/>
  <c r="E32" i="15"/>
  <c r="E56" i="15"/>
  <c r="E202" i="106"/>
  <c r="E201" i="104"/>
  <c r="E39" i="175"/>
  <c r="E55" i="175"/>
  <c r="E78" i="175"/>
  <c r="G78" i="175" s="1"/>
  <c r="E126" i="175"/>
  <c r="G126" i="175" s="1"/>
  <c r="E115" i="84"/>
  <c r="G115" i="84" s="1"/>
  <c r="E69" i="152"/>
  <c r="E200" i="152"/>
  <c r="E11" i="157"/>
  <c r="E15" i="157"/>
  <c r="E171" i="14"/>
  <c r="E85" i="92"/>
  <c r="G85" i="92" s="1"/>
  <c r="E100" i="92"/>
  <c r="E190" i="1"/>
  <c r="E170" i="95"/>
  <c r="E160" i="31"/>
  <c r="E151" i="31"/>
  <c r="E78" i="38"/>
  <c r="E114" i="38"/>
  <c r="E159" i="38"/>
  <c r="E131" i="149"/>
  <c r="E174" i="149"/>
  <c r="E126" i="149"/>
  <c r="E195" i="149"/>
  <c r="E156" i="149"/>
  <c r="G169" i="149"/>
  <c r="G220" i="149"/>
  <c r="G151" i="149"/>
  <c r="E190" i="149"/>
  <c r="E101" i="149"/>
  <c r="E183" i="149"/>
  <c r="E132" i="149"/>
  <c r="E226" i="149"/>
  <c r="E141" i="149"/>
  <c r="E33" i="149"/>
  <c r="G153" i="149"/>
  <c r="E170" i="149"/>
  <c r="E182" i="149"/>
  <c r="E90" i="149"/>
  <c r="E175" i="149"/>
  <c r="E123" i="149"/>
  <c r="E27" i="149"/>
  <c r="E42" i="149"/>
  <c r="E35" i="149"/>
  <c r="E155" i="149"/>
  <c r="G108" i="149"/>
  <c r="E86" i="149"/>
  <c r="E171" i="149"/>
  <c r="E115" i="149"/>
  <c r="E159" i="149"/>
  <c r="G159" i="149" s="1"/>
  <c r="E89" i="149"/>
  <c r="G89" i="149" s="1"/>
  <c r="E43" i="149"/>
  <c r="G149" i="27"/>
  <c r="G40" i="27"/>
  <c r="G60" i="27"/>
  <c r="G75" i="27"/>
  <c r="G195" i="27"/>
  <c r="G219" i="27"/>
  <c r="E125" i="27"/>
  <c r="E160" i="27"/>
  <c r="E97" i="27"/>
  <c r="E226" i="27"/>
  <c r="E71" i="27"/>
  <c r="E223" i="27"/>
  <c r="E169" i="27"/>
  <c r="E106" i="27"/>
  <c r="E156" i="27"/>
  <c r="E90" i="27"/>
  <c r="E36" i="27"/>
  <c r="G36" i="27" s="1"/>
  <c r="E39" i="27"/>
  <c r="E89" i="27"/>
  <c r="E201" i="27"/>
  <c r="E187" i="27"/>
  <c r="E137" i="27"/>
  <c r="E132" i="27"/>
  <c r="G132" i="27" s="1"/>
  <c r="E44" i="27"/>
  <c r="E194" i="27"/>
  <c r="E127" i="27"/>
  <c r="G233" i="27"/>
  <c r="E227" i="27"/>
  <c r="E147" i="27"/>
  <c r="G165" i="27"/>
  <c r="G56" i="27"/>
  <c r="G48" i="27"/>
  <c r="E183" i="27"/>
  <c r="E123" i="27"/>
  <c r="E150" i="27"/>
  <c r="G150" i="27" s="1"/>
  <c r="E191" i="27"/>
  <c r="E179" i="27"/>
  <c r="G179" i="27" s="1"/>
  <c r="E115" i="27"/>
  <c r="G164" i="62"/>
  <c r="E75" i="62"/>
  <c r="E150" i="62"/>
  <c r="G150" i="62" s="1"/>
  <c r="E157" i="62"/>
  <c r="E70" i="62"/>
  <c r="G70" i="62" s="1"/>
  <c r="E20" i="62"/>
  <c r="G233" i="62"/>
  <c r="E159" i="62"/>
  <c r="E36" i="62"/>
  <c r="G85" i="62"/>
  <c r="E186" i="62"/>
  <c r="E131" i="62"/>
  <c r="E152" i="62"/>
  <c r="E160" i="62"/>
  <c r="G160" i="62" s="1"/>
  <c r="E66" i="62"/>
  <c r="E140" i="62"/>
  <c r="E71" i="62"/>
  <c r="E138" i="62"/>
  <c r="E67" i="62"/>
  <c r="G183" i="62"/>
  <c r="E180" i="62"/>
  <c r="E202" i="62"/>
  <c r="G202" i="62" s="1"/>
  <c r="E193" i="62"/>
  <c r="E231" i="62"/>
  <c r="E118" i="62"/>
  <c r="E117" i="62"/>
  <c r="E189" i="62"/>
  <c r="E106" i="62"/>
  <c r="E48" i="62"/>
  <c r="G48" i="62" s="1"/>
  <c r="G99" i="177"/>
  <c r="G117" i="177"/>
  <c r="G135" i="177"/>
  <c r="G173" i="177"/>
  <c r="E130" i="177"/>
  <c r="E13" i="177"/>
  <c r="G13" i="177" s="1"/>
  <c r="G149" i="177"/>
  <c r="E54" i="177"/>
  <c r="E92" i="177"/>
  <c r="E125" i="177"/>
  <c r="G125" i="177" s="1"/>
  <c r="E84" i="177"/>
  <c r="E15" i="177"/>
  <c r="E27" i="177"/>
  <c r="G27" i="177" s="1"/>
  <c r="E35" i="177"/>
  <c r="E39" i="177"/>
  <c r="G39" i="177" s="1"/>
  <c r="E51" i="177"/>
  <c r="E74" i="177"/>
  <c r="G74" i="177" s="1"/>
  <c r="E126" i="177"/>
  <c r="E65" i="177"/>
  <c r="G65" i="177" s="1"/>
  <c r="E14" i="177"/>
  <c r="E34" i="177"/>
  <c r="E221" i="177"/>
  <c r="E185" i="177"/>
  <c r="G185" i="177" s="1"/>
  <c r="E69" i="177"/>
  <c r="G69" i="177" s="1"/>
  <c r="G158" i="177"/>
  <c r="G18" i="177"/>
  <c r="E193" i="177"/>
  <c r="E77" i="177"/>
  <c r="E189" i="177"/>
  <c r="G82" i="177"/>
  <c r="G140" i="177"/>
  <c r="E131" i="177"/>
  <c r="G28" i="177"/>
  <c r="G153" i="177"/>
  <c r="E60" i="103"/>
  <c r="E160" i="19"/>
  <c r="G160" i="19" s="1"/>
  <c r="E125" i="15"/>
  <c r="E149" i="15"/>
  <c r="G149" i="15" s="1"/>
  <c r="E169" i="15"/>
  <c r="E202" i="47"/>
  <c r="E12" i="46"/>
  <c r="G12" i="46" s="1"/>
  <c r="E32" i="46"/>
  <c r="E48" i="46"/>
  <c r="E67" i="46"/>
  <c r="G67" i="46" s="1"/>
  <c r="E90" i="46"/>
  <c r="E147" i="46"/>
  <c r="E191" i="46"/>
  <c r="E219" i="46"/>
  <c r="E73" i="106"/>
  <c r="E117" i="106"/>
  <c r="E25" i="104"/>
  <c r="E76" i="104"/>
  <c r="E98" i="104"/>
  <c r="G98" i="104" s="1"/>
  <c r="E157" i="104"/>
  <c r="E180" i="104"/>
  <c r="E196" i="104"/>
  <c r="E36" i="43"/>
  <c r="E48" i="43"/>
  <c r="E67" i="43"/>
  <c r="E86" i="43"/>
  <c r="E115" i="43"/>
  <c r="E183" i="43"/>
  <c r="E202" i="43"/>
  <c r="G202" i="43" s="1"/>
  <c r="E25" i="175"/>
  <c r="E41" i="175"/>
  <c r="E64" i="175"/>
  <c r="E83" i="175"/>
  <c r="G83" i="175" s="1"/>
  <c r="E105" i="175"/>
  <c r="E180" i="175"/>
  <c r="E110" i="84"/>
  <c r="E165" i="84"/>
  <c r="E232" i="71"/>
  <c r="E205" i="39"/>
  <c r="E32" i="133"/>
  <c r="E160" i="133"/>
  <c r="E179" i="133"/>
  <c r="E202" i="133"/>
  <c r="E40" i="152"/>
  <c r="E56" i="152"/>
  <c r="E82" i="152"/>
  <c r="E101" i="152"/>
  <c r="E132" i="152"/>
  <c r="E187" i="152"/>
  <c r="G187" i="152" s="1"/>
  <c r="E28" i="120"/>
  <c r="E48" i="120"/>
  <c r="G48" i="120" s="1"/>
  <c r="E97" i="120"/>
  <c r="E142" i="120"/>
  <c r="E73" i="90"/>
  <c r="E135" i="90"/>
  <c r="E153" i="90"/>
  <c r="E193" i="90"/>
  <c r="E222" i="90"/>
  <c r="E18" i="24"/>
  <c r="E138" i="24"/>
  <c r="E180" i="24"/>
  <c r="E203" i="24"/>
  <c r="E87" i="141"/>
  <c r="E143" i="141"/>
  <c r="E176" i="141"/>
  <c r="E76" i="32"/>
  <c r="G76" i="32" s="1"/>
  <c r="E91" i="32"/>
  <c r="E138" i="64"/>
  <c r="E176" i="64"/>
  <c r="E192" i="64"/>
  <c r="E110" i="28"/>
  <c r="E17" i="119"/>
  <c r="G17" i="119" s="1"/>
  <c r="E37" i="119"/>
  <c r="E57" i="119"/>
  <c r="E109" i="119"/>
  <c r="E133" i="119"/>
  <c r="G133" i="119" s="1"/>
  <c r="E157" i="119"/>
  <c r="E180" i="119"/>
  <c r="E203" i="119"/>
  <c r="E29" i="25"/>
  <c r="E49" i="25"/>
  <c r="E37" i="155"/>
  <c r="E53" i="155"/>
  <c r="E72" i="155"/>
  <c r="E91" i="155"/>
  <c r="E124" i="155"/>
  <c r="E148" i="155"/>
  <c r="E12" i="156"/>
  <c r="E127" i="156"/>
  <c r="E179" i="156"/>
  <c r="E191" i="156"/>
  <c r="E219" i="156"/>
  <c r="E13" i="42"/>
  <c r="E33" i="42"/>
  <c r="E53" i="42"/>
  <c r="E72" i="42"/>
  <c r="E124" i="42"/>
  <c r="E164" i="42"/>
  <c r="E172" i="42"/>
  <c r="E188" i="42"/>
  <c r="E221" i="42"/>
  <c r="E13" i="157"/>
  <c r="E30" i="150"/>
  <c r="E46" i="150"/>
  <c r="E173" i="15"/>
  <c r="E28" i="103"/>
  <c r="E48" i="103"/>
  <c r="E56" i="103"/>
  <c r="E86" i="19"/>
  <c r="E35" i="15"/>
  <c r="E66" i="15"/>
  <c r="E110" i="15"/>
  <c r="G110" i="15" s="1"/>
  <c r="E130" i="15"/>
  <c r="E145" i="15"/>
  <c r="E158" i="15"/>
  <c r="E165" i="15"/>
  <c r="G165" i="15" s="1"/>
  <c r="E191" i="47"/>
  <c r="G191" i="47" s="1"/>
  <c r="E28" i="46"/>
  <c r="E44" i="46"/>
  <c r="E56" i="46"/>
  <c r="E187" i="46"/>
  <c r="E202" i="46"/>
  <c r="G202" i="46" s="1"/>
  <c r="E222" i="45"/>
  <c r="E14" i="106"/>
  <c r="E30" i="106"/>
  <c r="E42" i="106"/>
  <c r="E58" i="106"/>
  <c r="E77" i="106"/>
  <c r="E99" i="106"/>
  <c r="G99" i="106" s="1"/>
  <c r="E140" i="106"/>
  <c r="E29" i="104"/>
  <c r="E68" i="104"/>
  <c r="E87" i="104"/>
  <c r="E109" i="104"/>
  <c r="E129" i="104"/>
  <c r="E231" i="104"/>
  <c r="E40" i="43"/>
  <c r="E75" i="43"/>
  <c r="E97" i="43"/>
  <c r="E123" i="43"/>
  <c r="E156" i="43"/>
  <c r="G156" i="43" s="1"/>
  <c r="E195" i="43"/>
  <c r="E227" i="43"/>
  <c r="E29" i="175"/>
  <c r="E68" i="175"/>
  <c r="E91" i="175"/>
  <c r="E221" i="175"/>
  <c r="E169" i="84"/>
  <c r="E185" i="84"/>
  <c r="E201" i="39"/>
  <c r="E224" i="39"/>
  <c r="E20" i="133"/>
  <c r="E40" i="133"/>
  <c r="E48" i="133"/>
  <c r="E101" i="133"/>
  <c r="E147" i="133"/>
  <c r="E175" i="133"/>
  <c r="G175" i="133" s="1"/>
  <c r="E195" i="133"/>
  <c r="E219" i="133"/>
  <c r="E20" i="152"/>
  <c r="E32" i="152"/>
  <c r="G32" i="152" s="1"/>
  <c r="E90" i="152"/>
  <c r="E137" i="152"/>
  <c r="E151" i="152"/>
  <c r="E191" i="152"/>
  <c r="E227" i="152"/>
  <c r="E32" i="120"/>
  <c r="E52" i="120"/>
  <c r="G52" i="120" s="1"/>
  <c r="E108" i="120"/>
  <c r="E14" i="90"/>
  <c r="G14" i="90" s="1"/>
  <c r="E26" i="90"/>
  <c r="E34" i="90"/>
  <c r="E54" i="90"/>
  <c r="E65" i="90"/>
  <c r="E77" i="90"/>
  <c r="E88" i="90"/>
  <c r="E106" i="90"/>
  <c r="E145" i="90"/>
  <c r="E169" i="90"/>
  <c r="E185" i="90"/>
  <c r="E129" i="24"/>
  <c r="E168" i="24"/>
  <c r="E196" i="24"/>
  <c r="E221" i="24"/>
  <c r="E72" i="141"/>
  <c r="E133" i="141"/>
  <c r="E180" i="141"/>
  <c r="E192" i="141"/>
  <c r="E221" i="141"/>
  <c r="E29" i="32"/>
  <c r="E221" i="32"/>
  <c r="G221" i="32" s="1"/>
  <c r="E76" i="64"/>
  <c r="E91" i="64"/>
  <c r="E133" i="64"/>
  <c r="E148" i="64"/>
  <c r="E164" i="64"/>
  <c r="E172" i="64"/>
  <c r="E188" i="64"/>
  <c r="E196" i="64"/>
  <c r="G196" i="64" s="1"/>
  <c r="G159" i="72"/>
  <c r="E29" i="119"/>
  <c r="E49" i="119"/>
  <c r="E64" i="119"/>
  <c r="E72" i="119"/>
  <c r="E91" i="119"/>
  <c r="G91" i="119" s="1"/>
  <c r="E116" i="119"/>
  <c r="E143" i="119"/>
  <c r="E17" i="25"/>
  <c r="E33" i="25"/>
  <c r="E41" i="25"/>
  <c r="E29" i="155"/>
  <c r="E41" i="155"/>
  <c r="E57" i="155"/>
  <c r="E76" i="155"/>
  <c r="E105" i="155"/>
  <c r="E129" i="155"/>
  <c r="E143" i="155"/>
  <c r="E152" i="155"/>
  <c r="E56" i="156"/>
  <c r="E71" i="156"/>
  <c r="E86" i="156"/>
  <c r="E108" i="156"/>
  <c r="E137" i="156"/>
  <c r="G137" i="156" s="1"/>
  <c r="E29" i="42"/>
  <c r="E45" i="42"/>
  <c r="E64" i="42"/>
  <c r="E87" i="42"/>
  <c r="G87" i="42" s="1"/>
  <c r="E109" i="42"/>
  <c r="E176" i="42"/>
  <c r="E196" i="42"/>
  <c r="E192" i="177"/>
  <c r="E220" i="177"/>
  <c r="E26" i="150"/>
  <c r="E73" i="150"/>
  <c r="E77" i="150"/>
  <c r="E223" i="150"/>
  <c r="E192" i="104"/>
  <c r="E171" i="156"/>
  <c r="E25" i="155"/>
  <c r="G221" i="152"/>
  <c r="G125" i="149"/>
  <c r="G124" i="45"/>
  <c r="G203" i="45"/>
  <c r="E32" i="103"/>
  <c r="E156" i="19"/>
  <c r="E106" i="15"/>
  <c r="E140" i="15"/>
  <c r="G140" i="15" s="1"/>
  <c r="E36" i="46"/>
  <c r="E75" i="46"/>
  <c r="E142" i="46"/>
  <c r="G203" i="102"/>
  <c r="E84" i="106"/>
  <c r="G84" i="106" s="1"/>
  <c r="E135" i="106"/>
  <c r="E204" i="106"/>
  <c r="E37" i="104"/>
  <c r="G37" i="104" s="1"/>
  <c r="E53" i="104"/>
  <c r="E72" i="104"/>
  <c r="E91" i="104"/>
  <c r="E148" i="104"/>
  <c r="E184" i="104"/>
  <c r="E12" i="43"/>
  <c r="E56" i="43"/>
  <c r="E132" i="43"/>
  <c r="E191" i="43"/>
  <c r="E219" i="43"/>
  <c r="E17" i="175"/>
  <c r="E37" i="175"/>
  <c r="G37" i="175" s="1"/>
  <c r="E45" i="175"/>
  <c r="E57" i="175"/>
  <c r="E72" i="175"/>
  <c r="E87" i="175"/>
  <c r="E109" i="175"/>
  <c r="E125" i="84"/>
  <c r="E173" i="84"/>
  <c r="E181" i="84"/>
  <c r="E223" i="84"/>
  <c r="E200" i="71"/>
  <c r="E222" i="71"/>
  <c r="G222" i="71" s="1"/>
  <c r="E11" i="39"/>
  <c r="E16" i="133"/>
  <c r="E90" i="133"/>
  <c r="E115" i="133"/>
  <c r="E151" i="133"/>
  <c r="E167" i="133"/>
  <c r="E183" i="133"/>
  <c r="E191" i="133"/>
  <c r="E227" i="133"/>
  <c r="E12" i="152"/>
  <c r="E48" i="152"/>
  <c r="G48" i="152" s="1"/>
  <c r="E97" i="152"/>
  <c r="E123" i="152"/>
  <c r="E160" i="152"/>
  <c r="G160" i="152" s="1"/>
  <c r="E202" i="152"/>
  <c r="E36" i="120"/>
  <c r="E44" i="120"/>
  <c r="E60" i="120"/>
  <c r="G60" i="120" s="1"/>
  <c r="E127" i="120"/>
  <c r="E183" i="120"/>
  <c r="G183" i="120" s="1"/>
  <c r="E219" i="120"/>
  <c r="E58" i="90"/>
  <c r="E84" i="90"/>
  <c r="E149" i="90"/>
  <c r="G149" i="90" s="1"/>
  <c r="E165" i="90"/>
  <c r="E173" i="90"/>
  <c r="E189" i="90"/>
  <c r="E14" i="24"/>
  <c r="E30" i="24"/>
  <c r="E176" i="24"/>
  <c r="E188" i="24"/>
  <c r="E33" i="141"/>
  <c r="E68" i="141"/>
  <c r="E83" i="141"/>
  <c r="E138" i="141"/>
  <c r="E152" i="141"/>
  <c r="E168" i="141"/>
  <c r="E188" i="141"/>
  <c r="G188" i="141" s="1"/>
  <c r="E196" i="141"/>
  <c r="E231" i="141"/>
  <c r="E64" i="32"/>
  <c r="E45" i="64"/>
  <c r="E98" i="64"/>
  <c r="E129" i="64"/>
  <c r="E180" i="64"/>
  <c r="E203" i="64"/>
  <c r="E13" i="119"/>
  <c r="E45" i="119"/>
  <c r="E105" i="119"/>
  <c r="E124" i="119"/>
  <c r="E138" i="119"/>
  <c r="E152" i="119"/>
  <c r="E168" i="119"/>
  <c r="E176" i="119"/>
  <c r="E220" i="119"/>
  <c r="E25" i="25"/>
  <c r="G25" i="25" s="1"/>
  <c r="E192" i="25"/>
  <c r="E196" i="25"/>
  <c r="E17" i="155"/>
  <c r="E64" i="155"/>
  <c r="G64" i="155" s="1"/>
  <c r="E109" i="155"/>
  <c r="E133" i="155"/>
  <c r="E195" i="155"/>
  <c r="E227" i="155"/>
  <c r="E52" i="156"/>
  <c r="E90" i="156"/>
  <c r="E123" i="156"/>
  <c r="G123" i="156" s="1"/>
  <c r="E175" i="156"/>
  <c r="E202" i="156"/>
  <c r="E41" i="42"/>
  <c r="G41" i="42" s="1"/>
  <c r="E76" i="42"/>
  <c r="E91" i="42"/>
  <c r="E116" i="42"/>
  <c r="E133" i="42"/>
  <c r="E180" i="42"/>
  <c r="E192" i="42"/>
  <c r="E231" i="42"/>
  <c r="E235" i="42" s="1"/>
  <c r="E203" i="177"/>
  <c r="E138" i="104"/>
  <c r="E179" i="155"/>
  <c r="E74" i="15"/>
  <c r="E157" i="42"/>
  <c r="E192" i="24"/>
  <c r="G101" i="27"/>
  <c r="E183" i="19"/>
  <c r="E117" i="15"/>
  <c r="E135" i="15"/>
  <c r="E153" i="15"/>
  <c r="E177" i="15"/>
  <c r="E195" i="47"/>
  <c r="E226" i="47"/>
  <c r="E20" i="46"/>
  <c r="E40" i="46"/>
  <c r="E52" i="46"/>
  <c r="E71" i="46"/>
  <c r="E82" i="46"/>
  <c r="E132" i="46"/>
  <c r="E179" i="46"/>
  <c r="G179" i="46" s="1"/>
  <c r="E195" i="46"/>
  <c r="E227" i="46"/>
  <c r="E26" i="106"/>
  <c r="E50" i="106"/>
  <c r="E69" i="106"/>
  <c r="G69" i="106" s="1"/>
  <c r="E106" i="106"/>
  <c r="E130" i="106"/>
  <c r="E223" i="106"/>
  <c r="E33" i="104"/>
  <c r="E45" i="104"/>
  <c r="E64" i="104"/>
  <c r="E83" i="104"/>
  <c r="E105" i="104"/>
  <c r="G105" i="104" s="1"/>
  <c r="E116" i="104"/>
  <c r="E133" i="104"/>
  <c r="E143" i="104"/>
  <c r="G143" i="104" s="1"/>
  <c r="E152" i="104"/>
  <c r="E168" i="104"/>
  <c r="E176" i="104"/>
  <c r="E188" i="104"/>
  <c r="E221" i="104"/>
  <c r="E20" i="43"/>
  <c r="E52" i="43"/>
  <c r="E71" i="43"/>
  <c r="G71" i="43" s="1"/>
  <c r="E82" i="43"/>
  <c r="E90" i="43"/>
  <c r="E108" i="43"/>
  <c r="E127" i="43"/>
  <c r="E187" i="43"/>
  <c r="E13" i="175"/>
  <c r="E33" i="175"/>
  <c r="E49" i="175"/>
  <c r="G49" i="175" s="1"/>
  <c r="E176" i="175"/>
  <c r="E196" i="175"/>
  <c r="E117" i="84"/>
  <c r="E177" i="84"/>
  <c r="E189" i="84"/>
  <c r="E204" i="84"/>
  <c r="E204" i="71"/>
  <c r="E123" i="133"/>
  <c r="G123" i="133" s="1"/>
  <c r="E142" i="133"/>
  <c r="E156" i="133"/>
  <c r="E171" i="133"/>
  <c r="E187" i="133"/>
  <c r="E28" i="152"/>
  <c r="E44" i="152"/>
  <c r="E60" i="152"/>
  <c r="E108" i="152"/>
  <c r="E127" i="152"/>
  <c r="E147" i="152"/>
  <c r="E156" i="152"/>
  <c r="E179" i="152"/>
  <c r="G179" i="152" s="1"/>
  <c r="E195" i="152"/>
  <c r="E219" i="152"/>
  <c r="E86" i="120"/>
  <c r="E147" i="120"/>
  <c r="G147" i="120" s="1"/>
  <c r="E156" i="120"/>
  <c r="E171" i="120"/>
  <c r="E187" i="120"/>
  <c r="E18" i="90"/>
  <c r="E30" i="90"/>
  <c r="E69" i="90"/>
  <c r="E158" i="90"/>
  <c r="G158" i="90" s="1"/>
  <c r="E200" i="90"/>
  <c r="E26" i="24"/>
  <c r="E172" i="24"/>
  <c r="G172" i="24" s="1"/>
  <c r="E231" i="24"/>
  <c r="E235" i="24" s="1"/>
  <c r="E29" i="141"/>
  <c r="E129" i="141"/>
  <c r="E148" i="141"/>
  <c r="E157" i="141"/>
  <c r="E172" i="141"/>
  <c r="E184" i="141"/>
  <c r="E203" i="141"/>
  <c r="E41" i="32"/>
  <c r="E87" i="32"/>
  <c r="E98" i="32"/>
  <c r="G98" i="32" s="1"/>
  <c r="E116" i="32"/>
  <c r="E180" i="32"/>
  <c r="E231" i="32"/>
  <c r="E72" i="64"/>
  <c r="E87" i="64"/>
  <c r="E105" i="64"/>
  <c r="G105" i="64" s="1"/>
  <c r="E124" i="64"/>
  <c r="E143" i="64"/>
  <c r="E168" i="64"/>
  <c r="G168" i="64" s="1"/>
  <c r="E184" i="64"/>
  <c r="G184" i="64" s="1"/>
  <c r="E232" i="28"/>
  <c r="E25" i="119"/>
  <c r="E33" i="119"/>
  <c r="G33" i="119" s="1"/>
  <c r="E41" i="119"/>
  <c r="E53" i="119"/>
  <c r="E68" i="119"/>
  <c r="E83" i="119"/>
  <c r="G83" i="119" s="1"/>
  <c r="E98" i="119"/>
  <c r="E129" i="119"/>
  <c r="E148" i="119"/>
  <c r="E164" i="119"/>
  <c r="E37" i="25"/>
  <c r="E188" i="25"/>
  <c r="E220" i="25"/>
  <c r="G220" i="25" s="1"/>
  <c r="E13" i="155"/>
  <c r="E33" i="155"/>
  <c r="E49" i="155"/>
  <c r="E83" i="155"/>
  <c r="E98" i="155"/>
  <c r="E116" i="155"/>
  <c r="E138" i="155"/>
  <c r="E219" i="155"/>
  <c r="G219" i="155" s="1"/>
  <c r="E48" i="156"/>
  <c r="E60" i="156"/>
  <c r="E97" i="156"/>
  <c r="G97" i="156" s="1"/>
  <c r="E115" i="156"/>
  <c r="E132" i="156"/>
  <c r="E183" i="156"/>
  <c r="E195" i="156"/>
  <c r="E227" i="156"/>
  <c r="E25" i="42"/>
  <c r="E37" i="42"/>
  <c r="E49" i="42"/>
  <c r="E57" i="42"/>
  <c r="G57" i="42" s="1"/>
  <c r="E83" i="42"/>
  <c r="E98" i="42"/>
  <c r="E129" i="42"/>
  <c r="G129" i="42" s="1"/>
  <c r="E168" i="42"/>
  <c r="E184" i="42"/>
  <c r="E203" i="42"/>
  <c r="E34" i="150"/>
  <c r="G34" i="150" s="1"/>
  <c r="E69" i="150"/>
  <c r="E110" i="150"/>
  <c r="G201" i="102"/>
  <c r="E179" i="43"/>
  <c r="E67" i="103"/>
  <c r="E160" i="156"/>
  <c r="E101" i="156"/>
  <c r="E184" i="119"/>
  <c r="E54" i="106"/>
  <c r="E172" i="119"/>
  <c r="E105" i="42"/>
  <c r="E37" i="32"/>
  <c r="G37" i="32" s="1"/>
  <c r="E59" i="15"/>
  <c r="G114" i="20"/>
  <c r="E53" i="175"/>
  <c r="E147" i="156"/>
  <c r="E75" i="156"/>
  <c r="E68" i="155"/>
  <c r="E52" i="133"/>
  <c r="G52" i="133" s="1"/>
  <c r="G221" i="65"/>
  <c r="G91" i="27"/>
  <c r="G25" i="45"/>
  <c r="G19" i="45"/>
  <c r="E20" i="60"/>
  <c r="E219" i="60"/>
  <c r="E44" i="54"/>
  <c r="E227" i="164"/>
  <c r="E137" i="92"/>
  <c r="E191" i="92"/>
  <c r="E12" i="1"/>
  <c r="E28" i="1"/>
  <c r="E40" i="1"/>
  <c r="E219" i="1"/>
  <c r="E227" i="50"/>
  <c r="E14" i="83"/>
  <c r="E26" i="83"/>
  <c r="E149" i="83"/>
  <c r="E37" i="149"/>
  <c r="E68" i="149"/>
  <c r="E231" i="149"/>
  <c r="E221" i="69"/>
  <c r="E223" i="98"/>
  <c r="E42" i="83"/>
  <c r="E65" i="83"/>
  <c r="E29" i="16"/>
  <c r="E53" i="16"/>
  <c r="E232" i="92"/>
  <c r="G232" i="92" s="1"/>
  <c r="E41" i="149"/>
  <c r="E53" i="149"/>
  <c r="E57" i="149"/>
  <c r="E64" i="149"/>
  <c r="E87" i="149"/>
  <c r="E91" i="149"/>
  <c r="E184" i="149"/>
  <c r="E89" i="155"/>
  <c r="E107" i="155"/>
  <c r="E225" i="165"/>
  <c r="E83" i="45"/>
  <c r="E49" i="104"/>
  <c r="E36" i="152"/>
  <c r="E30" i="158"/>
  <c r="E38" i="158"/>
  <c r="G38" i="158" s="1"/>
  <c r="E46" i="158"/>
  <c r="E158" i="158"/>
  <c r="E227" i="165"/>
  <c r="E86" i="94"/>
  <c r="E34" i="15"/>
  <c r="G34" i="15" s="1"/>
  <c r="E42" i="15"/>
  <c r="E77" i="47"/>
  <c r="E117" i="47"/>
  <c r="E130" i="47"/>
  <c r="E98" i="46"/>
  <c r="E109" i="46"/>
  <c r="E14" i="45"/>
  <c r="E77" i="45"/>
  <c r="G77" i="45" s="1"/>
  <c r="E84" i="45"/>
  <c r="E149" i="45"/>
  <c r="G149" i="45" s="1"/>
  <c r="E150" i="106"/>
  <c r="E17" i="43"/>
  <c r="E72" i="43"/>
  <c r="E148" i="43"/>
  <c r="E14" i="71"/>
  <c r="G14" i="71" s="1"/>
  <c r="E132" i="120"/>
  <c r="E137" i="120"/>
  <c r="E133" i="90"/>
  <c r="E168" i="90"/>
  <c r="E37" i="24"/>
  <c r="E124" i="24"/>
  <c r="E33" i="28"/>
  <c r="E37" i="28"/>
  <c r="E49" i="28"/>
  <c r="E87" i="28"/>
  <c r="E91" i="28"/>
  <c r="E109" i="28"/>
  <c r="E148" i="28"/>
  <c r="E13" i="65"/>
  <c r="E29" i="65"/>
  <c r="E45" i="65"/>
  <c r="G45" i="65" s="1"/>
  <c r="E64" i="65"/>
  <c r="E91" i="65"/>
  <c r="E105" i="65"/>
  <c r="E124" i="65"/>
  <c r="E152" i="65"/>
  <c r="E164" i="65"/>
  <c r="E56" i="155"/>
  <c r="E73" i="158"/>
  <c r="E193" i="158"/>
  <c r="G193" i="158" s="1"/>
  <c r="E88" i="16"/>
  <c r="E117" i="27"/>
  <c r="G117" i="27" s="1"/>
  <c r="E173" i="27"/>
  <c r="E12" i="165"/>
  <c r="E28" i="55"/>
  <c r="E36" i="55"/>
  <c r="E82" i="55"/>
  <c r="E156" i="55"/>
  <c r="E185" i="15"/>
  <c r="G185" i="15" s="1"/>
  <c r="E15" i="45"/>
  <c r="E31" i="45"/>
  <c r="E35" i="45"/>
  <c r="E39" i="45"/>
  <c r="E43" i="45"/>
  <c r="E47" i="45"/>
  <c r="E51" i="45"/>
  <c r="E55" i="45"/>
  <c r="E59" i="45"/>
  <c r="E66" i="45"/>
  <c r="E70" i="45"/>
  <c r="E74" i="45"/>
  <c r="E78" i="45"/>
  <c r="E85" i="45"/>
  <c r="E100" i="45"/>
  <c r="E118" i="45"/>
  <c r="E126" i="45"/>
  <c r="E131" i="45"/>
  <c r="E136" i="45"/>
  <c r="E141" i="45"/>
  <c r="E146" i="45"/>
  <c r="E150" i="45"/>
  <c r="E155" i="45"/>
  <c r="E159" i="45"/>
  <c r="E170" i="45"/>
  <c r="E174" i="45"/>
  <c r="E178" i="45"/>
  <c r="E182" i="45"/>
  <c r="E186" i="45"/>
  <c r="E190" i="45"/>
  <c r="E194" i="45"/>
  <c r="E30" i="118"/>
  <c r="G30" i="118" s="1"/>
  <c r="E109" i="49"/>
  <c r="E31" i="90"/>
  <c r="E39" i="90"/>
  <c r="E39" i="24"/>
  <c r="G39" i="24" s="1"/>
  <c r="E51" i="24"/>
  <c r="E59" i="24"/>
  <c r="E143" i="157"/>
  <c r="G143" i="157" s="1"/>
  <c r="E11" i="158"/>
  <c r="E29" i="165"/>
  <c r="G29" i="165" s="1"/>
  <c r="E78" i="142"/>
  <c r="E15" i="92"/>
  <c r="E31" i="1"/>
  <c r="G31" i="1" s="1"/>
  <c r="E55" i="1"/>
  <c r="E126" i="95"/>
  <c r="G126" i="95" s="1"/>
  <c r="E55" i="38"/>
  <c r="G55" i="38" s="1"/>
  <c r="E30" i="49"/>
  <c r="G30" i="49" s="1"/>
  <c r="E40" i="65"/>
  <c r="E71" i="65"/>
  <c r="E35" i="119"/>
  <c r="E96" i="119"/>
  <c r="E100" i="119"/>
  <c r="E126" i="119"/>
  <c r="E39" i="25"/>
  <c r="E55" i="25"/>
  <c r="G55" i="25" s="1"/>
  <c r="E66" i="25"/>
  <c r="E74" i="25"/>
  <c r="E78" i="25"/>
  <c r="E96" i="25"/>
  <c r="E166" i="25"/>
  <c r="E59" i="155"/>
  <c r="G59" i="155" s="1"/>
  <c r="E74" i="31"/>
  <c r="G227" i="85"/>
  <c r="G160" i="149"/>
  <c r="G183" i="102"/>
  <c r="G189" i="37"/>
  <c r="G131" i="27"/>
  <c r="G174" i="37"/>
  <c r="G76" i="72"/>
  <c r="G51" i="27"/>
  <c r="G127" i="37"/>
  <c r="G167" i="37"/>
  <c r="G172" i="62"/>
  <c r="G205" i="72"/>
  <c r="G96" i="62"/>
  <c r="G12" i="27"/>
  <c r="E140" i="103"/>
  <c r="E145" i="103"/>
  <c r="E149" i="103"/>
  <c r="E158" i="103"/>
  <c r="E165" i="103"/>
  <c r="E173" i="103"/>
  <c r="E177" i="103"/>
  <c r="E185" i="103"/>
  <c r="E189" i="103"/>
  <c r="E222" i="103"/>
  <c r="E14" i="118"/>
  <c r="E18" i="118"/>
  <c r="E26" i="118"/>
  <c r="E46" i="118"/>
  <c r="E92" i="118"/>
  <c r="G92" i="118" s="1"/>
  <c r="E106" i="118"/>
  <c r="G106" i="118" s="1"/>
  <c r="E29" i="66"/>
  <c r="G29" i="66" s="1"/>
  <c r="E37" i="66"/>
  <c r="E41" i="66"/>
  <c r="E45" i="66"/>
  <c r="E164" i="66"/>
  <c r="E231" i="66"/>
  <c r="E45" i="63"/>
  <c r="E49" i="63"/>
  <c r="E76" i="63"/>
  <c r="G76" i="63" s="1"/>
  <c r="E157" i="63"/>
  <c r="E168" i="63"/>
  <c r="E151" i="62"/>
  <c r="E167" i="62"/>
  <c r="E171" i="62"/>
  <c r="E175" i="62"/>
  <c r="G175" i="62" s="1"/>
  <c r="E76" i="49"/>
  <c r="E91" i="49"/>
  <c r="E116" i="49"/>
  <c r="E133" i="49"/>
  <c r="E138" i="49"/>
  <c r="E143" i="49"/>
  <c r="E152" i="49"/>
  <c r="E164" i="49"/>
  <c r="G164" i="49" s="1"/>
  <c r="E180" i="49"/>
  <c r="E184" i="49"/>
  <c r="E192" i="49"/>
  <c r="E219" i="49"/>
  <c r="E227" i="49"/>
  <c r="E12" i="83"/>
  <c r="E16" i="83"/>
  <c r="E32" i="83"/>
  <c r="E36" i="83"/>
  <c r="G36" i="83" s="1"/>
  <c r="E40" i="83"/>
  <c r="E48" i="83"/>
  <c r="E71" i="83"/>
  <c r="E75" i="83"/>
  <c r="E82" i="83"/>
  <c r="E90" i="83"/>
  <c r="G90" i="83" s="1"/>
  <c r="E97" i="83"/>
  <c r="G97" i="83" s="1"/>
  <c r="E101" i="83"/>
  <c r="E108" i="83"/>
  <c r="G108" i="83" s="1"/>
  <c r="E115" i="83"/>
  <c r="E142" i="83"/>
  <c r="E132" i="47"/>
  <c r="E137" i="47"/>
  <c r="E147" i="47"/>
  <c r="E156" i="47"/>
  <c r="E160" i="47"/>
  <c r="E167" i="47"/>
  <c r="E175" i="47"/>
  <c r="E179" i="47"/>
  <c r="G179" i="47" s="1"/>
  <c r="E190" i="47"/>
  <c r="E194" i="47"/>
  <c r="G194" i="47" s="1"/>
  <c r="E200" i="47"/>
  <c r="E204" i="47"/>
  <c r="E223" i="47"/>
  <c r="E14" i="46"/>
  <c r="E18" i="46"/>
  <c r="E30" i="46"/>
  <c r="E34" i="46"/>
  <c r="E38" i="46"/>
  <c r="E42" i="46"/>
  <c r="E46" i="46"/>
  <c r="E50" i="46"/>
  <c r="E54" i="46"/>
  <c r="G54" i="46" s="1"/>
  <c r="E65" i="46"/>
  <c r="E69" i="46"/>
  <c r="E77" i="46"/>
  <c r="E88" i="46"/>
  <c r="E99" i="46"/>
  <c r="E106" i="46"/>
  <c r="E136" i="46"/>
  <c r="E150" i="46"/>
  <c r="E159" i="46"/>
  <c r="E170" i="46"/>
  <c r="E174" i="46"/>
  <c r="E182" i="46"/>
  <c r="E190" i="46"/>
  <c r="E194" i="46"/>
  <c r="E224" i="46"/>
  <c r="E226" i="45"/>
  <c r="E12" i="106"/>
  <c r="E16" i="106"/>
  <c r="E20" i="106"/>
  <c r="E32" i="106"/>
  <c r="G32" i="106" s="1"/>
  <c r="E101" i="106"/>
  <c r="E108" i="106"/>
  <c r="E115" i="106"/>
  <c r="G115" i="106" s="1"/>
  <c r="E123" i="106"/>
  <c r="E132" i="106"/>
  <c r="E142" i="106"/>
  <c r="E156" i="106"/>
  <c r="E160" i="106"/>
  <c r="G160" i="106" s="1"/>
  <c r="E167" i="106"/>
  <c r="E171" i="106"/>
  <c r="E175" i="106"/>
  <c r="E179" i="106"/>
  <c r="E183" i="106"/>
  <c r="E191" i="106"/>
  <c r="E195" i="106"/>
  <c r="E11" i="104"/>
  <c r="E15" i="104"/>
  <c r="E27" i="104"/>
  <c r="E31" i="104"/>
  <c r="E35" i="104"/>
  <c r="E47" i="104"/>
  <c r="E51" i="104"/>
  <c r="E55" i="104"/>
  <c r="E59" i="104"/>
  <c r="E66" i="104"/>
  <c r="E89" i="104"/>
  <c r="G89" i="104" s="1"/>
  <c r="E107" i="104"/>
  <c r="E118" i="104"/>
  <c r="E126" i="104"/>
  <c r="E141" i="104"/>
  <c r="E146" i="104"/>
  <c r="G146" i="104" s="1"/>
  <c r="E150" i="104"/>
  <c r="E155" i="104"/>
  <c r="E159" i="104"/>
  <c r="E166" i="104"/>
  <c r="E178" i="104"/>
  <c r="E194" i="104"/>
  <c r="E200" i="43"/>
  <c r="E11" i="175"/>
  <c r="G11" i="175" s="1"/>
  <c r="E15" i="175"/>
  <c r="E27" i="175"/>
  <c r="E31" i="175"/>
  <c r="G31" i="175" s="1"/>
  <c r="E66" i="175"/>
  <c r="E70" i="175"/>
  <c r="E89" i="175"/>
  <c r="E96" i="175"/>
  <c r="G96" i="175" s="1"/>
  <c r="E100" i="175"/>
  <c r="E107" i="175"/>
  <c r="E114" i="175"/>
  <c r="E118" i="175"/>
  <c r="E131" i="175"/>
  <c r="G131" i="175" s="1"/>
  <c r="E136" i="175"/>
  <c r="E141" i="175"/>
  <c r="E146" i="175"/>
  <c r="E150" i="175"/>
  <c r="E174" i="175"/>
  <c r="E194" i="175"/>
  <c r="E201" i="175"/>
  <c r="E205" i="175"/>
  <c r="E225" i="175"/>
  <c r="G225" i="175" s="1"/>
  <c r="E20" i="84"/>
  <c r="E28" i="84"/>
  <c r="E32" i="84"/>
  <c r="E36" i="84"/>
  <c r="E56" i="84"/>
  <c r="E75" i="84"/>
  <c r="E82" i="84"/>
  <c r="G82" i="84" s="1"/>
  <c r="E86" i="84"/>
  <c r="E90" i="84"/>
  <c r="E101" i="84"/>
  <c r="E108" i="84"/>
  <c r="G108" i="84" s="1"/>
  <c r="E127" i="84"/>
  <c r="E132" i="84"/>
  <c r="E137" i="84"/>
  <c r="E151" i="84"/>
  <c r="E156" i="84"/>
  <c r="G156" i="84" s="1"/>
  <c r="E160" i="84"/>
  <c r="E167" i="84"/>
  <c r="E171" i="84"/>
  <c r="E175" i="84"/>
  <c r="E179" i="84"/>
  <c r="E187" i="84"/>
  <c r="E191" i="84"/>
  <c r="E195" i="84"/>
  <c r="E219" i="84"/>
  <c r="E20" i="71"/>
  <c r="E101" i="71"/>
  <c r="E123" i="71"/>
  <c r="G123" i="71" s="1"/>
  <c r="E127" i="71"/>
  <c r="G127" i="71" s="1"/>
  <c r="E167" i="71"/>
  <c r="E171" i="71"/>
  <c r="E175" i="71"/>
  <c r="E187" i="71"/>
  <c r="E191" i="71"/>
  <c r="E202" i="71"/>
  <c r="G71" i="177"/>
  <c r="G227" i="175"/>
  <c r="G186" i="79"/>
  <c r="G148" i="85"/>
  <c r="G225" i="149"/>
  <c r="E53" i="39"/>
  <c r="E57" i="39"/>
  <c r="E64" i="39"/>
  <c r="E68" i="39"/>
  <c r="G68" i="39" s="1"/>
  <c r="E72" i="39"/>
  <c r="E76" i="39"/>
  <c r="E83" i="39"/>
  <c r="E87" i="39"/>
  <c r="E91" i="39"/>
  <c r="E105" i="39"/>
  <c r="E109" i="39"/>
  <c r="E116" i="39"/>
  <c r="E129" i="39"/>
  <c r="E133" i="39"/>
  <c r="E138" i="39"/>
  <c r="E203" i="39"/>
  <c r="E220" i="39"/>
  <c r="E14" i="133"/>
  <c r="E18" i="133"/>
  <c r="E26" i="133"/>
  <c r="E46" i="133"/>
  <c r="E50" i="133"/>
  <c r="G50" i="133" s="1"/>
  <c r="E58" i="133"/>
  <c r="E65" i="133"/>
  <c r="E88" i="133"/>
  <c r="E99" i="133"/>
  <c r="E110" i="133"/>
  <c r="E125" i="133"/>
  <c r="E135" i="133"/>
  <c r="E140" i="133"/>
  <c r="E153" i="133"/>
  <c r="E169" i="133"/>
  <c r="E173" i="133"/>
  <c r="E177" i="133"/>
  <c r="E181" i="133"/>
  <c r="E185" i="133"/>
  <c r="E189" i="133"/>
  <c r="E200" i="133"/>
  <c r="E223" i="133"/>
  <c r="E14" i="152"/>
  <c r="E18" i="152"/>
  <c r="E26" i="152"/>
  <c r="G26" i="152" s="1"/>
  <c r="E30" i="152"/>
  <c r="E34" i="152"/>
  <c r="E38" i="152"/>
  <c r="E42" i="152"/>
  <c r="E46" i="152"/>
  <c r="E50" i="152"/>
  <c r="G50" i="152" s="1"/>
  <c r="E54" i="152"/>
  <c r="G54" i="152" s="1"/>
  <c r="E73" i="152"/>
  <c r="E84" i="152"/>
  <c r="G84" i="152" s="1"/>
  <c r="E88" i="152"/>
  <c r="E117" i="152"/>
  <c r="G117" i="152" s="1"/>
  <c r="E130" i="152"/>
  <c r="G130" i="152" s="1"/>
  <c r="E135" i="152"/>
  <c r="E145" i="152"/>
  <c r="E158" i="152"/>
  <c r="E177" i="152"/>
  <c r="E181" i="152"/>
  <c r="E189" i="152"/>
  <c r="G189" i="152" s="1"/>
  <c r="E193" i="152"/>
  <c r="E204" i="152"/>
  <c r="E223" i="152"/>
  <c r="E14" i="120"/>
  <c r="G14" i="120" s="1"/>
  <c r="E18" i="120"/>
  <c r="G18" i="120" s="1"/>
  <c r="E34" i="120"/>
  <c r="G34" i="120" s="1"/>
  <c r="E50" i="120"/>
  <c r="E64" i="120"/>
  <c r="G64" i="120" s="1"/>
  <c r="E72" i="120"/>
  <c r="E76" i="120"/>
  <c r="E83" i="120"/>
  <c r="E91" i="120"/>
  <c r="E109" i="120"/>
  <c r="E124" i="120"/>
  <c r="E133" i="120"/>
  <c r="E138" i="120"/>
  <c r="E143" i="120"/>
  <c r="E148" i="120"/>
  <c r="E157" i="120"/>
  <c r="E168" i="120"/>
  <c r="E15" i="90"/>
  <c r="E27" i="90"/>
  <c r="E35" i="90"/>
  <c r="E43" i="90"/>
  <c r="E47" i="90"/>
  <c r="G47" i="90" s="1"/>
  <c r="E51" i="90"/>
  <c r="E55" i="90"/>
  <c r="E59" i="90"/>
  <c r="E66" i="90"/>
  <c r="E70" i="90"/>
  <c r="E74" i="90"/>
  <c r="E85" i="90"/>
  <c r="E89" i="90"/>
  <c r="E100" i="90"/>
  <c r="E114" i="90"/>
  <c r="E126" i="90"/>
  <c r="E131" i="90"/>
  <c r="E146" i="90"/>
  <c r="E170" i="90"/>
  <c r="E174" i="90"/>
  <c r="E178" i="90"/>
  <c r="E182" i="90"/>
  <c r="E186" i="90"/>
  <c r="E194" i="90"/>
  <c r="E201" i="90"/>
  <c r="E205" i="90"/>
  <c r="E11" i="24"/>
  <c r="E15" i="24"/>
  <c r="G15" i="24" s="1"/>
  <c r="E27" i="24"/>
  <c r="E31" i="24"/>
  <c r="G31" i="24" s="1"/>
  <c r="E35" i="24"/>
  <c r="G35" i="24" s="1"/>
  <c r="E43" i="24"/>
  <c r="E47" i="24"/>
  <c r="E55" i="24"/>
  <c r="E66" i="24"/>
  <c r="E70" i="24"/>
  <c r="E99" i="24"/>
  <c r="E110" i="24"/>
  <c r="E117" i="24"/>
  <c r="E125" i="24"/>
  <c r="E130" i="24"/>
  <c r="E135" i="24"/>
  <c r="E145" i="24"/>
  <c r="E149" i="24"/>
  <c r="E153" i="24"/>
  <c r="E165" i="24"/>
  <c r="E173" i="24"/>
  <c r="G173" i="24" s="1"/>
  <c r="E45" i="156"/>
  <c r="E53" i="156"/>
  <c r="E57" i="156"/>
  <c r="E64" i="156"/>
  <c r="E72" i="156"/>
  <c r="E83" i="156"/>
  <c r="E98" i="156"/>
  <c r="E116" i="156"/>
  <c r="E124" i="156"/>
  <c r="G124" i="156" s="1"/>
  <c r="E148" i="156"/>
  <c r="E157" i="156"/>
  <c r="E168" i="156"/>
  <c r="E176" i="156"/>
  <c r="E180" i="156"/>
  <c r="G180" i="156" s="1"/>
  <c r="E184" i="156"/>
  <c r="E196" i="156"/>
  <c r="E221" i="156"/>
  <c r="G221" i="156" s="1"/>
  <c r="E14" i="42"/>
  <c r="G14" i="42" s="1"/>
  <c r="E26" i="42"/>
  <c r="G26" i="42" s="1"/>
  <c r="E34" i="42"/>
  <c r="E38" i="42"/>
  <c r="E42" i="42"/>
  <c r="E46" i="42"/>
  <c r="E50" i="42"/>
  <c r="E54" i="42"/>
  <c r="E58" i="42"/>
  <c r="E65" i="42"/>
  <c r="E69" i="42"/>
  <c r="E73" i="42"/>
  <c r="E77" i="42"/>
  <c r="G77" i="42" s="1"/>
  <c r="E84" i="42"/>
  <c r="E92" i="42"/>
  <c r="E99" i="42"/>
  <c r="E106" i="42"/>
  <c r="G106" i="42" s="1"/>
  <c r="E117" i="42"/>
  <c r="E130" i="42"/>
  <c r="E135" i="42"/>
  <c r="E140" i="42"/>
  <c r="E145" i="42"/>
  <c r="E149" i="42"/>
  <c r="E153" i="42"/>
  <c r="E158" i="42"/>
  <c r="G158" i="42" s="1"/>
  <c r="E169" i="42"/>
  <c r="E173" i="42"/>
  <c r="E177" i="42"/>
  <c r="G177" i="42" s="1"/>
  <c r="E181" i="42"/>
  <c r="E204" i="42"/>
  <c r="E42" i="157"/>
  <c r="E58" i="157"/>
  <c r="G58" i="157" s="1"/>
  <c r="E87" i="157"/>
  <c r="G87" i="157" s="1"/>
  <c r="E91" i="157"/>
  <c r="G91" i="157" s="1"/>
  <c r="E98" i="157"/>
  <c r="E105" i="157"/>
  <c r="E109" i="157"/>
  <c r="E116" i="157"/>
  <c r="E124" i="157"/>
  <c r="G124" i="157" s="1"/>
  <c r="E138" i="157"/>
  <c r="E148" i="157"/>
  <c r="G148" i="157" s="1"/>
  <c r="E152" i="157"/>
  <c r="E157" i="157"/>
  <c r="E172" i="157"/>
  <c r="E176" i="157"/>
  <c r="E180" i="157"/>
  <c r="E184" i="157"/>
  <c r="E196" i="157"/>
  <c r="E203" i="157"/>
  <c r="E221" i="157"/>
  <c r="E231" i="157"/>
  <c r="G231" i="157" s="1"/>
  <c r="G235" i="157" s="1"/>
  <c r="K15" i="157" s="1"/>
  <c r="E15" i="158"/>
  <c r="G15" i="158" s="1"/>
  <c r="E11" i="27"/>
  <c r="E19" i="27"/>
  <c r="G19" i="27" s="1"/>
  <c r="E27" i="27"/>
  <c r="E31" i="27"/>
  <c r="E35" i="27"/>
  <c r="E47" i="27"/>
  <c r="E59" i="27"/>
  <c r="E66" i="27"/>
  <c r="E74" i="27"/>
  <c r="E78" i="27"/>
  <c r="E85" i="27"/>
  <c r="E96" i="27"/>
  <c r="E114" i="27"/>
  <c r="E118" i="27"/>
  <c r="E126" i="27"/>
  <c r="G126" i="27" s="1"/>
  <c r="E136" i="27"/>
  <c r="E146" i="27"/>
  <c r="E155" i="27"/>
  <c r="G155" i="27" s="1"/>
  <c r="E159" i="27"/>
  <c r="G159" i="27" s="1"/>
  <c r="E166" i="27"/>
  <c r="E174" i="27"/>
  <c r="E186" i="27"/>
  <c r="E190" i="27"/>
  <c r="E205" i="27"/>
  <c r="E13" i="165"/>
  <c r="E25" i="165"/>
  <c r="G25" i="165" s="1"/>
  <c r="E33" i="165"/>
  <c r="E37" i="165"/>
  <c r="G37" i="165" s="1"/>
  <c r="E41" i="165"/>
  <c r="E49" i="165"/>
  <c r="G49" i="165" s="1"/>
  <c r="E57" i="165"/>
  <c r="E64" i="165"/>
  <c r="G64" i="165" s="1"/>
  <c r="E68" i="165"/>
  <c r="E72" i="165"/>
  <c r="E76" i="165"/>
  <c r="E98" i="165"/>
  <c r="G98" i="165" s="1"/>
  <c r="E105" i="165"/>
  <c r="E109" i="165"/>
  <c r="E124" i="165"/>
  <c r="E129" i="165"/>
  <c r="G129" i="165" s="1"/>
  <c r="E148" i="165"/>
  <c r="E157" i="165"/>
  <c r="E184" i="165"/>
  <c r="G221" i="45"/>
  <c r="G232" i="45"/>
  <c r="G225" i="45"/>
  <c r="E118" i="149"/>
  <c r="G118" i="149" s="1"/>
  <c r="E47" i="149"/>
  <c r="G47" i="149" s="1"/>
  <c r="E178" i="149"/>
  <c r="E88" i="14"/>
  <c r="E18" i="45"/>
  <c r="E26" i="45"/>
  <c r="E42" i="45"/>
  <c r="E50" i="45"/>
  <c r="E54" i="45"/>
  <c r="E69" i="45"/>
  <c r="E117" i="45"/>
  <c r="E135" i="45"/>
  <c r="E169" i="45"/>
  <c r="E177" i="45"/>
  <c r="E181" i="45"/>
  <c r="E189" i="45"/>
  <c r="E193" i="45"/>
  <c r="E204" i="45"/>
  <c r="E223" i="45"/>
  <c r="E74" i="106"/>
  <c r="E96" i="106"/>
  <c r="E166" i="106"/>
  <c r="E224" i="106"/>
  <c r="G224" i="106" s="1"/>
  <c r="E25" i="43"/>
  <c r="E29" i="43"/>
  <c r="E33" i="43"/>
  <c r="G33" i="43" s="1"/>
  <c r="E45" i="43"/>
  <c r="E53" i="43"/>
  <c r="E64" i="43"/>
  <c r="E83" i="43"/>
  <c r="E105" i="43"/>
  <c r="E138" i="43"/>
  <c r="E143" i="43"/>
  <c r="E164" i="43"/>
  <c r="E168" i="43"/>
  <c r="E176" i="43"/>
  <c r="G176" i="43" s="1"/>
  <c r="E184" i="43"/>
  <c r="E78" i="84"/>
  <c r="E114" i="84"/>
  <c r="E131" i="84"/>
  <c r="E224" i="84"/>
  <c r="E18" i="71"/>
  <c r="E88" i="71"/>
  <c r="E15" i="39"/>
  <c r="E19" i="39"/>
  <c r="E74" i="39"/>
  <c r="E225" i="39"/>
  <c r="E180" i="133"/>
  <c r="E184" i="133"/>
  <c r="E188" i="133"/>
  <c r="E220" i="133"/>
  <c r="G220" i="133" s="1"/>
  <c r="E17" i="152"/>
  <c r="E29" i="152"/>
  <c r="E41" i="152"/>
  <c r="E57" i="152"/>
  <c r="E68" i="152"/>
  <c r="E87" i="152"/>
  <c r="E133" i="152"/>
  <c r="G133" i="152" s="1"/>
  <c r="E138" i="152"/>
  <c r="E152" i="152"/>
  <c r="E168" i="152"/>
  <c r="E176" i="152"/>
  <c r="G176" i="152" s="1"/>
  <c r="E196" i="152"/>
  <c r="E220" i="152"/>
  <c r="E67" i="120"/>
  <c r="E75" i="120"/>
  <c r="G75" i="120" s="1"/>
  <c r="E101" i="120"/>
  <c r="E123" i="120"/>
  <c r="E151" i="120"/>
  <c r="G151" i="120" s="1"/>
  <c r="E160" i="120"/>
  <c r="E175" i="120"/>
  <c r="E179" i="120"/>
  <c r="E191" i="120"/>
  <c r="E25" i="90"/>
  <c r="E72" i="90"/>
  <c r="E76" i="90"/>
  <c r="E98" i="90"/>
  <c r="E109" i="90"/>
  <c r="E172" i="90"/>
  <c r="E180" i="90"/>
  <c r="E184" i="90"/>
  <c r="E231" i="90"/>
  <c r="E17" i="24"/>
  <c r="E33" i="24"/>
  <c r="E49" i="24"/>
  <c r="E53" i="24"/>
  <c r="E64" i="24"/>
  <c r="E72" i="24"/>
  <c r="E133" i="24"/>
  <c r="G133" i="24" s="1"/>
  <c r="E143" i="24"/>
  <c r="E148" i="24"/>
  <c r="E64" i="28"/>
  <c r="E129" i="28"/>
  <c r="E25" i="65"/>
  <c r="E72" i="65"/>
  <c r="E138" i="65"/>
  <c r="E175" i="119"/>
  <c r="E227" i="25"/>
  <c r="E202" i="155"/>
  <c r="E85" i="149"/>
  <c r="E39" i="149"/>
  <c r="E150" i="149"/>
  <c r="E58" i="14"/>
  <c r="E33" i="55"/>
  <c r="E37" i="55"/>
  <c r="E87" i="55"/>
  <c r="E164" i="55"/>
  <c r="E196" i="55"/>
  <c r="E38" i="14"/>
  <c r="E99" i="14"/>
  <c r="E110" i="14"/>
  <c r="E15" i="149"/>
  <c r="E19" i="149"/>
  <c r="E31" i="149"/>
  <c r="E59" i="149"/>
  <c r="E66" i="149"/>
  <c r="E100" i="149"/>
  <c r="E114" i="149"/>
  <c r="G114" i="149" s="1"/>
  <c r="E166" i="149"/>
  <c r="E70" i="149"/>
  <c r="E136" i="149"/>
  <c r="E55" i="149"/>
  <c r="G55" i="149" s="1"/>
  <c r="E11" i="149"/>
  <c r="G11" i="149" s="1"/>
  <c r="E51" i="149"/>
  <c r="G13" i="45"/>
  <c r="G77" i="79"/>
  <c r="E222" i="54"/>
  <c r="E108" i="15"/>
  <c r="E14" i="68"/>
  <c r="E18" i="68"/>
  <c r="E77" i="68"/>
  <c r="G77" i="68" s="1"/>
  <c r="E232" i="68"/>
  <c r="G232" i="68" s="1"/>
  <c r="E220" i="62"/>
  <c r="G220" i="62" s="1"/>
  <c r="E41" i="53"/>
  <c r="G41" i="53" s="1"/>
  <c r="E49" i="53"/>
  <c r="E168" i="53"/>
  <c r="E224" i="47"/>
  <c r="G72" i="45"/>
  <c r="G105" i="45"/>
  <c r="G87" i="45"/>
  <c r="E44" i="60"/>
  <c r="G44" i="60" s="1"/>
  <c r="E16" i="54"/>
  <c r="E99" i="103"/>
  <c r="E220" i="118"/>
  <c r="E42" i="133"/>
  <c r="E224" i="158"/>
  <c r="E43" i="27"/>
  <c r="E55" i="27"/>
  <c r="E220" i="165"/>
  <c r="E69" i="172"/>
  <c r="E99" i="145"/>
  <c r="G99" i="145" s="1"/>
  <c r="E18" i="156"/>
  <c r="E74" i="155"/>
  <c r="E28" i="86"/>
  <c r="E32" i="86"/>
  <c r="E44" i="86"/>
  <c r="G44" i="86" s="1"/>
  <c r="E225" i="164"/>
  <c r="E130" i="62"/>
  <c r="E108" i="65"/>
  <c r="E35" i="157"/>
  <c r="E45" i="149"/>
  <c r="E49" i="149"/>
  <c r="E72" i="149"/>
  <c r="E83" i="149"/>
  <c r="E105" i="149"/>
  <c r="E133" i="149"/>
  <c r="E40" i="54"/>
  <c r="E75" i="54"/>
  <c r="E127" i="94"/>
  <c r="E30" i="45"/>
  <c r="E34" i="45"/>
  <c r="E38" i="45"/>
  <c r="E46" i="45"/>
  <c r="E58" i="45"/>
  <c r="E65" i="45"/>
  <c r="E73" i="45"/>
  <c r="E88" i="45"/>
  <c r="E92" i="45"/>
  <c r="E99" i="45"/>
  <c r="E106" i="45"/>
  <c r="E110" i="45"/>
  <c r="E125" i="45"/>
  <c r="E130" i="45"/>
  <c r="E140" i="45"/>
  <c r="E145" i="45"/>
  <c r="E153" i="45"/>
  <c r="E158" i="45"/>
  <c r="E165" i="45"/>
  <c r="E173" i="45"/>
  <c r="E185" i="45"/>
  <c r="E200" i="45"/>
  <c r="E106" i="71"/>
  <c r="E131" i="39"/>
  <c r="E25" i="24"/>
  <c r="E36" i="60"/>
  <c r="E166" i="145"/>
  <c r="E73" i="47"/>
  <c r="G73" i="47" s="1"/>
  <c r="E138" i="133"/>
  <c r="E17" i="120"/>
  <c r="E25" i="120"/>
  <c r="E25" i="141"/>
  <c r="G25" i="141" s="1"/>
  <c r="E42" i="38"/>
  <c r="E99" i="38"/>
  <c r="G99" i="38" s="1"/>
  <c r="E177" i="38"/>
  <c r="E60" i="150"/>
  <c r="E191" i="145"/>
  <c r="E56" i="62"/>
  <c r="E192" i="149"/>
  <c r="E196" i="149"/>
  <c r="E86" i="172"/>
  <c r="E149" i="149"/>
  <c r="E85" i="31"/>
  <c r="E19" i="58"/>
  <c r="E89" i="58"/>
  <c r="G89" i="58" s="1"/>
  <c r="E11" i="49"/>
  <c r="E19" i="49"/>
  <c r="E58" i="83"/>
  <c r="E200" i="106"/>
  <c r="E164" i="175"/>
  <c r="E140" i="84"/>
  <c r="E14" i="156"/>
  <c r="G14" i="156" s="1"/>
  <c r="G232" i="145"/>
  <c r="G222" i="145"/>
  <c r="G233" i="145"/>
  <c r="E146" i="145"/>
  <c r="E11" i="145"/>
  <c r="E189" i="145"/>
  <c r="E18" i="145"/>
  <c r="E77" i="145"/>
  <c r="E205" i="145"/>
  <c r="E136" i="145"/>
  <c r="E145" i="145"/>
  <c r="E224" i="145"/>
  <c r="E172" i="145"/>
  <c r="E105" i="145"/>
  <c r="E185" i="145"/>
  <c r="E50" i="145"/>
  <c r="E84" i="145"/>
  <c r="E92" i="145"/>
  <c r="E35" i="145"/>
  <c r="E114" i="145"/>
  <c r="E149" i="145"/>
  <c r="G149" i="145" s="1"/>
  <c r="E117" i="145"/>
  <c r="E100" i="145"/>
  <c r="E130" i="145"/>
  <c r="E41" i="145"/>
  <c r="E88" i="145"/>
  <c r="E173" i="145"/>
  <c r="E69" i="145"/>
  <c r="E59" i="145"/>
  <c r="E106" i="145"/>
  <c r="E19" i="145"/>
  <c r="E30" i="145"/>
  <c r="G30" i="145" s="1"/>
  <c r="E225" i="145"/>
  <c r="E129" i="145"/>
  <c r="E74" i="145"/>
  <c r="E125" i="145"/>
  <c r="G125" i="145" s="1"/>
  <c r="E73" i="145"/>
  <c r="G73" i="145" s="1"/>
  <c r="E182" i="145"/>
  <c r="E55" i="145"/>
  <c r="E193" i="145"/>
  <c r="E148" i="145"/>
  <c r="E140" i="145"/>
  <c r="E14" i="145"/>
  <c r="G14" i="145" s="1"/>
  <c r="E227" i="145"/>
  <c r="G45" i="20"/>
  <c r="G164" i="85"/>
  <c r="G44" i="72"/>
  <c r="E26" i="38"/>
  <c r="E65" i="38"/>
  <c r="E84" i="38"/>
  <c r="E106" i="38"/>
  <c r="E130" i="38"/>
  <c r="E149" i="38"/>
  <c r="E165" i="38"/>
  <c r="E189" i="38"/>
  <c r="E85" i="177"/>
  <c r="E107" i="177"/>
  <c r="G107" i="177" s="1"/>
  <c r="E136" i="177"/>
  <c r="G107" i="62"/>
  <c r="E205" i="177"/>
  <c r="E55" i="177"/>
  <c r="E170" i="177"/>
  <c r="G221" i="167"/>
  <c r="G150" i="37"/>
  <c r="E173" i="38"/>
  <c r="G138" i="113"/>
  <c r="G200" i="177"/>
  <c r="G189" i="27"/>
  <c r="G171" i="72"/>
  <c r="E33" i="31"/>
  <c r="E73" i="38"/>
  <c r="E92" i="38"/>
  <c r="E125" i="38"/>
  <c r="E193" i="38"/>
  <c r="G193" i="38" s="1"/>
  <c r="E146" i="177"/>
  <c r="E178" i="177"/>
  <c r="E190" i="177"/>
  <c r="E224" i="177"/>
  <c r="E166" i="177"/>
  <c r="G166" i="177" s="1"/>
  <c r="G108" i="167"/>
  <c r="G67" i="167"/>
  <c r="G48" i="167"/>
  <c r="G12" i="167"/>
  <c r="G49" i="167"/>
  <c r="E174" i="177"/>
  <c r="G194" i="37"/>
  <c r="G167" i="27"/>
  <c r="G133" i="72"/>
  <c r="E18" i="38"/>
  <c r="E38" i="38"/>
  <c r="E50" i="38"/>
  <c r="E69" i="38"/>
  <c r="E88" i="38"/>
  <c r="G88" i="38" s="1"/>
  <c r="E110" i="38"/>
  <c r="E135" i="38"/>
  <c r="E153" i="38"/>
  <c r="G153" i="38" s="1"/>
  <c r="E169" i="38"/>
  <c r="E185" i="38"/>
  <c r="E223" i="38"/>
  <c r="E47" i="177"/>
  <c r="E100" i="177"/>
  <c r="E150" i="177"/>
  <c r="G150" i="177" s="1"/>
  <c r="E155" i="177"/>
  <c r="E201" i="177"/>
  <c r="G226" i="150"/>
  <c r="G33" i="167"/>
  <c r="G39" i="37"/>
  <c r="G204" i="27"/>
  <c r="E34" i="38"/>
  <c r="E54" i="38"/>
  <c r="G54" i="38" s="1"/>
  <c r="E77" i="38"/>
  <c r="E145" i="38"/>
  <c r="E158" i="38"/>
  <c r="E181" i="38"/>
  <c r="E200" i="38"/>
  <c r="G200" i="38" s="1"/>
  <c r="E31" i="177"/>
  <c r="E43" i="177"/>
  <c r="E59" i="177"/>
  <c r="E78" i="177"/>
  <c r="E114" i="177"/>
  <c r="E141" i="177"/>
  <c r="E156" i="150"/>
  <c r="G156" i="150" s="1"/>
  <c r="G96" i="149"/>
  <c r="E19" i="177"/>
  <c r="E49" i="31"/>
  <c r="G106" i="72"/>
  <c r="G168" i="85"/>
  <c r="G28" i="149"/>
  <c r="G177" i="27"/>
  <c r="E30" i="38"/>
  <c r="E58" i="38"/>
  <c r="E140" i="38"/>
  <c r="E204" i="38"/>
  <c r="E70" i="177"/>
  <c r="E96" i="177"/>
  <c r="E194" i="177"/>
  <c r="G194" i="177" s="1"/>
  <c r="G169" i="177"/>
  <c r="G106" i="113"/>
  <c r="E118" i="177"/>
  <c r="E89" i="177"/>
  <c r="E182" i="177"/>
  <c r="G182" i="177" s="1"/>
  <c r="E186" i="177"/>
  <c r="E66" i="177"/>
  <c r="G66" i="177" s="1"/>
  <c r="G114" i="62"/>
  <c r="G129" i="62"/>
  <c r="G226" i="72"/>
  <c r="E149" i="133"/>
  <c r="E56" i="149"/>
  <c r="G56" i="149" s="1"/>
  <c r="G219" i="149"/>
  <c r="E16" i="172"/>
  <c r="E11" i="143"/>
  <c r="E15" i="143"/>
  <c r="E19" i="143"/>
  <c r="E27" i="143"/>
  <c r="E31" i="143"/>
  <c r="E35" i="143"/>
  <c r="G35" i="143" s="1"/>
  <c r="E39" i="143"/>
  <c r="E43" i="143"/>
  <c r="E47" i="143"/>
  <c r="E51" i="143"/>
  <c r="E55" i="143"/>
  <c r="E59" i="143"/>
  <c r="G59" i="143" s="1"/>
  <c r="E66" i="143"/>
  <c r="G66" i="143" s="1"/>
  <c r="E70" i="143"/>
  <c r="E74" i="143"/>
  <c r="G74" i="143" s="1"/>
  <c r="E78" i="143"/>
  <c r="G78" i="143" s="1"/>
  <c r="E85" i="143"/>
  <c r="E89" i="143"/>
  <c r="E96" i="143"/>
  <c r="E100" i="143"/>
  <c r="G100" i="143" s="1"/>
  <c r="E107" i="143"/>
  <c r="G107" i="143" s="1"/>
  <c r="E114" i="143"/>
  <c r="E118" i="143"/>
  <c r="E126" i="143"/>
  <c r="E131" i="143"/>
  <c r="E136" i="143"/>
  <c r="E141" i="143"/>
  <c r="E146" i="143"/>
  <c r="G146" i="143" s="1"/>
  <c r="E51" i="10"/>
  <c r="E55" i="10"/>
  <c r="E59" i="10"/>
  <c r="E66" i="10"/>
  <c r="E225" i="10"/>
  <c r="G225" i="10" s="1"/>
  <c r="E27" i="87"/>
  <c r="E43" i="87"/>
  <c r="G43" i="87" s="1"/>
  <c r="E89" i="87"/>
  <c r="E107" i="87"/>
  <c r="E136" i="87"/>
  <c r="E141" i="87"/>
  <c r="G141" i="87" s="1"/>
  <c r="E205" i="87"/>
  <c r="E225" i="87"/>
  <c r="G225" i="87" s="1"/>
  <c r="E11" i="86"/>
  <c r="G11" i="86" s="1"/>
  <c r="E15" i="86"/>
  <c r="G15" i="86" s="1"/>
  <c r="E19" i="86"/>
  <c r="E190" i="86"/>
  <c r="E201" i="86"/>
  <c r="E225" i="86"/>
  <c r="E11" i="89"/>
  <c r="E19" i="89"/>
  <c r="E27" i="89"/>
  <c r="E35" i="89"/>
  <c r="E39" i="89"/>
  <c r="E47" i="89"/>
  <c r="E51" i="89"/>
  <c r="E55" i="89"/>
  <c r="G55" i="89" s="1"/>
  <c r="E59" i="89"/>
  <c r="E70" i="89"/>
  <c r="G70" i="89" s="1"/>
  <c r="E74" i="89"/>
  <c r="E78" i="89"/>
  <c r="E85" i="89"/>
  <c r="E96" i="89"/>
  <c r="E100" i="89"/>
  <c r="E118" i="89"/>
  <c r="E155" i="89"/>
  <c r="E166" i="89"/>
  <c r="G166" i="89" s="1"/>
  <c r="E174" i="89"/>
  <c r="E182" i="89"/>
  <c r="E190" i="89"/>
  <c r="E225" i="89"/>
  <c r="E11" i="69"/>
  <c r="E15" i="69"/>
  <c r="E35" i="69"/>
  <c r="E47" i="69"/>
  <c r="E55" i="69"/>
  <c r="E59" i="69"/>
  <c r="E70" i="69"/>
  <c r="E74" i="69"/>
  <c r="G74" i="69" s="1"/>
  <c r="E100" i="69"/>
  <c r="E150" i="69"/>
  <c r="E225" i="69"/>
  <c r="E11" i="142"/>
  <c r="E19" i="142"/>
  <c r="E27" i="142"/>
  <c r="E31" i="142"/>
  <c r="E43" i="142"/>
  <c r="E47" i="142"/>
  <c r="E51" i="142"/>
  <c r="E55" i="142"/>
  <c r="E70" i="142"/>
  <c r="E74" i="142"/>
  <c r="E85" i="142"/>
  <c r="E224" i="142"/>
  <c r="E11" i="92"/>
  <c r="E19" i="92"/>
  <c r="E27" i="92"/>
  <c r="E39" i="92"/>
  <c r="G39" i="92" s="1"/>
  <c r="E43" i="92"/>
  <c r="E55" i="92"/>
  <c r="E59" i="92"/>
  <c r="E70" i="92"/>
  <c r="G70" i="92" s="1"/>
  <c r="E96" i="92"/>
  <c r="E224" i="92"/>
  <c r="G224" i="92" s="1"/>
  <c r="E11" i="1"/>
  <c r="E15" i="1"/>
  <c r="E19" i="1"/>
  <c r="E27" i="1"/>
  <c r="G27" i="1" s="1"/>
  <c r="E35" i="1"/>
  <c r="E39" i="1"/>
  <c r="E43" i="1"/>
  <c r="E47" i="1"/>
  <c r="E51" i="1"/>
  <c r="E59" i="1"/>
  <c r="E70" i="1"/>
  <c r="E78" i="1"/>
  <c r="E85" i="1"/>
  <c r="G85" i="1" s="1"/>
  <c r="E89" i="1"/>
  <c r="E100" i="1"/>
  <c r="E70" i="50"/>
  <c r="E114" i="50"/>
  <c r="E126" i="50"/>
  <c r="E131" i="50"/>
  <c r="E136" i="50"/>
  <c r="E224" i="50"/>
  <c r="E11" i="95"/>
  <c r="E15" i="95"/>
  <c r="E19" i="95"/>
  <c r="E27" i="95"/>
  <c r="E11" i="38"/>
  <c r="E15" i="38"/>
  <c r="E19" i="38"/>
  <c r="E27" i="38"/>
  <c r="E31" i="38"/>
  <c r="E35" i="38"/>
  <c r="E39" i="38"/>
  <c r="E43" i="38"/>
  <c r="E47" i="38"/>
  <c r="E51" i="38"/>
  <c r="E59" i="38"/>
  <c r="E66" i="38"/>
  <c r="E70" i="38"/>
  <c r="G70" i="38" s="1"/>
  <c r="E74" i="38"/>
  <c r="G74" i="38" s="1"/>
  <c r="E100" i="38"/>
  <c r="E107" i="38"/>
  <c r="E118" i="38"/>
  <c r="E190" i="38"/>
  <c r="E205" i="38"/>
  <c r="G205" i="38" s="1"/>
  <c r="E224" i="38"/>
  <c r="E25" i="150"/>
  <c r="E29" i="150"/>
  <c r="E33" i="150"/>
  <c r="G46" i="37"/>
  <c r="E219" i="106"/>
  <c r="G219" i="106" s="1"/>
  <c r="E227" i="106"/>
  <c r="E19" i="104"/>
  <c r="E39" i="104"/>
  <c r="E225" i="104"/>
  <c r="E223" i="43"/>
  <c r="G223" i="43" s="1"/>
  <c r="E52" i="84"/>
  <c r="E227" i="84"/>
  <c r="E28" i="71"/>
  <c r="G28" i="71" s="1"/>
  <c r="E226" i="71"/>
  <c r="E13" i="39"/>
  <c r="E17" i="39"/>
  <c r="E26" i="120"/>
  <c r="E42" i="120"/>
  <c r="G109" i="37"/>
  <c r="E222" i="24"/>
  <c r="E232" i="24"/>
  <c r="E232" i="141"/>
  <c r="G232" i="141" s="1"/>
  <c r="E222" i="32"/>
  <c r="G222" i="32" s="1"/>
  <c r="E232" i="32"/>
  <c r="E231" i="64"/>
  <c r="E186" i="156"/>
  <c r="E12" i="42"/>
  <c r="E16" i="42"/>
  <c r="E20" i="42"/>
  <c r="G20" i="42" s="1"/>
  <c r="E28" i="42"/>
  <c r="E32" i="42"/>
  <c r="E36" i="42"/>
  <c r="E40" i="42"/>
  <c r="E44" i="42"/>
  <c r="E48" i="42"/>
  <c r="E52" i="42"/>
  <c r="E56" i="42"/>
  <c r="G56" i="42" s="1"/>
  <c r="E60" i="42"/>
  <c r="G60" i="42" s="1"/>
  <c r="E67" i="42"/>
  <c r="E86" i="42"/>
  <c r="G86" i="42" s="1"/>
  <c r="E132" i="42"/>
  <c r="E147" i="42"/>
  <c r="E19" i="157"/>
  <c r="E27" i="157"/>
  <c r="E31" i="157"/>
  <c r="E39" i="157"/>
  <c r="E47" i="157"/>
  <c r="E59" i="157"/>
  <c r="G59" i="157" s="1"/>
  <c r="E224" i="157"/>
  <c r="E13" i="158"/>
  <c r="E37" i="158"/>
  <c r="E41" i="158"/>
  <c r="E33" i="16"/>
  <c r="E37" i="16"/>
  <c r="E45" i="16"/>
  <c r="E49" i="16"/>
  <c r="G49" i="16" s="1"/>
  <c r="E57" i="16"/>
  <c r="E64" i="16"/>
  <c r="E68" i="16"/>
  <c r="E76" i="16"/>
  <c r="E83" i="16"/>
  <c r="E87" i="16"/>
  <c r="E105" i="16"/>
  <c r="E138" i="16"/>
  <c r="E148" i="16"/>
  <c r="E220" i="16"/>
  <c r="E13" i="27"/>
  <c r="E57" i="27"/>
  <c r="E224" i="165"/>
  <c r="E15" i="55"/>
  <c r="E19" i="55"/>
  <c r="E27" i="55"/>
  <c r="E31" i="55"/>
  <c r="E35" i="55"/>
  <c r="E39" i="55"/>
  <c r="E43" i="55"/>
  <c r="E47" i="55"/>
  <c r="E51" i="55"/>
  <c r="E55" i="55"/>
  <c r="E59" i="55"/>
  <c r="E66" i="55"/>
  <c r="G66" i="55" s="1"/>
  <c r="E70" i="55"/>
  <c r="E74" i="55"/>
  <c r="E89" i="55"/>
  <c r="E100" i="55"/>
  <c r="E12" i="14"/>
  <c r="E20" i="14"/>
  <c r="E32" i="14"/>
  <c r="E48" i="14"/>
  <c r="E167" i="14"/>
  <c r="E16" i="103"/>
  <c r="E67" i="63"/>
  <c r="E71" i="63"/>
  <c r="E75" i="63"/>
  <c r="G75" i="63" s="1"/>
  <c r="E160" i="63"/>
  <c r="E28" i="62"/>
  <c r="G28" i="62" s="1"/>
  <c r="E32" i="62"/>
  <c r="E52" i="62"/>
  <c r="E18" i="53"/>
  <c r="E46" i="53"/>
  <c r="G46" i="53" s="1"/>
  <c r="E54" i="53"/>
  <c r="E73" i="53"/>
  <c r="E223" i="53"/>
  <c r="E69" i="98"/>
  <c r="E222" i="98"/>
  <c r="G222" i="98" s="1"/>
  <c r="E232" i="98"/>
  <c r="E38" i="49"/>
  <c r="E46" i="49"/>
  <c r="E54" i="49"/>
  <c r="E58" i="49"/>
  <c r="E65" i="49"/>
  <c r="E73" i="49"/>
  <c r="E87" i="49"/>
  <c r="E98" i="49"/>
  <c r="E105" i="49"/>
  <c r="E157" i="49"/>
  <c r="E124" i="83"/>
  <c r="E225" i="83"/>
  <c r="E188" i="47"/>
  <c r="E192" i="47"/>
  <c r="E14" i="43"/>
  <c r="G14" i="43" s="1"/>
  <c r="E18" i="43"/>
  <c r="E30" i="43"/>
  <c r="E42" i="43"/>
  <c r="E222" i="43"/>
  <c r="E28" i="39"/>
  <c r="E227" i="120"/>
  <c r="E232" i="90"/>
  <c r="E64" i="141"/>
  <c r="E76" i="141"/>
  <c r="E98" i="141"/>
  <c r="E105" i="141"/>
  <c r="E116" i="141"/>
  <c r="E124" i="141"/>
  <c r="E25" i="32"/>
  <c r="E45" i="32"/>
  <c r="E49" i="32"/>
  <c r="E72" i="32"/>
  <c r="G72" i="32" s="1"/>
  <c r="E83" i="32"/>
  <c r="E190" i="155"/>
  <c r="E220" i="145"/>
  <c r="E219" i="19"/>
  <c r="E27" i="15"/>
  <c r="E51" i="15"/>
  <c r="E220" i="68"/>
  <c r="E19" i="53"/>
  <c r="G19" i="53" s="1"/>
  <c r="E35" i="53"/>
  <c r="E43" i="53"/>
  <c r="E106" i="49"/>
  <c r="E221" i="49"/>
  <c r="E231" i="49"/>
  <c r="E221" i="46"/>
  <c r="E138" i="106"/>
  <c r="E231" i="25"/>
  <c r="E176" i="149"/>
  <c r="G176" i="149" s="1"/>
  <c r="E16" i="143"/>
  <c r="E32" i="143"/>
  <c r="G32" i="143" s="1"/>
  <c r="E48" i="143"/>
  <c r="E75" i="143"/>
  <c r="E156" i="143"/>
  <c r="E160" i="143"/>
  <c r="E171" i="143"/>
  <c r="E187" i="143"/>
  <c r="E195" i="143"/>
  <c r="G195" i="143" s="1"/>
  <c r="E226" i="143"/>
  <c r="E12" i="10"/>
  <c r="E20" i="10"/>
  <c r="E36" i="10"/>
  <c r="E44" i="10"/>
  <c r="E48" i="10"/>
  <c r="E67" i="10"/>
  <c r="G67" i="10" s="1"/>
  <c r="E71" i="10"/>
  <c r="E75" i="10"/>
  <c r="E90" i="10"/>
  <c r="E97" i="10"/>
  <c r="E123" i="10"/>
  <c r="E12" i="87"/>
  <c r="E16" i="87"/>
  <c r="E20" i="87"/>
  <c r="E28" i="87"/>
  <c r="E36" i="87"/>
  <c r="E44" i="87"/>
  <c r="E56" i="87"/>
  <c r="E67" i="87"/>
  <c r="E90" i="87"/>
  <c r="E97" i="87"/>
  <c r="E108" i="87"/>
  <c r="E123" i="87"/>
  <c r="E127" i="87"/>
  <c r="E137" i="87"/>
  <c r="E142" i="87"/>
  <c r="E187" i="87"/>
  <c r="E195" i="87"/>
  <c r="E202" i="87"/>
  <c r="E12" i="86"/>
  <c r="E20" i="86"/>
  <c r="E40" i="86"/>
  <c r="E48" i="86"/>
  <c r="E52" i="86"/>
  <c r="E56" i="86"/>
  <c r="E60" i="86"/>
  <c r="E67" i="86"/>
  <c r="G67" i="86" s="1"/>
  <c r="E71" i="86"/>
  <c r="E75" i="86"/>
  <c r="E86" i="86"/>
  <c r="E90" i="86"/>
  <c r="E97" i="86"/>
  <c r="E101" i="86"/>
  <c r="E115" i="86"/>
  <c r="E123" i="86"/>
  <c r="E127" i="86"/>
  <c r="E132" i="86"/>
  <c r="G132" i="86" s="1"/>
  <c r="E142" i="86"/>
  <c r="E147" i="86"/>
  <c r="E151" i="86"/>
  <c r="E156" i="86"/>
  <c r="E160" i="86"/>
  <c r="G160" i="86" s="1"/>
  <c r="E167" i="86"/>
  <c r="E171" i="86"/>
  <c r="E175" i="86"/>
  <c r="E179" i="86"/>
  <c r="E191" i="86"/>
  <c r="E195" i="86"/>
  <c r="E226" i="86"/>
  <c r="E60" i="89"/>
  <c r="E71" i="89"/>
  <c r="E82" i="89"/>
  <c r="E86" i="89"/>
  <c r="E97" i="89"/>
  <c r="E101" i="89"/>
  <c r="E108" i="89"/>
  <c r="E115" i="89"/>
  <c r="E123" i="89"/>
  <c r="E127" i="89"/>
  <c r="E137" i="89"/>
  <c r="G137" i="89" s="1"/>
  <c r="E147" i="89"/>
  <c r="E151" i="89"/>
  <c r="E156" i="89"/>
  <c r="E167" i="89"/>
  <c r="E195" i="89"/>
  <c r="G195" i="89" s="1"/>
  <c r="E226" i="89"/>
  <c r="E48" i="69"/>
  <c r="E71" i="69"/>
  <c r="E86" i="69"/>
  <c r="E97" i="69"/>
  <c r="E108" i="69"/>
  <c r="E132" i="69"/>
  <c r="E142" i="69"/>
  <c r="E167" i="69"/>
  <c r="E226" i="69"/>
  <c r="E12" i="142"/>
  <c r="E16" i="142"/>
  <c r="E20" i="142"/>
  <c r="E32" i="142"/>
  <c r="E36" i="142"/>
  <c r="E40" i="142"/>
  <c r="E52" i="142"/>
  <c r="E225" i="50"/>
  <c r="E82" i="31"/>
  <c r="E75" i="31"/>
  <c r="E71" i="31"/>
  <c r="E67" i="31"/>
  <c r="E60" i="31"/>
  <c r="E56" i="31"/>
  <c r="E52" i="31"/>
  <c r="E48" i="31"/>
  <c r="E44" i="31"/>
  <c r="E40" i="31"/>
  <c r="G40" i="31" s="1"/>
  <c r="E36" i="31"/>
  <c r="E32" i="31"/>
  <c r="E28" i="31"/>
  <c r="E20" i="31"/>
  <c r="G20" i="31" s="1"/>
  <c r="E16" i="31"/>
  <c r="E12" i="31"/>
  <c r="G12" i="31" s="1"/>
  <c r="E85" i="38"/>
  <c r="E89" i="38"/>
  <c r="E96" i="38"/>
  <c r="E131" i="38"/>
  <c r="E141" i="38"/>
  <c r="E225" i="38"/>
  <c r="E37" i="150"/>
  <c r="E41" i="150"/>
  <c r="E45" i="150"/>
  <c r="E76" i="150"/>
  <c r="E109" i="150"/>
  <c r="E116" i="150"/>
  <c r="E124" i="150"/>
  <c r="E157" i="150"/>
  <c r="E172" i="150"/>
  <c r="E176" i="150"/>
  <c r="E180" i="150"/>
  <c r="E184" i="150"/>
  <c r="E192" i="150"/>
  <c r="G192" i="150" s="1"/>
  <c r="E223" i="178"/>
  <c r="E220" i="150"/>
  <c r="E203" i="150"/>
  <c r="E232" i="155"/>
  <c r="E20" i="1"/>
  <c r="E32" i="1"/>
  <c r="E77" i="49"/>
  <c r="E46" i="83"/>
  <c r="G46" i="83" s="1"/>
  <c r="E89" i="94"/>
  <c r="E100" i="94"/>
  <c r="E73" i="63"/>
  <c r="E42" i="118"/>
  <c r="E36" i="54"/>
  <c r="E86" i="54"/>
  <c r="E97" i="54"/>
  <c r="E35" i="47"/>
  <c r="E55" i="47"/>
  <c r="E147" i="69"/>
  <c r="E160" i="69"/>
  <c r="E175" i="69"/>
  <c r="G175" i="69" s="1"/>
  <c r="E191" i="69"/>
  <c r="E187" i="92"/>
  <c r="E195" i="92"/>
  <c r="E182" i="31"/>
  <c r="E174" i="31"/>
  <c r="E170" i="31"/>
  <c r="E159" i="31"/>
  <c r="E150" i="31"/>
  <c r="E146" i="31"/>
  <c r="E100" i="31"/>
  <c r="E96" i="31"/>
  <c r="E53" i="150"/>
  <c r="E98" i="150"/>
  <c r="E148" i="94"/>
  <c r="E160" i="164"/>
  <c r="E110" i="63"/>
  <c r="E46" i="62"/>
  <c r="E50" i="62"/>
  <c r="E132" i="58"/>
  <c r="E73" i="119"/>
  <c r="E77" i="119"/>
  <c r="E117" i="25"/>
  <c r="E92" i="155"/>
  <c r="E89" i="157"/>
  <c r="E100" i="157"/>
  <c r="E114" i="157"/>
  <c r="E49" i="27"/>
  <c r="E53" i="27"/>
  <c r="E124" i="27"/>
  <c r="G124" i="27" s="1"/>
  <c r="E155" i="55"/>
  <c r="E72" i="145"/>
  <c r="E83" i="145"/>
  <c r="E91" i="145"/>
  <c r="E132" i="19"/>
  <c r="G132" i="19" s="1"/>
  <c r="E195" i="19"/>
  <c r="E90" i="106"/>
  <c r="E41" i="43"/>
  <c r="E129" i="43"/>
  <c r="E89" i="39"/>
  <c r="E126" i="39"/>
  <c r="E182" i="39"/>
  <c r="G182" i="39" s="1"/>
  <c r="E91" i="90"/>
  <c r="E16" i="64"/>
  <c r="E97" i="64"/>
  <c r="E101" i="64"/>
  <c r="E71" i="28"/>
  <c r="E86" i="65"/>
  <c r="E101" i="65"/>
  <c r="E17" i="42"/>
  <c r="E73" i="103"/>
  <c r="E135" i="145"/>
  <c r="E52" i="15"/>
  <c r="E205" i="66"/>
  <c r="E53" i="58"/>
  <c r="E109" i="58"/>
  <c r="E138" i="58"/>
  <c r="E11" i="43"/>
  <c r="E39" i="43"/>
  <c r="E184" i="24"/>
  <c r="E182" i="155"/>
  <c r="E125" i="16"/>
  <c r="E38" i="150"/>
  <c r="E12" i="145"/>
  <c r="E160" i="66"/>
  <c r="E52" i="63"/>
  <c r="E186" i="152"/>
  <c r="E73" i="28"/>
  <c r="E145" i="28"/>
  <c r="E130" i="65"/>
  <c r="E75" i="119"/>
  <c r="E183" i="119"/>
  <c r="E191" i="119"/>
  <c r="G191" i="119" s="1"/>
  <c r="E56" i="25"/>
  <c r="E86" i="25"/>
  <c r="E97" i="25"/>
  <c r="E147" i="25"/>
  <c r="G147" i="25" s="1"/>
  <c r="E27" i="158"/>
  <c r="E31" i="158"/>
  <c r="G31" i="158" s="1"/>
  <c r="E27" i="16"/>
  <c r="E177" i="86"/>
  <c r="E42" i="89"/>
  <c r="E84" i="89"/>
  <c r="E56" i="54"/>
  <c r="E87" i="63"/>
  <c r="E105" i="63"/>
  <c r="E65" i="53"/>
  <c r="E88" i="53"/>
  <c r="E110" i="53"/>
  <c r="E18" i="98"/>
  <c r="E38" i="98"/>
  <c r="E42" i="98"/>
  <c r="E99" i="71"/>
  <c r="G99" i="71" s="1"/>
  <c r="E117" i="71"/>
  <c r="E108" i="133"/>
  <c r="E159" i="10"/>
  <c r="E11" i="87"/>
  <c r="E19" i="87"/>
  <c r="E31" i="87"/>
  <c r="E35" i="87"/>
  <c r="E39" i="87"/>
  <c r="E47" i="87"/>
  <c r="E51" i="87"/>
  <c r="E55" i="87"/>
  <c r="E59" i="87"/>
  <c r="E66" i="87"/>
  <c r="E70" i="87"/>
  <c r="E78" i="87"/>
  <c r="E85" i="87"/>
  <c r="E96" i="87"/>
  <c r="E100" i="87"/>
  <c r="E126" i="87"/>
  <c r="E150" i="87"/>
  <c r="E174" i="86"/>
  <c r="E182" i="86"/>
  <c r="G182" i="86" s="1"/>
  <c r="E182" i="69"/>
  <c r="E190" i="69"/>
  <c r="E13" i="31"/>
  <c r="G48" i="113"/>
  <c r="G185" i="113"/>
  <c r="G233" i="113"/>
  <c r="G96" i="113"/>
  <c r="G130" i="113"/>
  <c r="G148" i="113"/>
  <c r="G164" i="113"/>
  <c r="G179" i="113"/>
  <c r="G195" i="113"/>
  <c r="G53" i="113"/>
  <c r="G123" i="113"/>
  <c r="G158" i="113"/>
  <c r="G180" i="113"/>
  <c r="G75" i="113"/>
  <c r="G160" i="113"/>
  <c r="G157" i="113"/>
  <c r="G201" i="113"/>
  <c r="G13" i="113"/>
  <c r="G59" i="113"/>
  <c r="G84" i="113"/>
  <c r="G88" i="113"/>
  <c r="G109" i="113"/>
  <c r="E205" i="113"/>
  <c r="G149" i="113"/>
  <c r="E140" i="113"/>
  <c r="G140" i="113" s="1"/>
  <c r="E116" i="113"/>
  <c r="E37" i="113"/>
  <c r="E78" i="113"/>
  <c r="E131" i="113"/>
  <c r="E136" i="113"/>
  <c r="G172" i="113"/>
  <c r="G124" i="113"/>
  <c r="E26" i="113"/>
  <c r="E187" i="113"/>
  <c r="E167" i="113"/>
  <c r="E219" i="113"/>
  <c r="G219" i="113" s="1"/>
  <c r="E70" i="113"/>
  <c r="G70" i="113" s="1"/>
  <c r="E194" i="113"/>
  <c r="G173" i="113"/>
  <c r="E33" i="113"/>
  <c r="G165" i="113"/>
  <c r="G171" i="113"/>
  <c r="G221" i="113"/>
  <c r="E18" i="113"/>
  <c r="E68" i="113"/>
  <c r="G68" i="113" s="1"/>
  <c r="E100" i="113"/>
  <c r="G58" i="113"/>
  <c r="G193" i="113"/>
  <c r="G83" i="113"/>
  <c r="G90" i="113"/>
  <c r="E42" i="113"/>
  <c r="E105" i="113"/>
  <c r="E224" i="113"/>
  <c r="E127" i="113"/>
  <c r="E92" i="113"/>
  <c r="E175" i="113"/>
  <c r="G55" i="62"/>
  <c r="G16" i="62"/>
  <c r="K18" i="174"/>
  <c r="E43" i="174"/>
  <c r="E47" i="174"/>
  <c r="E51" i="174"/>
  <c r="E55" i="174"/>
  <c r="E59" i="174"/>
  <c r="G59" i="174" s="1"/>
  <c r="E66" i="174"/>
  <c r="E70" i="174"/>
  <c r="E74" i="174"/>
  <c r="G74" i="174" s="1"/>
  <c r="E78" i="174"/>
  <c r="E85" i="174"/>
  <c r="E89" i="174"/>
  <c r="E100" i="174"/>
  <c r="E107" i="174"/>
  <c r="E114" i="174"/>
  <c r="E118" i="174"/>
  <c r="E126" i="174"/>
  <c r="E176" i="53"/>
  <c r="E180" i="53"/>
  <c r="E184" i="53"/>
  <c r="E188" i="53"/>
  <c r="E196" i="53"/>
  <c r="E221" i="53"/>
  <c r="E231" i="53"/>
  <c r="E13" i="98"/>
  <c r="E17" i="98"/>
  <c r="E25" i="98"/>
  <c r="E29" i="98"/>
  <c r="E33" i="98"/>
  <c r="G33" i="98" s="1"/>
  <c r="E37" i="98"/>
  <c r="G37" i="98" s="1"/>
  <c r="E41" i="98"/>
  <c r="E45" i="98"/>
  <c r="G45" i="98" s="1"/>
  <c r="E49" i="98"/>
  <c r="E53" i="98"/>
  <c r="E57" i="98"/>
  <c r="E64" i="98"/>
  <c r="E68" i="98"/>
  <c r="E72" i="98"/>
  <c r="E76" i="98"/>
  <c r="E98" i="98"/>
  <c r="E124" i="98"/>
  <c r="E129" i="98"/>
  <c r="E145" i="106"/>
  <c r="E173" i="106"/>
  <c r="E185" i="106"/>
  <c r="K208" i="57"/>
  <c r="J208" i="57"/>
  <c r="E14" i="84"/>
  <c r="E18" i="84"/>
  <c r="E26" i="84"/>
  <c r="E50" i="84"/>
  <c r="E54" i="84"/>
  <c r="E58" i="84"/>
  <c r="G58" i="84" s="1"/>
  <c r="E65" i="84"/>
  <c r="E69" i="84"/>
  <c r="E73" i="84"/>
  <c r="E200" i="39"/>
  <c r="E204" i="39"/>
  <c r="E222" i="39"/>
  <c r="E232" i="39"/>
  <c r="E11" i="133"/>
  <c r="E15" i="133"/>
  <c r="E66" i="152"/>
  <c r="E70" i="152"/>
  <c r="E78" i="152"/>
  <c r="E85" i="152"/>
  <c r="E89" i="152"/>
  <c r="E96" i="152"/>
  <c r="E100" i="152"/>
  <c r="G100" i="152" s="1"/>
  <c r="E107" i="152"/>
  <c r="E118" i="152"/>
  <c r="E126" i="152"/>
  <c r="E131" i="152"/>
  <c r="E136" i="152"/>
  <c r="E141" i="152"/>
  <c r="E150" i="152"/>
  <c r="E155" i="152"/>
  <c r="G155" i="152" s="1"/>
  <c r="E159" i="152"/>
  <c r="G159" i="152" s="1"/>
  <c r="E166" i="152"/>
  <c r="E170" i="152"/>
  <c r="E174" i="152"/>
  <c r="E182" i="152"/>
  <c r="E190" i="152"/>
  <c r="E194" i="152"/>
  <c r="E201" i="152"/>
  <c r="G201" i="152" s="1"/>
  <c r="E205" i="152"/>
  <c r="E224" i="152"/>
  <c r="E31" i="120"/>
  <c r="E35" i="120"/>
  <c r="E18" i="141"/>
  <c r="E26" i="141"/>
  <c r="G26" i="141" s="1"/>
  <c r="E30" i="141"/>
  <c r="E117" i="64"/>
  <c r="E125" i="64"/>
  <c r="G125" i="64" s="1"/>
  <c r="E130" i="64"/>
  <c r="E140" i="64"/>
  <c r="E145" i="64"/>
  <c r="E149" i="64"/>
  <c r="E153" i="64"/>
  <c r="E158" i="64"/>
  <c r="G158" i="64" s="1"/>
  <c r="E165" i="64"/>
  <c r="E169" i="64"/>
  <c r="G169" i="64" s="1"/>
  <c r="E181" i="64"/>
  <c r="E185" i="64"/>
  <c r="G185" i="64" s="1"/>
  <c r="E189" i="64"/>
  <c r="E193" i="64"/>
  <c r="G193" i="64" s="1"/>
  <c r="E222" i="64"/>
  <c r="G33" i="72"/>
  <c r="G39" i="72"/>
  <c r="G65" i="72"/>
  <c r="G100" i="72"/>
  <c r="G127" i="72"/>
  <c r="K208" i="72"/>
  <c r="G40" i="113"/>
  <c r="G195" i="167"/>
  <c r="G179" i="167"/>
  <c r="E203" i="53"/>
  <c r="G203" i="53" s="1"/>
  <c r="G129" i="113"/>
  <c r="G233" i="10"/>
  <c r="E96" i="174"/>
  <c r="J208" i="72"/>
  <c r="E14" i="28"/>
  <c r="G14" i="28" s="1"/>
  <c r="E18" i="28"/>
  <c r="E26" i="28"/>
  <c r="E30" i="28"/>
  <c r="E34" i="28"/>
  <c r="E38" i="28"/>
  <c r="E42" i="28"/>
  <c r="E46" i="28"/>
  <c r="G46" i="28" s="1"/>
  <c r="E50" i="28"/>
  <c r="E54" i="28"/>
  <c r="E58" i="28"/>
  <c r="E65" i="28"/>
  <c r="E69" i="28"/>
  <c r="E77" i="28"/>
  <c r="E84" i="28"/>
  <c r="E88" i="28"/>
  <c r="E92" i="28"/>
  <c r="E99" i="28"/>
  <c r="E106" i="28"/>
  <c r="E117" i="28"/>
  <c r="E125" i="28"/>
  <c r="E130" i="28"/>
  <c r="E135" i="28"/>
  <c r="E140" i="28"/>
  <c r="G140" i="28" s="1"/>
  <c r="E153" i="28"/>
  <c r="E158" i="28"/>
  <c r="E165" i="28"/>
  <c r="E185" i="28"/>
  <c r="E189" i="28"/>
  <c r="E193" i="28"/>
  <c r="G193" i="28" s="1"/>
  <c r="E204" i="28"/>
  <c r="E223" i="28"/>
  <c r="E233" i="28"/>
  <c r="E14" i="65"/>
  <c r="G14" i="65" s="1"/>
  <c r="E18" i="65"/>
  <c r="G18" i="65" s="1"/>
  <c r="E26" i="65"/>
  <c r="E30" i="65"/>
  <c r="G30" i="65" s="1"/>
  <c r="E34" i="65"/>
  <c r="E42" i="65"/>
  <c r="E50" i="65"/>
  <c r="E69" i="65"/>
  <c r="E77" i="65"/>
  <c r="E84" i="65"/>
  <c r="E92" i="65"/>
  <c r="E106" i="65"/>
  <c r="E110" i="65"/>
  <c r="E117" i="65"/>
  <c r="E125" i="65"/>
  <c r="E140" i="65"/>
  <c r="E145" i="65"/>
  <c r="E149" i="65"/>
  <c r="E153" i="65"/>
  <c r="E158" i="65"/>
  <c r="G158" i="65" s="1"/>
  <c r="E165" i="65"/>
  <c r="E169" i="65"/>
  <c r="E173" i="65"/>
  <c r="E177" i="65"/>
  <c r="E181" i="65"/>
  <c r="E185" i="65"/>
  <c r="E189" i="65"/>
  <c r="E193" i="65"/>
  <c r="E204" i="65"/>
  <c r="G222" i="65"/>
  <c r="E232" i="65"/>
  <c r="G232" i="65" s="1"/>
  <c r="E233" i="65"/>
  <c r="K208" i="65"/>
  <c r="J208" i="65"/>
  <c r="E12" i="119"/>
  <c r="E16" i="119"/>
  <c r="E28" i="119"/>
  <c r="E32" i="119"/>
  <c r="E44" i="119"/>
  <c r="E48" i="119"/>
  <c r="E52" i="119"/>
  <c r="E60" i="119"/>
  <c r="E67" i="119"/>
  <c r="E71" i="119"/>
  <c r="E137" i="119"/>
  <c r="E142" i="119"/>
  <c r="E147" i="119"/>
  <c r="E151" i="119"/>
  <c r="E156" i="119"/>
  <c r="E160" i="119"/>
  <c r="E167" i="119"/>
  <c r="E171" i="119"/>
  <c r="E179" i="119"/>
  <c r="E187" i="119"/>
  <c r="E195" i="119"/>
  <c r="E202" i="119"/>
  <c r="E227" i="119"/>
  <c r="G227" i="119" s="1"/>
  <c r="E12" i="25"/>
  <c r="G12" i="25" s="1"/>
  <c r="E16" i="25"/>
  <c r="E20" i="25"/>
  <c r="E28" i="25"/>
  <c r="E32" i="25"/>
  <c r="E36" i="25"/>
  <c r="G36" i="25" s="1"/>
  <c r="E40" i="25"/>
  <c r="E44" i="25"/>
  <c r="E48" i="25"/>
  <c r="G48" i="25" s="1"/>
  <c r="E52" i="25"/>
  <c r="E60" i="25"/>
  <c r="E67" i="25"/>
  <c r="E71" i="25"/>
  <c r="E75" i="25"/>
  <c r="E82" i="25"/>
  <c r="E90" i="25"/>
  <c r="E101" i="25"/>
  <c r="E108" i="25"/>
  <c r="E115" i="25"/>
  <c r="E127" i="25"/>
  <c r="E132" i="25"/>
  <c r="E137" i="25"/>
  <c r="E142" i="25"/>
  <c r="E151" i="25"/>
  <c r="E160" i="25"/>
  <c r="E167" i="25"/>
  <c r="E171" i="25"/>
  <c r="E175" i="25"/>
  <c r="E179" i="25"/>
  <c r="E183" i="25"/>
  <c r="E187" i="25"/>
  <c r="E191" i="25"/>
  <c r="E108" i="155"/>
  <c r="E115" i="155"/>
  <c r="E127" i="155"/>
  <c r="E132" i="155"/>
  <c r="E151" i="155"/>
  <c r="E156" i="155"/>
  <c r="G156" i="155" s="1"/>
  <c r="E160" i="155"/>
  <c r="E171" i="155"/>
  <c r="E183" i="155"/>
  <c r="E187" i="155"/>
  <c r="E191" i="155"/>
  <c r="E194" i="155"/>
  <c r="E201" i="155"/>
  <c r="E205" i="155"/>
  <c r="E11" i="156"/>
  <c r="E35" i="156"/>
  <c r="E38" i="156"/>
  <c r="G38" i="156" s="1"/>
  <c r="E46" i="156"/>
  <c r="E65" i="156"/>
  <c r="E69" i="156"/>
  <c r="E77" i="156"/>
  <c r="E84" i="156"/>
  <c r="E110" i="156"/>
  <c r="E117" i="156"/>
  <c r="E125" i="156"/>
  <c r="G125" i="156" s="1"/>
  <c r="E130" i="156"/>
  <c r="E135" i="156"/>
  <c r="E140" i="156"/>
  <c r="E145" i="156"/>
  <c r="E153" i="156"/>
  <c r="E169" i="156"/>
  <c r="E173" i="156"/>
  <c r="E200" i="156"/>
  <c r="G200" i="156" s="1"/>
  <c r="E19" i="158"/>
  <c r="E35" i="158"/>
  <c r="E39" i="158"/>
  <c r="E55" i="158"/>
  <c r="E66" i="158"/>
  <c r="E70" i="158"/>
  <c r="G70" i="158" s="1"/>
  <c r="E74" i="158"/>
  <c r="E78" i="158"/>
  <c r="E85" i="158"/>
  <c r="E89" i="158"/>
  <c r="E100" i="158"/>
  <c r="G100" i="158" s="1"/>
  <c r="E107" i="158"/>
  <c r="E114" i="158"/>
  <c r="E118" i="158"/>
  <c r="E126" i="158"/>
  <c r="E131" i="158"/>
  <c r="E136" i="158"/>
  <c r="E170" i="158"/>
  <c r="E174" i="158"/>
  <c r="E178" i="158"/>
  <c r="E186" i="158"/>
  <c r="E190" i="158"/>
  <c r="E194" i="158"/>
  <c r="E201" i="158"/>
  <c r="E205" i="158"/>
  <c r="E225" i="158"/>
  <c r="E11" i="16"/>
  <c r="E15" i="16"/>
  <c r="E19" i="16"/>
  <c r="E31" i="16"/>
  <c r="E39" i="16"/>
  <c r="E47" i="16"/>
  <c r="E51" i="16"/>
  <c r="E55" i="16"/>
  <c r="E66" i="16"/>
  <c r="E74" i="16"/>
  <c r="E12" i="172"/>
  <c r="G12" i="172" s="1"/>
  <c r="E45" i="113"/>
  <c r="G56" i="113"/>
  <c r="E91" i="113"/>
  <c r="E223" i="113"/>
  <c r="J208" i="113"/>
  <c r="K208" i="113"/>
  <c r="F161" i="71"/>
  <c r="F208" i="71" s="1"/>
  <c r="E40" i="150"/>
  <c r="E48" i="150"/>
  <c r="E52" i="150"/>
  <c r="E56" i="150"/>
  <c r="E67" i="150"/>
  <c r="E71" i="150"/>
  <c r="E75" i="150"/>
  <c r="E82" i="150"/>
  <c r="E86" i="150"/>
  <c r="E90" i="150"/>
  <c r="E97" i="150"/>
  <c r="E101" i="150"/>
  <c r="G101" i="150" s="1"/>
  <c r="E115" i="150"/>
  <c r="E123" i="150"/>
  <c r="E127" i="150"/>
  <c r="E132" i="150"/>
  <c r="E137" i="150"/>
  <c r="E142" i="150"/>
  <c r="G142" i="150" s="1"/>
  <c r="E147" i="150"/>
  <c r="E151" i="150"/>
  <c r="E160" i="150"/>
  <c r="E167" i="150"/>
  <c r="E171" i="150"/>
  <c r="G171" i="150" s="1"/>
  <c r="E175" i="150"/>
  <c r="E179" i="150"/>
  <c r="E183" i="150"/>
  <c r="E187" i="150"/>
  <c r="G187" i="150" s="1"/>
  <c r="E191" i="150"/>
  <c r="E195" i="150"/>
  <c r="E202" i="150"/>
  <c r="G202" i="150" s="1"/>
  <c r="E70" i="16"/>
  <c r="E73" i="65"/>
  <c r="E35" i="16"/>
  <c r="E182" i="158"/>
  <c r="E56" i="119"/>
  <c r="E149" i="156"/>
  <c r="E88" i="94"/>
  <c r="E92" i="94"/>
  <c r="E106" i="94"/>
  <c r="E110" i="94"/>
  <c r="E117" i="94"/>
  <c r="E125" i="94"/>
  <c r="E130" i="94"/>
  <c r="E135" i="94"/>
  <c r="E140" i="94"/>
  <c r="E143" i="94"/>
  <c r="E157" i="94"/>
  <c r="E164" i="94"/>
  <c r="E168" i="94"/>
  <c r="E172" i="94"/>
  <c r="E176" i="94"/>
  <c r="E180" i="94"/>
  <c r="E184" i="94"/>
  <c r="E188" i="94"/>
  <c r="E192" i="94"/>
  <c r="E196" i="94"/>
  <c r="G196" i="94" s="1"/>
  <c r="E203" i="94"/>
  <c r="E220" i="94"/>
  <c r="E25" i="145"/>
  <c r="E29" i="145"/>
  <c r="E123" i="145"/>
  <c r="E142" i="145"/>
  <c r="E171" i="145"/>
  <c r="E179" i="145"/>
  <c r="E133" i="66"/>
  <c r="E138" i="66"/>
  <c r="E143" i="66"/>
  <c r="E168" i="66"/>
  <c r="G168" i="66" s="1"/>
  <c r="E180" i="66"/>
  <c r="E184" i="66"/>
  <c r="E188" i="66"/>
  <c r="E192" i="66"/>
  <c r="E196" i="66"/>
  <c r="E220" i="66"/>
  <c r="E200" i="65"/>
  <c r="E46" i="65"/>
  <c r="E43" i="16"/>
  <c r="E40" i="119"/>
  <c r="E43" i="158"/>
  <c r="E88" i="156"/>
  <c r="G97" i="149"/>
  <c r="E34" i="118"/>
  <c r="E38" i="118"/>
  <c r="E50" i="118"/>
  <c r="E54" i="118"/>
  <c r="E58" i="118"/>
  <c r="E69" i="118"/>
  <c r="E73" i="118"/>
  <c r="E77" i="118"/>
  <c r="E84" i="118"/>
  <c r="E88" i="118"/>
  <c r="E109" i="118"/>
  <c r="E116" i="118"/>
  <c r="E124" i="118"/>
  <c r="E129" i="118"/>
  <c r="E84" i="94"/>
  <c r="G84" i="94" s="1"/>
  <c r="E145" i="94"/>
  <c r="E221" i="94"/>
  <c r="E231" i="94"/>
  <c r="E37" i="145"/>
  <c r="E49" i="145"/>
  <c r="G49" i="145" s="1"/>
  <c r="E53" i="145"/>
  <c r="E132" i="164"/>
  <c r="E137" i="164"/>
  <c r="E142" i="164"/>
  <c r="E147" i="164"/>
  <c r="E156" i="164"/>
  <c r="E167" i="164"/>
  <c r="E175" i="164"/>
  <c r="E179" i="164"/>
  <c r="E183" i="164"/>
  <c r="E187" i="164"/>
  <c r="E191" i="164"/>
  <c r="E195" i="164"/>
  <c r="E202" i="164"/>
  <c r="E226" i="164"/>
  <c r="E16" i="19"/>
  <c r="E20" i="19"/>
  <c r="E39" i="19"/>
  <c r="E70" i="19"/>
  <c r="E74" i="19"/>
  <c r="G74" i="19" s="1"/>
  <c r="E96" i="19"/>
  <c r="G96" i="19" s="1"/>
  <c r="E126" i="19"/>
  <c r="E131" i="19"/>
  <c r="E136" i="19"/>
  <c r="E141" i="19"/>
  <c r="E150" i="19"/>
  <c r="E190" i="19"/>
  <c r="E18" i="15"/>
  <c r="E38" i="15"/>
  <c r="E46" i="15"/>
  <c r="C102" i="68"/>
  <c r="E114" i="68"/>
  <c r="C119" i="68"/>
  <c r="E118" i="68"/>
  <c r="E126" i="68"/>
  <c r="E131" i="68"/>
  <c r="E174" i="68"/>
  <c r="E178" i="68"/>
  <c r="G178" i="68" s="1"/>
  <c r="E182" i="68"/>
  <c r="E186" i="68"/>
  <c r="E193" i="68"/>
  <c r="E76" i="66"/>
  <c r="E83" i="66"/>
  <c r="E98" i="66"/>
  <c r="E105" i="66"/>
  <c r="E109" i="66"/>
  <c r="E116" i="66"/>
  <c r="G116" i="66" s="1"/>
  <c r="G170" i="62"/>
  <c r="G203" i="62"/>
  <c r="E44" i="150"/>
  <c r="E99" i="65"/>
  <c r="G49" i="102"/>
  <c r="E156" i="25"/>
  <c r="G116" i="37"/>
  <c r="G126" i="79"/>
  <c r="G25" i="149"/>
  <c r="E61" i="21"/>
  <c r="G27" i="21"/>
  <c r="G35" i="21"/>
  <c r="G43" i="21"/>
  <c r="G51" i="21"/>
  <c r="G59" i="21"/>
  <c r="G27" i="159"/>
  <c r="E61" i="159"/>
  <c r="G35" i="159"/>
  <c r="G43" i="159"/>
  <c r="G51" i="159"/>
  <c r="G59" i="159"/>
  <c r="G27" i="33"/>
  <c r="G35" i="33"/>
  <c r="G43" i="33"/>
  <c r="G51" i="33"/>
  <c r="G59" i="33"/>
  <c r="G32" i="135"/>
  <c r="G40" i="135"/>
  <c r="G48" i="135"/>
  <c r="G56" i="135"/>
  <c r="G34" i="167"/>
  <c r="G55" i="167"/>
  <c r="G30" i="57"/>
  <c r="G38" i="57"/>
  <c r="G46" i="57"/>
  <c r="G54" i="57"/>
  <c r="E170" i="118"/>
  <c r="E200" i="118"/>
  <c r="E204" i="118"/>
  <c r="E233" i="118"/>
  <c r="E26" i="60"/>
  <c r="G26" i="60" s="1"/>
  <c r="E30" i="60"/>
  <c r="E34" i="60"/>
  <c r="E42" i="60"/>
  <c r="E46" i="60"/>
  <c r="E50" i="60"/>
  <c r="E54" i="60"/>
  <c r="G54" i="60" s="1"/>
  <c r="E58" i="60"/>
  <c r="G58" i="60" s="1"/>
  <c r="E69" i="60"/>
  <c r="G69" i="60" s="1"/>
  <c r="E77" i="60"/>
  <c r="G77" i="60" s="1"/>
  <c r="E84" i="60"/>
  <c r="G84" i="60" s="1"/>
  <c r="E88" i="60"/>
  <c r="E110" i="60"/>
  <c r="E117" i="60"/>
  <c r="E145" i="60"/>
  <c r="E149" i="60"/>
  <c r="E153" i="60"/>
  <c r="E83" i="54"/>
  <c r="E87" i="54"/>
  <c r="E91" i="54"/>
  <c r="E98" i="54"/>
  <c r="E105" i="54"/>
  <c r="E109" i="54"/>
  <c r="E89" i="15"/>
  <c r="E96" i="15"/>
  <c r="E100" i="15"/>
  <c r="E107" i="15"/>
  <c r="E114" i="15"/>
  <c r="E131" i="15"/>
  <c r="E141" i="15"/>
  <c r="E146" i="15"/>
  <c r="E155" i="15"/>
  <c r="E170" i="15"/>
  <c r="E174" i="15"/>
  <c r="E181" i="15"/>
  <c r="E193" i="15"/>
  <c r="E204" i="15"/>
  <c r="E223" i="15"/>
  <c r="E232" i="15"/>
  <c r="E233" i="15"/>
  <c r="K208" i="15"/>
  <c r="J208" i="15"/>
  <c r="J208" i="19"/>
  <c r="K208" i="19"/>
  <c r="E12" i="150"/>
  <c r="E20" i="150"/>
  <c r="G20" i="150" s="1"/>
  <c r="D21" i="68"/>
  <c r="E20" i="68"/>
  <c r="G20" i="68" s="1"/>
  <c r="E28" i="68"/>
  <c r="E224" i="66"/>
  <c r="J208" i="66"/>
  <c r="G36" i="177"/>
  <c r="G50" i="177"/>
  <c r="E108" i="150"/>
  <c r="G204" i="167"/>
  <c r="G187" i="167"/>
  <c r="G220" i="37"/>
  <c r="E59" i="158"/>
  <c r="G59" i="158" s="1"/>
  <c r="G180" i="72"/>
  <c r="E123" i="25"/>
  <c r="E221" i="63"/>
  <c r="G221" i="63" s="1"/>
  <c r="E17" i="62"/>
  <c r="E25" i="62"/>
  <c r="E29" i="62"/>
  <c r="E37" i="62"/>
  <c r="E45" i="62"/>
  <c r="E49" i="62"/>
  <c r="E53" i="62"/>
  <c r="E64" i="62"/>
  <c r="E86" i="62"/>
  <c r="E90" i="62"/>
  <c r="G90" i="62" s="1"/>
  <c r="E101" i="62"/>
  <c r="E115" i="62"/>
  <c r="E156" i="62"/>
  <c r="E166" i="62"/>
  <c r="E190" i="62"/>
  <c r="E194" i="62"/>
  <c r="E224" i="62"/>
  <c r="E205" i="62"/>
  <c r="E205" i="71"/>
  <c r="E75" i="47"/>
  <c r="G140" i="149"/>
  <c r="E164" i="133"/>
  <c r="K208" i="66"/>
  <c r="E55" i="63"/>
  <c r="E178" i="63"/>
  <c r="E226" i="58"/>
  <c r="G226" i="58" s="1"/>
  <c r="E146" i="47"/>
  <c r="E159" i="47"/>
  <c r="E170" i="47"/>
  <c r="E178" i="47"/>
  <c r="G178" i="47" s="1"/>
  <c r="E193" i="47"/>
  <c r="E116" i="46"/>
  <c r="E129" i="46"/>
  <c r="E164" i="46"/>
  <c r="E12" i="45"/>
  <c r="E32" i="45"/>
  <c r="E44" i="45"/>
  <c r="E56" i="45"/>
  <c r="E67" i="45"/>
  <c r="E75" i="45"/>
  <c r="E108" i="45"/>
  <c r="E219" i="45"/>
  <c r="E64" i="106"/>
  <c r="E91" i="106"/>
  <c r="G91" i="106" s="1"/>
  <c r="E225" i="71"/>
  <c r="E16" i="39"/>
  <c r="G16" i="39" s="1"/>
  <c r="E32" i="39"/>
  <c r="E36" i="39"/>
  <c r="E40" i="39"/>
  <c r="E91" i="133"/>
  <c r="G91" i="133" s="1"/>
  <c r="E152" i="133"/>
  <c r="K17" i="178"/>
  <c r="E201" i="62"/>
  <c r="G32" i="167"/>
  <c r="G148" i="167"/>
  <c r="G158" i="27"/>
  <c r="E25" i="106"/>
  <c r="G25" i="106" s="1"/>
  <c r="E108" i="62"/>
  <c r="G108" i="62" s="1"/>
  <c r="G142" i="27"/>
  <c r="G16" i="27"/>
  <c r="E15" i="63"/>
  <c r="E97" i="62"/>
  <c r="E31" i="63"/>
  <c r="E170" i="63"/>
  <c r="E86" i="47"/>
  <c r="G86" i="47" s="1"/>
  <c r="E127" i="47"/>
  <c r="G127" i="47" s="1"/>
  <c r="E141" i="47"/>
  <c r="E174" i="47"/>
  <c r="E189" i="47"/>
  <c r="E196" i="47"/>
  <c r="E91" i="46"/>
  <c r="E124" i="46"/>
  <c r="E152" i="46"/>
  <c r="E20" i="45"/>
  <c r="E36" i="45"/>
  <c r="E48" i="45"/>
  <c r="E60" i="45"/>
  <c r="E101" i="45"/>
  <c r="E137" i="45"/>
  <c r="E151" i="45"/>
  <c r="E167" i="45"/>
  <c r="E175" i="45"/>
  <c r="E191" i="45"/>
  <c r="E227" i="45"/>
  <c r="E17" i="106"/>
  <c r="E72" i="106"/>
  <c r="E87" i="106"/>
  <c r="G87" i="106" s="1"/>
  <c r="E96" i="71"/>
  <c r="E107" i="71"/>
  <c r="K208" i="71"/>
  <c r="E172" i="133"/>
  <c r="E15" i="113"/>
  <c r="E57" i="113"/>
  <c r="E182" i="47"/>
  <c r="G137" i="149"/>
  <c r="E11" i="63"/>
  <c r="E19" i="63"/>
  <c r="E35" i="63"/>
  <c r="E39" i="63"/>
  <c r="E51" i="63"/>
  <c r="E90" i="47"/>
  <c r="E97" i="47"/>
  <c r="E101" i="47"/>
  <c r="E123" i="47"/>
  <c r="E131" i="47"/>
  <c r="E150" i="47"/>
  <c r="E166" i="47"/>
  <c r="E220" i="47"/>
  <c r="E105" i="46"/>
  <c r="E157" i="46"/>
  <c r="E168" i="46"/>
  <c r="E176" i="46"/>
  <c r="E16" i="45"/>
  <c r="E28" i="45"/>
  <c r="E40" i="45"/>
  <c r="E52" i="45"/>
  <c r="E71" i="45"/>
  <c r="E97" i="45"/>
  <c r="E115" i="45"/>
  <c r="E147" i="45"/>
  <c r="E156" i="45"/>
  <c r="E183" i="45"/>
  <c r="E37" i="106"/>
  <c r="G37" i="106" s="1"/>
  <c r="E76" i="106"/>
  <c r="E83" i="106"/>
  <c r="J208" i="71"/>
  <c r="E168" i="133"/>
  <c r="K208" i="33"/>
  <c r="E11" i="113"/>
  <c r="E31" i="113"/>
  <c r="E82" i="47"/>
  <c r="G82" i="47" s="1"/>
  <c r="E203" i="47"/>
  <c r="E185" i="47"/>
  <c r="E155" i="47"/>
  <c r="E184" i="46"/>
  <c r="G233" i="46"/>
  <c r="G57" i="102"/>
  <c r="G227" i="33"/>
  <c r="G232" i="135"/>
  <c r="K17" i="42"/>
  <c r="G233" i="89"/>
  <c r="G233" i="135"/>
  <c r="E228" i="21"/>
  <c r="G233" i="53"/>
  <c r="E228" i="111"/>
  <c r="G233" i="94"/>
  <c r="K17" i="135"/>
  <c r="G222" i="136"/>
  <c r="E21" i="33"/>
  <c r="E21" i="135"/>
  <c r="G18" i="135"/>
  <c r="K14" i="21"/>
  <c r="G220" i="136"/>
  <c r="E228" i="136"/>
  <c r="G233" i="38"/>
  <c r="G220" i="57"/>
  <c r="E228" i="57"/>
  <c r="E228" i="33"/>
  <c r="E235" i="21"/>
  <c r="G231" i="159"/>
  <c r="E235" i="159"/>
  <c r="G233" i="43"/>
  <c r="G17" i="111"/>
  <c r="G233" i="49"/>
  <c r="K18" i="39"/>
  <c r="G34" i="149"/>
  <c r="G37" i="21"/>
  <c r="G45" i="21"/>
  <c r="G53" i="21"/>
  <c r="G31" i="111"/>
  <c r="G39" i="111"/>
  <c r="G47" i="111"/>
  <c r="G55" i="111"/>
  <c r="G233" i="64"/>
  <c r="G17" i="136"/>
  <c r="E21" i="136"/>
  <c r="G17" i="21"/>
  <c r="G12" i="111"/>
  <c r="E21" i="111"/>
  <c r="K17" i="45"/>
  <c r="G233" i="104"/>
  <c r="G20" i="57"/>
  <c r="K17" i="155"/>
  <c r="G19" i="33"/>
  <c r="K18" i="16"/>
  <c r="K17" i="25"/>
  <c r="G220" i="159"/>
  <c r="E111" i="111"/>
  <c r="E111" i="159"/>
  <c r="G106" i="159"/>
  <c r="E161" i="57"/>
  <c r="G157" i="111"/>
  <c r="G159" i="159"/>
  <c r="G233" i="143"/>
  <c r="K17" i="145"/>
  <c r="G233" i="150"/>
  <c r="G16" i="57"/>
  <c r="K17" i="152"/>
  <c r="G226" i="159"/>
  <c r="G14" i="159"/>
  <c r="G168" i="159"/>
  <c r="G192" i="159"/>
  <c r="G12" i="57"/>
  <c r="E21" i="57"/>
  <c r="K18" i="20"/>
  <c r="G225" i="159"/>
  <c r="E102" i="159"/>
  <c r="G11" i="111"/>
  <c r="K18" i="157"/>
  <c r="G25" i="159"/>
  <c r="G41" i="159"/>
  <c r="E61" i="33"/>
  <c r="E61" i="136"/>
  <c r="G88" i="111"/>
  <c r="G82" i="159"/>
  <c r="E93" i="159"/>
  <c r="E21" i="159"/>
  <c r="E79" i="135"/>
  <c r="E102" i="33"/>
  <c r="E17" i="158"/>
  <c r="E45" i="158"/>
  <c r="E76" i="158"/>
  <c r="E109" i="158"/>
  <c r="G109" i="158" s="1"/>
  <c r="E224" i="176"/>
  <c r="E93" i="111"/>
  <c r="E206" i="21"/>
  <c r="E206" i="111"/>
  <c r="G233" i="164"/>
  <c r="F208" i="53"/>
  <c r="K17" i="159"/>
  <c r="F208" i="104"/>
  <c r="F208" i="149"/>
  <c r="F208" i="64"/>
  <c r="F208" i="37"/>
  <c r="F208" i="42"/>
  <c r="F208" i="164"/>
  <c r="F208" i="133"/>
  <c r="E161" i="135"/>
  <c r="E27" i="45"/>
  <c r="E96" i="45"/>
  <c r="E107" i="45"/>
  <c r="E114" i="45"/>
  <c r="E166" i="45"/>
  <c r="E201" i="45"/>
  <c r="E205" i="45"/>
  <c r="K18" i="164"/>
  <c r="E206" i="57"/>
  <c r="K17" i="167"/>
  <c r="E61" i="57"/>
  <c r="E79" i="21"/>
  <c r="E79" i="57"/>
  <c r="E79" i="136"/>
  <c r="E161" i="111"/>
  <c r="E161" i="159"/>
  <c r="E161" i="33"/>
  <c r="E206" i="159"/>
  <c r="E206" i="136"/>
  <c r="F208" i="95"/>
  <c r="F208" i="69"/>
  <c r="F208" i="150"/>
  <c r="E102" i="57"/>
  <c r="E197" i="159"/>
  <c r="E197" i="33"/>
  <c r="E197" i="57"/>
  <c r="E41" i="104"/>
  <c r="E61" i="111"/>
  <c r="F208" i="92"/>
  <c r="F208" i="106"/>
  <c r="F215" i="106" s="1"/>
  <c r="F208" i="174"/>
  <c r="E32" i="165"/>
  <c r="E40" i="165"/>
  <c r="E226" i="165"/>
  <c r="G226" i="165" s="1"/>
  <c r="K18" i="178"/>
  <c r="E61" i="135"/>
  <c r="F208" i="21"/>
  <c r="F208" i="25"/>
  <c r="F208" i="38"/>
  <c r="F215" i="38" s="1"/>
  <c r="F208" i="158"/>
  <c r="F208" i="10"/>
  <c r="E119" i="21"/>
  <c r="F208" i="66"/>
  <c r="K18" i="177"/>
  <c r="E36" i="172"/>
  <c r="E90" i="58"/>
  <c r="E187" i="58"/>
  <c r="E191" i="58"/>
  <c r="G191" i="58" s="1"/>
  <c r="E195" i="58"/>
  <c r="E205" i="165"/>
  <c r="E82" i="45"/>
  <c r="E86" i="45"/>
  <c r="E90" i="45"/>
  <c r="E123" i="45"/>
  <c r="E127" i="45"/>
  <c r="E132" i="45"/>
  <c r="E142" i="45"/>
  <c r="E160" i="45"/>
  <c r="E171" i="45"/>
  <c r="E179" i="45"/>
  <c r="E187" i="45"/>
  <c r="E195" i="45"/>
  <c r="E202" i="45"/>
  <c r="E87" i="120"/>
  <c r="E125" i="90"/>
  <c r="E69" i="27"/>
  <c r="E110" i="27"/>
  <c r="E130" i="27"/>
  <c r="G130" i="27" s="1"/>
  <c r="E123" i="176"/>
  <c r="E12" i="143"/>
  <c r="E28" i="143"/>
  <c r="E36" i="143"/>
  <c r="G36" i="143" s="1"/>
  <c r="E71" i="143"/>
  <c r="E82" i="143"/>
  <c r="G233" i="178"/>
  <c r="E75" i="49"/>
  <c r="E58" i="47"/>
  <c r="G58" i="47" s="1"/>
  <c r="E204" i="64"/>
  <c r="F206" i="39"/>
  <c r="F208" i="39" s="1"/>
  <c r="F208" i="178"/>
  <c r="F208" i="102"/>
  <c r="E233" i="174"/>
  <c r="E77" i="53"/>
  <c r="E70" i="64"/>
  <c r="E114" i="64"/>
  <c r="F208" i="176"/>
  <c r="F161" i="87"/>
  <c r="E142" i="103"/>
  <c r="E201" i="46"/>
  <c r="E180" i="43"/>
  <c r="E140" i="71"/>
  <c r="E193" i="71"/>
  <c r="E204" i="145"/>
  <c r="E183" i="46"/>
  <c r="E71" i="120"/>
  <c r="E90" i="120"/>
  <c r="E115" i="120"/>
  <c r="E174" i="10"/>
  <c r="E27" i="86"/>
  <c r="E15" i="142"/>
  <c r="E35" i="142"/>
  <c r="G35" i="142" s="1"/>
  <c r="E39" i="142"/>
  <c r="E33" i="177"/>
  <c r="E45" i="177"/>
  <c r="E55" i="113"/>
  <c r="E178" i="113"/>
  <c r="G178" i="113" s="1"/>
  <c r="F208" i="167"/>
  <c r="E88" i="19"/>
  <c r="E110" i="66"/>
  <c r="E49" i="58"/>
  <c r="E17" i="32"/>
  <c r="E55" i="54"/>
  <c r="E164" i="54"/>
  <c r="E202" i="54"/>
  <c r="E101" i="164"/>
  <c r="E192" i="63"/>
  <c r="E27" i="53"/>
  <c r="E109" i="32"/>
  <c r="E155" i="113"/>
  <c r="E12" i="54"/>
  <c r="E56" i="66"/>
  <c r="E41" i="63"/>
  <c r="E51" i="98"/>
  <c r="E48" i="71"/>
  <c r="E90" i="71"/>
  <c r="E159" i="39"/>
  <c r="G159" i="39" s="1"/>
  <c r="E53" i="158"/>
  <c r="E64" i="158"/>
  <c r="E48" i="165"/>
  <c r="E39" i="83"/>
  <c r="E115" i="39"/>
  <c r="E176" i="113"/>
  <c r="E105" i="150"/>
  <c r="E70" i="15"/>
  <c r="E26" i="68"/>
  <c r="G26" i="68" s="1"/>
  <c r="E26" i="66"/>
  <c r="E64" i="66"/>
  <c r="E72" i="63"/>
  <c r="E109" i="63"/>
  <c r="E116" i="63"/>
  <c r="E143" i="63"/>
  <c r="G143" i="63" s="1"/>
  <c r="E152" i="63"/>
  <c r="E143" i="62"/>
  <c r="E158" i="47"/>
  <c r="E177" i="47"/>
  <c r="E132" i="133"/>
  <c r="E67" i="90"/>
  <c r="E156" i="54"/>
  <c r="E54" i="66"/>
  <c r="E58" i="63"/>
  <c r="E77" i="63"/>
  <c r="E192" i="62"/>
  <c r="E28" i="58"/>
  <c r="E36" i="58"/>
  <c r="E56" i="58"/>
  <c r="E26" i="53"/>
  <c r="E30" i="53"/>
  <c r="E165" i="49"/>
  <c r="E169" i="49"/>
  <c r="E38" i="71"/>
  <c r="E54" i="71"/>
  <c r="E58" i="71"/>
  <c r="E73" i="71"/>
  <c r="E77" i="71"/>
  <c r="E84" i="71"/>
  <c r="E141" i="25"/>
  <c r="E178" i="25"/>
  <c r="E186" i="25"/>
  <c r="E159" i="158"/>
  <c r="E196" i="92"/>
  <c r="E17" i="1"/>
  <c r="E157" i="178"/>
  <c r="G157" i="178" s="1"/>
  <c r="G145" i="20"/>
  <c r="G171" i="20"/>
  <c r="G151" i="20"/>
  <c r="G13" i="20"/>
  <c r="G64" i="20"/>
  <c r="G82" i="20"/>
  <c r="G175" i="20"/>
  <c r="G88" i="79"/>
  <c r="G145" i="79"/>
  <c r="G175" i="79"/>
  <c r="G57" i="79"/>
  <c r="G221" i="79"/>
  <c r="E30" i="86"/>
  <c r="E38" i="86"/>
  <c r="E46" i="86"/>
  <c r="E50" i="86"/>
  <c r="G50" i="86" s="1"/>
  <c r="E105" i="89"/>
  <c r="E116" i="89"/>
  <c r="E148" i="89"/>
  <c r="E164" i="89"/>
  <c r="E172" i="89"/>
  <c r="E180" i="89"/>
  <c r="E188" i="89"/>
  <c r="E196" i="89"/>
  <c r="G196" i="89" s="1"/>
  <c r="E13" i="69"/>
  <c r="E49" i="69"/>
  <c r="E64" i="69"/>
  <c r="E180" i="92"/>
  <c r="E188" i="92"/>
  <c r="E68" i="1"/>
  <c r="E83" i="1"/>
  <c r="E91" i="1"/>
  <c r="E98" i="1"/>
  <c r="E109" i="1"/>
  <c r="E124" i="1"/>
  <c r="E133" i="1"/>
  <c r="E143" i="1"/>
  <c r="E157" i="1"/>
  <c r="E168" i="1"/>
  <c r="E176" i="1"/>
  <c r="E184" i="1"/>
  <c r="E60" i="50"/>
  <c r="E71" i="50"/>
  <c r="E86" i="50"/>
  <c r="E97" i="50"/>
  <c r="E156" i="50"/>
  <c r="E179" i="50"/>
  <c r="G179" i="50" s="1"/>
  <c r="E187" i="50"/>
  <c r="E195" i="50"/>
  <c r="E202" i="50"/>
  <c r="E16" i="95"/>
  <c r="E28" i="95"/>
  <c r="E40" i="95"/>
  <c r="E52" i="95"/>
  <c r="G52" i="95" s="1"/>
  <c r="E67" i="95"/>
  <c r="E75" i="95"/>
  <c r="G75" i="95" s="1"/>
  <c r="E90" i="95"/>
  <c r="E101" i="95"/>
  <c r="E115" i="95"/>
  <c r="E132" i="95"/>
  <c r="E39" i="150"/>
  <c r="E43" i="150"/>
  <c r="E47" i="150"/>
  <c r="E55" i="150"/>
  <c r="E59" i="150"/>
  <c r="E66" i="150"/>
  <c r="E70" i="150"/>
  <c r="G70" i="150" s="1"/>
  <c r="E74" i="150"/>
  <c r="E78" i="150"/>
  <c r="E85" i="150"/>
  <c r="E89" i="150"/>
  <c r="E100" i="150"/>
  <c r="E107" i="150"/>
  <c r="E117" i="150"/>
  <c r="E125" i="150"/>
  <c r="E130" i="150"/>
  <c r="E135" i="150"/>
  <c r="E140" i="150"/>
  <c r="E145" i="150"/>
  <c r="E149" i="150"/>
  <c r="E153" i="150"/>
  <c r="E158" i="150"/>
  <c r="E165" i="150"/>
  <c r="E169" i="150"/>
  <c r="G169" i="150" s="1"/>
  <c r="E173" i="150"/>
  <c r="E177" i="150"/>
  <c r="E181" i="150"/>
  <c r="E185" i="150"/>
  <c r="E189" i="150"/>
  <c r="E193" i="150"/>
  <c r="E200" i="150"/>
  <c r="G200" i="150" s="1"/>
  <c r="E204" i="150"/>
  <c r="E222" i="150"/>
  <c r="E232" i="150"/>
  <c r="G193" i="27"/>
  <c r="G140" i="27"/>
  <c r="E37" i="69"/>
  <c r="G37" i="69" s="1"/>
  <c r="E91" i="89"/>
  <c r="G100" i="27"/>
  <c r="E34" i="86"/>
  <c r="E42" i="86"/>
  <c r="E54" i="86"/>
  <c r="E87" i="89"/>
  <c r="E98" i="89"/>
  <c r="E109" i="89"/>
  <c r="E124" i="89"/>
  <c r="E133" i="89"/>
  <c r="E138" i="89"/>
  <c r="E143" i="89"/>
  <c r="E152" i="89"/>
  <c r="E157" i="89"/>
  <c r="E168" i="89"/>
  <c r="E176" i="89"/>
  <c r="G176" i="89" s="1"/>
  <c r="E184" i="89"/>
  <c r="E192" i="89"/>
  <c r="E203" i="89"/>
  <c r="E221" i="89"/>
  <c r="G221" i="89" s="1"/>
  <c r="E231" i="89"/>
  <c r="E17" i="69"/>
  <c r="E25" i="69"/>
  <c r="E29" i="69"/>
  <c r="E33" i="69"/>
  <c r="E41" i="69"/>
  <c r="E45" i="69"/>
  <c r="E53" i="69"/>
  <c r="E57" i="69"/>
  <c r="E176" i="92"/>
  <c r="E184" i="92"/>
  <c r="E192" i="92"/>
  <c r="E45" i="1"/>
  <c r="E87" i="1"/>
  <c r="E105" i="1"/>
  <c r="E116" i="1"/>
  <c r="E129" i="1"/>
  <c r="E138" i="1"/>
  <c r="E148" i="1"/>
  <c r="G148" i="1" s="1"/>
  <c r="E152" i="1"/>
  <c r="E164" i="1"/>
  <c r="E172" i="1"/>
  <c r="E180" i="1"/>
  <c r="E187" i="1"/>
  <c r="G187" i="1" s="1"/>
  <c r="E52" i="50"/>
  <c r="E56" i="50"/>
  <c r="E67" i="50"/>
  <c r="E75" i="50"/>
  <c r="E90" i="50"/>
  <c r="E101" i="50"/>
  <c r="E151" i="50"/>
  <c r="E160" i="50"/>
  <c r="G160" i="50" s="1"/>
  <c r="E167" i="50"/>
  <c r="E171" i="50"/>
  <c r="E175" i="50"/>
  <c r="E183" i="50"/>
  <c r="E191" i="50"/>
  <c r="E226" i="50"/>
  <c r="E12" i="95"/>
  <c r="E20" i="95"/>
  <c r="E32" i="95"/>
  <c r="E36" i="95"/>
  <c r="E44" i="95"/>
  <c r="E48" i="95"/>
  <c r="E56" i="95"/>
  <c r="E60" i="95"/>
  <c r="E71" i="95"/>
  <c r="E82" i="95"/>
  <c r="E86" i="95"/>
  <c r="E97" i="95"/>
  <c r="E108" i="95"/>
  <c r="E123" i="95"/>
  <c r="E127" i="95"/>
  <c r="E137" i="95"/>
  <c r="E142" i="95"/>
  <c r="E147" i="95"/>
  <c r="G48" i="177"/>
  <c r="G58" i="177"/>
  <c r="G125" i="72"/>
  <c r="G41" i="177"/>
  <c r="E51" i="150"/>
  <c r="G130" i="72"/>
  <c r="G224" i="102"/>
  <c r="G106" i="177"/>
  <c r="E14" i="66"/>
  <c r="E52" i="66"/>
  <c r="E67" i="66"/>
  <c r="E71" i="66"/>
  <c r="E85" i="66"/>
  <c r="G85" i="66" s="1"/>
  <c r="E89" i="66"/>
  <c r="E96" i="66"/>
  <c r="E107" i="66"/>
  <c r="E114" i="66"/>
  <c r="E126" i="66"/>
  <c r="E135" i="66"/>
  <c r="E140" i="66"/>
  <c r="E145" i="66"/>
  <c r="E149" i="66"/>
  <c r="E153" i="66"/>
  <c r="E158" i="66"/>
  <c r="E165" i="66"/>
  <c r="E189" i="66"/>
  <c r="E200" i="66"/>
  <c r="E203" i="66"/>
  <c r="E174" i="63"/>
  <c r="E182" i="63"/>
  <c r="E186" i="63"/>
  <c r="G186" i="63" s="1"/>
  <c r="E190" i="63"/>
  <c r="E194" i="63"/>
  <c r="E201" i="63"/>
  <c r="E205" i="63"/>
  <c r="E224" i="63"/>
  <c r="E11" i="62"/>
  <c r="E15" i="62"/>
  <c r="E19" i="62"/>
  <c r="E27" i="62"/>
  <c r="E31" i="62"/>
  <c r="E35" i="62"/>
  <c r="E39" i="62"/>
  <c r="E43" i="62"/>
  <c r="E47" i="62"/>
  <c r="E51" i="62"/>
  <c r="E65" i="62"/>
  <c r="G65" i="62" s="1"/>
  <c r="E68" i="62"/>
  <c r="E72" i="62"/>
  <c r="E76" i="62"/>
  <c r="E83" i="62"/>
  <c r="E105" i="62"/>
  <c r="E132" i="62"/>
  <c r="E142" i="62"/>
  <c r="G142" i="62" s="1"/>
  <c r="E46" i="58"/>
  <c r="E50" i="58"/>
  <c r="E54" i="58"/>
  <c r="E58" i="58"/>
  <c r="E65" i="58"/>
  <c r="E69" i="58"/>
  <c r="E73" i="58"/>
  <c r="E77" i="58"/>
  <c r="E84" i="58"/>
  <c r="E88" i="58"/>
  <c r="E92" i="58"/>
  <c r="E99" i="58"/>
  <c r="G99" i="58" s="1"/>
  <c r="E106" i="58"/>
  <c r="E110" i="58"/>
  <c r="E117" i="58"/>
  <c r="E125" i="58"/>
  <c r="E130" i="58"/>
  <c r="E135" i="58"/>
  <c r="E140" i="58"/>
  <c r="E149" i="58"/>
  <c r="E153" i="58"/>
  <c r="E158" i="58"/>
  <c r="E165" i="58"/>
  <c r="E169" i="58"/>
  <c r="E173" i="58"/>
  <c r="E177" i="58"/>
  <c r="E181" i="58"/>
  <c r="E185" i="58"/>
  <c r="E189" i="58"/>
  <c r="G189" i="58" s="1"/>
  <c r="E193" i="58"/>
  <c r="G193" i="58" s="1"/>
  <c r="E200" i="58"/>
  <c r="E75" i="174"/>
  <c r="E108" i="174"/>
  <c r="E115" i="174"/>
  <c r="E136" i="174"/>
  <c r="G136" i="174" s="1"/>
  <c r="E150" i="174"/>
  <c r="E155" i="174"/>
  <c r="E159" i="174"/>
  <c r="E165" i="174"/>
  <c r="G165" i="174" s="1"/>
  <c r="E181" i="174"/>
  <c r="E192" i="174"/>
  <c r="E196" i="174"/>
  <c r="E203" i="174"/>
  <c r="E16" i="53"/>
  <c r="E20" i="53"/>
  <c r="E28" i="53"/>
  <c r="E36" i="53"/>
  <c r="G36" i="53" s="1"/>
  <c r="E40" i="53"/>
  <c r="E44" i="53"/>
  <c r="E48" i="53"/>
  <c r="E52" i="53"/>
  <c r="E56" i="53"/>
  <c r="E60" i="53"/>
  <c r="E71" i="53"/>
  <c r="E75" i="53"/>
  <c r="E82" i="53"/>
  <c r="E86" i="53"/>
  <c r="E90" i="53"/>
  <c r="E97" i="53"/>
  <c r="E101" i="53"/>
  <c r="E108" i="53"/>
  <c r="E115" i="53"/>
  <c r="E123" i="53"/>
  <c r="E127" i="53"/>
  <c r="E132" i="53"/>
  <c r="E142" i="53"/>
  <c r="G142" i="53" s="1"/>
  <c r="E147" i="53"/>
  <c r="E151" i="53"/>
  <c r="G151" i="53" s="1"/>
  <c r="E156" i="53"/>
  <c r="E160" i="53"/>
  <c r="E167" i="53"/>
  <c r="E171" i="53"/>
  <c r="E178" i="53"/>
  <c r="G178" i="53" s="1"/>
  <c r="E182" i="53"/>
  <c r="E186" i="53"/>
  <c r="E190" i="53"/>
  <c r="E194" i="53"/>
  <c r="E205" i="53"/>
  <c r="E225" i="53"/>
  <c r="E11" i="98"/>
  <c r="E19" i="98"/>
  <c r="E39" i="98"/>
  <c r="G39" i="98" s="1"/>
  <c r="E43" i="98"/>
  <c r="E47" i="98"/>
  <c r="E55" i="98"/>
  <c r="E110" i="98"/>
  <c r="E117" i="98"/>
  <c r="E125" i="98"/>
  <c r="E130" i="98"/>
  <c r="E33" i="49"/>
  <c r="G33" i="49" s="1"/>
  <c r="E15" i="46"/>
  <c r="E19" i="46"/>
  <c r="G19" i="46" s="1"/>
  <c r="E27" i="46"/>
  <c r="E31" i="46"/>
  <c r="E35" i="46"/>
  <c r="E39" i="46"/>
  <c r="E43" i="46"/>
  <c r="E47" i="46"/>
  <c r="E51" i="46"/>
  <c r="E55" i="46"/>
  <c r="E66" i="46"/>
  <c r="E70" i="46"/>
  <c r="G70" i="46" s="1"/>
  <c r="E74" i="46"/>
  <c r="E78" i="46"/>
  <c r="E146" i="46"/>
  <c r="E158" i="46"/>
  <c r="E165" i="46"/>
  <c r="E169" i="46"/>
  <c r="E173" i="46"/>
  <c r="E177" i="46"/>
  <c r="E181" i="46"/>
  <c r="E192" i="46"/>
  <c r="E196" i="46"/>
  <c r="E203" i="46"/>
  <c r="E220" i="46"/>
  <c r="E125" i="43"/>
  <c r="E135" i="43"/>
  <c r="E140" i="43"/>
  <c r="E145" i="43"/>
  <c r="E149" i="43"/>
  <c r="G149" i="43" s="1"/>
  <c r="E153" i="43"/>
  <c r="E158" i="43"/>
  <c r="E165" i="43"/>
  <c r="E169" i="43"/>
  <c r="E173" i="43"/>
  <c r="E181" i="43"/>
  <c r="E185" i="43"/>
  <c r="E188" i="43"/>
  <c r="E192" i="43"/>
  <c r="E116" i="175"/>
  <c r="E148" i="175"/>
  <c r="E152" i="175"/>
  <c r="G152" i="175" s="1"/>
  <c r="E157" i="175"/>
  <c r="E184" i="175"/>
  <c r="E188" i="175"/>
  <c r="E203" i="175"/>
  <c r="E220" i="175"/>
  <c r="E11" i="84"/>
  <c r="E15" i="84"/>
  <c r="E35" i="84"/>
  <c r="E39" i="84"/>
  <c r="E43" i="84"/>
  <c r="E59" i="84"/>
  <c r="G59" i="84" s="1"/>
  <c r="E66" i="84"/>
  <c r="E70" i="84"/>
  <c r="E74" i="84"/>
  <c r="E77" i="84"/>
  <c r="E84" i="84"/>
  <c r="E88" i="84"/>
  <c r="E92" i="84"/>
  <c r="E99" i="84"/>
  <c r="E124" i="84"/>
  <c r="E129" i="84"/>
  <c r="E143" i="84"/>
  <c r="E148" i="84"/>
  <c r="E152" i="84"/>
  <c r="E157" i="84"/>
  <c r="E174" i="65"/>
  <c r="E178" i="65"/>
  <c r="E57" i="25"/>
  <c r="E64" i="25"/>
  <c r="E68" i="25"/>
  <c r="E72" i="25"/>
  <c r="E76" i="25"/>
  <c r="E83" i="25"/>
  <c r="E87" i="25"/>
  <c r="E91" i="25"/>
  <c r="G91" i="25" s="1"/>
  <c r="E124" i="25"/>
  <c r="E129" i="25"/>
  <c r="E133" i="25"/>
  <c r="E138" i="25"/>
  <c r="E143" i="25"/>
  <c r="E148" i="25"/>
  <c r="E152" i="25"/>
  <c r="G152" i="25" s="1"/>
  <c r="E157" i="25"/>
  <c r="E164" i="25"/>
  <c r="E168" i="25"/>
  <c r="E172" i="25"/>
  <c r="E176" i="25"/>
  <c r="E180" i="25"/>
  <c r="E184" i="25"/>
  <c r="E195" i="25"/>
  <c r="E202" i="25"/>
  <c r="E226" i="25"/>
  <c r="E12" i="155"/>
  <c r="E16" i="155"/>
  <c r="E20" i="155"/>
  <c r="E28" i="155"/>
  <c r="E32" i="155"/>
  <c r="E47" i="155"/>
  <c r="E55" i="155"/>
  <c r="E181" i="155"/>
  <c r="E185" i="155"/>
  <c r="E189" i="155"/>
  <c r="E196" i="155"/>
  <c r="E220" i="155"/>
  <c r="G220" i="155" s="1"/>
  <c r="E16" i="156"/>
  <c r="E20" i="156"/>
  <c r="E28" i="156"/>
  <c r="E32" i="156"/>
  <c r="E44" i="156"/>
  <c r="G44" i="156" s="1"/>
  <c r="E55" i="156"/>
  <c r="E70" i="156"/>
  <c r="E74" i="156"/>
  <c r="E85" i="156"/>
  <c r="E96" i="156"/>
  <c r="G96" i="156" s="1"/>
  <c r="E100" i="156"/>
  <c r="E126" i="156"/>
  <c r="E131" i="156"/>
  <c r="E136" i="156"/>
  <c r="E150" i="156"/>
  <c r="E159" i="156"/>
  <c r="E170" i="156"/>
  <c r="E181" i="156"/>
  <c r="E185" i="156"/>
  <c r="E189" i="156"/>
  <c r="E204" i="156"/>
  <c r="E232" i="156"/>
  <c r="G220" i="20"/>
  <c r="E11" i="42"/>
  <c r="E15" i="42"/>
  <c r="G15" i="42" s="1"/>
  <c r="E19" i="42"/>
  <c r="G19" i="42" s="1"/>
  <c r="E27" i="42"/>
  <c r="E31" i="42"/>
  <c r="E35" i="42"/>
  <c r="E39" i="42"/>
  <c r="E43" i="42"/>
  <c r="E47" i="42"/>
  <c r="E51" i="42"/>
  <c r="G51" i="42" s="1"/>
  <c r="E55" i="42"/>
  <c r="E59" i="42"/>
  <c r="E66" i="42"/>
  <c r="E70" i="42"/>
  <c r="E74" i="42"/>
  <c r="E78" i="42"/>
  <c r="E85" i="42"/>
  <c r="E89" i="42"/>
  <c r="E96" i="42"/>
  <c r="E100" i="42"/>
  <c r="E107" i="42"/>
  <c r="E114" i="42"/>
  <c r="E118" i="42"/>
  <c r="E126" i="42"/>
  <c r="E131" i="42"/>
  <c r="G131" i="42" s="1"/>
  <c r="E136" i="42"/>
  <c r="G136" i="42" s="1"/>
  <c r="E141" i="42"/>
  <c r="E150" i="42"/>
  <c r="E155" i="42"/>
  <c r="E159" i="42"/>
  <c r="E166" i="42"/>
  <c r="E170" i="42"/>
  <c r="G170" i="42" s="1"/>
  <c r="E174" i="42"/>
  <c r="E178" i="42"/>
  <c r="E182" i="42"/>
  <c r="G182" i="42" s="1"/>
  <c r="E205" i="42"/>
  <c r="G232" i="174"/>
  <c r="G231" i="79"/>
  <c r="E148" i="54"/>
  <c r="E152" i="54"/>
  <c r="E168" i="54"/>
  <c r="E172" i="54"/>
  <c r="E176" i="54"/>
  <c r="E180" i="54"/>
  <c r="E188" i="54"/>
  <c r="E192" i="54"/>
  <c r="G192" i="54" s="1"/>
  <c r="E195" i="54"/>
  <c r="E219" i="54"/>
  <c r="E12" i="94"/>
  <c r="G12" i="94" s="1"/>
  <c r="E28" i="94"/>
  <c r="E32" i="94"/>
  <c r="E40" i="94"/>
  <c r="E44" i="94"/>
  <c r="E52" i="94"/>
  <c r="E56" i="94"/>
  <c r="E60" i="94"/>
  <c r="E67" i="94"/>
  <c r="E82" i="94"/>
  <c r="E85" i="94"/>
  <c r="E96" i="94"/>
  <c r="E107" i="94"/>
  <c r="E114" i="94"/>
  <c r="E13" i="174"/>
  <c r="E17" i="174"/>
  <c r="E25" i="174"/>
  <c r="E29" i="174"/>
  <c r="G29" i="174" s="1"/>
  <c r="E40" i="49"/>
  <c r="E44" i="49"/>
  <c r="E48" i="49"/>
  <c r="E52" i="49"/>
  <c r="E56" i="49"/>
  <c r="E60" i="49"/>
  <c r="E67" i="49"/>
  <c r="E71" i="49"/>
  <c r="E82" i="49"/>
  <c r="E86" i="49"/>
  <c r="E90" i="49"/>
  <c r="G90" i="49" s="1"/>
  <c r="E101" i="49"/>
  <c r="E108" i="49"/>
  <c r="G108" i="49" s="1"/>
  <c r="E115" i="49"/>
  <c r="E118" i="49"/>
  <c r="G118" i="49" s="1"/>
  <c r="E126" i="49"/>
  <c r="E131" i="49"/>
  <c r="E136" i="49"/>
  <c r="E141" i="49"/>
  <c r="G141" i="49" s="1"/>
  <c r="E146" i="49"/>
  <c r="E150" i="49"/>
  <c r="G150" i="49" s="1"/>
  <c r="E155" i="49"/>
  <c r="E166" i="49"/>
  <c r="E170" i="49"/>
  <c r="E174" i="49"/>
  <c r="E178" i="49"/>
  <c r="E200" i="49"/>
  <c r="E204" i="49"/>
  <c r="E222" i="49"/>
  <c r="E232" i="49"/>
  <c r="E109" i="83"/>
  <c r="E116" i="83"/>
  <c r="E123" i="83"/>
  <c r="E127" i="83"/>
  <c r="E131" i="83"/>
  <c r="E136" i="83"/>
  <c r="E141" i="83"/>
  <c r="E146" i="83"/>
  <c r="E150" i="83"/>
  <c r="E200" i="83"/>
  <c r="E222" i="83"/>
  <c r="E14" i="47"/>
  <c r="E18" i="47"/>
  <c r="E30" i="47"/>
  <c r="E34" i="47"/>
  <c r="E64" i="47"/>
  <c r="E68" i="47"/>
  <c r="E28" i="16"/>
  <c r="E82" i="16"/>
  <c r="E86" i="16"/>
  <c r="E194" i="16"/>
  <c r="E201" i="16"/>
  <c r="E126" i="14"/>
  <c r="G126" i="14" s="1"/>
  <c r="E131" i="14"/>
  <c r="E136" i="14"/>
  <c r="E141" i="14"/>
  <c r="E155" i="14"/>
  <c r="E159" i="14"/>
  <c r="E166" i="14"/>
  <c r="E127" i="143"/>
  <c r="E155" i="87"/>
  <c r="E159" i="87"/>
  <c r="E166" i="87"/>
  <c r="E170" i="87"/>
  <c r="E174" i="87"/>
  <c r="E178" i="87"/>
  <c r="E182" i="87"/>
  <c r="E186" i="87"/>
  <c r="E190" i="87"/>
  <c r="E194" i="87"/>
  <c r="E31" i="86"/>
  <c r="E35" i="86"/>
  <c r="E39" i="86"/>
  <c r="E43" i="86"/>
  <c r="E47" i="86"/>
  <c r="G47" i="86" s="1"/>
  <c r="E51" i="86"/>
  <c r="E55" i="86"/>
  <c r="E66" i="86"/>
  <c r="E74" i="86"/>
  <c r="E78" i="86"/>
  <c r="E85" i="86"/>
  <c r="E96" i="86"/>
  <c r="G96" i="86" s="1"/>
  <c r="E100" i="86"/>
  <c r="E107" i="86"/>
  <c r="E114" i="86"/>
  <c r="E118" i="86"/>
  <c r="E126" i="86"/>
  <c r="E131" i="86"/>
  <c r="E136" i="86"/>
  <c r="E141" i="86"/>
  <c r="E146" i="86"/>
  <c r="E150" i="86"/>
  <c r="G150" i="86" s="1"/>
  <c r="E155" i="86"/>
  <c r="E159" i="86"/>
  <c r="E166" i="86"/>
  <c r="E170" i="86"/>
  <c r="E173" i="86"/>
  <c r="E181" i="86"/>
  <c r="E185" i="86"/>
  <c r="E189" i="86"/>
  <c r="E193" i="86"/>
  <c r="E200" i="86"/>
  <c r="E204" i="86"/>
  <c r="E223" i="86"/>
  <c r="E14" i="89"/>
  <c r="E18" i="89"/>
  <c r="E26" i="89"/>
  <c r="E30" i="89"/>
  <c r="E34" i="89"/>
  <c r="E38" i="89"/>
  <c r="E46" i="89"/>
  <c r="E50" i="89"/>
  <c r="E54" i="89"/>
  <c r="E58" i="89"/>
  <c r="E65" i="89"/>
  <c r="E69" i="89"/>
  <c r="E73" i="89"/>
  <c r="E77" i="89"/>
  <c r="E99" i="89"/>
  <c r="E106" i="89"/>
  <c r="E110" i="89"/>
  <c r="E117" i="89"/>
  <c r="E125" i="89"/>
  <c r="E130" i="89"/>
  <c r="G130" i="89" s="1"/>
  <c r="E135" i="89"/>
  <c r="E140" i="89"/>
  <c r="E145" i="89"/>
  <c r="E149" i="89"/>
  <c r="E153" i="89"/>
  <c r="E158" i="89"/>
  <c r="E165" i="89"/>
  <c r="E169" i="89"/>
  <c r="G169" i="89" s="1"/>
  <c r="E173" i="89"/>
  <c r="E185" i="89"/>
  <c r="E189" i="89"/>
  <c r="E193" i="89"/>
  <c r="E200" i="89"/>
  <c r="E204" i="89"/>
  <c r="E223" i="89"/>
  <c r="E14" i="69"/>
  <c r="E26" i="69"/>
  <c r="E16" i="38"/>
  <c r="G16" i="38" s="1"/>
  <c r="E20" i="38"/>
  <c r="E28" i="38"/>
  <c r="E32" i="38"/>
  <c r="E36" i="38"/>
  <c r="E40" i="38"/>
  <c r="E44" i="38"/>
  <c r="E48" i="38"/>
  <c r="G48" i="38" s="1"/>
  <c r="E52" i="38"/>
  <c r="E56" i="38"/>
  <c r="E60" i="38"/>
  <c r="E67" i="38"/>
  <c r="E71" i="38"/>
  <c r="G71" i="38" s="1"/>
  <c r="E75" i="38"/>
  <c r="E82" i="38"/>
  <c r="E86" i="38"/>
  <c r="E90" i="38"/>
  <c r="E97" i="38"/>
  <c r="E101" i="38"/>
  <c r="E108" i="38"/>
  <c r="E115" i="38"/>
  <c r="E123" i="38"/>
  <c r="E127" i="38"/>
  <c r="E132" i="38"/>
  <c r="E137" i="38"/>
  <c r="E147" i="38"/>
  <c r="E151" i="38"/>
  <c r="G151" i="38" s="1"/>
  <c r="E156" i="38"/>
  <c r="E183" i="38"/>
  <c r="E187" i="38"/>
  <c r="E202" i="38"/>
  <c r="E219" i="38"/>
  <c r="E227" i="38"/>
  <c r="E17" i="177"/>
  <c r="E25" i="177"/>
  <c r="E29" i="177"/>
  <c r="E37" i="177"/>
  <c r="G29" i="167"/>
  <c r="E76" i="103"/>
  <c r="E83" i="103"/>
  <c r="E91" i="103"/>
  <c r="E98" i="103"/>
  <c r="E109" i="103"/>
  <c r="E124" i="103"/>
  <c r="E129" i="103"/>
  <c r="E156" i="103"/>
  <c r="E167" i="103"/>
  <c r="E171" i="103"/>
  <c r="E175" i="103"/>
  <c r="E179" i="103"/>
  <c r="E187" i="103"/>
  <c r="E174" i="118"/>
  <c r="E178" i="118"/>
  <c r="E182" i="118"/>
  <c r="E186" i="118"/>
  <c r="E190" i="118"/>
  <c r="E193" i="118"/>
  <c r="E223" i="118"/>
  <c r="E14" i="60"/>
  <c r="E18" i="60"/>
  <c r="E180" i="60"/>
  <c r="E184" i="60"/>
  <c r="E188" i="60"/>
  <c r="E192" i="60"/>
  <c r="E195" i="60"/>
  <c r="E117" i="54"/>
  <c r="E125" i="54"/>
  <c r="E140" i="54"/>
  <c r="E145" i="54"/>
  <c r="E219" i="58"/>
  <c r="E99" i="98"/>
  <c r="E133" i="98"/>
  <c r="E152" i="98"/>
  <c r="E157" i="98"/>
  <c r="E164" i="98"/>
  <c r="E168" i="98"/>
  <c r="G168" i="98" s="1"/>
  <c r="E172" i="98"/>
  <c r="E25" i="49"/>
  <c r="G25" i="49" s="1"/>
  <c r="E49" i="49"/>
  <c r="E53" i="49"/>
  <c r="E57" i="49"/>
  <c r="E64" i="49"/>
  <c r="E68" i="49"/>
  <c r="E72" i="49"/>
  <c r="E123" i="49"/>
  <c r="E127" i="49"/>
  <c r="E132" i="49"/>
  <c r="E137" i="49"/>
  <c r="E142" i="49"/>
  <c r="E147" i="49"/>
  <c r="E151" i="49"/>
  <c r="E156" i="49"/>
  <c r="E160" i="49"/>
  <c r="E167" i="49"/>
  <c r="E171" i="49"/>
  <c r="E175" i="49"/>
  <c r="E182" i="49"/>
  <c r="G182" i="49" s="1"/>
  <c r="E186" i="49"/>
  <c r="E68" i="83"/>
  <c r="E72" i="83"/>
  <c r="E76" i="83"/>
  <c r="E83" i="83"/>
  <c r="E87" i="83"/>
  <c r="E223" i="42"/>
  <c r="E26" i="157"/>
  <c r="E30" i="157"/>
  <c r="E34" i="157"/>
  <c r="G34" i="157" s="1"/>
  <c r="E38" i="157"/>
  <c r="G38" i="157" s="1"/>
  <c r="E46" i="157"/>
  <c r="E50" i="157"/>
  <c r="E54" i="157"/>
  <c r="E65" i="157"/>
  <c r="E83" i="157"/>
  <c r="E98" i="158"/>
  <c r="E105" i="158"/>
  <c r="G105" i="158" s="1"/>
  <c r="E116" i="158"/>
  <c r="E124" i="158"/>
  <c r="E129" i="158"/>
  <c r="G129" i="158" s="1"/>
  <c r="E133" i="158"/>
  <c r="G133" i="158" s="1"/>
  <c r="E138" i="158"/>
  <c r="E148" i="158"/>
  <c r="E152" i="158"/>
  <c r="E157" i="158"/>
  <c r="E164" i="158"/>
  <c r="E172" i="158"/>
  <c r="E180" i="158"/>
  <c r="G180" i="158" s="1"/>
  <c r="E184" i="158"/>
  <c r="E203" i="158"/>
  <c r="E220" i="158"/>
  <c r="E13" i="16"/>
  <c r="E17" i="16"/>
  <c r="E25" i="16"/>
  <c r="G25" i="16" s="1"/>
  <c r="G201" i="72"/>
  <c r="G46" i="38"/>
  <c r="G26" i="167"/>
  <c r="G47" i="167"/>
  <c r="G107" i="20"/>
  <c r="E91" i="83"/>
  <c r="E98" i="83"/>
  <c r="E38" i="47"/>
  <c r="E65" i="47"/>
  <c r="E69" i="47"/>
  <c r="E117" i="32"/>
  <c r="E124" i="32"/>
  <c r="G124" i="32" s="1"/>
  <c r="E129" i="32"/>
  <c r="G129" i="32" s="1"/>
  <c r="E133" i="32"/>
  <c r="E138" i="32"/>
  <c r="E143" i="32"/>
  <c r="E152" i="32"/>
  <c r="E157" i="32"/>
  <c r="G157" i="32" s="1"/>
  <c r="E164" i="32"/>
  <c r="E168" i="32"/>
  <c r="E172" i="32"/>
  <c r="E176" i="32"/>
  <c r="E184" i="32"/>
  <c r="E188" i="32"/>
  <c r="E192" i="32"/>
  <c r="E196" i="32"/>
  <c r="E203" i="32"/>
  <c r="E220" i="32"/>
  <c r="E13" i="64"/>
  <c r="E17" i="64"/>
  <c r="G17" i="64" s="1"/>
  <c r="E25" i="64"/>
  <c r="E29" i="64"/>
  <c r="E37" i="64"/>
  <c r="E49" i="64"/>
  <c r="G49" i="64" s="1"/>
  <c r="E53" i="64"/>
  <c r="E57" i="64"/>
  <c r="G57" i="64" s="1"/>
  <c r="E64" i="64"/>
  <c r="E68" i="64"/>
  <c r="E71" i="64"/>
  <c r="E151" i="64"/>
  <c r="E156" i="64"/>
  <c r="E160" i="64"/>
  <c r="E167" i="64"/>
  <c r="E170" i="64"/>
  <c r="E177" i="64"/>
  <c r="E200" i="64"/>
  <c r="E15" i="28"/>
  <c r="E19" i="28"/>
  <c r="E27" i="28"/>
  <c r="E31" i="28"/>
  <c r="E59" i="28"/>
  <c r="E66" i="28"/>
  <c r="E70" i="28"/>
  <c r="E74" i="28"/>
  <c r="E78" i="28"/>
  <c r="E85" i="28"/>
  <c r="E89" i="28"/>
  <c r="E100" i="28"/>
  <c r="E107" i="28"/>
  <c r="E114" i="28"/>
  <c r="E185" i="42"/>
  <c r="E193" i="42"/>
  <c r="E200" i="42"/>
  <c r="E232" i="42"/>
  <c r="G232" i="42" s="1"/>
  <c r="E14" i="157"/>
  <c r="E18" i="157"/>
  <c r="E25" i="157"/>
  <c r="E29" i="157"/>
  <c r="E33" i="157"/>
  <c r="E37" i="157"/>
  <c r="E41" i="157"/>
  <c r="E45" i="157"/>
  <c r="E49" i="157"/>
  <c r="E53" i="157"/>
  <c r="E57" i="157"/>
  <c r="G57" i="157" s="1"/>
  <c r="E64" i="157"/>
  <c r="E68" i="157"/>
  <c r="E72" i="157"/>
  <c r="E82" i="157"/>
  <c r="E86" i="157"/>
  <c r="E90" i="157"/>
  <c r="E97" i="157"/>
  <c r="E101" i="157"/>
  <c r="E108" i="157"/>
  <c r="E115" i="157"/>
  <c r="E123" i="157"/>
  <c r="E127" i="157"/>
  <c r="E132" i="157"/>
  <c r="E137" i="157"/>
  <c r="E142" i="157"/>
  <c r="E147" i="157"/>
  <c r="E151" i="157"/>
  <c r="G151" i="157" s="1"/>
  <c r="E156" i="157"/>
  <c r="E160" i="157"/>
  <c r="E175" i="157"/>
  <c r="E179" i="157"/>
  <c r="E187" i="157"/>
  <c r="E191" i="157"/>
  <c r="E202" i="157"/>
  <c r="E167" i="158"/>
  <c r="E187" i="158"/>
  <c r="E191" i="158"/>
  <c r="E202" i="158"/>
  <c r="G202" i="158" s="1"/>
  <c r="E219" i="158"/>
  <c r="G219" i="158" s="1"/>
  <c r="E227" i="158"/>
  <c r="E40" i="16"/>
  <c r="E56" i="16"/>
  <c r="E60" i="16"/>
  <c r="E67" i="16"/>
  <c r="E71" i="16"/>
  <c r="E75" i="16"/>
  <c r="E78" i="16"/>
  <c r="E85" i="16"/>
  <c r="G85" i="16" s="1"/>
  <c r="E89" i="16"/>
  <c r="E96" i="16"/>
  <c r="E100" i="16"/>
  <c r="E107" i="16"/>
  <c r="E118" i="16"/>
  <c r="G118" i="16" s="1"/>
  <c r="E126" i="16"/>
  <c r="E131" i="16"/>
  <c r="E136" i="16"/>
  <c r="E141" i="16"/>
  <c r="E146" i="16"/>
  <c r="E150" i="16"/>
  <c r="E155" i="16"/>
  <c r="E159" i="16"/>
  <c r="E166" i="16"/>
  <c r="E170" i="16"/>
  <c r="E174" i="16"/>
  <c r="E178" i="16"/>
  <c r="E182" i="16"/>
  <c r="E186" i="16"/>
  <c r="E190" i="16"/>
  <c r="E193" i="16"/>
  <c r="E200" i="16"/>
  <c r="E223" i="16"/>
  <c r="G223" i="16" s="1"/>
  <c r="E14" i="27"/>
  <c r="E18" i="27"/>
  <c r="E30" i="27"/>
  <c r="E34" i="27"/>
  <c r="E38" i="27"/>
  <c r="E42" i="27"/>
  <c r="E46" i="27"/>
  <c r="E73" i="27"/>
  <c r="E77" i="27"/>
  <c r="E84" i="27"/>
  <c r="E88" i="27"/>
  <c r="E92" i="27"/>
  <c r="E98" i="27"/>
  <c r="G98" i="27" s="1"/>
  <c r="E105" i="27"/>
  <c r="E109" i="27"/>
  <c r="E116" i="27"/>
  <c r="E129" i="27"/>
  <c r="E138" i="27"/>
  <c r="E148" i="27"/>
  <c r="E152" i="27"/>
  <c r="E157" i="27"/>
  <c r="E164" i="27"/>
  <c r="G164" i="27" s="1"/>
  <c r="E168" i="27"/>
  <c r="G168" i="27" s="1"/>
  <c r="E172" i="27"/>
  <c r="E176" i="27"/>
  <c r="E180" i="27"/>
  <c r="E184" i="27"/>
  <c r="E188" i="27"/>
  <c r="E192" i="27"/>
  <c r="E196" i="27"/>
  <c r="E221" i="27"/>
  <c r="E231" i="27"/>
  <c r="E27" i="165"/>
  <c r="E31" i="165"/>
  <c r="E35" i="165"/>
  <c r="E39" i="165"/>
  <c r="E43" i="165"/>
  <c r="E47" i="165"/>
  <c r="E51" i="165"/>
  <c r="E59" i="165"/>
  <c r="E70" i="165"/>
  <c r="G70" i="165" s="1"/>
  <c r="E74" i="165"/>
  <c r="E78" i="165"/>
  <c r="E89" i="165"/>
  <c r="E96" i="165"/>
  <c r="E100" i="165"/>
  <c r="G100" i="165" s="1"/>
  <c r="E107" i="165"/>
  <c r="G107" i="165" s="1"/>
  <c r="E114" i="165"/>
  <c r="E118" i="165"/>
  <c r="E136" i="165"/>
  <c r="E141" i="165"/>
  <c r="E146" i="165"/>
  <c r="E150" i="165"/>
  <c r="G150" i="165" s="1"/>
  <c r="E155" i="165"/>
  <c r="G155" i="165" s="1"/>
  <c r="E166" i="165"/>
  <c r="E170" i="165"/>
  <c r="E174" i="165"/>
  <c r="E178" i="165"/>
  <c r="E182" i="165"/>
  <c r="E186" i="165"/>
  <c r="E190" i="165"/>
  <c r="E194" i="165"/>
  <c r="E201" i="165"/>
  <c r="G201" i="165" s="1"/>
  <c r="E177" i="14"/>
  <c r="E185" i="14"/>
  <c r="E196" i="14"/>
  <c r="E203" i="14"/>
  <c r="E221" i="14"/>
  <c r="G221" i="14" s="1"/>
  <c r="E74" i="149"/>
  <c r="E78" i="149"/>
  <c r="G78" i="149" s="1"/>
  <c r="E137" i="143"/>
  <c r="E147" i="143"/>
  <c r="G147" i="143" s="1"/>
  <c r="E166" i="143"/>
  <c r="E170" i="143"/>
  <c r="E174" i="143"/>
  <c r="E178" i="143"/>
  <c r="E186" i="143"/>
  <c r="E194" i="143"/>
  <c r="G194" i="143" s="1"/>
  <c r="E201" i="143"/>
  <c r="G201" i="143" s="1"/>
  <c r="E27" i="10"/>
  <c r="E31" i="10"/>
  <c r="E35" i="10"/>
  <c r="E39" i="10"/>
  <c r="E47" i="10"/>
  <c r="E78" i="10"/>
  <c r="E85" i="10"/>
  <c r="E89" i="10"/>
  <c r="E100" i="10"/>
  <c r="E107" i="10"/>
  <c r="E118" i="10"/>
  <c r="E126" i="10"/>
  <c r="E131" i="10"/>
  <c r="E136" i="10"/>
  <c r="G136" i="10" s="1"/>
  <c r="E141" i="10"/>
  <c r="E146" i="10"/>
  <c r="E150" i="10"/>
  <c r="E155" i="10"/>
  <c r="E166" i="10"/>
  <c r="E170" i="10"/>
  <c r="E50" i="69"/>
  <c r="E36" i="150"/>
  <c r="E225" i="178"/>
  <c r="E175" i="46"/>
  <c r="E177" i="106"/>
  <c r="E76" i="142"/>
  <c r="G222" i="16"/>
  <c r="E167" i="46"/>
  <c r="G51" i="72"/>
  <c r="G14" i="149"/>
  <c r="E227" i="68"/>
  <c r="E15" i="66"/>
  <c r="E19" i="66"/>
  <c r="E171" i="66"/>
  <c r="E175" i="66"/>
  <c r="E179" i="66"/>
  <c r="E195" i="66"/>
  <c r="E115" i="47"/>
  <c r="E29" i="46"/>
  <c r="E33" i="46"/>
  <c r="E41" i="46"/>
  <c r="E45" i="46"/>
  <c r="E53" i="46"/>
  <c r="E57" i="46"/>
  <c r="G57" i="46" s="1"/>
  <c r="E64" i="46"/>
  <c r="E68" i="46"/>
  <c r="E72" i="46"/>
  <c r="E101" i="46"/>
  <c r="E108" i="46"/>
  <c r="E123" i="46"/>
  <c r="E133" i="46"/>
  <c r="E138" i="46"/>
  <c r="E143" i="46"/>
  <c r="E156" i="46"/>
  <c r="G156" i="46" s="1"/>
  <c r="E160" i="46"/>
  <c r="E171" i="46"/>
  <c r="E205" i="46"/>
  <c r="E36" i="106"/>
  <c r="E56" i="106"/>
  <c r="E60" i="106"/>
  <c r="E67" i="106"/>
  <c r="G67" i="106" s="1"/>
  <c r="E71" i="106"/>
  <c r="G71" i="106" s="1"/>
  <c r="E82" i="106"/>
  <c r="E86" i="106"/>
  <c r="E97" i="106"/>
  <c r="G97" i="106" s="1"/>
  <c r="E100" i="106"/>
  <c r="E107" i="106"/>
  <c r="E114" i="106"/>
  <c r="E118" i="106"/>
  <c r="E131" i="106"/>
  <c r="E136" i="106"/>
  <c r="E141" i="106"/>
  <c r="E149" i="106"/>
  <c r="E153" i="106"/>
  <c r="G153" i="106" s="1"/>
  <c r="E158" i="106"/>
  <c r="E165" i="106"/>
  <c r="E169" i="106"/>
  <c r="E181" i="106"/>
  <c r="E189" i="106"/>
  <c r="E193" i="106"/>
  <c r="E203" i="106"/>
  <c r="E221" i="106"/>
  <c r="E20" i="104"/>
  <c r="E32" i="104"/>
  <c r="E40" i="104"/>
  <c r="G40" i="104" s="1"/>
  <c r="E178" i="84"/>
  <c r="E182" i="84"/>
  <c r="E56" i="69"/>
  <c r="E60" i="69"/>
  <c r="E67" i="69"/>
  <c r="E45" i="142"/>
  <c r="E57" i="142"/>
  <c r="E64" i="142"/>
  <c r="G64" i="142" s="1"/>
  <c r="E68" i="142"/>
  <c r="E72" i="142"/>
  <c r="E127" i="142"/>
  <c r="E132" i="142"/>
  <c r="E137" i="142"/>
  <c r="E142" i="142"/>
  <c r="E147" i="142"/>
  <c r="E151" i="142"/>
  <c r="E156" i="142"/>
  <c r="E160" i="142"/>
  <c r="E167" i="142"/>
  <c r="E171" i="142"/>
  <c r="E175" i="142"/>
  <c r="E179" i="142"/>
  <c r="E183" i="142"/>
  <c r="G183" i="142" s="1"/>
  <c r="E187" i="142"/>
  <c r="E191" i="142"/>
  <c r="E195" i="142"/>
  <c r="E202" i="142"/>
  <c r="E219" i="142"/>
  <c r="E227" i="142"/>
  <c r="E12" i="92"/>
  <c r="G12" i="92" s="1"/>
  <c r="E16" i="92"/>
  <c r="E20" i="92"/>
  <c r="E28" i="92"/>
  <c r="G28" i="92" s="1"/>
  <c r="E32" i="92"/>
  <c r="E36" i="92"/>
  <c r="E40" i="92"/>
  <c r="E44" i="92"/>
  <c r="G44" i="92" s="1"/>
  <c r="E48" i="92"/>
  <c r="E52" i="92"/>
  <c r="E56" i="92"/>
  <c r="E60" i="92"/>
  <c r="G60" i="92" s="1"/>
  <c r="E67" i="92"/>
  <c r="E71" i="92"/>
  <c r="E75" i="92"/>
  <c r="G75" i="92" s="1"/>
  <c r="E82" i="92"/>
  <c r="E86" i="92"/>
  <c r="E90" i="92"/>
  <c r="E97" i="92"/>
  <c r="E101" i="92"/>
  <c r="E108" i="92"/>
  <c r="G108" i="92" s="1"/>
  <c r="E115" i="92"/>
  <c r="E123" i="92"/>
  <c r="E171" i="92"/>
  <c r="E123" i="1"/>
  <c r="G123" i="1" s="1"/>
  <c r="E127" i="1"/>
  <c r="E132" i="1"/>
  <c r="E137" i="1"/>
  <c r="E142" i="1"/>
  <c r="E147" i="1"/>
  <c r="E151" i="1"/>
  <c r="G151" i="1" s="1"/>
  <c r="E156" i="1"/>
  <c r="E160" i="1"/>
  <c r="E167" i="1"/>
  <c r="E171" i="1"/>
  <c r="E175" i="1"/>
  <c r="E179" i="1"/>
  <c r="E183" i="1"/>
  <c r="E186" i="1"/>
  <c r="E201" i="1"/>
  <c r="E205" i="1"/>
  <c r="E224" i="1"/>
  <c r="E15" i="50"/>
  <c r="E31" i="50"/>
  <c r="E35" i="50"/>
  <c r="E35" i="95"/>
  <c r="E39" i="95"/>
  <c r="E43" i="95"/>
  <c r="E47" i="95"/>
  <c r="E51" i="95"/>
  <c r="E55" i="95"/>
  <c r="E59" i="95"/>
  <c r="E66" i="95"/>
  <c r="E70" i="95"/>
  <c r="E74" i="95"/>
  <c r="E78" i="95"/>
  <c r="E85" i="95"/>
  <c r="E96" i="95"/>
  <c r="E100" i="95"/>
  <c r="E107" i="95"/>
  <c r="E118" i="95"/>
  <c r="G118" i="95" s="1"/>
  <c r="E131" i="95"/>
  <c r="E136" i="95"/>
  <c r="E141" i="95"/>
  <c r="E146" i="95"/>
  <c r="E150" i="95"/>
  <c r="E155" i="95"/>
  <c r="E159" i="95"/>
  <c r="E166" i="95"/>
  <c r="E174" i="95"/>
  <c r="E190" i="95"/>
  <c r="E194" i="95"/>
  <c r="E201" i="95"/>
  <c r="G201" i="95" s="1"/>
  <c r="E224" i="95"/>
  <c r="E156" i="31"/>
  <c r="G156" i="31" s="1"/>
  <c r="E142" i="31"/>
  <c r="E137" i="31"/>
  <c r="E132" i="31"/>
  <c r="E127" i="31"/>
  <c r="E123" i="31"/>
  <c r="E115" i="31"/>
  <c r="E108" i="31"/>
  <c r="E101" i="31"/>
  <c r="E97" i="31"/>
  <c r="E90" i="31"/>
  <c r="E86" i="31"/>
  <c r="E83" i="31"/>
  <c r="E76" i="31"/>
  <c r="E72" i="31"/>
  <c r="E68" i="31"/>
  <c r="E64" i="31"/>
  <c r="E57" i="31"/>
  <c r="E53" i="31"/>
  <c r="E41" i="31"/>
  <c r="E29" i="31"/>
  <c r="G29" i="31" s="1"/>
  <c r="E25" i="31"/>
  <c r="E191" i="66"/>
  <c r="E17" i="46"/>
  <c r="G48" i="102"/>
  <c r="G72" i="167"/>
  <c r="G37" i="167"/>
  <c r="G227" i="62"/>
  <c r="G66" i="102"/>
  <c r="E17" i="150"/>
  <c r="E231" i="15"/>
  <c r="E192" i="68"/>
  <c r="G192" i="68" s="1"/>
  <c r="E42" i="68"/>
  <c r="E224" i="156"/>
  <c r="E87" i="158"/>
  <c r="E219" i="164"/>
  <c r="E36" i="104"/>
  <c r="E44" i="104"/>
  <c r="E52" i="152"/>
  <c r="E115" i="145"/>
  <c r="E151" i="145"/>
  <c r="G151" i="145" s="1"/>
  <c r="E191" i="63"/>
  <c r="E12" i="62"/>
  <c r="E39" i="58"/>
  <c r="E167" i="143"/>
  <c r="E179" i="143"/>
  <c r="E183" i="143"/>
  <c r="E191" i="143"/>
  <c r="E202" i="143"/>
  <c r="G202" i="143" s="1"/>
  <c r="E59" i="86"/>
  <c r="G59" i="86" s="1"/>
  <c r="E70" i="86"/>
  <c r="E89" i="86"/>
  <c r="E51" i="103"/>
  <c r="E55" i="103"/>
  <c r="E205" i="47"/>
  <c r="E132" i="172"/>
  <c r="E225" i="172"/>
  <c r="E55" i="94"/>
  <c r="E17" i="19"/>
  <c r="G17" i="19" s="1"/>
  <c r="E29" i="19"/>
  <c r="G29" i="19" s="1"/>
  <c r="E15" i="98"/>
  <c r="E179" i="69"/>
  <c r="E195" i="69"/>
  <c r="E167" i="31"/>
  <c r="E147" i="31"/>
  <c r="E12" i="103"/>
  <c r="E48" i="54"/>
  <c r="E116" i="145"/>
  <c r="E133" i="19"/>
  <c r="E92" i="68"/>
  <c r="E153" i="62"/>
  <c r="E16" i="58"/>
  <c r="E59" i="98"/>
  <c r="E173" i="98"/>
  <c r="G173" i="98" s="1"/>
  <c r="E140" i="83"/>
  <c r="E136" i="47"/>
  <c r="E18" i="106"/>
  <c r="E190" i="39"/>
  <c r="E194" i="39"/>
  <c r="E180" i="178"/>
  <c r="E20" i="103"/>
  <c r="E101" i="60"/>
  <c r="E132" i="68"/>
  <c r="E60" i="58"/>
  <c r="E108" i="60"/>
  <c r="E106" i="19"/>
  <c r="G106" i="19" s="1"/>
  <c r="E125" i="19"/>
  <c r="E96" i="68"/>
  <c r="E17" i="66"/>
  <c r="E38" i="63"/>
  <c r="E42" i="63"/>
  <c r="E148" i="63"/>
  <c r="E123" i="58"/>
  <c r="E142" i="58"/>
  <c r="E169" i="83"/>
  <c r="E118" i="46"/>
  <c r="E153" i="46"/>
  <c r="E43" i="155"/>
  <c r="E66" i="155"/>
  <c r="E178" i="92"/>
  <c r="E186" i="92"/>
  <c r="E194" i="92"/>
  <c r="E171" i="177"/>
  <c r="E55" i="178"/>
  <c r="G55" i="178" s="1"/>
  <c r="E97" i="178"/>
  <c r="E132" i="118"/>
  <c r="E178" i="145"/>
  <c r="E174" i="19"/>
  <c r="E14" i="15"/>
  <c r="E41" i="68"/>
  <c r="G41" i="68" s="1"/>
  <c r="E45" i="68"/>
  <c r="E130" i="66"/>
  <c r="E124" i="62"/>
  <c r="E57" i="58"/>
  <c r="E64" i="58"/>
  <c r="E72" i="58"/>
  <c r="E105" i="58"/>
  <c r="E116" i="58"/>
  <c r="E124" i="58"/>
  <c r="E43" i="49"/>
  <c r="E51" i="49"/>
  <c r="E78" i="49"/>
  <c r="G78" i="49" s="1"/>
  <c r="E130" i="49"/>
  <c r="E135" i="49"/>
  <c r="E125" i="47"/>
  <c r="E83" i="46"/>
  <c r="E87" i="46"/>
  <c r="E110" i="106"/>
  <c r="E125" i="106"/>
  <c r="G125" i="106" s="1"/>
  <c r="E192" i="133"/>
  <c r="E13" i="90"/>
  <c r="E26" i="119"/>
  <c r="E46" i="119"/>
  <c r="E54" i="119"/>
  <c r="E182" i="157"/>
  <c r="E26" i="27"/>
  <c r="E127" i="92"/>
  <c r="E132" i="92"/>
  <c r="E142" i="92"/>
  <c r="G142" i="92" s="1"/>
  <c r="E147" i="92"/>
  <c r="E151" i="92"/>
  <c r="E156" i="92"/>
  <c r="E160" i="92"/>
  <c r="E167" i="92"/>
  <c r="E29" i="38"/>
  <c r="E68" i="38"/>
  <c r="E72" i="38"/>
  <c r="E67" i="178"/>
  <c r="G67" i="178" s="1"/>
  <c r="E172" i="43"/>
  <c r="E98" i="39"/>
  <c r="E40" i="28"/>
  <c r="G40" i="28" s="1"/>
  <c r="E159" i="119"/>
  <c r="E11" i="25"/>
  <c r="E15" i="25"/>
  <c r="E19" i="25"/>
  <c r="E64" i="10"/>
  <c r="E36" i="86"/>
  <c r="E140" i="178"/>
  <c r="G140" i="178" s="1"/>
  <c r="E130" i="178"/>
  <c r="E39" i="178"/>
  <c r="E177" i="43"/>
  <c r="E131" i="71"/>
  <c r="E141" i="71"/>
  <c r="E51" i="39"/>
  <c r="E70" i="39"/>
  <c r="E78" i="39"/>
  <c r="E51" i="156"/>
  <c r="E59" i="156"/>
  <c r="E186" i="55"/>
  <c r="E56" i="14"/>
  <c r="E60" i="14"/>
  <c r="E67" i="14"/>
  <c r="E82" i="14"/>
  <c r="E86" i="14"/>
  <c r="E108" i="14"/>
  <c r="E115" i="143"/>
  <c r="E123" i="143"/>
  <c r="G123" i="143" s="1"/>
  <c r="E155" i="143"/>
  <c r="E58" i="10"/>
  <c r="E73" i="10"/>
  <c r="E142" i="10"/>
  <c r="G142" i="10" s="1"/>
  <c r="E147" i="10"/>
  <c r="E151" i="10"/>
  <c r="E126" i="38"/>
  <c r="E136" i="38"/>
  <c r="E146" i="38"/>
  <c r="E150" i="38"/>
  <c r="E170" i="38"/>
  <c r="E186" i="38"/>
  <c r="E195" i="71"/>
  <c r="E176" i="133"/>
  <c r="E83" i="24"/>
  <c r="E116" i="24"/>
  <c r="E57" i="32"/>
  <c r="E170" i="65"/>
  <c r="E54" i="155"/>
  <c r="E65" i="155"/>
  <c r="G65" i="155" s="1"/>
  <c r="E17" i="27"/>
  <c r="E25" i="27"/>
  <c r="G25" i="27" s="1"/>
  <c r="E29" i="27"/>
  <c r="E33" i="27"/>
  <c r="E37" i="27"/>
  <c r="E64" i="27"/>
  <c r="E72" i="27"/>
  <c r="E83" i="27"/>
  <c r="E109" i="14"/>
  <c r="E84" i="149"/>
  <c r="E78" i="69"/>
  <c r="E85" i="69"/>
  <c r="E89" i="69"/>
  <c r="E96" i="69"/>
  <c r="E114" i="69"/>
  <c r="E28" i="142"/>
  <c r="E44" i="142"/>
  <c r="E59" i="142"/>
  <c r="E66" i="142"/>
  <c r="E53" i="1"/>
  <c r="E64" i="1"/>
  <c r="E76" i="1"/>
  <c r="E27" i="50"/>
  <c r="E66" i="50"/>
  <c r="E78" i="50"/>
  <c r="E96" i="50"/>
  <c r="E190" i="50"/>
  <c r="E31" i="95"/>
  <c r="E50" i="150"/>
  <c r="E54" i="150"/>
  <c r="E58" i="150"/>
  <c r="E65" i="150"/>
  <c r="E84" i="150"/>
  <c r="E88" i="150"/>
  <c r="E92" i="150"/>
  <c r="E99" i="150"/>
  <c r="E106" i="150"/>
  <c r="E133" i="150"/>
  <c r="E138" i="150"/>
  <c r="E143" i="150"/>
  <c r="E148" i="150"/>
  <c r="E168" i="150"/>
  <c r="G34" i="102"/>
  <c r="G53" i="102"/>
  <c r="G33" i="102"/>
  <c r="G36" i="102"/>
  <c r="G73" i="102"/>
  <c r="G222" i="102"/>
  <c r="G40" i="37"/>
  <c r="G52" i="37"/>
  <c r="E228" i="37"/>
  <c r="G28" i="37"/>
  <c r="G224" i="37"/>
  <c r="G203" i="37"/>
  <c r="G177" i="37"/>
  <c r="G145" i="37"/>
  <c r="E31" i="103"/>
  <c r="E54" i="39"/>
  <c r="E77" i="39"/>
  <c r="E106" i="39"/>
  <c r="E140" i="39"/>
  <c r="E29" i="133"/>
  <c r="E188" i="120"/>
  <c r="E221" i="120"/>
  <c r="E20" i="90"/>
  <c r="E44" i="90"/>
  <c r="E56" i="90"/>
  <c r="E50" i="24"/>
  <c r="E73" i="24"/>
  <c r="G73" i="24" s="1"/>
  <c r="E185" i="24"/>
  <c r="E108" i="177"/>
  <c r="E132" i="177"/>
  <c r="E156" i="177"/>
  <c r="E175" i="177"/>
  <c r="E42" i="150"/>
  <c r="E159" i="68"/>
  <c r="E37" i="174"/>
  <c r="G37" i="174" s="1"/>
  <c r="E40" i="98"/>
  <c r="E56" i="98"/>
  <c r="E70" i="98"/>
  <c r="E92" i="98"/>
  <c r="E108" i="98"/>
  <c r="E141" i="98"/>
  <c r="E156" i="95"/>
  <c r="E171" i="95"/>
  <c r="E195" i="31"/>
  <c r="E175" i="31"/>
  <c r="E176" i="177"/>
  <c r="E35" i="103"/>
  <c r="E43" i="39"/>
  <c r="E69" i="39"/>
  <c r="E99" i="39"/>
  <c r="E152" i="39"/>
  <c r="E176" i="39"/>
  <c r="E202" i="39"/>
  <c r="E49" i="133"/>
  <c r="E176" i="120"/>
  <c r="E16" i="90"/>
  <c r="G16" i="90" s="1"/>
  <c r="E36" i="90"/>
  <c r="E48" i="90"/>
  <c r="E71" i="90"/>
  <c r="E38" i="24"/>
  <c r="E77" i="24"/>
  <c r="E98" i="24"/>
  <c r="E166" i="24"/>
  <c r="E170" i="24"/>
  <c r="E115" i="177"/>
  <c r="E187" i="177"/>
  <c r="E202" i="177"/>
  <c r="E32" i="150"/>
  <c r="G105" i="79"/>
  <c r="E127" i="68"/>
  <c r="D161" i="68"/>
  <c r="E33" i="174"/>
  <c r="E32" i="98"/>
  <c r="E126" i="98"/>
  <c r="E160" i="95"/>
  <c r="E175" i="95"/>
  <c r="E191" i="31"/>
  <c r="E46" i="177"/>
  <c r="E152" i="177"/>
  <c r="G152" i="177" s="1"/>
  <c r="E184" i="177"/>
  <c r="E135" i="39"/>
  <c r="E60" i="90"/>
  <c r="E27" i="103"/>
  <c r="E47" i="103"/>
  <c r="E69" i="103"/>
  <c r="E58" i="39"/>
  <c r="E84" i="39"/>
  <c r="E110" i="39"/>
  <c r="E130" i="39"/>
  <c r="E164" i="39"/>
  <c r="E184" i="39"/>
  <c r="E192" i="39"/>
  <c r="E219" i="39"/>
  <c r="E37" i="133"/>
  <c r="E180" i="120"/>
  <c r="E203" i="120"/>
  <c r="E32" i="90"/>
  <c r="E84" i="24"/>
  <c r="E181" i="24"/>
  <c r="E123" i="177"/>
  <c r="E137" i="177"/>
  <c r="E151" i="177"/>
  <c r="E167" i="177"/>
  <c r="E183" i="177"/>
  <c r="E195" i="177"/>
  <c r="E28" i="150"/>
  <c r="E142" i="68"/>
  <c r="E44" i="174"/>
  <c r="E118" i="98"/>
  <c r="E145" i="98"/>
  <c r="E169" i="98"/>
  <c r="E167" i="95"/>
  <c r="E191" i="95"/>
  <c r="E179" i="31"/>
  <c r="E49" i="177"/>
  <c r="E168" i="177"/>
  <c r="E19" i="103"/>
  <c r="E39" i="103"/>
  <c r="E160" i="83"/>
  <c r="E50" i="39"/>
  <c r="E65" i="39"/>
  <c r="E88" i="39"/>
  <c r="E117" i="39"/>
  <c r="E157" i="39"/>
  <c r="E172" i="39"/>
  <c r="E196" i="39"/>
  <c r="E25" i="133"/>
  <c r="E72" i="133"/>
  <c r="E97" i="133"/>
  <c r="E173" i="120"/>
  <c r="E184" i="120"/>
  <c r="E196" i="120"/>
  <c r="E12" i="90"/>
  <c r="E40" i="90"/>
  <c r="E52" i="90"/>
  <c r="E34" i="24"/>
  <c r="E88" i="24"/>
  <c r="E174" i="24"/>
  <c r="E97" i="177"/>
  <c r="E127" i="177"/>
  <c r="E147" i="177"/>
  <c r="E179" i="177"/>
  <c r="E231" i="175"/>
  <c r="G231" i="175" s="1"/>
  <c r="E105" i="118"/>
  <c r="E137" i="68"/>
  <c r="E41" i="174"/>
  <c r="G41" i="174" s="1"/>
  <c r="E48" i="98"/>
  <c r="E149" i="98"/>
  <c r="E202" i="31"/>
  <c r="E187" i="31"/>
  <c r="E42" i="177"/>
  <c r="E53" i="177"/>
  <c r="E76" i="177"/>
  <c r="E157" i="177"/>
  <c r="E172" i="177"/>
  <c r="G175" i="167"/>
  <c r="G193" i="167"/>
  <c r="G195" i="85"/>
  <c r="G149" i="72"/>
  <c r="E65" i="103"/>
  <c r="E156" i="83"/>
  <c r="E73" i="39"/>
  <c r="E92" i="39"/>
  <c r="E148" i="39"/>
  <c r="E168" i="39"/>
  <c r="E188" i="39"/>
  <c r="E227" i="39"/>
  <c r="E41" i="133"/>
  <c r="E83" i="133"/>
  <c r="E192" i="120"/>
  <c r="E231" i="120"/>
  <c r="E28" i="90"/>
  <c r="E177" i="24"/>
  <c r="E101" i="177"/>
  <c r="E160" i="177"/>
  <c r="E191" i="177"/>
  <c r="E226" i="177"/>
  <c r="E48" i="174"/>
  <c r="E36" i="98"/>
  <c r="E52" i="98"/>
  <c r="E66" i="98"/>
  <c r="E84" i="98"/>
  <c r="E115" i="98"/>
  <c r="E136" i="98"/>
  <c r="E179" i="95"/>
  <c r="E183" i="31"/>
  <c r="E38" i="177"/>
  <c r="E64" i="177"/>
  <c r="E164" i="177"/>
  <c r="E180" i="177"/>
  <c r="E105" i="177"/>
  <c r="G59" i="62"/>
  <c r="G89" i="62"/>
  <c r="G71" i="167"/>
  <c r="G16" i="167"/>
  <c r="E78" i="68"/>
  <c r="E85" i="68"/>
  <c r="C93" i="68"/>
  <c r="E89" i="68"/>
  <c r="E106" i="68"/>
  <c r="E109" i="68"/>
  <c r="D111" i="68"/>
  <c r="D119" i="68"/>
  <c r="E124" i="68"/>
  <c r="E129" i="68"/>
  <c r="C161" i="68"/>
  <c r="E136" i="62"/>
  <c r="E141" i="62"/>
  <c r="E146" i="62"/>
  <c r="E155" i="62"/>
  <c r="E165" i="62"/>
  <c r="E169" i="62"/>
  <c r="E173" i="62"/>
  <c r="E200" i="62"/>
  <c r="E204" i="62"/>
  <c r="E222" i="62"/>
  <c r="E232" i="62"/>
  <c r="E29" i="58"/>
  <c r="E33" i="58"/>
  <c r="E37" i="58"/>
  <c r="E41" i="58"/>
  <c r="E45" i="58"/>
  <c r="E107" i="14"/>
  <c r="E114" i="14"/>
  <c r="E118" i="14"/>
  <c r="E130" i="14"/>
  <c r="E135" i="14"/>
  <c r="E140" i="14"/>
  <c r="E145" i="14"/>
  <c r="E149" i="14"/>
  <c r="E158" i="14"/>
  <c r="E165" i="14"/>
  <c r="E169" i="14"/>
  <c r="E172" i="14"/>
  <c r="E176" i="14"/>
  <c r="E180" i="14"/>
  <c r="E124" i="172"/>
  <c r="E129" i="172"/>
  <c r="G129" i="172" s="1"/>
  <c r="E138" i="172"/>
  <c r="G138" i="172" s="1"/>
  <c r="E143" i="172"/>
  <c r="E151" i="172"/>
  <c r="E156" i="172"/>
  <c r="E160" i="172"/>
  <c r="G160" i="172" s="1"/>
  <c r="E167" i="172"/>
  <c r="E171" i="172"/>
  <c r="E175" i="172"/>
  <c r="E179" i="172"/>
  <c r="E183" i="172"/>
  <c r="E187" i="172"/>
  <c r="E191" i="172"/>
  <c r="E195" i="172"/>
  <c r="E202" i="172"/>
  <c r="E219" i="172"/>
  <c r="E227" i="172"/>
  <c r="E25" i="176"/>
  <c r="E28" i="176"/>
  <c r="E32" i="176"/>
  <c r="E36" i="176"/>
  <c r="E43" i="176"/>
  <c r="E46" i="176"/>
  <c r="E54" i="176"/>
  <c r="E65" i="176"/>
  <c r="E69" i="176"/>
  <c r="E73" i="176"/>
  <c r="E77" i="176"/>
  <c r="E83" i="176"/>
  <c r="G83" i="176" s="1"/>
  <c r="E223" i="10"/>
  <c r="G223" i="10" s="1"/>
  <c r="E14" i="87"/>
  <c r="E18" i="87"/>
  <c r="E26" i="87"/>
  <c r="E30" i="87"/>
  <c r="E34" i="87"/>
  <c r="G34" i="87" s="1"/>
  <c r="E38" i="87"/>
  <c r="E42" i="87"/>
  <c r="E46" i="87"/>
  <c r="E50" i="87"/>
  <c r="E54" i="87"/>
  <c r="E58" i="87"/>
  <c r="E65" i="87"/>
  <c r="E69" i="87"/>
  <c r="E73" i="87"/>
  <c r="E88" i="87"/>
  <c r="E92" i="87"/>
  <c r="E99" i="87"/>
  <c r="E106" i="87"/>
  <c r="E110" i="87"/>
  <c r="E151" i="95"/>
  <c r="E219" i="95"/>
  <c r="E227" i="95"/>
  <c r="E225" i="31"/>
  <c r="G225" i="31" s="1"/>
  <c r="E205" i="31"/>
  <c r="E201" i="31"/>
  <c r="E194" i="31"/>
  <c r="E190" i="31"/>
  <c r="E186" i="31"/>
  <c r="E30" i="177"/>
  <c r="E193" i="178"/>
  <c r="E169" i="178"/>
  <c r="E170" i="178"/>
  <c r="G170" i="178" s="1"/>
  <c r="E150" i="178"/>
  <c r="E47" i="178"/>
  <c r="E220" i="178"/>
  <c r="G44" i="177"/>
  <c r="E136" i="68"/>
  <c r="E141" i="68"/>
  <c r="E146" i="68"/>
  <c r="E150" i="68"/>
  <c r="E155" i="68"/>
  <c r="E166" i="68"/>
  <c r="E170" i="68"/>
  <c r="E185" i="68"/>
  <c r="E57" i="66"/>
  <c r="E68" i="66"/>
  <c r="E51" i="58"/>
  <c r="E55" i="58"/>
  <c r="E59" i="58"/>
  <c r="E70" i="58"/>
  <c r="E176" i="98"/>
  <c r="E180" i="98"/>
  <c r="G180" i="98" s="1"/>
  <c r="E184" i="98"/>
  <c r="E188" i="98"/>
  <c r="E192" i="98"/>
  <c r="E196" i="98"/>
  <c r="E203" i="98"/>
  <c r="E221" i="98"/>
  <c r="G221" i="98" s="1"/>
  <c r="E231" i="98"/>
  <c r="G231" i="98" s="1"/>
  <c r="E13" i="49"/>
  <c r="E17" i="49"/>
  <c r="E37" i="49"/>
  <c r="G37" i="49" s="1"/>
  <c r="E45" i="49"/>
  <c r="E13" i="83"/>
  <c r="E29" i="83"/>
  <c r="E44" i="83"/>
  <c r="E52" i="83"/>
  <c r="E60" i="83"/>
  <c r="E67" i="83"/>
  <c r="G67" i="83" s="1"/>
  <c r="E74" i="83"/>
  <c r="E78" i="83"/>
  <c r="E96" i="83"/>
  <c r="G96" i="83" s="1"/>
  <c r="E100" i="83"/>
  <c r="E107" i="83"/>
  <c r="E114" i="83"/>
  <c r="G114" i="83" s="1"/>
  <c r="E118" i="83"/>
  <c r="G118" i="83" s="1"/>
  <c r="E129" i="83"/>
  <c r="E133" i="83"/>
  <c r="E138" i="83"/>
  <c r="E148" i="83"/>
  <c r="E203" i="84"/>
  <c r="E220" i="84"/>
  <c r="E114" i="71"/>
  <c r="E136" i="71"/>
  <c r="E146" i="71"/>
  <c r="E150" i="71"/>
  <c r="E155" i="71"/>
  <c r="E159" i="71"/>
  <c r="G159" i="71" s="1"/>
  <c r="E166" i="71"/>
  <c r="E186" i="71"/>
  <c r="E194" i="71"/>
  <c r="E201" i="71"/>
  <c r="E224" i="71"/>
  <c r="E12" i="39"/>
  <c r="E20" i="39"/>
  <c r="E27" i="39"/>
  <c r="E39" i="39"/>
  <c r="E165" i="120"/>
  <c r="E169" i="120"/>
  <c r="E177" i="120"/>
  <c r="E185" i="120"/>
  <c r="G185" i="120" s="1"/>
  <c r="E189" i="120"/>
  <c r="E193" i="120"/>
  <c r="G193" i="120" s="1"/>
  <c r="E17" i="90"/>
  <c r="E29" i="90"/>
  <c r="E37" i="90"/>
  <c r="G37" i="90" s="1"/>
  <c r="E41" i="90"/>
  <c r="E45" i="90"/>
  <c r="E49" i="90"/>
  <c r="E68" i="90"/>
  <c r="E68" i="177"/>
  <c r="E72" i="177"/>
  <c r="E83" i="177"/>
  <c r="E87" i="177"/>
  <c r="E91" i="177"/>
  <c r="E98" i="177"/>
  <c r="E109" i="177"/>
  <c r="E116" i="177"/>
  <c r="E124" i="177"/>
  <c r="E129" i="177"/>
  <c r="E133" i="177"/>
  <c r="G133" i="177" s="1"/>
  <c r="E138" i="177"/>
  <c r="E143" i="177"/>
  <c r="E219" i="177"/>
  <c r="E227" i="177"/>
  <c r="G59" i="79"/>
  <c r="G223" i="24"/>
  <c r="G182" i="79"/>
  <c r="G158" i="149"/>
  <c r="G106" i="149"/>
  <c r="G109" i="167"/>
  <c r="G153" i="27"/>
  <c r="E56" i="83"/>
  <c r="E41" i="49"/>
  <c r="G16" i="72"/>
  <c r="G192" i="167"/>
  <c r="G82" i="149"/>
  <c r="G71" i="149"/>
  <c r="G232" i="54"/>
  <c r="G82" i="62"/>
  <c r="E36" i="68"/>
  <c r="E44" i="68"/>
  <c r="E59" i="68"/>
  <c r="E74" i="68"/>
  <c r="E100" i="68"/>
  <c r="E117" i="68"/>
  <c r="E125" i="68"/>
  <c r="E174" i="62"/>
  <c r="E182" i="62"/>
  <c r="E223" i="62"/>
  <c r="G223" i="62" s="1"/>
  <c r="E17" i="58"/>
  <c r="G15" i="79"/>
  <c r="G18" i="62"/>
  <c r="E11" i="103"/>
  <c r="E15" i="103"/>
  <c r="E30" i="103"/>
  <c r="E34" i="103"/>
  <c r="E54" i="103"/>
  <c r="E58" i="103"/>
  <c r="E64" i="103"/>
  <c r="E68" i="103"/>
  <c r="E72" i="103"/>
  <c r="E75" i="103"/>
  <c r="E52" i="145"/>
  <c r="E98" i="62"/>
  <c r="E67" i="145"/>
  <c r="E69" i="62"/>
  <c r="E109" i="62"/>
  <c r="E116" i="62"/>
  <c r="E115" i="19"/>
  <c r="E142" i="19"/>
  <c r="G142" i="19" s="1"/>
  <c r="E226" i="63"/>
  <c r="E69" i="83"/>
  <c r="E84" i="83"/>
  <c r="E99" i="83"/>
  <c r="E106" i="83"/>
  <c r="E221" i="64"/>
  <c r="E19" i="71"/>
  <c r="E153" i="98"/>
  <c r="E67" i="54"/>
  <c r="E193" i="156"/>
  <c r="E222" i="156"/>
  <c r="E56" i="165"/>
  <c r="E82" i="165"/>
  <c r="E86" i="165"/>
  <c r="G86" i="165" s="1"/>
  <c r="E90" i="165"/>
  <c r="E123" i="165"/>
  <c r="E132" i="165"/>
  <c r="E156" i="165"/>
  <c r="E160" i="165"/>
  <c r="G160" i="165" s="1"/>
  <c r="E20" i="143"/>
  <c r="E40" i="143"/>
  <c r="E44" i="143"/>
  <c r="E60" i="143"/>
  <c r="E67" i="143"/>
  <c r="E150" i="143"/>
  <c r="E223" i="143"/>
  <c r="E202" i="92"/>
  <c r="E20" i="58"/>
  <c r="E40" i="58"/>
  <c r="E44" i="58"/>
  <c r="G44" i="58" s="1"/>
  <c r="E225" i="155"/>
  <c r="E27" i="156"/>
  <c r="E31" i="156"/>
  <c r="E42" i="156"/>
  <c r="E54" i="156"/>
  <c r="E58" i="156"/>
  <c r="E73" i="156"/>
  <c r="E223" i="156"/>
  <c r="E170" i="27"/>
  <c r="E44" i="14"/>
  <c r="E75" i="14"/>
  <c r="E142" i="143"/>
  <c r="E151" i="143"/>
  <c r="E159" i="143"/>
  <c r="E182" i="143"/>
  <c r="E190" i="143"/>
  <c r="E224" i="143"/>
  <c r="E43" i="10"/>
  <c r="E202" i="10"/>
  <c r="E48" i="58"/>
  <c r="E148" i="58"/>
  <c r="E157" i="58"/>
  <c r="E164" i="58"/>
  <c r="E180" i="58"/>
  <c r="E188" i="58"/>
  <c r="E71" i="54"/>
  <c r="E14" i="150"/>
  <c r="E13" i="68"/>
  <c r="G13" i="68" s="1"/>
  <c r="E17" i="68"/>
  <c r="E14" i="53"/>
  <c r="E60" i="141"/>
  <c r="E75" i="141"/>
  <c r="E41" i="27"/>
  <c r="E73" i="92"/>
  <c r="E40" i="15"/>
  <c r="E179" i="87"/>
  <c r="E183" i="87"/>
  <c r="E159" i="69"/>
  <c r="E174" i="69"/>
  <c r="E48" i="142"/>
  <c r="E100" i="142"/>
  <c r="E118" i="142"/>
  <c r="E31" i="92"/>
  <c r="E35" i="92"/>
  <c r="E47" i="92"/>
  <c r="E51" i="92"/>
  <c r="E78" i="92"/>
  <c r="E107" i="92"/>
  <c r="G107" i="92" s="1"/>
  <c r="E114" i="92"/>
  <c r="E118" i="92"/>
  <c r="E194" i="1"/>
  <c r="G194" i="1" s="1"/>
  <c r="E43" i="50"/>
  <c r="E182" i="19"/>
  <c r="E186" i="19"/>
  <c r="E86" i="63"/>
  <c r="E194" i="24"/>
  <c r="E115" i="69"/>
  <c r="E96" i="145"/>
  <c r="E56" i="19"/>
  <c r="E82" i="19"/>
  <c r="E64" i="63"/>
  <c r="G64" i="63" s="1"/>
  <c r="E68" i="63"/>
  <c r="E98" i="58"/>
  <c r="E129" i="58"/>
  <c r="E133" i="58"/>
  <c r="E156" i="58"/>
  <c r="E160" i="58"/>
  <c r="E167" i="58"/>
  <c r="E171" i="58"/>
  <c r="G171" i="58" s="1"/>
  <c r="E183" i="58"/>
  <c r="E138" i="174"/>
  <c r="E148" i="98"/>
  <c r="E16" i="46"/>
  <c r="E60" i="46"/>
  <c r="E28" i="133"/>
  <c r="E36" i="133"/>
  <c r="E44" i="133"/>
  <c r="E56" i="133"/>
  <c r="E108" i="63"/>
  <c r="E88" i="62"/>
  <c r="E92" i="62"/>
  <c r="E66" i="58"/>
  <c r="E185" i="49"/>
  <c r="E82" i="120"/>
  <c r="E132" i="143"/>
  <c r="E174" i="38"/>
  <c r="E203" i="178"/>
  <c r="E44" i="103"/>
  <c r="E76" i="68"/>
  <c r="E41" i="47"/>
  <c r="E152" i="47"/>
  <c r="E110" i="164"/>
  <c r="E69" i="68"/>
  <c r="E34" i="71"/>
  <c r="E42" i="25"/>
  <c r="E50" i="25"/>
  <c r="E35" i="178"/>
  <c r="E231" i="178"/>
  <c r="E235" i="178" s="1"/>
  <c r="E43" i="15"/>
  <c r="E88" i="68"/>
  <c r="E14" i="62"/>
  <c r="G14" i="62" s="1"/>
  <c r="E26" i="62"/>
  <c r="E34" i="62"/>
  <c r="E38" i="62"/>
  <c r="E42" i="62"/>
  <c r="E137" i="58"/>
  <c r="E85" i="53"/>
  <c r="E158" i="53"/>
  <c r="E41" i="106"/>
  <c r="E49" i="106"/>
  <c r="E57" i="106"/>
  <c r="E157" i="133"/>
  <c r="E91" i="24"/>
  <c r="E105" i="24"/>
  <c r="E166" i="156"/>
  <c r="E72" i="150"/>
  <c r="E87" i="150"/>
  <c r="E166" i="178"/>
  <c r="G166" i="178" s="1"/>
  <c r="E185" i="83"/>
  <c r="E38" i="106"/>
  <c r="E28" i="104"/>
  <c r="E26" i="43"/>
  <c r="E135" i="84"/>
  <c r="E141" i="39"/>
  <c r="E171" i="152"/>
  <c r="G171" i="152" s="1"/>
  <c r="E175" i="152"/>
  <c r="E183" i="152"/>
  <c r="E167" i="120"/>
  <c r="E50" i="27"/>
  <c r="G50" i="27" s="1"/>
  <c r="E54" i="27"/>
  <c r="G54" i="27" s="1"/>
  <c r="E65" i="165"/>
  <c r="E73" i="165"/>
  <c r="E84" i="165"/>
  <c r="E116" i="165"/>
  <c r="E143" i="165"/>
  <c r="E168" i="165"/>
  <c r="E30" i="14"/>
  <c r="E191" i="14"/>
  <c r="E29" i="149"/>
  <c r="E76" i="149"/>
  <c r="G76" i="149" s="1"/>
  <c r="E176" i="87"/>
  <c r="E159" i="92"/>
  <c r="E82" i="50"/>
  <c r="E89" i="95"/>
  <c r="E45" i="31"/>
  <c r="E201" i="178"/>
  <c r="E43" i="178"/>
  <c r="E67" i="39"/>
  <c r="E116" i="120"/>
  <c r="E27" i="119"/>
  <c r="E100" i="155"/>
  <c r="E72" i="158"/>
  <c r="E43" i="152"/>
  <c r="E107" i="156"/>
  <c r="E143" i="158"/>
  <c r="E44" i="55"/>
  <c r="E52" i="55"/>
  <c r="E90" i="55"/>
  <c r="G90" i="55" s="1"/>
  <c r="E142" i="55"/>
  <c r="E98" i="149"/>
  <c r="E109" i="149"/>
  <c r="E129" i="149"/>
  <c r="G129" i="149" s="1"/>
  <c r="E138" i="149"/>
  <c r="E82" i="87"/>
  <c r="E118" i="87"/>
  <c r="E141" i="178"/>
  <c r="E31" i="178"/>
  <c r="E92" i="47"/>
  <c r="E126" i="71"/>
  <c r="E31" i="39"/>
  <c r="E46" i="32"/>
  <c r="E19" i="64"/>
  <c r="E88" i="65"/>
  <c r="G88" i="65" s="1"/>
  <c r="E99" i="158"/>
  <c r="E49" i="55"/>
  <c r="E180" i="149"/>
  <c r="G180" i="149" s="1"/>
  <c r="E56" i="143"/>
  <c r="G56" i="143" s="1"/>
  <c r="E83" i="10"/>
  <c r="E171" i="10"/>
  <c r="E118" i="178"/>
  <c r="G150" i="79"/>
  <c r="G87" i="79"/>
  <c r="G71" i="79"/>
  <c r="G172" i="79"/>
  <c r="G36" i="79"/>
  <c r="G84" i="79"/>
  <c r="G190" i="79"/>
  <c r="G183" i="79"/>
  <c r="G67" i="20"/>
  <c r="G25" i="20"/>
  <c r="G140" i="20"/>
  <c r="G167" i="20"/>
  <c r="G185" i="20"/>
  <c r="G147" i="20"/>
  <c r="G60" i="20"/>
  <c r="G126" i="20"/>
  <c r="G224" i="20"/>
  <c r="G117" i="20"/>
  <c r="G118" i="85"/>
  <c r="G145" i="85"/>
  <c r="G159" i="85"/>
  <c r="G130" i="85"/>
  <c r="G142" i="85"/>
  <c r="G167" i="85"/>
  <c r="G57" i="85"/>
  <c r="G96" i="85"/>
  <c r="G196" i="85"/>
  <c r="G38" i="85"/>
  <c r="G37" i="85"/>
  <c r="G54" i="85"/>
  <c r="G41" i="85"/>
  <c r="G170" i="85"/>
  <c r="G174" i="85"/>
  <c r="G25" i="85"/>
  <c r="G202" i="85"/>
  <c r="G48" i="85"/>
  <c r="G195" i="72"/>
  <c r="G221" i="72"/>
  <c r="E111" i="72"/>
  <c r="G40" i="72"/>
  <c r="G124" i="72"/>
  <c r="G96" i="72"/>
  <c r="G231" i="72"/>
  <c r="G178" i="72"/>
  <c r="G222" i="86"/>
  <c r="G190" i="167"/>
  <c r="E156" i="10"/>
  <c r="G35" i="167"/>
  <c r="E167" i="10"/>
  <c r="G126" i="167"/>
  <c r="G179" i="24"/>
  <c r="E160" i="10"/>
  <c r="G231" i="38"/>
  <c r="E235" i="38"/>
  <c r="G194" i="167"/>
  <c r="G88" i="177"/>
  <c r="E171" i="60"/>
  <c r="E175" i="60"/>
  <c r="E148" i="172"/>
  <c r="E152" i="172"/>
  <c r="G152" i="172" s="1"/>
  <c r="E13" i="176"/>
  <c r="E17" i="176"/>
  <c r="G42" i="167"/>
  <c r="G118" i="167"/>
  <c r="E48" i="60"/>
  <c r="E59" i="60"/>
  <c r="E66" i="60"/>
  <c r="E70" i="60"/>
  <c r="E74" i="60"/>
  <c r="E78" i="60"/>
  <c r="E85" i="60"/>
  <c r="E99" i="60"/>
  <c r="E124" i="60"/>
  <c r="E129" i="60"/>
  <c r="G129" i="60" s="1"/>
  <c r="E143" i="60"/>
  <c r="E164" i="60"/>
  <c r="E168" i="60"/>
  <c r="E169" i="68"/>
  <c r="G169" i="68" s="1"/>
  <c r="E172" i="68"/>
  <c r="E176" i="68"/>
  <c r="E180" i="68"/>
  <c r="E190" i="68"/>
  <c r="E204" i="68"/>
  <c r="E221" i="68"/>
  <c r="E34" i="66"/>
  <c r="E38" i="66"/>
  <c r="E42" i="66"/>
  <c r="E46" i="66"/>
  <c r="E49" i="66"/>
  <c r="E60" i="66"/>
  <c r="E74" i="66"/>
  <c r="E77" i="66"/>
  <c r="E148" i="66"/>
  <c r="E152" i="66"/>
  <c r="E167" i="66"/>
  <c r="E181" i="66"/>
  <c r="E185" i="66"/>
  <c r="E193" i="66"/>
  <c r="E20" i="63"/>
  <c r="E71" i="84"/>
  <c r="E85" i="84"/>
  <c r="G85" i="84" s="1"/>
  <c r="E89" i="84"/>
  <c r="E100" i="84"/>
  <c r="E36" i="156"/>
  <c r="E40" i="156"/>
  <c r="G40" i="156" s="1"/>
  <c r="E99" i="156"/>
  <c r="E106" i="156"/>
  <c r="E142" i="156"/>
  <c r="E151" i="156"/>
  <c r="E156" i="156"/>
  <c r="E138" i="42"/>
  <c r="E143" i="42"/>
  <c r="E152" i="42"/>
  <c r="E156" i="42"/>
  <c r="E160" i="42"/>
  <c r="E167" i="42"/>
  <c r="E175" i="42"/>
  <c r="E186" i="42"/>
  <c r="E190" i="42"/>
  <c r="E194" i="42"/>
  <c r="E201" i="42"/>
  <c r="E141" i="158"/>
  <c r="E146" i="158"/>
  <c r="E150" i="158"/>
  <c r="E155" i="158"/>
  <c r="E166" i="158"/>
  <c r="E169" i="158"/>
  <c r="E173" i="158"/>
  <c r="E177" i="158"/>
  <c r="E181" i="158"/>
  <c r="E185" i="158"/>
  <c r="E188" i="158"/>
  <c r="E192" i="158"/>
  <c r="E196" i="158"/>
  <c r="E16" i="16"/>
  <c r="E44" i="16"/>
  <c r="E48" i="16"/>
  <c r="E52" i="16"/>
  <c r="E188" i="176"/>
  <c r="E25" i="143"/>
  <c r="E29" i="143"/>
  <c r="E33" i="143"/>
  <c r="E37" i="143"/>
  <c r="E205" i="143"/>
  <c r="E225" i="143"/>
  <c r="E11" i="10"/>
  <c r="E15" i="10"/>
  <c r="E19" i="10"/>
  <c r="E148" i="10"/>
  <c r="E171" i="87"/>
  <c r="E175" i="87"/>
  <c r="E124" i="86"/>
  <c r="E148" i="86"/>
  <c r="E19" i="69"/>
  <c r="E27" i="69"/>
  <c r="E30" i="69"/>
  <c r="E34" i="69"/>
  <c r="E38" i="69"/>
  <c r="E42" i="69"/>
  <c r="E194" i="69"/>
  <c r="E201" i="69"/>
  <c r="E41" i="142"/>
  <c r="E53" i="142"/>
  <c r="E56" i="142"/>
  <c r="E60" i="142"/>
  <c r="E67" i="142"/>
  <c r="E71" i="142"/>
  <c r="E75" i="142"/>
  <c r="E82" i="142"/>
  <c r="E90" i="142"/>
  <c r="E97" i="142"/>
  <c r="E101" i="142"/>
  <c r="E108" i="142"/>
  <c r="E115" i="142"/>
  <c r="E123" i="142"/>
  <c r="E126" i="142"/>
  <c r="E131" i="142"/>
  <c r="E136" i="142"/>
  <c r="E141" i="142"/>
  <c r="E146" i="142"/>
  <c r="E150" i="142"/>
  <c r="E155" i="142"/>
  <c r="E159" i="142"/>
  <c r="E166" i="142"/>
  <c r="E170" i="142"/>
  <c r="E174" i="142"/>
  <c r="E178" i="142"/>
  <c r="E182" i="142"/>
  <c r="E13" i="1"/>
  <c r="E25" i="1"/>
  <c r="G25" i="1" s="1"/>
  <c r="E29" i="1"/>
  <c r="E37" i="1"/>
  <c r="E41" i="1"/>
  <c r="E44" i="1"/>
  <c r="E48" i="1"/>
  <c r="E52" i="1"/>
  <c r="E56" i="1"/>
  <c r="E60" i="1"/>
  <c r="E67" i="1"/>
  <c r="E71" i="1"/>
  <c r="E75" i="1"/>
  <c r="E82" i="1"/>
  <c r="E86" i="1"/>
  <c r="E90" i="1"/>
  <c r="E97" i="1"/>
  <c r="E101" i="1"/>
  <c r="E108" i="1"/>
  <c r="E114" i="1"/>
  <c r="E118" i="1"/>
  <c r="E126" i="1"/>
  <c r="G126" i="1" s="1"/>
  <c r="E136" i="1"/>
  <c r="E141" i="1"/>
  <c r="E177" i="1"/>
  <c r="E195" i="1"/>
  <c r="E202" i="1"/>
  <c r="E226" i="1"/>
  <c r="E12" i="50"/>
  <c r="E16" i="50"/>
  <c r="E20" i="50"/>
  <c r="E28" i="50"/>
  <c r="E32" i="50"/>
  <c r="E36" i="50"/>
  <c r="E40" i="50"/>
  <c r="E44" i="50"/>
  <c r="E48" i="50"/>
  <c r="E51" i="50"/>
  <c r="E150" i="50"/>
  <c r="E125" i="95"/>
  <c r="E130" i="95"/>
  <c r="E135" i="95"/>
  <c r="E145" i="95"/>
  <c r="E157" i="95"/>
  <c r="E164" i="95"/>
  <c r="E168" i="95"/>
  <c r="E172" i="95"/>
  <c r="E176" i="95"/>
  <c r="E180" i="95"/>
  <c r="G180" i="95" s="1"/>
  <c r="E183" i="95"/>
  <c r="E187" i="95"/>
  <c r="E195" i="95"/>
  <c r="E202" i="95"/>
  <c r="E226" i="95"/>
  <c r="E226" i="31"/>
  <c r="E87" i="31"/>
  <c r="E77" i="31"/>
  <c r="G221" i="62"/>
  <c r="E86" i="142"/>
  <c r="G20" i="177"/>
  <c r="G201" i="149"/>
  <c r="E152" i="86"/>
  <c r="E36" i="16"/>
  <c r="E49" i="142"/>
  <c r="G146" i="149"/>
  <c r="G184" i="167"/>
  <c r="G143" i="167"/>
  <c r="E129" i="86"/>
  <c r="E151" i="60"/>
  <c r="G151" i="60" s="1"/>
  <c r="E56" i="60"/>
  <c r="G56" i="60" s="1"/>
  <c r="E146" i="1"/>
  <c r="G232" i="176"/>
  <c r="E96" i="84"/>
  <c r="G222" i="19"/>
  <c r="E12" i="16"/>
  <c r="E33" i="1"/>
  <c r="E41" i="143"/>
  <c r="G82" i="27"/>
  <c r="G99" i="27"/>
  <c r="G75" i="177"/>
  <c r="G16" i="177"/>
  <c r="G32" i="27"/>
  <c r="E131" i="1"/>
  <c r="E140" i="95"/>
  <c r="G176" i="62"/>
  <c r="E78" i="103"/>
  <c r="E84" i="103"/>
  <c r="E88" i="103"/>
  <c r="E105" i="103"/>
  <c r="E108" i="103"/>
  <c r="E159" i="103"/>
  <c r="G231" i="92"/>
  <c r="E235" i="92"/>
  <c r="G168" i="167"/>
  <c r="G41" i="167"/>
  <c r="E166" i="103"/>
  <c r="E170" i="103"/>
  <c r="E174" i="103"/>
  <c r="E178" i="103"/>
  <c r="E182" i="103"/>
  <c r="E193" i="103"/>
  <c r="E204" i="103"/>
  <c r="E147" i="118"/>
  <c r="E150" i="118"/>
  <c r="E155" i="118"/>
  <c r="E165" i="118"/>
  <c r="E168" i="118"/>
  <c r="E185" i="118"/>
  <c r="E37" i="60"/>
  <c r="E45" i="60"/>
  <c r="E183" i="71"/>
  <c r="E181" i="120"/>
  <c r="E200" i="120"/>
  <c r="E204" i="120"/>
  <c r="E107" i="90"/>
  <c r="E110" i="90"/>
  <c r="E117" i="90"/>
  <c r="E130" i="90"/>
  <c r="G130" i="90" s="1"/>
  <c r="E140" i="90"/>
  <c r="E143" i="90"/>
  <c r="E152" i="90"/>
  <c r="E157" i="90"/>
  <c r="G157" i="90" s="1"/>
  <c r="E164" i="90"/>
  <c r="E188" i="90"/>
  <c r="E192" i="90"/>
  <c r="E20" i="24"/>
  <c r="E28" i="24"/>
  <c r="E42" i="24"/>
  <c r="E46" i="24"/>
  <c r="E54" i="24"/>
  <c r="E58" i="24"/>
  <c r="E65" i="24"/>
  <c r="E69" i="24"/>
  <c r="E183" i="24"/>
  <c r="E186" i="24"/>
  <c r="E190" i="24"/>
  <c r="E37" i="141"/>
  <c r="E41" i="141"/>
  <c r="E45" i="141"/>
  <c r="E49" i="141"/>
  <c r="E57" i="141"/>
  <c r="E67" i="141"/>
  <c r="E71" i="141"/>
  <c r="E145" i="172"/>
  <c r="E127" i="176"/>
  <c r="E136" i="176"/>
  <c r="G136" i="176" s="1"/>
  <c r="E184" i="176"/>
  <c r="E157" i="86"/>
  <c r="E168" i="86"/>
  <c r="E176" i="86"/>
  <c r="E180" i="86"/>
  <c r="E183" i="86"/>
  <c r="E187" i="86"/>
  <c r="E12" i="89"/>
  <c r="E16" i="89"/>
  <c r="E20" i="89"/>
  <c r="E28" i="89"/>
  <c r="E32" i="89"/>
  <c r="E36" i="89"/>
  <c r="E40" i="89"/>
  <c r="E44" i="89"/>
  <c r="E48" i="89"/>
  <c r="E52" i="89"/>
  <c r="E56" i="89"/>
  <c r="E12" i="69"/>
  <c r="E16" i="69"/>
  <c r="E20" i="69"/>
  <c r="G20" i="69" s="1"/>
  <c r="E31" i="69"/>
  <c r="E39" i="69"/>
  <c r="G39" i="69" s="1"/>
  <c r="E221" i="92"/>
  <c r="E49" i="1"/>
  <c r="E57" i="1"/>
  <c r="E72" i="1"/>
  <c r="E115" i="1"/>
  <c r="E108" i="50"/>
  <c r="E115" i="50"/>
  <c r="E123" i="50"/>
  <c r="E127" i="50"/>
  <c r="E132" i="50"/>
  <c r="E137" i="50"/>
  <c r="E142" i="50"/>
  <c r="E147" i="50"/>
  <c r="E17" i="38"/>
  <c r="E25" i="38"/>
  <c r="G25" i="38" s="1"/>
  <c r="E33" i="38"/>
  <c r="E37" i="38"/>
  <c r="E41" i="38"/>
  <c r="G41" i="38" s="1"/>
  <c r="E45" i="38"/>
  <c r="E49" i="38"/>
  <c r="E53" i="38"/>
  <c r="E57" i="38"/>
  <c r="E64" i="38"/>
  <c r="E142" i="38"/>
  <c r="E160" i="38"/>
  <c r="E167" i="38"/>
  <c r="E171" i="38"/>
  <c r="E175" i="38"/>
  <c r="E179" i="38"/>
  <c r="E191" i="38"/>
  <c r="E195" i="38"/>
  <c r="G183" i="167"/>
  <c r="G132" i="167"/>
  <c r="G73" i="167"/>
  <c r="G110" i="149"/>
  <c r="G173" i="167"/>
  <c r="G65" i="167"/>
  <c r="E148" i="90"/>
  <c r="G225" i="27"/>
  <c r="G127" i="167"/>
  <c r="E164" i="86"/>
  <c r="E33" i="60"/>
  <c r="G20" i="27"/>
  <c r="E44" i="39"/>
  <c r="E53" i="141"/>
  <c r="G32" i="149"/>
  <c r="G12" i="149"/>
  <c r="G18" i="167"/>
  <c r="G179" i="62"/>
  <c r="G231" i="14"/>
  <c r="G232" i="143"/>
  <c r="E231" i="65"/>
  <c r="E20" i="119"/>
  <c r="G20" i="119" s="1"/>
  <c r="E36" i="119"/>
  <c r="E203" i="27"/>
  <c r="E220" i="27"/>
  <c r="E11" i="165"/>
  <c r="E15" i="165"/>
  <c r="E19" i="165"/>
  <c r="E46" i="165"/>
  <c r="E92" i="165"/>
  <c r="G92" i="165" s="1"/>
  <c r="E138" i="165"/>
  <c r="E152" i="165"/>
  <c r="E164" i="165"/>
  <c r="E172" i="165"/>
  <c r="E175" i="165"/>
  <c r="E179" i="165"/>
  <c r="E189" i="55"/>
  <c r="E204" i="55"/>
  <c r="E223" i="55"/>
  <c r="E14" i="14"/>
  <c r="E18" i="14"/>
  <c r="E64" i="14"/>
  <c r="E68" i="14"/>
  <c r="E115" i="14"/>
  <c r="E123" i="14"/>
  <c r="E148" i="149"/>
  <c r="G148" i="149" s="1"/>
  <c r="E152" i="149"/>
  <c r="E157" i="149"/>
  <c r="E164" i="149"/>
  <c r="E168" i="149"/>
  <c r="E172" i="149"/>
  <c r="E179" i="149"/>
  <c r="E186" i="149"/>
  <c r="E194" i="149"/>
  <c r="E58" i="172"/>
  <c r="E84" i="172"/>
  <c r="E97" i="172"/>
  <c r="E108" i="172"/>
  <c r="E115" i="172"/>
  <c r="E136" i="172"/>
  <c r="G232" i="157"/>
  <c r="E43" i="54"/>
  <c r="E47" i="54"/>
  <c r="E153" i="84"/>
  <c r="E158" i="84"/>
  <c r="E172" i="84"/>
  <c r="E137" i="39"/>
  <c r="E221" i="133"/>
  <c r="E58" i="152"/>
  <c r="G58" i="152" s="1"/>
  <c r="E74" i="152"/>
  <c r="E106" i="64"/>
  <c r="E169" i="28"/>
  <c r="E200" i="28"/>
  <c r="E38" i="65"/>
  <c r="E135" i="65"/>
  <c r="E147" i="65"/>
  <c r="E151" i="65"/>
  <c r="E156" i="65"/>
  <c r="E167" i="65"/>
  <c r="G129" i="167"/>
  <c r="G106" i="167"/>
  <c r="E67" i="15"/>
  <c r="E78" i="15"/>
  <c r="E156" i="63"/>
  <c r="E184" i="63"/>
  <c r="E204" i="46"/>
  <c r="E222" i="46"/>
  <c r="E222" i="106"/>
  <c r="E13" i="104"/>
  <c r="E17" i="104"/>
  <c r="G17" i="104" s="1"/>
  <c r="E222" i="28"/>
  <c r="E220" i="65"/>
  <c r="E11" i="119"/>
  <c r="E19" i="119"/>
  <c r="E43" i="119"/>
  <c r="G43" i="119" s="1"/>
  <c r="E74" i="119"/>
  <c r="E78" i="119"/>
  <c r="E90" i="54"/>
  <c r="E227" i="94"/>
  <c r="E75" i="145"/>
  <c r="E82" i="145"/>
  <c r="E108" i="145"/>
  <c r="G219" i="145"/>
  <c r="E26" i="15"/>
  <c r="E150" i="15"/>
  <c r="E219" i="15"/>
  <c r="E226" i="15"/>
  <c r="E16" i="150"/>
  <c r="E50" i="68"/>
  <c r="E58" i="68"/>
  <c r="E92" i="63"/>
  <c r="E99" i="63"/>
  <c r="E106" i="63"/>
  <c r="E71" i="58"/>
  <c r="E117" i="46"/>
  <c r="E135" i="46"/>
  <c r="E65" i="63"/>
  <c r="E91" i="63"/>
  <c r="E151" i="63"/>
  <c r="E99" i="62"/>
  <c r="E133" i="62"/>
  <c r="E147" i="62"/>
  <c r="E145" i="84"/>
  <c r="E149" i="84"/>
  <c r="E193" i="84"/>
  <c r="E16" i="71"/>
  <c r="E50" i="10"/>
  <c r="E77" i="92"/>
  <c r="E191" i="1"/>
  <c r="E11" i="50"/>
  <c r="E19" i="50"/>
  <c r="E39" i="50"/>
  <c r="E47" i="50"/>
  <c r="E55" i="50"/>
  <c r="E59" i="50"/>
  <c r="E74" i="50"/>
  <c r="E85" i="50"/>
  <c r="E232" i="50"/>
  <c r="E225" i="95"/>
  <c r="E227" i="31"/>
  <c r="E219" i="31"/>
  <c r="E157" i="31"/>
  <c r="E155" i="38"/>
  <c r="E178" i="38"/>
  <c r="E49" i="150"/>
  <c r="E57" i="150"/>
  <c r="E64" i="150"/>
  <c r="E68" i="150"/>
  <c r="E83" i="150"/>
  <c r="E91" i="150"/>
  <c r="E44" i="63"/>
  <c r="E222" i="47"/>
  <c r="E232" i="47"/>
  <c r="E25" i="46"/>
  <c r="E225" i="103"/>
  <c r="E33" i="118"/>
  <c r="G33" i="118" s="1"/>
  <c r="E137" i="54"/>
  <c r="E149" i="68"/>
  <c r="E59" i="49"/>
  <c r="E89" i="49"/>
  <c r="E149" i="49"/>
  <c r="E55" i="83"/>
  <c r="E124" i="43"/>
  <c r="E30" i="84"/>
  <c r="E195" i="145"/>
  <c r="E223" i="68"/>
  <c r="E220" i="98"/>
  <c r="E181" i="49"/>
  <c r="E224" i="43"/>
  <c r="E40" i="118"/>
  <c r="E72" i="68"/>
  <c r="E30" i="66"/>
  <c r="G30" i="66" s="1"/>
  <c r="E177" i="66"/>
  <c r="E28" i="63"/>
  <c r="E32" i="63"/>
  <c r="E156" i="104"/>
  <c r="E19" i="43"/>
  <c r="E50" i="43"/>
  <c r="E58" i="43"/>
  <c r="E74" i="64"/>
  <c r="E20" i="28"/>
  <c r="E92" i="46"/>
  <c r="E158" i="83"/>
  <c r="E106" i="47"/>
  <c r="E57" i="104"/>
  <c r="E15" i="58"/>
  <c r="E68" i="58"/>
  <c r="E58" i="155"/>
  <c r="E65" i="158"/>
  <c r="E20" i="165"/>
  <c r="E55" i="165"/>
  <c r="E66" i="165"/>
  <c r="E20" i="55"/>
  <c r="E129" i="150"/>
  <c r="E152" i="150"/>
  <c r="E164" i="150"/>
  <c r="E44" i="145"/>
  <c r="E51" i="145"/>
  <c r="E187" i="63"/>
  <c r="G187" i="63" s="1"/>
  <c r="E177" i="62"/>
  <c r="E34" i="43"/>
  <c r="E38" i="43"/>
  <c r="E42" i="103"/>
  <c r="E71" i="103"/>
  <c r="E13" i="54"/>
  <c r="E137" i="62"/>
  <c r="E57" i="47"/>
  <c r="E99" i="47"/>
  <c r="E194" i="25"/>
  <c r="E118" i="156"/>
  <c r="E153" i="178"/>
  <c r="E145" i="178"/>
  <c r="E135" i="178"/>
  <c r="E88" i="178"/>
  <c r="E182" i="178"/>
  <c r="E70" i="178"/>
  <c r="E59" i="178"/>
  <c r="E15" i="178"/>
  <c r="E51" i="19"/>
  <c r="E50" i="98"/>
  <c r="E125" i="119"/>
  <c r="E221" i="54"/>
  <c r="E176" i="63"/>
  <c r="E82" i="58"/>
  <c r="E86" i="58"/>
  <c r="E126" i="58"/>
  <c r="E141" i="46"/>
  <c r="E115" i="152"/>
  <c r="E160" i="145"/>
  <c r="G160" i="145" s="1"/>
  <c r="E118" i="15"/>
  <c r="E18" i="150"/>
  <c r="E25" i="58"/>
  <c r="E76" i="46"/>
  <c r="E53" i="106"/>
  <c r="E126" i="106"/>
  <c r="E15" i="43"/>
  <c r="E54" i="43"/>
  <c r="E34" i="145"/>
  <c r="E90" i="63"/>
  <c r="E46" i="106"/>
  <c r="E27" i="43"/>
  <c r="E38" i="103"/>
  <c r="E82" i="118"/>
  <c r="E60" i="54"/>
  <c r="G60" i="54" s="1"/>
  <c r="E105" i="19"/>
  <c r="E171" i="19"/>
  <c r="E54" i="63"/>
  <c r="E85" i="58"/>
  <c r="E152" i="58"/>
  <c r="E172" i="58"/>
  <c r="E34" i="53"/>
  <c r="E140" i="49"/>
  <c r="E145" i="49"/>
  <c r="E92" i="83"/>
  <c r="E189" i="83"/>
  <c r="E19" i="106"/>
  <c r="E26" i="71"/>
  <c r="E30" i="71"/>
  <c r="E150" i="39"/>
  <c r="E164" i="141"/>
  <c r="E123" i="64"/>
  <c r="E143" i="27"/>
  <c r="E187" i="54"/>
  <c r="E27" i="145"/>
  <c r="E60" i="19"/>
  <c r="E58" i="66"/>
  <c r="E92" i="66"/>
  <c r="E26" i="63"/>
  <c r="E48" i="63"/>
  <c r="E83" i="63"/>
  <c r="E98" i="63"/>
  <c r="E130" i="63"/>
  <c r="E188" i="63"/>
  <c r="E58" i="62"/>
  <c r="E76" i="58"/>
  <c r="E83" i="58"/>
  <c r="E14" i="98"/>
  <c r="E30" i="98"/>
  <c r="E88" i="98"/>
  <c r="E26" i="49"/>
  <c r="E177" i="49"/>
  <c r="E85" i="83"/>
  <c r="E110" i="83"/>
  <c r="E117" i="83"/>
  <c r="E110" i="47"/>
  <c r="E116" i="47"/>
  <c r="E49" i="46"/>
  <c r="E189" i="43"/>
  <c r="E35" i="71"/>
  <c r="E33" i="39"/>
  <c r="E37" i="39"/>
  <c r="E59" i="39"/>
  <c r="E66" i="39"/>
  <c r="E13" i="120"/>
  <c r="E114" i="156"/>
  <c r="E110" i="145"/>
  <c r="E158" i="145"/>
  <c r="G158" i="145" s="1"/>
  <c r="E75" i="19"/>
  <c r="E98" i="68"/>
  <c r="E140" i="68"/>
  <c r="E196" i="63"/>
  <c r="E30" i="62"/>
  <c r="G30" i="62" s="1"/>
  <c r="E74" i="58"/>
  <c r="E74" i="71"/>
  <c r="G74" i="71" s="1"/>
  <c r="E178" i="71"/>
  <c r="E181" i="71"/>
  <c r="E16" i="152"/>
  <c r="E165" i="32"/>
  <c r="E52" i="65"/>
  <c r="E53" i="10"/>
  <c r="E17" i="31"/>
  <c r="E33" i="145"/>
  <c r="E40" i="145"/>
  <c r="E107" i="145"/>
  <c r="E155" i="145"/>
  <c r="G155" i="145" s="1"/>
  <c r="E192" i="145"/>
  <c r="E40" i="19"/>
  <c r="G40" i="19" s="1"/>
  <c r="E72" i="19"/>
  <c r="E108" i="19"/>
  <c r="G108" i="19" s="1"/>
  <c r="E118" i="19"/>
  <c r="G118" i="19" s="1"/>
  <c r="E189" i="19"/>
  <c r="G189" i="19" s="1"/>
  <c r="E54" i="68"/>
  <c r="E12" i="66"/>
  <c r="E33" i="66"/>
  <c r="E127" i="63"/>
  <c r="G127" i="63" s="1"/>
  <c r="E132" i="63"/>
  <c r="E142" i="63"/>
  <c r="E31" i="58"/>
  <c r="E35" i="58"/>
  <c r="E78" i="58"/>
  <c r="G78" i="58" s="1"/>
  <c r="E125" i="83"/>
  <c r="E193" i="43"/>
  <c r="E74" i="175"/>
  <c r="E40" i="71"/>
  <c r="E89" i="71"/>
  <c r="E182" i="71"/>
  <c r="E13" i="133"/>
  <c r="E12" i="28"/>
  <c r="E16" i="28"/>
  <c r="E66" i="176"/>
  <c r="E82" i="71"/>
  <c r="E96" i="39"/>
  <c r="E107" i="39"/>
  <c r="E170" i="39"/>
  <c r="E45" i="133"/>
  <c r="E64" i="133"/>
  <c r="G64" i="133" s="1"/>
  <c r="E183" i="64"/>
  <c r="E155" i="25"/>
  <c r="E45" i="27"/>
  <c r="E34" i="10"/>
  <c r="E46" i="10"/>
  <c r="E26" i="142"/>
  <c r="E185" i="178"/>
  <c r="E177" i="178"/>
  <c r="E117" i="178"/>
  <c r="G117" i="178" s="1"/>
  <c r="E32" i="71"/>
  <c r="E47" i="71"/>
  <c r="E35" i="39"/>
  <c r="E132" i="119"/>
  <c r="E51" i="155"/>
  <c r="E150" i="155"/>
  <c r="E28" i="14"/>
  <c r="E13" i="149"/>
  <c r="E13" i="89"/>
  <c r="E190" i="178"/>
  <c r="E226" i="178"/>
  <c r="E143" i="175"/>
  <c r="G143" i="175" s="1"/>
  <c r="E36" i="71"/>
  <c r="E97" i="71"/>
  <c r="E165" i="71"/>
  <c r="E186" i="39"/>
  <c r="E129" i="120"/>
  <c r="E116" i="90"/>
  <c r="E174" i="155"/>
  <c r="E135" i="10"/>
  <c r="E26" i="149"/>
  <c r="G26" i="149" s="1"/>
  <c r="E172" i="92"/>
  <c r="E186" i="178"/>
  <c r="E66" i="178"/>
  <c r="G66" i="178" s="1"/>
  <c r="E56" i="178"/>
  <c r="E78" i="156"/>
  <c r="E58" i="27"/>
  <c r="E65" i="27"/>
  <c r="E50" i="149"/>
  <c r="E69" i="149"/>
  <c r="E143" i="149"/>
  <c r="E174" i="25"/>
  <c r="E182" i="25"/>
  <c r="E183" i="157"/>
  <c r="E160" i="14"/>
  <c r="E92" i="149"/>
  <c r="E187" i="176"/>
  <c r="G187" i="176" s="1"/>
  <c r="E37" i="31"/>
  <c r="E148" i="177"/>
  <c r="E96" i="178"/>
  <c r="G96" i="178" s="1"/>
  <c r="E138" i="178"/>
  <c r="F208" i="72"/>
  <c r="E45" i="72"/>
  <c r="E57" i="72"/>
  <c r="E72" i="72"/>
  <c r="E14" i="72"/>
  <c r="E86" i="72"/>
  <c r="G15" i="72"/>
  <c r="E227" i="72"/>
  <c r="G192" i="72"/>
  <c r="G55" i="72"/>
  <c r="G74" i="72"/>
  <c r="G145" i="72"/>
  <c r="E158" i="72"/>
  <c r="E165" i="72"/>
  <c r="E169" i="72"/>
  <c r="G109" i="72"/>
  <c r="E49" i="72"/>
  <c r="E64" i="72"/>
  <c r="E101" i="72"/>
  <c r="G50" i="72"/>
  <c r="G224" i="72"/>
  <c r="G31" i="72"/>
  <c r="G225" i="72"/>
  <c r="E34" i="72"/>
  <c r="E153" i="72"/>
  <c r="G153" i="72" s="1"/>
  <c r="E53" i="72"/>
  <c r="E68" i="72"/>
  <c r="E97" i="72"/>
  <c r="G87" i="72"/>
  <c r="G123" i="72"/>
  <c r="G83" i="72"/>
  <c r="E38" i="72"/>
  <c r="G18" i="72"/>
  <c r="G189" i="72"/>
  <c r="G91" i="72"/>
  <c r="E42" i="72"/>
  <c r="G204" i="72"/>
  <c r="E219" i="72"/>
  <c r="E233" i="72"/>
  <c r="G85" i="72"/>
  <c r="E114" i="72"/>
  <c r="E118" i="72"/>
  <c r="E126" i="72"/>
  <c r="G131" i="72"/>
  <c r="E136" i="72"/>
  <c r="E146" i="72"/>
  <c r="G185" i="72"/>
  <c r="G37" i="72"/>
  <c r="G108" i="72"/>
  <c r="E188" i="72"/>
  <c r="E92" i="72"/>
  <c r="G92" i="72" s="1"/>
  <c r="E17" i="72"/>
  <c r="E190" i="72"/>
  <c r="E89" i="72"/>
  <c r="E90" i="72"/>
  <c r="E164" i="72"/>
  <c r="E184" i="72"/>
  <c r="E13" i="72"/>
  <c r="G60" i="72"/>
  <c r="E59" i="72"/>
  <c r="E220" i="72"/>
  <c r="E69" i="72"/>
  <c r="G32" i="72"/>
  <c r="E168" i="72"/>
  <c r="E202" i="72"/>
  <c r="G115" i="72"/>
  <c r="E232" i="72"/>
  <c r="E11" i="72"/>
  <c r="G11" i="72" s="1"/>
  <c r="E193" i="72"/>
  <c r="E157" i="72"/>
  <c r="E41" i="72"/>
  <c r="E166" i="72"/>
  <c r="E194" i="72"/>
  <c r="F208" i="79"/>
  <c r="G48" i="79"/>
  <c r="G141" i="79"/>
  <c r="G40" i="79"/>
  <c r="G224" i="79"/>
  <c r="E125" i="79"/>
  <c r="E189" i="79"/>
  <c r="E193" i="79"/>
  <c r="E196" i="79"/>
  <c r="E56" i="79"/>
  <c r="G56" i="79" s="1"/>
  <c r="E70" i="79"/>
  <c r="E74" i="79"/>
  <c r="E114" i="79"/>
  <c r="G203" i="79"/>
  <c r="G67" i="79"/>
  <c r="G19" i="79"/>
  <c r="G130" i="79"/>
  <c r="G17" i="79"/>
  <c r="E25" i="79"/>
  <c r="E45" i="79"/>
  <c r="G60" i="79"/>
  <c r="E75" i="79"/>
  <c r="E107" i="79"/>
  <c r="E179" i="79"/>
  <c r="E200" i="79"/>
  <c r="G222" i="79"/>
  <c r="G129" i="79"/>
  <c r="G166" i="79"/>
  <c r="G226" i="79"/>
  <c r="E14" i="79"/>
  <c r="E18" i="79"/>
  <c r="E26" i="79"/>
  <c r="G34" i="79"/>
  <c r="E38" i="79"/>
  <c r="G65" i="79"/>
  <c r="E124" i="79"/>
  <c r="G146" i="79"/>
  <c r="E158" i="79"/>
  <c r="E180" i="79"/>
  <c r="E194" i="79"/>
  <c r="G232" i="79"/>
  <c r="G92" i="79"/>
  <c r="E72" i="79"/>
  <c r="G78" i="79"/>
  <c r="G108" i="79"/>
  <c r="E219" i="79"/>
  <c r="E11" i="79"/>
  <c r="G43" i="79"/>
  <c r="G51" i="79"/>
  <c r="E109" i="79"/>
  <c r="E82" i="79"/>
  <c r="E204" i="79"/>
  <c r="E233" i="79"/>
  <c r="G157" i="79"/>
  <c r="G101" i="79"/>
  <c r="G165" i="79"/>
  <c r="E99" i="79"/>
  <c r="E187" i="79"/>
  <c r="E173" i="79"/>
  <c r="E117" i="79"/>
  <c r="G32" i="79"/>
  <c r="G55" i="79"/>
  <c r="E83" i="79"/>
  <c r="E76" i="79"/>
  <c r="E39" i="79"/>
  <c r="E118" i="79"/>
  <c r="G178" i="79"/>
  <c r="E171" i="79"/>
  <c r="E220" i="79"/>
  <c r="E135" i="79"/>
  <c r="G193" i="37"/>
  <c r="G82" i="37"/>
  <c r="E26" i="37"/>
  <c r="G26" i="37" s="1"/>
  <c r="E30" i="37"/>
  <c r="E34" i="37"/>
  <c r="E37" i="37"/>
  <c r="E41" i="37"/>
  <c r="E57" i="37"/>
  <c r="E64" i="37"/>
  <c r="G64" i="37" s="1"/>
  <c r="E75" i="37"/>
  <c r="E90" i="37"/>
  <c r="G90" i="37" s="1"/>
  <c r="E97" i="37"/>
  <c r="E101" i="37"/>
  <c r="G147" i="37"/>
  <c r="G142" i="37"/>
  <c r="E186" i="37"/>
  <c r="G190" i="37"/>
  <c r="E200" i="37"/>
  <c r="E204" i="37"/>
  <c r="E231" i="37"/>
  <c r="G18" i="37"/>
  <c r="E143" i="37"/>
  <c r="E151" i="37"/>
  <c r="E156" i="37"/>
  <c r="E160" i="37"/>
  <c r="E175" i="37"/>
  <c r="E179" i="37"/>
  <c r="G233" i="37"/>
  <c r="G225" i="37"/>
  <c r="E110" i="37"/>
  <c r="G27" i="37"/>
  <c r="E125" i="37"/>
  <c r="G49" i="37"/>
  <c r="G45" i="37"/>
  <c r="G48" i="37"/>
  <c r="G13" i="37"/>
  <c r="E17" i="37"/>
  <c r="E20" i="37"/>
  <c r="E32" i="37"/>
  <c r="E36" i="37"/>
  <c r="E43" i="37"/>
  <c r="E47" i="37"/>
  <c r="E51" i="37"/>
  <c r="E70" i="37"/>
  <c r="G74" i="37"/>
  <c r="E78" i="37"/>
  <c r="E85" i="37"/>
  <c r="E89" i="37"/>
  <c r="G96" i="37"/>
  <c r="E100" i="37"/>
  <c r="E140" i="37"/>
  <c r="G58" i="37"/>
  <c r="G184" i="37"/>
  <c r="E106" i="37"/>
  <c r="G106" i="37" s="1"/>
  <c r="E183" i="37"/>
  <c r="G232" i="37"/>
  <c r="G141" i="37"/>
  <c r="G60" i="37"/>
  <c r="E114" i="37"/>
  <c r="G71" i="37"/>
  <c r="E117" i="37"/>
  <c r="E108" i="37"/>
  <c r="E138" i="37"/>
  <c r="E56" i="37"/>
  <c r="E107" i="37"/>
  <c r="E172" i="37"/>
  <c r="E157" i="37"/>
  <c r="E205" i="37"/>
  <c r="G176" i="37"/>
  <c r="G164" i="37"/>
  <c r="E201" i="37"/>
  <c r="E181" i="37"/>
  <c r="G152" i="37"/>
  <c r="F208" i="85"/>
  <c r="F215" i="85" s="1"/>
  <c r="G27" i="85"/>
  <c r="G19" i="85"/>
  <c r="G114" i="85"/>
  <c r="G16" i="85"/>
  <c r="G89" i="85"/>
  <c r="E223" i="85"/>
  <c r="G100" i="85"/>
  <c r="G201" i="85"/>
  <c r="E200" i="85"/>
  <c r="E65" i="85"/>
  <c r="G65" i="85" s="1"/>
  <c r="G14" i="85"/>
  <c r="G226" i="85"/>
  <c r="G143" i="85"/>
  <c r="G180" i="85"/>
  <c r="G116" i="85"/>
  <c r="G175" i="85"/>
  <c r="G35" i="85"/>
  <c r="G42" i="85"/>
  <c r="G220" i="85"/>
  <c r="G108" i="85"/>
  <c r="E84" i="85"/>
  <c r="E93" i="85" s="1"/>
  <c r="E70" i="85"/>
  <c r="E51" i="85"/>
  <c r="G74" i="85"/>
  <c r="G92" i="85"/>
  <c r="E190" i="85"/>
  <c r="E231" i="85"/>
  <c r="E20" i="85"/>
  <c r="G44" i="85"/>
  <c r="E232" i="85"/>
  <c r="G40" i="85"/>
  <c r="E187" i="85"/>
  <c r="G160" i="85"/>
  <c r="E58" i="85"/>
  <c r="E186" i="85"/>
  <c r="G172" i="85"/>
  <c r="G60" i="85"/>
  <c r="G29" i="85"/>
  <c r="E183" i="85"/>
  <c r="G50" i="85"/>
  <c r="E66" i="85"/>
  <c r="E194" i="85"/>
  <c r="E222" i="85"/>
  <c r="G12" i="85"/>
  <c r="E28" i="85"/>
  <c r="E36" i="85"/>
  <c r="G85" i="85"/>
  <c r="E98" i="85"/>
  <c r="G219" i="85"/>
  <c r="G158" i="85"/>
  <c r="G47" i="85"/>
  <c r="E43" i="85"/>
  <c r="G31" i="85"/>
  <c r="E39" i="85"/>
  <c r="G151" i="85"/>
  <c r="G68" i="85"/>
  <c r="G90" i="85"/>
  <c r="E127" i="85"/>
  <c r="E137" i="85"/>
  <c r="E141" i="85"/>
  <c r="E146" i="85"/>
  <c r="E173" i="85"/>
  <c r="E107" i="85"/>
  <c r="E138" i="85"/>
  <c r="E69" i="85"/>
  <c r="E157" i="85"/>
  <c r="E181" i="85"/>
  <c r="E13" i="85"/>
  <c r="E99" i="85"/>
  <c r="G52" i="85"/>
  <c r="E205" i="85"/>
  <c r="E182" i="85"/>
  <c r="F208" i="20"/>
  <c r="G14" i="20"/>
  <c r="E38" i="20"/>
  <c r="G38" i="20" s="1"/>
  <c r="E19" i="20"/>
  <c r="E35" i="20"/>
  <c r="E59" i="20"/>
  <c r="G159" i="20"/>
  <c r="G57" i="20"/>
  <c r="E150" i="20"/>
  <c r="G40" i="20"/>
  <c r="G223" i="20"/>
  <c r="E164" i="20"/>
  <c r="E168" i="20"/>
  <c r="E172" i="20"/>
  <c r="E176" i="20"/>
  <c r="E180" i="20"/>
  <c r="E188" i="20"/>
  <c r="E192" i="20"/>
  <c r="E196" i="20"/>
  <c r="E203" i="20"/>
  <c r="E219" i="20"/>
  <c r="E226" i="20"/>
  <c r="G166" i="20"/>
  <c r="G46" i="20"/>
  <c r="E146" i="20"/>
  <c r="G156" i="20"/>
  <c r="G187" i="20"/>
  <c r="G135" i="20"/>
  <c r="E68" i="20"/>
  <c r="E76" i="20"/>
  <c r="E97" i="20"/>
  <c r="G97" i="20" s="1"/>
  <c r="E101" i="20"/>
  <c r="E108" i="20"/>
  <c r="E115" i="20"/>
  <c r="G115" i="20" s="1"/>
  <c r="E123" i="20"/>
  <c r="E127" i="20"/>
  <c r="E131" i="20"/>
  <c r="E136" i="20"/>
  <c r="E141" i="20"/>
  <c r="E153" i="20"/>
  <c r="G153" i="20" s="1"/>
  <c r="E158" i="20"/>
  <c r="E173" i="20"/>
  <c r="G173" i="20" s="1"/>
  <c r="E177" i="20"/>
  <c r="E189" i="20"/>
  <c r="G193" i="20"/>
  <c r="E200" i="20"/>
  <c r="E227" i="20"/>
  <c r="E50" i="20"/>
  <c r="E69" i="20"/>
  <c r="E132" i="20"/>
  <c r="E27" i="20"/>
  <c r="E43" i="20"/>
  <c r="E105" i="20"/>
  <c r="E42" i="20"/>
  <c r="G66" i="20"/>
  <c r="G83" i="20"/>
  <c r="G190" i="20"/>
  <c r="G152" i="20"/>
  <c r="G178" i="20"/>
  <c r="G90" i="20"/>
  <c r="E65" i="20"/>
  <c r="G28" i="20"/>
  <c r="G36" i="20"/>
  <c r="G52" i="20"/>
  <c r="E109" i="20"/>
  <c r="E11" i="20"/>
  <c r="G55" i="20"/>
  <c r="G84" i="20"/>
  <c r="G157" i="20"/>
  <c r="G88" i="20"/>
  <c r="G53" i="20"/>
  <c r="E58" i="20"/>
  <c r="E54" i="20"/>
  <c r="E73" i="20"/>
  <c r="E77" i="20"/>
  <c r="E98" i="20"/>
  <c r="E155" i="20"/>
  <c r="G39" i="20"/>
  <c r="E15" i="20"/>
  <c r="E31" i="20"/>
  <c r="G31" i="20" s="1"/>
  <c r="G137" i="20"/>
  <c r="G165" i="20"/>
  <c r="G92" i="20"/>
  <c r="G174" i="20"/>
  <c r="E12" i="20"/>
  <c r="G143" i="20"/>
  <c r="G32" i="20"/>
  <c r="G110" i="20"/>
  <c r="E99" i="20"/>
  <c r="G194" i="20"/>
  <c r="E233" i="20"/>
  <c r="E204" i="20"/>
  <c r="E231" i="20"/>
  <c r="G231" i="20" s="1"/>
  <c r="G182" i="20"/>
  <c r="E74" i="20"/>
  <c r="G170" i="20"/>
  <c r="G195" i="20"/>
  <c r="E129" i="20"/>
  <c r="E124" i="20"/>
  <c r="G60" i="102"/>
  <c r="G176" i="102"/>
  <c r="G37" i="102"/>
  <c r="E126" i="102"/>
  <c r="E131" i="102"/>
  <c r="G173" i="102"/>
  <c r="G74" i="102"/>
  <c r="G64" i="102"/>
  <c r="E101" i="102"/>
  <c r="E115" i="102"/>
  <c r="E123" i="102"/>
  <c r="G123" i="102" s="1"/>
  <c r="G188" i="102"/>
  <c r="G30" i="102"/>
  <c r="E87" i="102"/>
  <c r="E200" i="102"/>
  <c r="E221" i="102"/>
  <c r="G118" i="102"/>
  <c r="E50" i="102"/>
  <c r="E65" i="102"/>
  <c r="E69" i="102"/>
  <c r="G171" i="102"/>
  <c r="E178" i="102"/>
  <c r="E182" i="102"/>
  <c r="E186" i="102"/>
  <c r="E190" i="102"/>
  <c r="G13" i="102"/>
  <c r="G76" i="102"/>
  <c r="E90" i="102"/>
  <c r="E193" i="102"/>
  <c r="E204" i="102"/>
  <c r="E231" i="102"/>
  <c r="G16" i="102"/>
  <c r="E31" i="102"/>
  <c r="G51" i="102"/>
  <c r="E175" i="102"/>
  <c r="E135" i="102"/>
  <c r="G195" i="102"/>
  <c r="G107" i="102"/>
  <c r="G52" i="102"/>
  <c r="E11" i="102"/>
  <c r="E15" i="102"/>
  <c r="E145" i="102"/>
  <c r="G153" i="102"/>
  <c r="E164" i="102"/>
  <c r="E168" i="102"/>
  <c r="E172" i="102"/>
  <c r="E125" i="102"/>
  <c r="E177" i="102"/>
  <c r="G174" i="102"/>
  <c r="E166" i="102"/>
  <c r="E194" i="102"/>
  <c r="E17" i="102"/>
  <c r="E26" i="102"/>
  <c r="E71" i="102"/>
  <c r="E130" i="102"/>
  <c r="E192" i="102"/>
  <c r="E72" i="102"/>
  <c r="E142" i="102"/>
  <c r="G42" i="102"/>
  <c r="E86" i="102"/>
  <c r="G187" i="102"/>
  <c r="G114" i="102"/>
  <c r="G96" i="102"/>
  <c r="E179" i="102"/>
  <c r="E225" i="102"/>
  <c r="E233" i="102"/>
  <c r="E56" i="102"/>
  <c r="E54" i="102"/>
  <c r="G41" i="102"/>
  <c r="G84" i="102"/>
  <c r="E232" i="102"/>
  <c r="E20" i="102"/>
  <c r="E25" i="102"/>
  <c r="E92" i="102"/>
  <c r="E180" i="102"/>
  <c r="E201" i="19"/>
  <c r="E180" i="19"/>
  <c r="E149" i="19"/>
  <c r="E187" i="19"/>
  <c r="E172" i="19"/>
  <c r="E145" i="19"/>
  <c r="G145" i="19" s="1"/>
  <c r="E116" i="19"/>
  <c r="E42" i="19"/>
  <c r="E123" i="19"/>
  <c r="E194" i="19"/>
  <c r="E47" i="19"/>
  <c r="E185" i="19"/>
  <c r="E184" i="19"/>
  <c r="G184" i="19" s="1"/>
  <c r="E83" i="19"/>
  <c r="E181" i="19"/>
  <c r="E92" i="19"/>
  <c r="E205" i="19"/>
  <c r="E33" i="19"/>
  <c r="E202" i="19"/>
  <c r="E159" i="19"/>
  <c r="E64" i="19"/>
  <c r="E15" i="19"/>
  <c r="E67" i="19"/>
  <c r="E191" i="19"/>
  <c r="E135" i="19"/>
  <c r="E107" i="19"/>
  <c r="E13" i="19"/>
  <c r="E192" i="19"/>
  <c r="G192" i="19" s="1"/>
  <c r="E173" i="19"/>
  <c r="E155" i="19"/>
  <c r="G155" i="19" s="1"/>
  <c r="E85" i="19"/>
  <c r="F208" i="19"/>
  <c r="F215" i="19" s="1"/>
  <c r="E49" i="19"/>
  <c r="G158" i="19"/>
  <c r="E87" i="19"/>
  <c r="E97" i="19"/>
  <c r="E196" i="19"/>
  <c r="E14" i="19"/>
  <c r="E18" i="19"/>
  <c r="E34" i="19"/>
  <c r="E37" i="19"/>
  <c r="E45" i="19"/>
  <c r="E48" i="19"/>
  <c r="E55" i="19"/>
  <c r="E58" i="19"/>
  <c r="E65" i="19"/>
  <c r="E69" i="19"/>
  <c r="E76" i="19"/>
  <c r="E91" i="19"/>
  <c r="E98" i="19"/>
  <c r="E66" i="19"/>
  <c r="E177" i="19"/>
  <c r="E166" i="19"/>
  <c r="E178" i="19"/>
  <c r="E221" i="19"/>
  <c r="E38" i="19"/>
  <c r="E90" i="19"/>
  <c r="E227" i="19"/>
  <c r="E110" i="19"/>
  <c r="E117" i="19"/>
  <c r="E138" i="19"/>
  <c r="E143" i="19"/>
  <c r="E147" i="19"/>
  <c r="G147" i="19" s="1"/>
  <c r="E52" i="19"/>
  <c r="E59" i="19"/>
  <c r="E73" i="19"/>
  <c r="E84" i="19"/>
  <c r="E26" i="19"/>
  <c r="E203" i="19"/>
  <c r="E220" i="19"/>
  <c r="E77" i="19"/>
  <c r="E170" i="19"/>
  <c r="E151" i="19"/>
  <c r="E30" i="19"/>
  <c r="E41" i="19"/>
  <c r="E167" i="19"/>
  <c r="E100" i="19"/>
  <c r="G100" i="19" s="1"/>
  <c r="E148" i="19"/>
  <c r="E46" i="19"/>
  <c r="E114" i="19"/>
  <c r="E137" i="19"/>
  <c r="E130" i="19"/>
  <c r="E146" i="19"/>
  <c r="E233" i="19"/>
  <c r="E25" i="19"/>
  <c r="E169" i="19"/>
  <c r="E27" i="19"/>
  <c r="E224" i="19"/>
  <c r="E165" i="19"/>
  <c r="E204" i="19"/>
  <c r="E176" i="19"/>
  <c r="E127" i="19"/>
  <c r="G223" i="149"/>
  <c r="G185" i="149"/>
  <c r="E17" i="149"/>
  <c r="E233" i="149"/>
  <c r="E227" i="149"/>
  <c r="E58" i="149"/>
  <c r="E99" i="149"/>
  <c r="E203" i="149"/>
  <c r="G205" i="149"/>
  <c r="G145" i="149"/>
  <c r="G117" i="149"/>
  <c r="G40" i="149"/>
  <c r="E86" i="28"/>
  <c r="E116" i="149"/>
  <c r="E124" i="149"/>
  <c r="E193" i="149"/>
  <c r="E48" i="28"/>
  <c r="E67" i="28"/>
  <c r="G67" i="28" s="1"/>
  <c r="E70" i="27"/>
  <c r="E133" i="27"/>
  <c r="F208" i="28"/>
  <c r="F215" i="28" s="1"/>
  <c r="E36" i="28"/>
  <c r="F208" i="175"/>
  <c r="F215" i="175" s="1"/>
  <c r="F208" i="62"/>
  <c r="F215" i="62" s="1"/>
  <c r="E123" i="62"/>
  <c r="F208" i="177"/>
  <c r="G60" i="177"/>
  <c r="E142" i="177"/>
  <c r="E196" i="177"/>
  <c r="E57" i="177"/>
  <c r="E11" i="177"/>
  <c r="E159" i="177"/>
  <c r="G221" i="145"/>
  <c r="E118" i="145"/>
  <c r="E78" i="145"/>
  <c r="E43" i="145"/>
  <c r="E200" i="145"/>
  <c r="G200" i="145" s="1"/>
  <c r="E141" i="145"/>
  <c r="E181" i="145"/>
  <c r="E153" i="145"/>
  <c r="E183" i="145"/>
  <c r="E147" i="145"/>
  <c r="E131" i="145"/>
  <c r="E157" i="145"/>
  <c r="E109" i="145"/>
  <c r="E68" i="145"/>
  <c r="E26" i="145"/>
  <c r="E65" i="145"/>
  <c r="E231" i="145"/>
  <c r="E87" i="145"/>
  <c r="E36" i="145"/>
  <c r="E194" i="145"/>
  <c r="E170" i="145"/>
  <c r="E70" i="145"/>
  <c r="E89" i="145"/>
  <c r="E167" i="145"/>
  <c r="E196" i="145"/>
  <c r="E124" i="145"/>
  <c r="G124" i="145" s="1"/>
  <c r="E98" i="145"/>
  <c r="E175" i="145"/>
  <c r="E54" i="145"/>
  <c r="E186" i="145"/>
  <c r="E126" i="145"/>
  <c r="E85" i="145"/>
  <c r="E66" i="145"/>
  <c r="E31" i="145"/>
  <c r="E165" i="145"/>
  <c r="E190" i="145"/>
  <c r="E202" i="145"/>
  <c r="E188" i="145"/>
  <c r="E58" i="145"/>
  <c r="E13" i="145"/>
  <c r="E228" i="167"/>
  <c r="G181" i="167"/>
  <c r="G150" i="167"/>
  <c r="G232" i="167"/>
  <c r="G225" i="167"/>
  <c r="G85" i="167"/>
  <c r="E119" i="167"/>
  <c r="G96" i="167"/>
  <c r="E21" i="167"/>
  <c r="G11" i="167"/>
  <c r="E197" i="167"/>
  <c r="G224" i="167"/>
  <c r="G155" i="167"/>
  <c r="G200" i="167"/>
  <c r="G137" i="167"/>
  <c r="E93" i="167"/>
  <c r="G145" i="167"/>
  <c r="G114" i="167"/>
  <c r="G36" i="167"/>
  <c r="G149" i="167"/>
  <c r="E79" i="167"/>
  <c r="G115" i="167"/>
  <c r="G138" i="167"/>
  <c r="G88" i="167"/>
  <c r="G205" i="167"/>
  <c r="G189" i="167"/>
  <c r="G117" i="167"/>
  <c r="E61" i="167"/>
  <c r="G171" i="167"/>
  <c r="G219" i="167"/>
  <c r="E111" i="167"/>
  <c r="G125" i="167"/>
  <c r="G130" i="167"/>
  <c r="G174" i="167"/>
  <c r="G169" i="167"/>
  <c r="G69" i="167"/>
  <c r="G172" i="167"/>
  <c r="G203" i="167"/>
  <c r="G12" i="177"/>
  <c r="E167" i="24"/>
  <c r="E75" i="32"/>
  <c r="E171" i="32"/>
  <c r="E175" i="32"/>
  <c r="E33" i="79"/>
  <c r="G33" i="79" s="1"/>
  <c r="E37" i="79"/>
  <c r="E85" i="79"/>
  <c r="E106" i="79"/>
  <c r="E116" i="79"/>
  <c r="E132" i="79"/>
  <c r="E142" i="79"/>
  <c r="E147" i="79"/>
  <c r="E159" i="79"/>
  <c r="E169" i="79"/>
  <c r="E26" i="64"/>
  <c r="E30" i="64"/>
  <c r="E183" i="178"/>
  <c r="E175" i="178"/>
  <c r="E127" i="178"/>
  <c r="E105" i="178"/>
  <c r="G105" i="178" s="1"/>
  <c r="E50" i="32"/>
  <c r="E53" i="32"/>
  <c r="E60" i="32"/>
  <c r="E88" i="32"/>
  <c r="E186" i="32"/>
  <c r="E29" i="79"/>
  <c r="E41" i="79"/>
  <c r="E89" i="79"/>
  <c r="E110" i="79"/>
  <c r="E137" i="79"/>
  <c r="E151" i="79"/>
  <c r="E155" i="79"/>
  <c r="E34" i="64"/>
  <c r="E191" i="178"/>
  <c r="E167" i="178"/>
  <c r="E36" i="103"/>
  <c r="E40" i="103"/>
  <c r="E43" i="103"/>
  <c r="E118" i="103"/>
  <c r="E125" i="103"/>
  <c r="E227" i="103"/>
  <c r="E16" i="118"/>
  <c r="E37" i="118"/>
  <c r="E59" i="118"/>
  <c r="E66" i="118"/>
  <c r="E192" i="118"/>
  <c r="E195" i="118"/>
  <c r="E202" i="118"/>
  <c r="E219" i="118"/>
  <c r="E227" i="118"/>
  <c r="E12" i="60"/>
  <c r="E16" i="60"/>
  <c r="G16" i="60" s="1"/>
  <c r="E27" i="60"/>
  <c r="E49" i="60"/>
  <c r="E57" i="60"/>
  <c r="E60" i="60"/>
  <c r="E67" i="60"/>
  <c r="E105" i="60"/>
  <c r="E109" i="60"/>
  <c r="E115" i="60"/>
  <c r="E118" i="60"/>
  <c r="E125" i="60"/>
  <c r="E130" i="60"/>
  <c r="E133" i="60"/>
  <c r="E138" i="60"/>
  <c r="E126" i="54"/>
  <c r="E130" i="54"/>
  <c r="E135" i="54"/>
  <c r="E192" i="15"/>
  <c r="E203" i="15"/>
  <c r="E33" i="68"/>
  <c r="D61" i="68"/>
  <c r="E37" i="68"/>
  <c r="E40" i="68"/>
  <c r="E99" i="66"/>
  <c r="E29" i="63"/>
  <c r="E16" i="43"/>
  <c r="G16" i="43" s="1"/>
  <c r="E28" i="43"/>
  <c r="E32" i="43"/>
  <c r="E35" i="43"/>
  <c r="E47" i="43"/>
  <c r="E51" i="43"/>
  <c r="E59" i="43"/>
  <c r="E65" i="43"/>
  <c r="E69" i="43"/>
  <c r="E73" i="43"/>
  <c r="E116" i="43"/>
  <c r="E137" i="43"/>
  <c r="E142" i="43"/>
  <c r="E151" i="43"/>
  <c r="E160" i="43"/>
  <c r="E167" i="43"/>
  <c r="E171" i="43"/>
  <c r="E175" i="43"/>
  <c r="E178" i="43"/>
  <c r="E225" i="43"/>
  <c r="E132" i="175"/>
  <c r="E137" i="175"/>
  <c r="E142" i="175"/>
  <c r="E147" i="175"/>
  <c r="E156" i="175"/>
  <c r="E159" i="175"/>
  <c r="E195" i="175"/>
  <c r="E12" i="84"/>
  <c r="E16" i="84"/>
  <c r="G16" i="84" s="1"/>
  <c r="E19" i="84"/>
  <c r="E27" i="84"/>
  <c r="E31" i="84"/>
  <c r="E34" i="84"/>
  <c r="E38" i="84"/>
  <c r="E42" i="84"/>
  <c r="E46" i="84"/>
  <c r="E49" i="84"/>
  <c r="E67" i="84"/>
  <c r="E106" i="84"/>
  <c r="E109" i="84"/>
  <c r="E126" i="84"/>
  <c r="E130" i="84"/>
  <c r="E133" i="84"/>
  <c r="E138" i="84"/>
  <c r="E142" i="84"/>
  <c r="E176" i="84"/>
  <c r="E180" i="84"/>
  <c r="E186" i="84"/>
  <c r="E190" i="84"/>
  <c r="E137" i="133"/>
  <c r="E141" i="133"/>
  <c r="E146" i="133"/>
  <c r="E150" i="133"/>
  <c r="E155" i="133"/>
  <c r="E159" i="133"/>
  <c r="E166" i="133"/>
  <c r="E25" i="37"/>
  <c r="E11" i="90"/>
  <c r="E38" i="90"/>
  <c r="E42" i="90"/>
  <c r="E46" i="90"/>
  <c r="E50" i="90"/>
  <c r="E53" i="90"/>
  <c r="E57" i="90"/>
  <c r="E64" i="90"/>
  <c r="E78" i="90"/>
  <c r="E92" i="90"/>
  <c r="E99" i="90"/>
  <c r="E105" i="90"/>
  <c r="E108" i="90"/>
  <c r="E115" i="90"/>
  <c r="E123" i="90"/>
  <c r="E127" i="90"/>
  <c r="E132" i="90"/>
  <c r="E56" i="24"/>
  <c r="E92" i="24"/>
  <c r="E106" i="24"/>
  <c r="E109" i="24"/>
  <c r="E152" i="24"/>
  <c r="E157" i="24"/>
  <c r="E164" i="24"/>
  <c r="E13" i="141"/>
  <c r="E17" i="141"/>
  <c r="E55" i="141"/>
  <c r="E91" i="141"/>
  <c r="E109" i="141"/>
  <c r="E115" i="141"/>
  <c r="E123" i="141"/>
  <c r="E137" i="141"/>
  <c r="E141" i="141"/>
  <c r="E146" i="141"/>
  <c r="E150" i="141"/>
  <c r="E153" i="141"/>
  <c r="E165" i="141"/>
  <c r="E169" i="141"/>
  <c r="E194" i="141"/>
  <c r="E201" i="141"/>
  <c r="G201" i="141" s="1"/>
  <c r="E205" i="141"/>
  <c r="E224" i="141"/>
  <c r="E28" i="32"/>
  <c r="E105" i="32"/>
  <c r="E115" i="32"/>
  <c r="E118" i="32"/>
  <c r="E126" i="32"/>
  <c r="E148" i="32"/>
  <c r="E160" i="32"/>
  <c r="E167" i="32"/>
  <c r="E223" i="64"/>
  <c r="E173" i="72"/>
  <c r="E177" i="72"/>
  <c r="E181" i="72"/>
  <c r="E196" i="72"/>
  <c r="E203" i="72"/>
  <c r="E17" i="28"/>
  <c r="E35" i="28"/>
  <c r="E39" i="28"/>
  <c r="E43" i="28"/>
  <c r="G43" i="28" s="1"/>
  <c r="E51" i="28"/>
  <c r="E101" i="28"/>
  <c r="E108" i="28"/>
  <c r="E115" i="28"/>
  <c r="E118" i="28"/>
  <c r="E126" i="28"/>
  <c r="E131" i="28"/>
  <c r="E136" i="28"/>
  <c r="E141" i="28"/>
  <c r="E146" i="28"/>
  <c r="E203" i="176"/>
  <c r="E221" i="176"/>
  <c r="E231" i="176"/>
  <c r="E45" i="143"/>
  <c r="G45" i="143" s="1"/>
  <c r="E53" i="143"/>
  <c r="E57" i="143"/>
  <c r="E64" i="143"/>
  <c r="E68" i="143"/>
  <c r="E72" i="143"/>
  <c r="E76" i="143"/>
  <c r="E86" i="143"/>
  <c r="E90" i="143"/>
  <c r="E97" i="143"/>
  <c r="E101" i="143"/>
  <c r="E108" i="143"/>
  <c r="G108" i="143" s="1"/>
  <c r="E185" i="143"/>
  <c r="E189" i="143"/>
  <c r="E133" i="87"/>
  <c r="E138" i="87"/>
  <c r="E143" i="87"/>
  <c r="E147" i="87"/>
  <c r="E151" i="87"/>
  <c r="E156" i="87"/>
  <c r="E160" i="87"/>
  <c r="E167" i="87"/>
  <c r="E192" i="86"/>
  <c r="E196" i="86"/>
  <c r="E202" i="86"/>
  <c r="E171" i="89"/>
  <c r="E175" i="89"/>
  <c r="E179" i="89"/>
  <c r="E183" i="89"/>
  <c r="E187" i="89"/>
  <c r="E191" i="89"/>
  <c r="E18" i="69"/>
  <c r="E32" i="69"/>
  <c r="E36" i="69"/>
  <c r="E40" i="69"/>
  <c r="E51" i="69"/>
  <c r="E54" i="69"/>
  <c r="E58" i="69"/>
  <c r="E65" i="69"/>
  <c r="G231" i="177"/>
  <c r="E235" i="177"/>
  <c r="G223" i="102"/>
  <c r="G143" i="72"/>
  <c r="E189" i="15"/>
  <c r="E48" i="68"/>
  <c r="E193" i="49"/>
  <c r="E196" i="49"/>
  <c r="E203" i="49"/>
  <c r="E220" i="49"/>
  <c r="E15" i="83"/>
  <c r="G15" i="83" s="1"/>
  <c r="E19" i="83"/>
  <c r="E27" i="83"/>
  <c r="E182" i="83"/>
  <c r="E224" i="83"/>
  <c r="E11" i="47"/>
  <c r="E26" i="47"/>
  <c r="E67" i="47"/>
  <c r="G67" i="47" s="1"/>
  <c r="E74" i="47"/>
  <c r="E78" i="47"/>
  <c r="E166" i="46"/>
  <c r="E129" i="102"/>
  <c r="E133" i="102"/>
  <c r="E137" i="102"/>
  <c r="E141" i="102"/>
  <c r="E150" i="102"/>
  <c r="E155" i="102"/>
  <c r="E158" i="102"/>
  <c r="E40" i="106"/>
  <c r="E44" i="106"/>
  <c r="E48" i="106"/>
  <c r="E52" i="106"/>
  <c r="E55" i="106"/>
  <c r="E59" i="106"/>
  <c r="E65" i="106"/>
  <c r="E88" i="106"/>
  <c r="E92" i="106"/>
  <c r="G92" i="106" s="1"/>
  <c r="E109" i="106"/>
  <c r="E116" i="106"/>
  <c r="E124" i="106"/>
  <c r="E137" i="106"/>
  <c r="E203" i="104"/>
  <c r="E219" i="104"/>
  <c r="E227" i="104"/>
  <c r="E13" i="43"/>
  <c r="E44" i="43"/>
  <c r="E55" i="43"/>
  <c r="E77" i="43"/>
  <c r="E88" i="43"/>
  <c r="E92" i="43"/>
  <c r="E99" i="43"/>
  <c r="E106" i="43"/>
  <c r="E110" i="43"/>
  <c r="E117" i="43"/>
  <c r="E130" i="43"/>
  <c r="E133" i="43"/>
  <c r="E85" i="175"/>
  <c r="E88" i="175"/>
  <c r="E106" i="175"/>
  <c r="E110" i="175"/>
  <c r="E129" i="175"/>
  <c r="E133" i="175"/>
  <c r="E138" i="175"/>
  <c r="E171" i="175"/>
  <c r="E175" i="175"/>
  <c r="E178" i="175"/>
  <c r="E182" i="175"/>
  <c r="E185" i="175"/>
  <c r="E189" i="175"/>
  <c r="E192" i="175"/>
  <c r="E41" i="71"/>
  <c r="E67" i="71"/>
  <c r="E71" i="71"/>
  <c r="E75" i="71"/>
  <c r="E105" i="71"/>
  <c r="E109" i="71"/>
  <c r="E115" i="71"/>
  <c r="E137" i="71"/>
  <c r="E142" i="71"/>
  <c r="E147" i="71"/>
  <c r="E38" i="39"/>
  <c r="E41" i="39"/>
  <c r="E45" i="39"/>
  <c r="E49" i="39"/>
  <c r="E52" i="39"/>
  <c r="E56" i="39"/>
  <c r="E60" i="39"/>
  <c r="E57" i="133"/>
  <c r="E60" i="133"/>
  <c r="E41" i="120"/>
  <c r="E45" i="120"/>
  <c r="E49" i="120"/>
  <c r="E53" i="120"/>
  <c r="E56" i="120"/>
  <c r="E59" i="120"/>
  <c r="E66" i="120"/>
  <c r="E70" i="120"/>
  <c r="E74" i="120"/>
  <c r="E96" i="120"/>
  <c r="E100" i="120"/>
  <c r="E107" i="120"/>
  <c r="E114" i="120"/>
  <c r="E118" i="120"/>
  <c r="E131" i="120"/>
  <c r="E149" i="120"/>
  <c r="E153" i="120"/>
  <c r="G153" i="120" s="1"/>
  <c r="E158" i="120"/>
  <c r="E202" i="120"/>
  <c r="E205" i="120"/>
  <c r="E225" i="120"/>
  <c r="E14" i="37"/>
  <c r="E57" i="145"/>
  <c r="E64" i="145"/>
  <c r="E127" i="145"/>
  <c r="E132" i="145"/>
  <c r="E159" i="145"/>
  <c r="E180" i="145"/>
  <c r="E184" i="145"/>
  <c r="E187" i="145"/>
  <c r="E159" i="15"/>
  <c r="E166" i="15"/>
  <c r="E186" i="15"/>
  <c r="C21" i="68"/>
  <c r="E19" i="68"/>
  <c r="E27" i="68"/>
  <c r="E34" i="68"/>
  <c r="E38" i="68"/>
  <c r="E173" i="68"/>
  <c r="D197" i="68"/>
  <c r="C197" i="68"/>
  <c r="E177" i="68"/>
  <c r="E194" i="68"/>
  <c r="C206" i="68"/>
  <c r="E200" i="68"/>
  <c r="E226" i="68"/>
  <c r="C228" i="68"/>
  <c r="E11" i="66"/>
  <c r="E32" i="66"/>
  <c r="E48" i="66"/>
  <c r="E51" i="66"/>
  <c r="E55" i="66"/>
  <c r="E65" i="66"/>
  <c r="E69" i="66"/>
  <c r="E124" i="66"/>
  <c r="E132" i="66"/>
  <c r="E137" i="66"/>
  <c r="E66" i="63"/>
  <c r="E70" i="63"/>
  <c r="E84" i="63"/>
  <c r="E131" i="63"/>
  <c r="E77" i="62"/>
  <c r="E87" i="62"/>
  <c r="E91" i="62"/>
  <c r="E178" i="62"/>
  <c r="E181" i="62"/>
  <c r="E185" i="62"/>
  <c r="E188" i="62"/>
  <c r="E191" i="62"/>
  <c r="E195" i="62"/>
  <c r="E226" i="62"/>
  <c r="E153" i="49"/>
  <c r="E158" i="49"/>
  <c r="E168" i="49"/>
  <c r="E172" i="49"/>
  <c r="E166" i="83"/>
  <c r="E172" i="83"/>
  <c r="E179" i="83"/>
  <c r="E148" i="46"/>
  <c r="E151" i="46"/>
  <c r="E78" i="102"/>
  <c r="E85" i="102"/>
  <c r="E88" i="102"/>
  <c r="E147" i="102"/>
  <c r="E151" i="102"/>
  <c r="E48" i="104"/>
  <c r="E70" i="104"/>
  <c r="E74" i="104"/>
  <c r="E78" i="104"/>
  <c r="E85" i="104"/>
  <c r="G85" i="104" s="1"/>
  <c r="E96" i="104"/>
  <c r="E100" i="104"/>
  <c r="G100" i="104" s="1"/>
  <c r="E110" i="104"/>
  <c r="E117" i="104"/>
  <c r="E124" i="104"/>
  <c r="E127" i="104"/>
  <c r="E131" i="104"/>
  <c r="E136" i="104"/>
  <c r="E149" i="104"/>
  <c r="E164" i="104"/>
  <c r="E167" i="104"/>
  <c r="E171" i="104"/>
  <c r="E175" i="104"/>
  <c r="E182" i="104"/>
  <c r="E186" i="104"/>
  <c r="E220" i="104"/>
  <c r="E31" i="71"/>
  <c r="E92" i="152"/>
  <c r="E99" i="152"/>
  <c r="E106" i="152"/>
  <c r="E124" i="152"/>
  <c r="E142" i="152"/>
  <c r="E146" i="152"/>
  <c r="E165" i="152"/>
  <c r="E169" i="152"/>
  <c r="E173" i="152"/>
  <c r="E180" i="152"/>
  <c r="E11" i="120"/>
  <c r="E15" i="120"/>
  <c r="E19" i="120"/>
  <c r="E30" i="120"/>
  <c r="E38" i="120"/>
  <c r="E141" i="120"/>
  <c r="E76" i="37"/>
  <c r="E83" i="37"/>
  <c r="E87" i="37"/>
  <c r="E91" i="37"/>
  <c r="E131" i="37"/>
  <c r="E149" i="37"/>
  <c r="E153" i="37"/>
  <c r="E158" i="37"/>
  <c r="G158" i="37" s="1"/>
  <c r="E165" i="37"/>
  <c r="E169" i="37"/>
  <c r="E173" i="37"/>
  <c r="G173" i="37" s="1"/>
  <c r="E180" i="37"/>
  <c r="E187" i="37"/>
  <c r="E191" i="37"/>
  <c r="E195" i="37"/>
  <c r="E202" i="37"/>
  <c r="E141" i="90"/>
  <c r="E150" i="90"/>
  <c r="E155" i="90"/>
  <c r="G155" i="90" s="1"/>
  <c r="E159" i="90"/>
  <c r="E166" i="90"/>
  <c r="E177" i="90"/>
  <c r="E181" i="90"/>
  <c r="E202" i="90"/>
  <c r="E226" i="90"/>
  <c r="E48" i="24"/>
  <c r="E52" i="24"/>
  <c r="E60" i="24"/>
  <c r="E74" i="24"/>
  <c r="E78" i="24"/>
  <c r="E85" i="24"/>
  <c r="E30" i="79"/>
  <c r="E46" i="79"/>
  <c r="E50" i="79"/>
  <c r="E54" i="79"/>
  <c r="E58" i="79"/>
  <c r="E64" i="79"/>
  <c r="E68" i="79"/>
  <c r="E86" i="79"/>
  <c r="E90" i="79"/>
  <c r="E97" i="79"/>
  <c r="E100" i="79"/>
  <c r="E133" i="79"/>
  <c r="G133" i="79" s="1"/>
  <c r="E138" i="79"/>
  <c r="E152" i="79"/>
  <c r="E156" i="79"/>
  <c r="E160" i="79"/>
  <c r="E167" i="79"/>
  <c r="E174" i="79"/>
  <c r="E177" i="79"/>
  <c r="E184" i="79"/>
  <c r="E39" i="64"/>
  <c r="E42" i="64"/>
  <c r="E50" i="64"/>
  <c r="E54" i="64"/>
  <c r="E58" i="64"/>
  <c r="E135" i="64"/>
  <c r="E152" i="64"/>
  <c r="E157" i="64"/>
  <c r="E182" i="64"/>
  <c r="E190" i="64"/>
  <c r="E194" i="64"/>
  <c r="E201" i="64"/>
  <c r="E126" i="165"/>
  <c r="E131" i="165"/>
  <c r="E135" i="165"/>
  <c r="E153" i="165"/>
  <c r="E165" i="165"/>
  <c r="E169" i="165"/>
  <c r="E173" i="165"/>
  <c r="E176" i="165"/>
  <c r="E180" i="165"/>
  <c r="E183" i="165"/>
  <c r="E187" i="165"/>
  <c r="E84" i="55"/>
  <c r="E88" i="55"/>
  <c r="E92" i="55"/>
  <c r="E99" i="55"/>
  <c r="E106" i="55"/>
  <c r="E110" i="55"/>
  <c r="E171" i="55"/>
  <c r="E175" i="55"/>
  <c r="E179" i="55"/>
  <c r="E183" i="55"/>
  <c r="E187" i="55"/>
  <c r="E190" i="55"/>
  <c r="E85" i="14"/>
  <c r="E115" i="85"/>
  <c r="E123" i="85"/>
  <c r="E165" i="85"/>
  <c r="E188" i="149"/>
  <c r="E169" i="172"/>
  <c r="E173" i="172"/>
  <c r="E177" i="172"/>
  <c r="E181" i="172"/>
  <c r="E185" i="172"/>
  <c r="E189" i="172"/>
  <c r="E15" i="176"/>
  <c r="E147" i="176"/>
  <c r="E151" i="176"/>
  <c r="E155" i="176"/>
  <c r="E176" i="176"/>
  <c r="E179" i="176"/>
  <c r="E183" i="176"/>
  <c r="E190" i="176"/>
  <c r="E193" i="176"/>
  <c r="E200" i="176"/>
  <c r="G205" i="102"/>
  <c r="G15" i="37"/>
  <c r="E54" i="37"/>
  <c r="E190" i="104"/>
  <c r="E38" i="145"/>
  <c r="E42" i="145"/>
  <c r="E45" i="145"/>
  <c r="E140" i="19"/>
  <c r="E152" i="19"/>
  <c r="E157" i="19"/>
  <c r="E164" i="19"/>
  <c r="E168" i="19"/>
  <c r="E179" i="19"/>
  <c r="E15" i="15"/>
  <c r="E152" i="15"/>
  <c r="E166" i="66"/>
  <c r="E169" i="66"/>
  <c r="E176" i="66"/>
  <c r="E183" i="66"/>
  <c r="E187" i="66"/>
  <c r="E201" i="66"/>
  <c r="E221" i="66"/>
  <c r="E227" i="66"/>
  <c r="E57" i="63"/>
  <c r="E100" i="63"/>
  <c r="E193" i="63"/>
  <c r="E203" i="63"/>
  <c r="E40" i="62"/>
  <c r="E44" i="62"/>
  <c r="E54" i="62"/>
  <c r="E57" i="62"/>
  <c r="E60" i="62"/>
  <c r="E69" i="133"/>
  <c r="G69" i="133" s="1"/>
  <c r="E73" i="133"/>
  <c r="E77" i="133"/>
  <c r="E84" i="133"/>
  <c r="E87" i="133"/>
  <c r="E33" i="152"/>
  <c r="E64" i="152"/>
  <c r="E67" i="152"/>
  <c r="E71" i="152"/>
  <c r="E75" i="152"/>
  <c r="E12" i="120"/>
  <c r="E16" i="120"/>
  <c r="E20" i="120"/>
  <c r="E27" i="120"/>
  <c r="E38" i="37"/>
  <c r="E69" i="37"/>
  <c r="E77" i="37"/>
  <c r="E84" i="37"/>
  <c r="E98" i="37"/>
  <c r="E105" i="37"/>
  <c r="E132" i="37"/>
  <c r="E136" i="37"/>
  <c r="E181" i="28"/>
  <c r="E184" i="28"/>
  <c r="E188" i="28"/>
  <c r="E19" i="65"/>
  <c r="E27" i="65"/>
  <c r="E35" i="65"/>
  <c r="E39" i="65"/>
  <c r="E43" i="65"/>
  <c r="E54" i="65"/>
  <c r="E58" i="65"/>
  <c r="E65" i="65"/>
  <c r="E51" i="119"/>
  <c r="E55" i="119"/>
  <c r="E58" i="119"/>
  <c r="E65" i="119"/>
  <c r="E69" i="119"/>
  <c r="E76" i="119"/>
  <c r="E82" i="119"/>
  <c r="E86" i="119"/>
  <c r="E90" i="119"/>
  <c r="E97" i="119"/>
  <c r="E101" i="119"/>
  <c r="E108" i="119"/>
  <c r="E115" i="119"/>
  <c r="E123" i="119"/>
  <c r="E127" i="119"/>
  <c r="E165" i="119"/>
  <c r="E169" i="119"/>
  <c r="E173" i="119"/>
  <c r="E196" i="119"/>
  <c r="E219" i="119"/>
  <c r="E226" i="119"/>
  <c r="G226" i="119" s="1"/>
  <c r="E98" i="25"/>
  <c r="E105" i="25"/>
  <c r="E109" i="25"/>
  <c r="E116" i="25"/>
  <c r="E109" i="156"/>
  <c r="E146" i="156"/>
  <c r="E158" i="156"/>
  <c r="E165" i="156"/>
  <c r="E189" i="42"/>
  <c r="E56" i="157"/>
  <c r="E60" i="157"/>
  <c r="E67" i="157"/>
  <c r="E99" i="157"/>
  <c r="E106" i="157"/>
  <c r="E110" i="157"/>
  <c r="E117" i="157"/>
  <c r="E129" i="157"/>
  <c r="E133" i="157"/>
  <c r="E188" i="157"/>
  <c r="E192" i="157"/>
  <c r="E195" i="157"/>
  <c r="E36" i="158"/>
  <c r="E40" i="158"/>
  <c r="E47" i="158"/>
  <c r="E51" i="158"/>
  <c r="E69" i="158"/>
  <c r="E115" i="158"/>
  <c r="E20" i="16"/>
  <c r="E32" i="16"/>
  <c r="E59" i="16"/>
  <c r="E124" i="16"/>
  <c r="E129" i="16"/>
  <c r="E133" i="16"/>
  <c r="E195" i="178"/>
  <c r="E187" i="178"/>
  <c r="E179" i="178"/>
  <c r="E171" i="178"/>
  <c r="E132" i="178"/>
  <c r="E109" i="178"/>
  <c r="E98" i="178"/>
  <c r="G98" i="178" s="1"/>
  <c r="G226" i="102"/>
  <c r="E31" i="65"/>
  <c r="G54" i="19"/>
  <c r="G110" i="62"/>
  <c r="E155" i="156"/>
  <c r="E52" i="104"/>
  <c r="G46" i="85"/>
  <c r="G25" i="72"/>
  <c r="G168" i="62"/>
  <c r="G151" i="27"/>
  <c r="G86" i="27"/>
  <c r="G28" i="27"/>
  <c r="G27" i="79"/>
  <c r="G186" i="72"/>
  <c r="G141" i="72"/>
  <c r="G70" i="72"/>
  <c r="G91" i="102"/>
  <c r="G125" i="20"/>
  <c r="G106" i="20"/>
  <c r="G203" i="85"/>
  <c r="G167" i="149"/>
  <c r="G156" i="85"/>
  <c r="G156" i="102"/>
  <c r="G99" i="37"/>
  <c r="G178" i="37"/>
  <c r="G29" i="102"/>
  <c r="G44" i="37"/>
  <c r="G76" i="27"/>
  <c r="G44" i="79"/>
  <c r="G226" i="16"/>
  <c r="G149" i="79"/>
  <c r="G181" i="177"/>
  <c r="G222" i="20"/>
  <c r="G32" i="102"/>
  <c r="G55" i="37"/>
  <c r="G223" i="19"/>
  <c r="G127" i="149"/>
  <c r="G223" i="177"/>
  <c r="G59" i="85"/>
  <c r="G115" i="79"/>
  <c r="G16" i="37"/>
  <c r="G221" i="20"/>
  <c r="G225" i="19"/>
  <c r="E97" i="145"/>
  <c r="G43" i="72"/>
  <c r="G107" i="72"/>
  <c r="E28" i="145"/>
  <c r="E97" i="15"/>
  <c r="G100" i="20"/>
  <c r="E17" i="145"/>
  <c r="E83" i="164"/>
  <c r="E32" i="19"/>
  <c r="E36" i="19"/>
  <c r="G222" i="72"/>
  <c r="E73" i="60"/>
  <c r="E147" i="60"/>
  <c r="E160" i="60"/>
  <c r="E20" i="54"/>
  <c r="E220" i="54"/>
  <c r="E225" i="54"/>
  <c r="E101" i="118"/>
  <c r="E71" i="19"/>
  <c r="E60" i="63"/>
  <c r="E14" i="102"/>
  <c r="E67" i="102"/>
  <c r="E75" i="102"/>
  <c r="E82" i="102"/>
  <c r="G116" i="72"/>
  <c r="E46" i="63"/>
  <c r="E140" i="98"/>
  <c r="E27" i="102"/>
  <c r="E34" i="106"/>
  <c r="E126" i="15"/>
  <c r="E222" i="68"/>
  <c r="E13" i="66"/>
  <c r="E129" i="63"/>
  <c r="E172" i="63"/>
  <c r="E41" i="62"/>
  <c r="E40" i="63"/>
  <c r="E108" i="58"/>
  <c r="E145" i="83"/>
  <c r="E173" i="83"/>
  <c r="E156" i="145"/>
  <c r="E20" i="164"/>
  <c r="E47" i="39"/>
  <c r="E148" i="62"/>
  <c r="E60" i="145"/>
  <c r="E225" i="15"/>
  <c r="E64" i="68"/>
  <c r="E172" i="66"/>
  <c r="E30" i="83"/>
  <c r="E73" i="83"/>
  <c r="E77" i="83"/>
  <c r="E123" i="54"/>
  <c r="E90" i="145"/>
  <c r="G90" i="145" s="1"/>
  <c r="E16" i="66"/>
  <c r="E157" i="66"/>
  <c r="E180" i="63"/>
  <c r="E43" i="58"/>
  <c r="E78" i="71"/>
  <c r="E174" i="71"/>
  <c r="E171" i="157"/>
  <c r="E202" i="89"/>
  <c r="E54" i="83"/>
  <c r="G54" i="83" s="1"/>
  <c r="E83" i="60"/>
  <c r="E26" i="46"/>
  <c r="E97" i="46"/>
  <c r="E53" i="63"/>
  <c r="E71" i="60"/>
  <c r="E82" i="54"/>
  <c r="E12" i="19"/>
  <c r="E101" i="19"/>
  <c r="E175" i="19"/>
  <c r="E12" i="15"/>
  <c r="E36" i="66"/>
  <c r="E12" i="63"/>
  <c r="E13" i="62"/>
  <c r="E47" i="58"/>
  <c r="E173" i="49"/>
  <c r="E115" i="46"/>
  <c r="E58" i="102"/>
  <c r="E13" i="106"/>
  <c r="E12" i="104"/>
  <c r="E16" i="104"/>
  <c r="E179" i="104"/>
  <c r="E74" i="43"/>
  <c r="E157" i="43"/>
  <c r="E43" i="71"/>
  <c r="G43" i="71" s="1"/>
  <c r="E179" i="71"/>
  <c r="E68" i="32"/>
  <c r="E18" i="103"/>
  <c r="E169" i="145"/>
  <c r="E44" i="19"/>
  <c r="E50" i="66"/>
  <c r="E164" i="63"/>
  <c r="E125" i="62"/>
  <c r="E129" i="49"/>
  <c r="E145" i="71"/>
  <c r="E85" i="39"/>
  <c r="E129" i="37"/>
  <c r="E20" i="94"/>
  <c r="E14" i="63"/>
  <c r="E118" i="71"/>
  <c r="E26" i="103"/>
  <c r="E19" i="15"/>
  <c r="E116" i="68"/>
  <c r="E18" i="63"/>
  <c r="E56" i="63"/>
  <c r="E33" i="62"/>
  <c r="E13" i="58"/>
  <c r="E165" i="102"/>
  <c r="E56" i="104"/>
  <c r="E137" i="53"/>
  <c r="E175" i="53"/>
  <c r="E84" i="47"/>
  <c r="E37" i="46"/>
  <c r="E127" i="46"/>
  <c r="E18" i="102"/>
  <c r="E85" i="43"/>
  <c r="E89" i="43"/>
  <c r="E69" i="71"/>
  <c r="G69" i="71" s="1"/>
  <c r="E153" i="71"/>
  <c r="E158" i="71"/>
  <c r="E169" i="71"/>
  <c r="E190" i="71"/>
  <c r="E55" i="39"/>
  <c r="E75" i="58"/>
  <c r="E175" i="58"/>
  <c r="E179" i="58"/>
  <c r="E15" i="53"/>
  <c r="E19" i="102"/>
  <c r="E110" i="102"/>
  <c r="E117" i="102"/>
  <c r="E33" i="106"/>
  <c r="E98" i="106"/>
  <c r="E151" i="106"/>
  <c r="E170" i="71"/>
  <c r="E177" i="71"/>
  <c r="E136" i="39"/>
  <c r="E187" i="39"/>
  <c r="E53" i="133"/>
  <c r="E146" i="58"/>
  <c r="E135" i="174"/>
  <c r="E153" i="83"/>
  <c r="E181" i="83"/>
  <c r="E33" i="47"/>
  <c r="E45" i="102"/>
  <c r="E77" i="102"/>
  <c r="E149" i="102"/>
  <c r="E51" i="106"/>
  <c r="E105" i="106"/>
  <c r="G105" i="106" s="1"/>
  <c r="E152" i="106"/>
  <c r="E82" i="104"/>
  <c r="E37" i="43"/>
  <c r="E76" i="43"/>
  <c r="E147" i="43"/>
  <c r="E100" i="71"/>
  <c r="E125" i="71"/>
  <c r="E151" i="71"/>
  <c r="E156" i="71"/>
  <c r="E25" i="39"/>
  <c r="E174" i="39"/>
  <c r="E29" i="120"/>
  <c r="E68" i="37"/>
  <c r="E72" i="37"/>
  <c r="E49" i="143"/>
  <c r="E13" i="10"/>
  <c r="E105" i="98"/>
  <c r="E34" i="83"/>
  <c r="E130" i="83"/>
  <c r="E19" i="47"/>
  <c r="E54" i="47"/>
  <c r="E135" i="47"/>
  <c r="E126" i="46"/>
  <c r="E68" i="102"/>
  <c r="E184" i="102"/>
  <c r="E45" i="106"/>
  <c r="G45" i="106" s="1"/>
  <c r="E68" i="106"/>
  <c r="E84" i="43"/>
  <c r="E91" i="43"/>
  <c r="E108" i="71"/>
  <c r="E130" i="71"/>
  <c r="E114" i="39"/>
  <c r="E146" i="39"/>
  <c r="E68" i="133"/>
  <c r="E76" i="133"/>
  <c r="E129" i="133"/>
  <c r="E98" i="120"/>
  <c r="E68" i="24"/>
  <c r="E11" i="64"/>
  <c r="E15" i="64"/>
  <c r="E35" i="155"/>
  <c r="E15" i="27"/>
  <c r="E26" i="10"/>
  <c r="E83" i="90"/>
  <c r="E37" i="20"/>
  <c r="E34" i="14"/>
  <c r="E142" i="72"/>
  <c r="E29" i="55"/>
  <c r="E16" i="14"/>
  <c r="E177" i="32"/>
  <c r="E187" i="72"/>
  <c r="E191" i="72"/>
  <c r="E107" i="27"/>
  <c r="E40" i="14"/>
  <c r="E17" i="10"/>
  <c r="E150" i="25"/>
  <c r="E118" i="55"/>
  <c r="G118" i="55" s="1"/>
  <c r="E137" i="14"/>
  <c r="E225" i="176"/>
  <c r="E25" i="87"/>
  <c r="E125" i="14"/>
  <c r="E178" i="14"/>
  <c r="E106" i="10"/>
  <c r="E172" i="178"/>
  <c r="E155" i="155"/>
  <c r="E36" i="14"/>
  <c r="E196" i="178"/>
  <c r="E188" i="178"/>
  <c r="E164" i="178"/>
  <c r="G164" i="178" s="1"/>
  <c r="E152" i="178"/>
  <c r="E143" i="178"/>
  <c r="E87" i="178"/>
  <c r="E193" i="85"/>
  <c r="E110" i="178"/>
  <c r="E77" i="178"/>
  <c r="G77" i="178" s="1"/>
  <c r="E58" i="178"/>
  <c r="E50" i="178"/>
  <c r="E42" i="178"/>
  <c r="E34" i="178"/>
  <c r="G34" i="178" s="1"/>
  <c r="E26" i="178"/>
  <c r="E174" i="178"/>
  <c r="E114" i="178"/>
  <c r="E51" i="178"/>
  <c r="E96" i="10"/>
  <c r="E157" i="10"/>
  <c r="E175" i="10"/>
  <c r="E108" i="178"/>
  <c r="G108" i="178" s="1"/>
  <c r="E168" i="87"/>
  <c r="E92" i="89"/>
  <c r="E159" i="178"/>
  <c r="E131" i="178"/>
  <c r="G131" i="178" s="1"/>
  <c r="E148" i="178"/>
  <c r="E18" i="50"/>
  <c r="E200" i="178"/>
  <c r="G200" i="178" s="1"/>
  <c r="E205" i="178"/>
  <c r="E89" i="178"/>
  <c r="E71" i="178"/>
  <c r="G71" i="178" s="1"/>
  <c r="E16" i="178"/>
  <c r="F208" i="55"/>
  <c r="E123" i="98"/>
  <c r="E127" i="98"/>
  <c r="E131" i="98"/>
  <c r="E135" i="98"/>
  <c r="E37" i="83"/>
  <c r="E41" i="83"/>
  <c r="E47" i="83"/>
  <c r="E57" i="83"/>
  <c r="E64" i="83"/>
  <c r="E70" i="83"/>
  <c r="E135" i="83"/>
  <c r="G52" i="149"/>
  <c r="G36" i="149"/>
  <c r="G16" i="149"/>
  <c r="G131" i="85"/>
  <c r="G149" i="62"/>
  <c r="G46" i="149"/>
  <c r="G129" i="85"/>
  <c r="G29" i="72"/>
  <c r="G88" i="37"/>
  <c r="G78" i="20"/>
  <c r="G67" i="27"/>
  <c r="E60" i="71"/>
  <c r="E38" i="133"/>
  <c r="E92" i="133"/>
  <c r="E105" i="133"/>
  <c r="E116" i="133"/>
  <c r="E131" i="133"/>
  <c r="E204" i="133"/>
  <c r="E177" i="28"/>
  <c r="E186" i="28"/>
  <c r="E29" i="156"/>
  <c r="E39" i="156"/>
  <c r="E89" i="156"/>
  <c r="E92" i="156"/>
  <c r="E169" i="20"/>
  <c r="E184" i="20"/>
  <c r="E141" i="27"/>
  <c r="E145" i="27"/>
  <c r="E175" i="27"/>
  <c r="E178" i="27"/>
  <c r="E181" i="27"/>
  <c r="E185" i="27"/>
  <c r="E83" i="165"/>
  <c r="E87" i="165"/>
  <c r="E91" i="165"/>
  <c r="E97" i="165"/>
  <c r="E101" i="165"/>
  <c r="E108" i="165"/>
  <c r="E201" i="14"/>
  <c r="G96" i="79"/>
  <c r="G108" i="102"/>
  <c r="E138" i="98"/>
  <c r="E143" i="98"/>
  <c r="E151" i="98"/>
  <c r="E155" i="98"/>
  <c r="E159" i="98"/>
  <c r="E165" i="98"/>
  <c r="E14" i="49"/>
  <c r="E18" i="49"/>
  <c r="E29" i="47"/>
  <c r="E37" i="47"/>
  <c r="E43" i="47"/>
  <c r="E46" i="47"/>
  <c r="E49" i="47"/>
  <c r="E77" i="175"/>
  <c r="E168" i="175"/>
  <c r="E172" i="175"/>
  <c r="E33" i="84"/>
  <c r="E40" i="84"/>
  <c r="E48" i="84"/>
  <c r="E51" i="84"/>
  <c r="E55" i="84"/>
  <c r="E15" i="71"/>
  <c r="E53" i="71"/>
  <c r="E30" i="133"/>
  <c r="E34" i="133"/>
  <c r="E67" i="133"/>
  <c r="E75" i="133"/>
  <c r="E89" i="133"/>
  <c r="E109" i="133"/>
  <c r="E124" i="133"/>
  <c r="E127" i="133"/>
  <c r="E167" i="152"/>
  <c r="E173" i="28"/>
  <c r="E192" i="119"/>
  <c r="E45" i="25"/>
  <c r="E53" i="25"/>
  <c r="E149" i="155"/>
  <c r="E177" i="155"/>
  <c r="E26" i="156"/>
  <c r="E67" i="156"/>
  <c r="E29" i="20"/>
  <c r="E33" i="20"/>
  <c r="E41" i="20"/>
  <c r="E44" i="20"/>
  <c r="E47" i="20"/>
  <c r="E51" i="20"/>
  <c r="E72" i="20"/>
  <c r="E86" i="20"/>
  <c r="E89" i="20"/>
  <c r="E96" i="20"/>
  <c r="E171" i="27"/>
  <c r="E182" i="27"/>
  <c r="E69" i="165"/>
  <c r="E77" i="165"/>
  <c r="E150" i="14"/>
  <c r="E153" i="14"/>
  <c r="E174" i="14"/>
  <c r="E181" i="14"/>
  <c r="E184" i="14"/>
  <c r="E187" i="14"/>
  <c r="E192" i="14"/>
  <c r="E202" i="14"/>
  <c r="G126" i="62"/>
  <c r="G170" i="167"/>
  <c r="G65" i="149"/>
  <c r="G136" i="85"/>
  <c r="G71" i="20"/>
  <c r="G16" i="20"/>
  <c r="G26" i="177"/>
  <c r="G123" i="167"/>
  <c r="E161" i="167"/>
  <c r="E109" i="98"/>
  <c r="E116" i="98"/>
  <c r="E201" i="43"/>
  <c r="E204" i="43"/>
  <c r="E231" i="43"/>
  <c r="E58" i="175"/>
  <c r="E65" i="175"/>
  <c r="E71" i="175"/>
  <c r="E155" i="175"/>
  <c r="E165" i="175"/>
  <c r="E12" i="71"/>
  <c r="E57" i="71"/>
  <c r="E185" i="71"/>
  <c r="E188" i="71"/>
  <c r="E26" i="39"/>
  <c r="E29" i="39"/>
  <c r="E125" i="39"/>
  <c r="E171" i="39"/>
  <c r="E12" i="133"/>
  <c r="E19" i="133"/>
  <c r="E27" i="133"/>
  <c r="E71" i="133"/>
  <c r="E82" i="133"/>
  <c r="E86" i="133"/>
  <c r="E106" i="133"/>
  <c r="E114" i="152"/>
  <c r="E125" i="152"/>
  <c r="E153" i="152"/>
  <c r="E164" i="152"/>
  <c r="E178" i="152"/>
  <c r="E185" i="152"/>
  <c r="E192" i="152"/>
  <c r="E123" i="79"/>
  <c r="E131" i="79"/>
  <c r="E140" i="79"/>
  <c r="E148" i="79"/>
  <c r="E191" i="79"/>
  <c r="E201" i="79"/>
  <c r="E14" i="64"/>
  <c r="E18" i="64"/>
  <c r="E33" i="64"/>
  <c r="E41" i="64"/>
  <c r="E44" i="64"/>
  <c r="E47" i="64"/>
  <c r="E83" i="64"/>
  <c r="E116" i="64"/>
  <c r="E202" i="64"/>
  <c r="E205" i="64"/>
  <c r="E232" i="64"/>
  <c r="E36" i="72"/>
  <c r="E47" i="28"/>
  <c r="E149" i="28"/>
  <c r="E167" i="28"/>
  <c r="E171" i="28"/>
  <c r="E188" i="119"/>
  <c r="E45" i="155"/>
  <c r="E70" i="155"/>
  <c r="E73" i="155"/>
  <c r="E96" i="155"/>
  <c r="E99" i="155"/>
  <c r="E137" i="155"/>
  <c r="E142" i="155"/>
  <c r="E146" i="155"/>
  <c r="E167" i="155"/>
  <c r="E175" i="155"/>
  <c r="E178" i="155"/>
  <c r="E180" i="155"/>
  <c r="E204" i="155"/>
  <c r="E222" i="155"/>
  <c r="E231" i="155"/>
  <c r="E13" i="156"/>
  <c r="E19" i="156"/>
  <c r="E26" i="20"/>
  <c r="E30" i="20"/>
  <c r="E34" i="20"/>
  <c r="E48" i="20"/>
  <c r="E146" i="14"/>
  <c r="E175" i="14"/>
  <c r="E190" i="14"/>
  <c r="E193" i="14"/>
  <c r="E195" i="14"/>
  <c r="G97" i="167"/>
  <c r="G223" i="145"/>
  <c r="E83" i="98"/>
  <c r="E87" i="98"/>
  <c r="E91" i="98"/>
  <c r="E42" i="175"/>
  <c r="E46" i="175"/>
  <c r="E56" i="175"/>
  <c r="E59" i="175"/>
  <c r="E151" i="175"/>
  <c r="E169" i="175"/>
  <c r="G188" i="167"/>
  <c r="G157" i="167"/>
  <c r="G158" i="62"/>
  <c r="G85" i="20"/>
  <c r="G88" i="85"/>
  <c r="G13" i="79"/>
  <c r="G89" i="167"/>
  <c r="G54" i="149"/>
  <c r="G83" i="85"/>
  <c r="G135" i="27"/>
  <c r="G70" i="20"/>
  <c r="E46" i="71"/>
  <c r="E50" i="71"/>
  <c r="G145" i="62"/>
  <c r="G127" i="79"/>
  <c r="G73" i="85"/>
  <c r="G12" i="79"/>
  <c r="G91" i="20"/>
  <c r="G166" i="85"/>
  <c r="G49" i="79"/>
  <c r="G46" i="72"/>
  <c r="G87" i="20"/>
  <c r="G220" i="172"/>
  <c r="G219" i="62"/>
  <c r="E206" i="167"/>
  <c r="G135" i="72"/>
  <c r="G181" i="20"/>
  <c r="G50" i="37"/>
  <c r="E149" i="94"/>
  <c r="G202" i="102"/>
  <c r="G15" i="85"/>
  <c r="G221" i="50"/>
  <c r="G232" i="177"/>
  <c r="E102" i="167"/>
  <c r="G225" i="79"/>
  <c r="E133" i="103"/>
  <c r="E137" i="103"/>
  <c r="E141" i="103"/>
  <c r="E146" i="103"/>
  <c r="E150" i="103"/>
  <c r="E12" i="118"/>
  <c r="E15" i="118"/>
  <c r="E89" i="118"/>
  <c r="E127" i="118"/>
  <c r="G222" i="37"/>
  <c r="G160" i="20"/>
  <c r="G20" i="20"/>
  <c r="G31" i="79"/>
  <c r="G223" i="174"/>
  <c r="G223" i="79"/>
  <c r="E77" i="103"/>
  <c r="E86" i="103"/>
  <c r="E130" i="103"/>
  <c r="E138" i="103"/>
  <c r="E147" i="103"/>
  <c r="E151" i="103"/>
  <c r="E74" i="103"/>
  <c r="E87" i="103"/>
  <c r="E123" i="103"/>
  <c r="E135" i="103"/>
  <c r="E67" i="98"/>
  <c r="E71" i="98"/>
  <c r="E74" i="98"/>
  <c r="G231" i="167"/>
  <c r="E235" i="167"/>
  <c r="G227" i="167"/>
  <c r="G126" i="85"/>
  <c r="G136" i="167"/>
  <c r="E59" i="164"/>
  <c r="E66" i="164"/>
  <c r="E84" i="66"/>
  <c r="E129" i="66"/>
  <c r="E129" i="174"/>
  <c r="E132" i="174"/>
  <c r="E129" i="53"/>
  <c r="E133" i="53"/>
  <c r="E141" i="53"/>
  <c r="E44" i="98"/>
  <c r="E54" i="98"/>
  <c r="G98" i="167"/>
  <c r="E27" i="63"/>
  <c r="E117" i="63"/>
  <c r="E147" i="58"/>
  <c r="E151" i="58"/>
  <c r="E222" i="58"/>
  <c r="E27" i="174"/>
  <c r="E116" i="174"/>
  <c r="E124" i="53"/>
  <c r="E152" i="94"/>
  <c r="E175" i="94"/>
  <c r="C61" i="68"/>
  <c r="E52" i="68"/>
  <c r="E55" i="68"/>
  <c r="E65" i="68"/>
  <c r="C79" i="68"/>
  <c r="D102" i="68"/>
  <c r="E105" i="68"/>
  <c r="C111" i="68"/>
  <c r="E40" i="66"/>
  <c r="E53" i="66"/>
  <c r="E72" i="66"/>
  <c r="E75" i="66"/>
  <c r="E226" i="54"/>
  <c r="E38" i="94"/>
  <c r="E45" i="94"/>
  <c r="E11" i="46"/>
  <c r="E188" i="46"/>
  <c r="E109" i="102"/>
  <c r="E127" i="102"/>
  <c r="E155" i="106"/>
  <c r="E227" i="54"/>
  <c r="E106" i="102"/>
  <c r="G60" i="149"/>
  <c r="G151" i="72"/>
  <c r="E192" i="53"/>
  <c r="E20" i="98"/>
  <c r="E86" i="98"/>
  <c r="E158" i="98"/>
  <c r="E29" i="49"/>
  <c r="E83" i="49"/>
  <c r="E138" i="118"/>
  <c r="E25" i="60"/>
  <c r="E29" i="60"/>
  <c r="E86" i="60"/>
  <c r="E172" i="60"/>
  <c r="E176" i="60"/>
  <c r="E16" i="94"/>
  <c r="E87" i="66"/>
  <c r="E91" i="66"/>
  <c r="E222" i="63"/>
  <c r="E231" i="63"/>
  <c r="E74" i="62"/>
  <c r="E84" i="62"/>
  <c r="E145" i="53"/>
  <c r="E149" i="53"/>
  <c r="E60" i="98"/>
  <c r="E73" i="98"/>
  <c r="E77" i="98"/>
  <c r="E97" i="98"/>
  <c r="E106" i="98"/>
  <c r="E147" i="98"/>
  <c r="E100" i="102"/>
  <c r="E75" i="106"/>
  <c r="E78" i="106"/>
  <c r="E85" i="106"/>
  <c r="E127" i="106"/>
  <c r="G136" i="102"/>
  <c r="E48" i="145"/>
  <c r="E18" i="66"/>
  <c r="E34" i="63"/>
  <c r="E87" i="58"/>
  <c r="E97" i="58"/>
  <c r="E101" i="58"/>
  <c r="E143" i="58"/>
  <c r="E202" i="58"/>
  <c r="E46" i="102"/>
  <c r="G12" i="102"/>
  <c r="E32" i="145"/>
  <c r="E39" i="15"/>
  <c r="E82" i="15"/>
  <c r="E85" i="15"/>
  <c r="E46" i="68"/>
  <c r="E232" i="66"/>
  <c r="E13" i="63"/>
  <c r="E17" i="63"/>
  <c r="E25" i="63"/>
  <c r="E28" i="15"/>
  <c r="E47" i="15"/>
  <c r="E219" i="66"/>
  <c r="E13" i="46"/>
  <c r="E35" i="102"/>
  <c r="E39" i="102"/>
  <c r="E56" i="118"/>
  <c r="E56" i="145"/>
  <c r="E71" i="145"/>
  <c r="E31" i="15"/>
  <c r="E44" i="15"/>
  <c r="E85" i="47"/>
  <c r="G85" i="47" s="1"/>
  <c r="E28" i="102"/>
  <c r="E43" i="102"/>
  <c r="E106" i="103"/>
  <c r="E127" i="60"/>
  <c r="E101" i="54"/>
  <c r="E16" i="145"/>
  <c r="E20" i="145"/>
  <c r="E30" i="68"/>
  <c r="E12" i="58"/>
  <c r="E91" i="58"/>
  <c r="E115" i="58"/>
  <c r="E131" i="58"/>
  <c r="E38" i="83"/>
  <c r="E50" i="47"/>
  <c r="E118" i="39"/>
  <c r="E18" i="20"/>
  <c r="E52" i="103"/>
  <c r="E156" i="60"/>
  <c r="E28" i="54"/>
  <c r="E110" i="68"/>
  <c r="E223" i="49"/>
  <c r="E152" i="102"/>
  <c r="E32" i="54"/>
  <c r="E178" i="15"/>
  <c r="E135" i="68"/>
  <c r="E50" i="63"/>
  <c r="E123" i="63"/>
  <c r="E133" i="63"/>
  <c r="E138" i="63"/>
  <c r="E189" i="49"/>
  <c r="E177" i="83"/>
  <c r="E232" i="83"/>
  <c r="E84" i="46"/>
  <c r="E99" i="102"/>
  <c r="E28" i="60"/>
  <c r="E48" i="94"/>
  <c r="E12" i="164"/>
  <c r="E68" i="68"/>
  <c r="E16" i="63"/>
  <c r="E30" i="63"/>
  <c r="E33" i="63"/>
  <c r="E37" i="63"/>
  <c r="E124" i="63"/>
  <c r="E88" i="47"/>
  <c r="E56" i="71"/>
  <c r="E173" i="71"/>
  <c r="E127" i="62"/>
  <c r="E46" i="43"/>
  <c r="E137" i="145"/>
  <c r="E165" i="83"/>
  <c r="E193" i="83"/>
  <c r="E168" i="37"/>
  <c r="E71" i="15"/>
  <c r="E11" i="53"/>
  <c r="E97" i="49"/>
  <c r="E32" i="47"/>
  <c r="E42" i="47"/>
  <c r="E72" i="47"/>
  <c r="E183" i="104"/>
  <c r="E41" i="24"/>
  <c r="E52" i="60"/>
  <c r="E52" i="54"/>
  <c r="E101" i="94"/>
  <c r="E86" i="145"/>
  <c r="E101" i="145"/>
  <c r="E55" i="15"/>
  <c r="E203" i="68"/>
  <c r="E189" i="102"/>
  <c r="E52" i="143"/>
  <c r="E60" i="15"/>
  <c r="E145" i="63"/>
  <c r="E27" i="58"/>
  <c r="E143" i="102"/>
  <c r="E33" i="133"/>
  <c r="E29" i="37"/>
  <c r="E36" i="63"/>
  <c r="E11" i="58"/>
  <c r="E88" i="83"/>
  <c r="E83" i="102"/>
  <c r="E101" i="43"/>
  <c r="E55" i="71"/>
  <c r="E65" i="71"/>
  <c r="E123" i="15"/>
  <c r="E137" i="63"/>
  <c r="E50" i="83"/>
  <c r="E105" i="102"/>
  <c r="E140" i="102"/>
  <c r="E147" i="104"/>
  <c r="E60" i="43"/>
  <c r="E108" i="39"/>
  <c r="E178" i="39"/>
  <c r="E98" i="133"/>
  <c r="E164" i="10"/>
  <c r="E44" i="71"/>
  <c r="E48" i="39"/>
  <c r="E155" i="39"/>
  <c r="E17" i="133"/>
  <c r="E60" i="64"/>
  <c r="E190" i="25"/>
  <c r="E47" i="156"/>
  <c r="E177" i="85"/>
  <c r="E27" i="71"/>
  <c r="E110" i="71"/>
  <c r="E135" i="71"/>
  <c r="E189" i="71"/>
  <c r="E100" i="39"/>
  <c r="E118" i="155"/>
  <c r="E13" i="55"/>
  <c r="E52" i="71"/>
  <c r="E92" i="71"/>
  <c r="E97" i="39"/>
  <c r="E166" i="39"/>
  <c r="E180" i="39"/>
  <c r="E68" i="120"/>
  <c r="E18" i="85"/>
  <c r="E110" i="85"/>
  <c r="E89" i="176"/>
  <c r="E57" i="10"/>
  <c r="E42" i="71"/>
  <c r="E149" i="71"/>
  <c r="E12" i="72"/>
  <c r="E186" i="155"/>
  <c r="E133" i="37"/>
  <c r="E146" i="25"/>
  <c r="E39" i="155"/>
  <c r="E142" i="14"/>
  <c r="E182" i="176"/>
  <c r="E192" i="37"/>
  <c r="E130" i="32"/>
  <c r="E133" i="133"/>
  <c r="E13" i="32"/>
  <c r="E159" i="25"/>
  <c r="E66" i="156"/>
  <c r="E140" i="85"/>
  <c r="E188" i="10"/>
  <c r="E53" i="37"/>
  <c r="E116" i="55"/>
  <c r="E14" i="38"/>
  <c r="E202" i="178"/>
  <c r="E68" i="10"/>
  <c r="E105" i="10"/>
  <c r="E125" i="10"/>
  <c r="E148" i="42"/>
  <c r="E98" i="55"/>
  <c r="E34" i="85"/>
  <c r="E65" i="10"/>
  <c r="E180" i="10"/>
  <c r="E129" i="89"/>
  <c r="E37" i="10"/>
  <c r="E76" i="87"/>
  <c r="E46" i="69"/>
  <c r="E227" i="178"/>
  <c r="E219" i="178"/>
  <c r="E84" i="178"/>
  <c r="E158" i="178"/>
  <c r="E149" i="178"/>
  <c r="E19" i="178"/>
  <c r="E11" i="178"/>
  <c r="E100" i="178"/>
  <c r="E53" i="178"/>
  <c r="E45" i="178"/>
  <c r="E37" i="178"/>
  <c r="E29" i="178"/>
  <c r="E192" i="178"/>
  <c r="E184" i="178"/>
  <c r="E176" i="178"/>
  <c r="E168" i="178"/>
  <c r="E92" i="178"/>
  <c r="E73" i="178"/>
  <c r="E65" i="178"/>
  <c r="E54" i="178"/>
  <c r="E46" i="178"/>
  <c r="E38" i="178"/>
  <c r="E30" i="178"/>
  <c r="E88" i="89"/>
  <c r="E42" i="92"/>
  <c r="E76" i="178"/>
  <c r="E117" i="38"/>
  <c r="E68" i="178"/>
  <c r="E57" i="178"/>
  <c r="E49" i="178"/>
  <c r="E41" i="178"/>
  <c r="E25" i="178"/>
  <c r="E83" i="178"/>
  <c r="E221" i="178"/>
  <c r="E126" i="178"/>
  <c r="E72" i="178"/>
  <c r="E18" i="178"/>
  <c r="E178" i="178"/>
  <c r="E189" i="178"/>
  <c r="E181" i="178"/>
  <c r="E173" i="178"/>
  <c r="E165" i="178"/>
  <c r="E155" i="178"/>
  <c r="E146" i="178"/>
  <c r="E136" i="178"/>
  <c r="E91" i="178"/>
  <c r="E64" i="178"/>
  <c r="E17" i="178"/>
  <c r="E99" i="178"/>
  <c r="E125" i="178"/>
  <c r="E101" i="178"/>
  <c r="E90" i="178"/>
  <c r="E82" i="178"/>
  <c r="E60" i="178"/>
  <c r="E52" i="178"/>
  <c r="E44" i="178"/>
  <c r="E36" i="178"/>
  <c r="E28" i="178"/>
  <c r="E69" i="178"/>
  <c r="E27" i="178"/>
  <c r="E194" i="178"/>
  <c r="E14" i="178"/>
  <c r="E133" i="178"/>
  <c r="E124" i="178"/>
  <c r="E78" i="178"/>
  <c r="E204" i="178"/>
  <c r="E160" i="178"/>
  <c r="E151" i="178"/>
  <c r="E142" i="178"/>
  <c r="E123" i="178"/>
  <c r="E156" i="178"/>
  <c r="E147" i="178"/>
  <c r="E137" i="178"/>
  <c r="E116" i="178"/>
  <c r="E74" i="178"/>
  <c r="E115" i="178"/>
  <c r="E106" i="178"/>
  <c r="E86" i="178"/>
  <c r="E48" i="178"/>
  <c r="E40" i="178"/>
  <c r="E32" i="178"/>
  <c r="E13" i="178"/>
  <c r="E129" i="178"/>
  <c r="E107" i="178"/>
  <c r="E224" i="178"/>
  <c r="E232" i="178"/>
  <c r="E85" i="178"/>
  <c r="E20" i="178"/>
  <c r="E12" i="178"/>
  <c r="G226" i="113"/>
  <c r="E14" i="113"/>
  <c r="E16" i="113"/>
  <c r="E43" i="113"/>
  <c r="E177" i="113"/>
  <c r="E200" i="113"/>
  <c r="E202" i="113"/>
  <c r="E225" i="113"/>
  <c r="E231" i="113"/>
  <c r="G89" i="113"/>
  <c r="E30" i="113"/>
  <c r="E34" i="113"/>
  <c r="E36" i="113"/>
  <c r="E39" i="113"/>
  <c r="E41" i="113"/>
  <c r="E118" i="113"/>
  <c r="E135" i="113"/>
  <c r="E137" i="113"/>
  <c r="E142" i="113"/>
  <c r="G142" i="113" s="1"/>
  <c r="E145" i="113"/>
  <c r="E147" i="113"/>
  <c r="E150" i="113"/>
  <c r="E153" i="113"/>
  <c r="E156" i="113"/>
  <c r="E159" i="113"/>
  <c r="E166" i="113"/>
  <c r="E170" i="113"/>
  <c r="E174" i="113"/>
  <c r="E196" i="113"/>
  <c r="G126" i="113"/>
  <c r="E27" i="113"/>
  <c r="E29" i="113"/>
  <c r="E87" i="113"/>
  <c r="E99" i="113"/>
  <c r="E101" i="113"/>
  <c r="E107" i="113"/>
  <c r="E184" i="113"/>
  <c r="E186" i="113"/>
  <c r="E188" i="113"/>
  <c r="E190" i="113"/>
  <c r="G35" i="113"/>
  <c r="G114" i="113"/>
  <c r="G182" i="113"/>
  <c r="E17" i="113"/>
  <c r="E19" i="113"/>
  <c r="E25" i="113"/>
  <c r="E46" i="113"/>
  <c r="E50" i="113"/>
  <c r="E52" i="113"/>
  <c r="E54" i="113"/>
  <c r="E64" i="113"/>
  <c r="E65" i="113"/>
  <c r="E67" i="113"/>
  <c r="E71" i="113"/>
  <c r="E74" i="113"/>
  <c r="E77" i="113"/>
  <c r="E82" i="113"/>
  <c r="E86" i="113"/>
  <c r="E181" i="113"/>
  <c r="E183" i="113"/>
  <c r="E66" i="113"/>
  <c r="G66" i="113" s="1"/>
  <c r="E85" i="113"/>
  <c r="G232" i="113"/>
  <c r="G192" i="113"/>
  <c r="G115" i="113"/>
  <c r="G76" i="113"/>
  <c r="G51" i="113"/>
  <c r="G143" i="113"/>
  <c r="G47" i="113"/>
  <c r="E146" i="113"/>
  <c r="F208" i="84"/>
  <c r="E237" i="57" l="1"/>
  <c r="G233" i="68"/>
  <c r="E235" i="68"/>
  <c r="G15" i="49"/>
  <c r="G150" i="47"/>
  <c r="G235" i="33"/>
  <c r="G237" i="33" s="1"/>
  <c r="F215" i="90"/>
  <c r="F215" i="14"/>
  <c r="F215" i="86"/>
  <c r="G235" i="14"/>
  <c r="F164" i="97"/>
  <c r="G235" i="111"/>
  <c r="G237" i="111" s="1"/>
  <c r="F215" i="32"/>
  <c r="G79" i="136"/>
  <c r="G69" i="174"/>
  <c r="G206" i="136"/>
  <c r="G221" i="118"/>
  <c r="G36" i="49"/>
  <c r="G111" i="136"/>
  <c r="F215" i="103"/>
  <c r="G206" i="33"/>
  <c r="G102" i="33"/>
  <c r="G192" i="38"/>
  <c r="G102" i="136"/>
  <c r="G194" i="38"/>
  <c r="E237" i="136"/>
  <c r="G44" i="84"/>
  <c r="G111" i="57"/>
  <c r="F215" i="49"/>
  <c r="G111" i="135"/>
  <c r="K14" i="57"/>
  <c r="G232" i="38"/>
  <c r="G93" i="57"/>
  <c r="G235" i="57"/>
  <c r="K15" i="57" s="1"/>
  <c r="G206" i="57"/>
  <c r="G97" i="84"/>
  <c r="G115" i="38"/>
  <c r="G188" i="38"/>
  <c r="G82" i="32"/>
  <c r="G102" i="159"/>
  <c r="G111" i="21"/>
  <c r="G223" i="157"/>
  <c r="G200" i="155"/>
  <c r="F208" i="97"/>
  <c r="F207" i="97"/>
  <c r="F206" i="97"/>
  <c r="G68" i="156"/>
  <c r="G102" i="21"/>
  <c r="G206" i="111"/>
  <c r="M211" i="97"/>
  <c r="M21" i="97" s="1"/>
  <c r="L211" i="97"/>
  <c r="M20" i="97" s="1"/>
  <c r="G119" i="57"/>
  <c r="G102" i="57"/>
  <c r="G228" i="21"/>
  <c r="G228" i="111"/>
  <c r="F215" i="1"/>
  <c r="G206" i="135"/>
  <c r="F215" i="27"/>
  <c r="G197" i="33"/>
  <c r="F215" i="50"/>
  <c r="F215" i="33"/>
  <c r="F215" i="157"/>
  <c r="F215" i="83"/>
  <c r="F215" i="143"/>
  <c r="F215" i="54"/>
  <c r="F215" i="15"/>
  <c r="G119" i="33"/>
  <c r="F215" i="46"/>
  <c r="F215" i="118"/>
  <c r="F215" i="89"/>
  <c r="F215" i="119"/>
  <c r="F215" i="159"/>
  <c r="F215" i="120"/>
  <c r="F215" i="135"/>
  <c r="F215" i="142"/>
  <c r="F215" i="98"/>
  <c r="F215" i="172"/>
  <c r="G93" i="111"/>
  <c r="G93" i="33"/>
  <c r="F215" i="167"/>
  <c r="F215" i="149"/>
  <c r="F215" i="24"/>
  <c r="F215" i="152"/>
  <c r="F215" i="60"/>
  <c r="F215" i="156"/>
  <c r="F215" i="58"/>
  <c r="G79" i="159"/>
  <c r="F215" i="94"/>
  <c r="F215" i="113"/>
  <c r="F215" i="141"/>
  <c r="F215" i="145"/>
  <c r="F215" i="136"/>
  <c r="F215" i="31"/>
  <c r="F215" i="47"/>
  <c r="G61" i="33"/>
  <c r="F215" i="68"/>
  <c r="F215" i="65"/>
  <c r="G21" i="33"/>
  <c r="G21" i="159"/>
  <c r="H20" i="159" s="1"/>
  <c r="G206" i="159"/>
  <c r="G228" i="159"/>
  <c r="G161" i="159"/>
  <c r="G117" i="84"/>
  <c r="E237" i="111"/>
  <c r="G110" i="38"/>
  <c r="G185" i="38"/>
  <c r="G98" i="38"/>
  <c r="G119" i="135"/>
  <c r="G228" i="135"/>
  <c r="H228" i="135" s="1"/>
  <c r="G235" i="135"/>
  <c r="G237" i="135" s="1"/>
  <c r="G235" i="21"/>
  <c r="K15" i="21" s="1"/>
  <c r="G235" i="136"/>
  <c r="G237" i="136" s="1"/>
  <c r="E237" i="159"/>
  <c r="F215" i="92"/>
  <c r="F215" i="102"/>
  <c r="F215" i="176"/>
  <c r="F215" i="10"/>
  <c r="F215" i="37"/>
  <c r="F215" i="150"/>
  <c r="K14" i="111"/>
  <c r="E237" i="33"/>
  <c r="E236" i="159"/>
  <c r="G228" i="33"/>
  <c r="E236" i="135"/>
  <c r="G200" i="84"/>
  <c r="G206" i="21"/>
  <c r="G189" i="104"/>
  <c r="G165" i="25"/>
  <c r="G197" i="21"/>
  <c r="G197" i="159"/>
  <c r="G197" i="136"/>
  <c r="G197" i="57"/>
  <c r="G161" i="136"/>
  <c r="G161" i="33"/>
  <c r="G147" i="84"/>
  <c r="G161" i="57"/>
  <c r="G161" i="21"/>
  <c r="E208" i="33"/>
  <c r="G119" i="111"/>
  <c r="G119" i="136"/>
  <c r="G119" i="21"/>
  <c r="G119" i="159"/>
  <c r="G111" i="33"/>
  <c r="G93" i="21"/>
  <c r="G93" i="136"/>
  <c r="G93" i="135"/>
  <c r="G69" i="104"/>
  <c r="E208" i="136"/>
  <c r="E208" i="135"/>
  <c r="G79" i="21"/>
  <c r="G78" i="38"/>
  <c r="E208" i="111"/>
  <c r="G79" i="33"/>
  <c r="G79" i="57"/>
  <c r="G26" i="1"/>
  <c r="G61" i="136"/>
  <c r="E208" i="57"/>
  <c r="G13" i="172"/>
  <c r="E74" i="97"/>
  <c r="G20" i="60"/>
  <c r="E226" i="97"/>
  <c r="G100" i="141"/>
  <c r="G118" i="94"/>
  <c r="E89" i="97"/>
  <c r="E153" i="97"/>
  <c r="E21" i="97"/>
  <c r="E46" i="97"/>
  <c r="E70" i="97"/>
  <c r="E31" i="97"/>
  <c r="D114" i="97"/>
  <c r="E138" i="97"/>
  <c r="E149" i="97"/>
  <c r="D64" i="97"/>
  <c r="E45" i="97"/>
  <c r="E81" i="97"/>
  <c r="E67" i="97"/>
  <c r="E79" i="97"/>
  <c r="G15" i="45"/>
  <c r="C105" i="97"/>
  <c r="E35" i="97"/>
  <c r="E113" i="97"/>
  <c r="E78" i="97"/>
  <c r="E225" i="97"/>
  <c r="G126" i="103"/>
  <c r="E129" i="97"/>
  <c r="E62" i="97"/>
  <c r="D105" i="97"/>
  <c r="E234" i="97"/>
  <c r="C209" i="97"/>
  <c r="E205" i="97"/>
  <c r="E222" i="97"/>
  <c r="G181" i="103"/>
  <c r="E184" i="97"/>
  <c r="E95" i="97"/>
  <c r="E36" i="97"/>
  <c r="E126" i="97"/>
  <c r="E150" i="97"/>
  <c r="E80" i="97"/>
  <c r="E144" i="97"/>
  <c r="E29" i="97"/>
  <c r="D200" i="97"/>
  <c r="E230" i="97"/>
  <c r="G152" i="145"/>
  <c r="E196" i="97"/>
  <c r="E173" i="97"/>
  <c r="E108" i="97"/>
  <c r="E61" i="97"/>
  <c r="E18" i="97"/>
  <c r="E68" i="97"/>
  <c r="E50" i="97"/>
  <c r="E182" i="97"/>
  <c r="E159" i="97"/>
  <c r="E145" i="97"/>
  <c r="E102" i="97"/>
  <c r="E192" i="97"/>
  <c r="E168" i="97"/>
  <c r="E204" i="97"/>
  <c r="E73" i="97"/>
  <c r="G180" i="103"/>
  <c r="E183" i="97"/>
  <c r="G152" i="103"/>
  <c r="E155" i="97"/>
  <c r="E60" i="97"/>
  <c r="E104" i="97"/>
  <c r="E194" i="97"/>
  <c r="G160" i="103"/>
  <c r="E163" i="97"/>
  <c r="E42" i="97"/>
  <c r="E69" i="97"/>
  <c r="E134" i="97"/>
  <c r="E109" i="97"/>
  <c r="D24" i="97"/>
  <c r="E177" i="97"/>
  <c r="E33" i="97"/>
  <c r="E112" i="97"/>
  <c r="E148" i="97"/>
  <c r="E92" i="97"/>
  <c r="E99" i="97"/>
  <c r="E187" i="97"/>
  <c r="E28" i="97"/>
  <c r="E22" i="97"/>
  <c r="C24" i="97"/>
  <c r="C231" i="97"/>
  <c r="C239" i="97" s="1"/>
  <c r="G54" i="103"/>
  <c r="E57" i="97"/>
  <c r="E59" i="97"/>
  <c r="E103" i="97"/>
  <c r="E197" i="97"/>
  <c r="E224" i="97"/>
  <c r="E53" i="97"/>
  <c r="E55" i="97"/>
  <c r="E90" i="97"/>
  <c r="E141" i="97"/>
  <c r="C122" i="97"/>
  <c r="E140" i="97"/>
  <c r="G186" i="89"/>
  <c r="E39" i="97"/>
  <c r="E185" i="97"/>
  <c r="E169" i="97"/>
  <c r="E75" i="97"/>
  <c r="E14" i="97"/>
  <c r="E30" i="97"/>
  <c r="E34" i="97"/>
  <c r="E23" i="97"/>
  <c r="E15" i="97"/>
  <c r="E58" i="97"/>
  <c r="E178" i="97"/>
  <c r="E132" i="97"/>
  <c r="E94" i="97"/>
  <c r="C96" i="97"/>
  <c r="E76" i="97"/>
  <c r="E19" i="97"/>
  <c r="E188" i="97"/>
  <c r="E161" i="97"/>
  <c r="G190" i="103"/>
  <c r="E193" i="97"/>
  <c r="G196" i="103"/>
  <c r="E199" i="97"/>
  <c r="E179" i="97"/>
  <c r="G148" i="103"/>
  <c r="E151" i="97"/>
  <c r="E56" i="97"/>
  <c r="E40" i="97"/>
  <c r="E85" i="97"/>
  <c r="E93" i="97"/>
  <c r="E17" i="97"/>
  <c r="E181" i="97"/>
  <c r="E38" i="97"/>
  <c r="E152" i="97"/>
  <c r="E223" i="97"/>
  <c r="E170" i="97"/>
  <c r="E229" i="97"/>
  <c r="G157" i="103"/>
  <c r="E160" i="97"/>
  <c r="G45" i="103"/>
  <c r="E48" i="97"/>
  <c r="E191" i="97"/>
  <c r="C64" i="97"/>
  <c r="D164" i="97"/>
  <c r="G155" i="172"/>
  <c r="G98" i="103"/>
  <c r="E101" i="97"/>
  <c r="G100" i="172"/>
  <c r="E208" i="97"/>
  <c r="E44" i="97"/>
  <c r="E171" i="97"/>
  <c r="G115" i="103"/>
  <c r="E118" i="97"/>
  <c r="E172" i="97"/>
  <c r="E133" i="97"/>
  <c r="E121" i="97"/>
  <c r="E41" i="97"/>
  <c r="C164" i="97"/>
  <c r="E91" i="97"/>
  <c r="E71" i="97"/>
  <c r="E37" i="97"/>
  <c r="E54" i="97"/>
  <c r="E51" i="97"/>
  <c r="E63" i="97"/>
  <c r="D82" i="97"/>
  <c r="E88" i="97"/>
  <c r="D122" i="97"/>
  <c r="E189" i="97"/>
  <c r="E139" i="97"/>
  <c r="G17" i="103"/>
  <c r="E20" i="97"/>
  <c r="E167" i="97"/>
  <c r="E135" i="97"/>
  <c r="E100" i="97"/>
  <c r="E120" i="97"/>
  <c r="E156" i="97"/>
  <c r="E228" i="97"/>
  <c r="E207" i="97"/>
  <c r="E117" i="97"/>
  <c r="E154" i="97"/>
  <c r="E111" i="97"/>
  <c r="E72" i="97"/>
  <c r="E190" i="97"/>
  <c r="E176" i="97"/>
  <c r="E119" i="97"/>
  <c r="E130" i="97"/>
  <c r="E235" i="97"/>
  <c r="E43" i="97"/>
  <c r="E128" i="97"/>
  <c r="E47" i="97"/>
  <c r="G170" i="69"/>
  <c r="E143" i="97"/>
  <c r="D96" i="97"/>
  <c r="E110" i="97"/>
  <c r="E16" i="97"/>
  <c r="E186" i="97"/>
  <c r="E77" i="97"/>
  <c r="E136" i="97"/>
  <c r="D209" i="97"/>
  <c r="C82" i="97"/>
  <c r="C200" i="97"/>
  <c r="E162" i="97"/>
  <c r="E87" i="97"/>
  <c r="C114" i="97"/>
  <c r="E174" i="97"/>
  <c r="E127" i="97"/>
  <c r="E86" i="97"/>
  <c r="G177" i="103"/>
  <c r="E180" i="97"/>
  <c r="G155" i="103"/>
  <c r="E158" i="97"/>
  <c r="E195" i="97"/>
  <c r="E175" i="97"/>
  <c r="E146" i="97"/>
  <c r="G49" i="103"/>
  <c r="E52" i="97"/>
  <c r="G29" i="103"/>
  <c r="E32" i="97"/>
  <c r="E206" i="97"/>
  <c r="E198" i="97"/>
  <c r="E49" i="97"/>
  <c r="E203" i="97"/>
  <c r="E227" i="97"/>
  <c r="G178" i="150"/>
  <c r="G193" i="106"/>
  <c r="G194" i="58"/>
  <c r="G116" i="92"/>
  <c r="G45" i="24"/>
  <c r="G91" i="71"/>
  <c r="G169" i="92"/>
  <c r="E235" i="143"/>
  <c r="E237" i="143" s="1"/>
  <c r="G179" i="16"/>
  <c r="G28" i="120"/>
  <c r="G174" i="1"/>
  <c r="G126" i="152"/>
  <c r="G110" i="92"/>
  <c r="G125" i="90"/>
  <c r="G135" i="60"/>
  <c r="G164" i="145"/>
  <c r="G88" i="120"/>
  <c r="G18" i="1"/>
  <c r="G224" i="87"/>
  <c r="G165" i="133"/>
  <c r="G109" i="95"/>
  <c r="G84" i="177"/>
  <c r="E235" i="142"/>
  <c r="G220" i="39"/>
  <c r="G49" i="87"/>
  <c r="G117" i="165"/>
  <c r="G98" i="69"/>
  <c r="G148" i="27"/>
  <c r="G88" i="15"/>
  <c r="G36" i="62"/>
  <c r="G185" i="94"/>
  <c r="G46" i="133"/>
  <c r="G196" i="58"/>
  <c r="G16" i="87"/>
  <c r="G89" i="90"/>
  <c r="G74" i="49"/>
  <c r="G195" i="43"/>
  <c r="G68" i="89"/>
  <c r="G203" i="172"/>
  <c r="G67" i="62"/>
  <c r="G57" i="65"/>
  <c r="G16" i="158"/>
  <c r="G157" i="54"/>
  <c r="G132" i="65"/>
  <c r="G203" i="165"/>
  <c r="G193" i="54"/>
  <c r="G176" i="172"/>
  <c r="G166" i="157"/>
  <c r="G56" i="15"/>
  <c r="G130" i="165"/>
  <c r="G15" i="174"/>
  <c r="G231" i="142"/>
  <c r="K14" i="142" s="1"/>
  <c r="G83" i="15"/>
  <c r="G222" i="165"/>
  <c r="G232" i="87"/>
  <c r="G158" i="50"/>
  <c r="G232" i="63"/>
  <c r="G50" i="15"/>
  <c r="G92" i="15"/>
  <c r="G156" i="158"/>
  <c r="G115" i="104"/>
  <c r="G33" i="92"/>
  <c r="G28" i="39"/>
  <c r="G30" i="176"/>
  <c r="G29" i="158"/>
  <c r="G146" i="32"/>
  <c r="G14" i="25"/>
  <c r="G29" i="68"/>
  <c r="G148" i="156"/>
  <c r="G18" i="165"/>
  <c r="G181" i="165"/>
  <c r="G109" i="174"/>
  <c r="G223" i="104"/>
  <c r="G173" i="50"/>
  <c r="G26" i="106"/>
  <c r="G191" i="16"/>
  <c r="G57" i="164"/>
  <c r="G105" i="95"/>
  <c r="G158" i="175"/>
  <c r="G177" i="165"/>
  <c r="G99" i="94"/>
  <c r="G19" i="155"/>
  <c r="G192" i="176"/>
  <c r="G187" i="42"/>
  <c r="G145" i="176"/>
  <c r="G33" i="86"/>
  <c r="G145" i="47"/>
  <c r="G33" i="178"/>
  <c r="G200" i="95"/>
  <c r="G105" i="47"/>
  <c r="G143" i="43"/>
  <c r="G53" i="47"/>
  <c r="G225" i="150"/>
  <c r="G15" i="141"/>
  <c r="G57" i="87"/>
  <c r="G147" i="16"/>
  <c r="G181" i="1"/>
  <c r="G15" i="172"/>
  <c r="G31" i="98"/>
  <c r="G169" i="47"/>
  <c r="G223" i="27"/>
  <c r="G90" i="90"/>
  <c r="G26" i="58"/>
  <c r="G57" i="165"/>
  <c r="G178" i="24"/>
  <c r="G153" i="54"/>
  <c r="G92" i="120"/>
  <c r="G75" i="64"/>
  <c r="G156" i="90"/>
  <c r="G43" i="141"/>
  <c r="G165" i="86"/>
  <c r="G224" i="64"/>
  <c r="G222" i="87"/>
  <c r="G29" i="172"/>
  <c r="G98" i="155"/>
  <c r="G34" i="142"/>
  <c r="G99" i="174"/>
  <c r="G232" i="60"/>
  <c r="G64" i="176"/>
  <c r="G107" i="24"/>
  <c r="G85" i="143"/>
  <c r="G221" i="55"/>
  <c r="G71" i="155"/>
  <c r="G136" i="133"/>
  <c r="G222" i="95"/>
  <c r="G136" i="60"/>
  <c r="G71" i="143"/>
  <c r="G91" i="39"/>
  <c r="G84" i="92"/>
  <c r="G19" i="90"/>
  <c r="G51" i="10"/>
  <c r="G28" i="69"/>
  <c r="G70" i="25"/>
  <c r="G70" i="32"/>
  <c r="G114" i="141"/>
  <c r="G33" i="87"/>
  <c r="G69" i="47"/>
  <c r="G226" i="94"/>
  <c r="G190" i="157"/>
  <c r="G200" i="103"/>
  <c r="G77" i="172"/>
  <c r="G192" i="165"/>
  <c r="G190" i="172"/>
  <c r="G43" i="156"/>
  <c r="G173" i="133"/>
  <c r="G173" i="95"/>
  <c r="G78" i="172"/>
  <c r="G188" i="95"/>
  <c r="G43" i="104"/>
  <c r="G153" i="133"/>
  <c r="G49" i="104"/>
  <c r="G203" i="133"/>
  <c r="G156" i="141"/>
  <c r="E111" i="113"/>
  <c r="G73" i="120"/>
  <c r="G26" i="92"/>
  <c r="G53" i="60"/>
  <c r="G78" i="43"/>
  <c r="G37" i="156"/>
  <c r="G204" i="176"/>
  <c r="G31" i="141"/>
  <c r="G205" i="94"/>
  <c r="G180" i="46"/>
  <c r="G99" i="142"/>
  <c r="G227" i="157"/>
  <c r="G170" i="58"/>
  <c r="G186" i="106"/>
  <c r="G18" i="58"/>
  <c r="G184" i="142"/>
  <c r="G37" i="86"/>
  <c r="G49" i="86"/>
  <c r="G77" i="55"/>
  <c r="G59" i="71"/>
  <c r="G132" i="46"/>
  <c r="G75" i="178"/>
  <c r="G91" i="68"/>
  <c r="G147" i="165"/>
  <c r="G224" i="24"/>
  <c r="G88" i="95"/>
  <c r="G155" i="119"/>
  <c r="G181" i="87"/>
  <c r="G175" i="176"/>
  <c r="G123" i="42"/>
  <c r="G224" i="32"/>
  <c r="G99" i="69"/>
  <c r="G123" i="172"/>
  <c r="G193" i="31"/>
  <c r="G159" i="83"/>
  <c r="G181" i="47"/>
  <c r="G83" i="50"/>
  <c r="G18" i="92"/>
  <c r="G202" i="60"/>
  <c r="G60" i="152"/>
  <c r="G60" i="172"/>
  <c r="E235" i="39"/>
  <c r="G185" i="92"/>
  <c r="G87" i="142"/>
  <c r="G110" i="118"/>
  <c r="G189" i="69"/>
  <c r="G226" i="47"/>
  <c r="G173" i="32"/>
  <c r="G18" i="164"/>
  <c r="G65" i="164"/>
  <c r="G118" i="43"/>
  <c r="G200" i="92"/>
  <c r="G171" i="133"/>
  <c r="G219" i="141"/>
  <c r="G204" i="165"/>
  <c r="G159" i="165"/>
  <c r="G189" i="157"/>
  <c r="G140" i="31"/>
  <c r="G187" i="64"/>
  <c r="G16" i="86"/>
  <c r="G220" i="143"/>
  <c r="G49" i="176"/>
  <c r="G69" i="86"/>
  <c r="G188" i="156"/>
  <c r="G176" i="158"/>
  <c r="G138" i="69"/>
  <c r="G126" i="83"/>
  <c r="G114" i="119"/>
  <c r="G183" i="83"/>
  <c r="G157" i="172"/>
  <c r="G29" i="89"/>
  <c r="G87" i="176"/>
  <c r="G45" i="87"/>
  <c r="G33" i="176"/>
  <c r="G165" i="31"/>
  <c r="G196" i="150"/>
  <c r="G67" i="158"/>
  <c r="G75" i="86"/>
  <c r="G11" i="152"/>
  <c r="G195" i="16"/>
  <c r="G73" i="157"/>
  <c r="G142" i="172"/>
  <c r="G222" i="120"/>
  <c r="G109" i="150"/>
  <c r="G56" i="32"/>
  <c r="G68" i="86"/>
  <c r="G166" i="155"/>
  <c r="G145" i="157"/>
  <c r="G38" i="64"/>
  <c r="G155" i="69"/>
  <c r="G137" i="25"/>
  <c r="G180" i="69"/>
  <c r="G223" i="87"/>
  <c r="G132" i="104"/>
  <c r="G25" i="50"/>
  <c r="G118" i="64"/>
  <c r="G192" i="143"/>
  <c r="G58" i="54"/>
  <c r="G66" i="53"/>
  <c r="G87" i="53"/>
  <c r="G118" i="62"/>
  <c r="G185" i="95"/>
  <c r="G33" i="95"/>
  <c r="G205" i="95"/>
  <c r="G227" i="50"/>
  <c r="G204" i="50"/>
  <c r="G232" i="1"/>
  <c r="G196" i="142"/>
  <c r="G233" i="142"/>
  <c r="G77" i="69"/>
  <c r="G222" i="69"/>
  <c r="G140" i="69"/>
  <c r="G110" i="69"/>
  <c r="G107" i="69"/>
  <c r="G138" i="86"/>
  <c r="G137" i="86"/>
  <c r="G87" i="86"/>
  <c r="G109" i="86"/>
  <c r="G88" i="86"/>
  <c r="G190" i="86"/>
  <c r="G13" i="87"/>
  <c r="G98" i="87"/>
  <c r="G117" i="10"/>
  <c r="G194" i="10"/>
  <c r="G231" i="10"/>
  <c r="G50" i="143"/>
  <c r="G12" i="176"/>
  <c r="G96" i="172"/>
  <c r="G180" i="172"/>
  <c r="G200" i="172"/>
  <c r="G82" i="172"/>
  <c r="G54" i="172"/>
  <c r="G33" i="172"/>
  <c r="G174" i="149"/>
  <c r="G41" i="14"/>
  <c r="E237" i="14"/>
  <c r="G177" i="55"/>
  <c r="G83" i="55"/>
  <c r="G34" i="55"/>
  <c r="G124" i="55"/>
  <c r="G158" i="165"/>
  <c r="G111" i="111"/>
  <c r="G79" i="111"/>
  <c r="G197" i="111"/>
  <c r="G102" i="111"/>
  <c r="G161" i="111"/>
  <c r="G108" i="16"/>
  <c r="G137" i="16"/>
  <c r="G156" i="16"/>
  <c r="G233" i="16"/>
  <c r="G91" i="158"/>
  <c r="G90" i="158"/>
  <c r="G168" i="158"/>
  <c r="G226" i="158"/>
  <c r="G147" i="158"/>
  <c r="G151" i="158"/>
  <c r="G233" i="158"/>
  <c r="G174" i="157"/>
  <c r="G77" i="157"/>
  <c r="G49" i="157"/>
  <c r="G18" i="42"/>
  <c r="G135" i="42"/>
  <c r="G98" i="156"/>
  <c r="G91" i="155"/>
  <c r="G107" i="25"/>
  <c r="G27" i="25"/>
  <c r="G85" i="25"/>
  <c r="G89" i="25"/>
  <c r="G130" i="119"/>
  <c r="G205" i="119"/>
  <c r="G143" i="65"/>
  <c r="E235" i="65"/>
  <c r="G67" i="65"/>
  <c r="G76" i="28"/>
  <c r="G96" i="28"/>
  <c r="G82" i="28"/>
  <c r="G231" i="28"/>
  <c r="K14" i="28" s="1"/>
  <c r="G137" i="64"/>
  <c r="G132" i="64"/>
  <c r="G100" i="64"/>
  <c r="G20" i="64"/>
  <c r="G86" i="64"/>
  <c r="G40" i="64"/>
  <c r="G191" i="64"/>
  <c r="G15" i="31"/>
  <c r="G78" i="31"/>
  <c r="G223" i="31"/>
  <c r="G118" i="31"/>
  <c r="G131" i="32"/>
  <c r="G202" i="32"/>
  <c r="G77" i="32"/>
  <c r="G32" i="32"/>
  <c r="G85" i="141"/>
  <c r="G131" i="24"/>
  <c r="G202" i="24"/>
  <c r="G16" i="24"/>
  <c r="G187" i="90"/>
  <c r="G195" i="90"/>
  <c r="G82" i="90"/>
  <c r="G43" i="120"/>
  <c r="G201" i="120"/>
  <c r="G158" i="152"/>
  <c r="G158" i="133"/>
  <c r="G18" i="133"/>
  <c r="G66" i="133"/>
  <c r="G74" i="133"/>
  <c r="G181" i="133"/>
  <c r="G161" i="135"/>
  <c r="G197" i="135"/>
  <c r="G79" i="135"/>
  <c r="G102" i="135"/>
  <c r="G152" i="71"/>
  <c r="G149" i="175"/>
  <c r="G170" i="43"/>
  <c r="G101" i="104"/>
  <c r="G114" i="49"/>
  <c r="G27" i="49"/>
  <c r="G170" i="83"/>
  <c r="G166" i="98"/>
  <c r="G233" i="98"/>
  <c r="G131" i="53"/>
  <c r="E235" i="174"/>
  <c r="G110" i="174"/>
  <c r="G45" i="63"/>
  <c r="G156" i="68"/>
  <c r="G138" i="68"/>
  <c r="G184" i="68"/>
  <c r="G99" i="15"/>
  <c r="G17" i="15"/>
  <c r="G195" i="15"/>
  <c r="G131" i="164"/>
  <c r="G48" i="164"/>
  <c r="G184" i="164"/>
  <c r="G57" i="94"/>
  <c r="G165" i="94"/>
  <c r="G158" i="94"/>
  <c r="G33" i="94"/>
  <c r="G181" i="94"/>
  <c r="G101" i="69"/>
  <c r="G136" i="66"/>
  <c r="G19" i="174"/>
  <c r="G223" i="66"/>
  <c r="G160" i="158"/>
  <c r="G68" i="165"/>
  <c r="G187" i="53"/>
  <c r="G201" i="164"/>
  <c r="G52" i="69"/>
  <c r="G35" i="118"/>
  <c r="G205" i="150"/>
  <c r="G141" i="55"/>
  <c r="G31" i="53"/>
  <c r="G42" i="58"/>
  <c r="G159" i="66"/>
  <c r="G177" i="164"/>
  <c r="G151" i="94"/>
  <c r="G26" i="54"/>
  <c r="G40" i="60"/>
  <c r="G116" i="95"/>
  <c r="G148" i="50"/>
  <c r="G192" i="69"/>
  <c r="G231" i="83"/>
  <c r="G235" i="83" s="1"/>
  <c r="E235" i="83"/>
  <c r="G131" i="174"/>
  <c r="G182" i="174"/>
  <c r="G36" i="32"/>
  <c r="G164" i="176"/>
  <c r="G165" i="157"/>
  <c r="G147" i="90"/>
  <c r="G193" i="174"/>
  <c r="G225" i="46"/>
  <c r="G71" i="55"/>
  <c r="G225" i="49"/>
  <c r="G222" i="25"/>
  <c r="G107" i="133"/>
  <c r="G72" i="15"/>
  <c r="G99" i="54"/>
  <c r="G55" i="133"/>
  <c r="G31" i="118"/>
  <c r="G141" i="176"/>
  <c r="G27" i="176"/>
  <c r="G153" i="158"/>
  <c r="G71" i="42"/>
  <c r="G49" i="83"/>
  <c r="G149" i="141"/>
  <c r="G138" i="142"/>
  <c r="G225" i="42"/>
  <c r="G32" i="28"/>
  <c r="G222" i="152"/>
  <c r="G223" i="60"/>
  <c r="G37" i="176"/>
  <c r="G202" i="141"/>
  <c r="G138" i="95"/>
  <c r="G165" i="142"/>
  <c r="G39" i="152"/>
  <c r="G196" i="176"/>
  <c r="G204" i="31"/>
  <c r="G92" i="157"/>
  <c r="G146" i="174"/>
  <c r="G224" i="90"/>
  <c r="G186" i="27"/>
  <c r="G96" i="31"/>
  <c r="G195" i="92"/>
  <c r="G189" i="177"/>
  <c r="G20" i="62"/>
  <c r="G15" i="157"/>
  <c r="G183" i="92"/>
  <c r="G227" i="89"/>
  <c r="G45" i="55"/>
  <c r="G51" i="71"/>
  <c r="G192" i="1"/>
  <c r="G166" i="92"/>
  <c r="G221" i="95"/>
  <c r="G42" i="174"/>
  <c r="G164" i="174"/>
  <c r="G194" i="94"/>
  <c r="G74" i="53"/>
  <c r="G96" i="14"/>
  <c r="G179" i="39"/>
  <c r="G131" i="90"/>
  <c r="G225" i="24"/>
  <c r="G125" i="158"/>
  <c r="G186" i="86"/>
  <c r="G185" i="90"/>
  <c r="G187" i="46"/>
  <c r="G146" i="50"/>
  <c r="G107" i="50"/>
  <c r="G225" i="92"/>
  <c r="G223" i="176"/>
  <c r="G75" i="69"/>
  <c r="G11" i="19"/>
  <c r="G189" i="24"/>
  <c r="G92" i="175"/>
  <c r="G45" i="176"/>
  <c r="G97" i="176"/>
  <c r="G53" i="92"/>
  <c r="G25" i="142"/>
  <c r="G184" i="10"/>
  <c r="G83" i="143"/>
  <c r="G186" i="14"/>
  <c r="G232" i="133"/>
  <c r="G29" i="95"/>
  <c r="G171" i="174"/>
  <c r="G106" i="66"/>
  <c r="G156" i="14"/>
  <c r="G110" i="49"/>
  <c r="G150" i="94"/>
  <c r="G133" i="69"/>
  <c r="G220" i="94"/>
  <c r="G15" i="90"/>
  <c r="G135" i="152"/>
  <c r="G115" i="133"/>
  <c r="G106" i="15"/>
  <c r="G15" i="60"/>
  <c r="G38" i="25"/>
  <c r="G50" i="175"/>
  <c r="G138" i="53"/>
  <c r="G157" i="68"/>
  <c r="G57" i="68"/>
  <c r="G32" i="164"/>
  <c r="G132" i="94"/>
  <c r="G54" i="94"/>
  <c r="G149" i="54"/>
  <c r="G14" i="54"/>
  <c r="G106" i="60"/>
  <c r="E235" i="172"/>
  <c r="G231" i="172"/>
  <c r="G145" i="142"/>
  <c r="G109" i="31"/>
  <c r="G82" i="164"/>
  <c r="G133" i="31"/>
  <c r="G117" i="172"/>
  <c r="G30" i="172"/>
  <c r="G74" i="157"/>
  <c r="G66" i="64"/>
  <c r="G27" i="32"/>
  <c r="G51" i="141"/>
  <c r="G155" i="83"/>
  <c r="G88" i="164"/>
  <c r="G195" i="94"/>
  <c r="G156" i="94"/>
  <c r="G177" i="118"/>
  <c r="G140" i="87"/>
  <c r="G227" i="150"/>
  <c r="G30" i="95"/>
  <c r="G69" i="92"/>
  <c r="G158" i="69"/>
  <c r="G148" i="176"/>
  <c r="G149" i="157"/>
  <c r="G12" i="32"/>
  <c r="G174" i="120"/>
  <c r="G85" i="120"/>
  <c r="G55" i="152"/>
  <c r="G31" i="152"/>
  <c r="G132" i="71"/>
  <c r="G34" i="175"/>
  <c r="G190" i="43"/>
  <c r="G150" i="43"/>
  <c r="G187" i="104"/>
  <c r="G143" i="106"/>
  <c r="G150" i="120"/>
  <c r="G227" i="83"/>
  <c r="G50" i="53"/>
  <c r="G177" i="174"/>
  <c r="G147" i="24"/>
  <c r="G222" i="31"/>
  <c r="G50" i="104"/>
  <c r="G39" i="47"/>
  <c r="G55" i="28"/>
  <c r="G42" i="49"/>
  <c r="G227" i="53"/>
  <c r="G200" i="174"/>
  <c r="G181" i="155"/>
  <c r="G92" i="42"/>
  <c r="G204" i="14"/>
  <c r="G20" i="47"/>
  <c r="G83" i="65"/>
  <c r="G53" i="174"/>
  <c r="G86" i="39"/>
  <c r="G73" i="141"/>
  <c r="G96" i="150"/>
  <c r="G13" i="92"/>
  <c r="G129" i="142"/>
  <c r="G143" i="69"/>
  <c r="G133" i="10"/>
  <c r="G133" i="143"/>
  <c r="G133" i="95"/>
  <c r="G55" i="14"/>
  <c r="G225" i="68"/>
  <c r="G184" i="149"/>
  <c r="G98" i="50"/>
  <c r="G41" i="176"/>
  <c r="G54" i="164"/>
  <c r="G51" i="32"/>
  <c r="G167" i="156"/>
  <c r="G136" i="90"/>
  <c r="G191" i="27"/>
  <c r="G86" i="149"/>
  <c r="G27" i="149"/>
  <c r="G226" i="149"/>
  <c r="G32" i="15"/>
  <c r="G68" i="55"/>
  <c r="G66" i="92"/>
  <c r="G74" i="10"/>
  <c r="G99" i="64"/>
  <c r="G145" i="32"/>
  <c r="G69" i="32"/>
  <c r="G99" i="141"/>
  <c r="G54" i="95"/>
  <c r="G149" i="142"/>
  <c r="G116" i="172"/>
  <c r="G123" i="16"/>
  <c r="G48" i="158"/>
  <c r="G181" i="157"/>
  <c r="G38" i="164"/>
  <c r="G205" i="83"/>
  <c r="G49" i="89"/>
  <c r="G76" i="69"/>
  <c r="G65" i="55"/>
  <c r="G50" i="165"/>
  <c r="G117" i="133"/>
  <c r="G224" i="104"/>
  <c r="G125" i="155"/>
  <c r="G159" i="65"/>
  <c r="G223" i="32"/>
  <c r="G226" i="141"/>
  <c r="E228" i="149"/>
  <c r="G225" i="28"/>
  <c r="G175" i="158"/>
  <c r="G43" i="83"/>
  <c r="G125" i="86"/>
  <c r="G114" i="43"/>
  <c r="G183" i="16"/>
  <c r="G129" i="92"/>
  <c r="G49" i="92"/>
  <c r="G224" i="69"/>
  <c r="G129" i="10"/>
  <c r="G97" i="120"/>
  <c r="G169" i="16"/>
  <c r="G70" i="71"/>
  <c r="G45" i="47"/>
  <c r="G29" i="106"/>
  <c r="G84" i="69"/>
  <c r="G75" i="39"/>
  <c r="G32" i="64"/>
  <c r="G132" i="32"/>
  <c r="G187" i="156"/>
  <c r="G27" i="104"/>
  <c r="G231" i="24"/>
  <c r="G235" i="24" s="1"/>
  <c r="G17" i="165"/>
  <c r="G73" i="68"/>
  <c r="G25" i="53"/>
  <c r="G142" i="141"/>
  <c r="G42" i="50"/>
  <c r="G46" i="50"/>
  <c r="G28" i="64"/>
  <c r="G187" i="28"/>
  <c r="G50" i="54"/>
  <c r="G110" i="54"/>
  <c r="G49" i="54"/>
  <c r="G185" i="54"/>
  <c r="G191" i="60"/>
  <c r="G231" i="60"/>
  <c r="G89" i="60"/>
  <c r="E235" i="60"/>
  <c r="G185" i="60"/>
  <c r="G32" i="103"/>
  <c r="E235" i="118"/>
  <c r="G75" i="15"/>
  <c r="G221" i="120"/>
  <c r="G90" i="172"/>
  <c r="G100" i="25"/>
  <c r="G168" i="92"/>
  <c r="G106" i="69"/>
  <c r="G150" i="106"/>
  <c r="G116" i="54"/>
  <c r="G153" i="164"/>
  <c r="G90" i="176"/>
  <c r="G98" i="28"/>
  <c r="G70" i="14"/>
  <c r="G138" i="64"/>
  <c r="G132" i="120"/>
  <c r="G77" i="1"/>
  <c r="G152" i="142"/>
  <c r="G117" i="118"/>
  <c r="G156" i="176"/>
  <c r="G76" i="89"/>
  <c r="G172" i="155"/>
  <c r="G176" i="10"/>
  <c r="G72" i="60"/>
  <c r="G40" i="10"/>
  <c r="G105" i="174"/>
  <c r="G205" i="32"/>
  <c r="G43" i="14"/>
  <c r="G137" i="24"/>
  <c r="G232" i="10"/>
  <c r="G184" i="95"/>
  <c r="G64" i="172"/>
  <c r="G222" i="15"/>
  <c r="G67" i="172"/>
  <c r="G127" i="64"/>
  <c r="G83" i="53"/>
  <c r="G89" i="83"/>
  <c r="G169" i="143"/>
  <c r="G158" i="172"/>
  <c r="G17" i="92"/>
  <c r="G192" i="155"/>
  <c r="G205" i="106"/>
  <c r="G114" i="104"/>
  <c r="G133" i="142"/>
  <c r="G73" i="55"/>
  <c r="G192" i="50"/>
  <c r="G151" i="69"/>
  <c r="G115" i="54"/>
  <c r="E235" i="46"/>
  <c r="G44" i="165"/>
  <c r="G40" i="174"/>
  <c r="G189" i="142"/>
  <c r="G47" i="49"/>
  <c r="G183" i="90"/>
  <c r="G159" i="24"/>
  <c r="G123" i="58"/>
  <c r="G97" i="90"/>
  <c r="G205" i="174"/>
  <c r="G68" i="53"/>
  <c r="G76" i="145"/>
  <c r="G227" i="156"/>
  <c r="G220" i="1"/>
  <c r="G45" i="92"/>
  <c r="G91" i="10"/>
  <c r="G177" i="143"/>
  <c r="G99" i="32"/>
  <c r="G84" i="175"/>
  <c r="G125" i="31"/>
  <c r="G91" i="156"/>
  <c r="G137" i="176"/>
  <c r="G224" i="68"/>
  <c r="G78" i="65"/>
  <c r="G116" i="86"/>
  <c r="G172" i="143"/>
  <c r="G225" i="63"/>
  <c r="G157" i="87"/>
  <c r="G231" i="32"/>
  <c r="G151" i="68"/>
  <c r="G180" i="143"/>
  <c r="G193" i="92"/>
  <c r="G227" i="176"/>
  <c r="G132" i="152"/>
  <c r="G159" i="158"/>
  <c r="G41" i="86"/>
  <c r="G107" i="53"/>
  <c r="G117" i="55"/>
  <c r="G14" i="55"/>
  <c r="G196" i="133"/>
  <c r="G157" i="69"/>
  <c r="G201" i="24"/>
  <c r="G116" i="50"/>
  <c r="G155" i="64"/>
  <c r="G98" i="92"/>
  <c r="G75" i="28"/>
  <c r="G98" i="164"/>
  <c r="G135" i="141"/>
  <c r="G186" i="66"/>
  <c r="G31" i="155"/>
  <c r="G182" i="156"/>
  <c r="G97" i="152"/>
  <c r="G190" i="66"/>
  <c r="G133" i="47"/>
  <c r="G29" i="10"/>
  <c r="G25" i="66"/>
  <c r="G87" i="95"/>
  <c r="G226" i="98"/>
  <c r="G11" i="104"/>
  <c r="G140" i="143"/>
  <c r="G147" i="172"/>
  <c r="G41" i="15"/>
  <c r="G27" i="14"/>
  <c r="G52" i="157"/>
  <c r="G25" i="86"/>
  <c r="G117" i="1"/>
  <c r="G150" i="92"/>
  <c r="G110" i="120"/>
  <c r="G96" i="49"/>
  <c r="G185" i="31"/>
  <c r="G29" i="87"/>
  <c r="G51" i="64"/>
  <c r="G54" i="32"/>
  <c r="G220" i="176"/>
  <c r="G205" i="156"/>
  <c r="G174" i="104"/>
  <c r="G168" i="164"/>
  <c r="G51" i="152"/>
  <c r="G149" i="55"/>
  <c r="G64" i="15"/>
  <c r="G41" i="87"/>
  <c r="G85" i="103"/>
  <c r="G169" i="103"/>
  <c r="G50" i="103"/>
  <c r="G143" i="103"/>
  <c r="G59" i="176"/>
  <c r="G155" i="164"/>
  <c r="G14" i="155"/>
  <c r="G18" i="119"/>
  <c r="G185" i="69"/>
  <c r="G176" i="55"/>
  <c r="G123" i="94"/>
  <c r="G45" i="50"/>
  <c r="G164" i="143"/>
  <c r="G109" i="143"/>
  <c r="G34" i="165"/>
  <c r="G231" i="158"/>
  <c r="K14" i="158" s="1"/>
  <c r="G188" i="155"/>
  <c r="G173" i="174"/>
  <c r="G202" i="104"/>
  <c r="G71" i="32"/>
  <c r="G127" i="16"/>
  <c r="G196" i="1"/>
  <c r="G99" i="95"/>
  <c r="G132" i="141"/>
  <c r="G191" i="32"/>
  <c r="G178" i="174"/>
  <c r="G84" i="50"/>
  <c r="G52" i="176"/>
  <c r="G98" i="176"/>
  <c r="G123" i="158"/>
  <c r="G231" i="50"/>
  <c r="G172" i="106"/>
  <c r="G30" i="1"/>
  <c r="G83" i="42"/>
  <c r="G30" i="90"/>
  <c r="G29" i="64"/>
  <c r="G140" i="83"/>
  <c r="G179" i="156"/>
  <c r="G176" i="175"/>
  <c r="G73" i="90"/>
  <c r="G124" i="158"/>
  <c r="G65" i="90"/>
  <c r="G203" i="119"/>
  <c r="G192" i="64"/>
  <c r="G147" i="68"/>
  <c r="G90" i="89"/>
  <c r="G40" i="87"/>
  <c r="G179" i="68"/>
  <c r="G132" i="83"/>
  <c r="G195" i="28"/>
  <c r="G222" i="53"/>
  <c r="G158" i="68"/>
  <c r="G76" i="15"/>
  <c r="G45" i="15"/>
  <c r="G59" i="83"/>
  <c r="G78" i="98"/>
  <c r="G195" i="120"/>
  <c r="G83" i="95"/>
  <c r="G76" i="95"/>
  <c r="G73" i="28"/>
  <c r="G147" i="42"/>
  <c r="G28" i="42"/>
  <c r="G148" i="141"/>
  <c r="G187" i="120"/>
  <c r="G108" i="43"/>
  <c r="G33" i="104"/>
  <c r="G172" i="104"/>
  <c r="G136" i="103"/>
  <c r="G38" i="32"/>
  <c r="G165" i="54"/>
  <c r="G89" i="10"/>
  <c r="G96" i="158"/>
  <c r="E235" i="158"/>
  <c r="G14" i="142"/>
  <c r="G17" i="89"/>
  <c r="G64" i="104"/>
  <c r="E235" i="50"/>
  <c r="G224" i="150"/>
  <c r="G171" i="83"/>
  <c r="G60" i="68"/>
  <c r="G190" i="60"/>
  <c r="G82" i="156"/>
  <c r="G173" i="66"/>
  <c r="G133" i="94"/>
  <c r="G43" i="63"/>
  <c r="G108" i="42"/>
  <c r="G105" i="53"/>
  <c r="G27" i="64"/>
  <c r="G152" i="174"/>
  <c r="G90" i="60"/>
  <c r="G132" i="16"/>
  <c r="G137" i="94"/>
  <c r="G166" i="63"/>
  <c r="G168" i="31"/>
  <c r="G153" i="69"/>
  <c r="G232" i="172"/>
  <c r="G55" i="32"/>
  <c r="G232" i="94"/>
  <c r="G151" i="24"/>
  <c r="G108" i="24"/>
  <c r="G44" i="24"/>
  <c r="G227" i="71"/>
  <c r="G168" i="106"/>
  <c r="G56" i="176"/>
  <c r="G31" i="119"/>
  <c r="G54" i="120"/>
  <c r="G194" i="50"/>
  <c r="G184" i="50"/>
  <c r="G157" i="92"/>
  <c r="G76" i="92"/>
  <c r="G41" i="89"/>
  <c r="G172" i="86"/>
  <c r="G148" i="143"/>
  <c r="G42" i="176"/>
  <c r="G71" i="172"/>
  <c r="G193" i="55"/>
  <c r="G173" i="55"/>
  <c r="G106" i="165"/>
  <c r="G146" i="42"/>
  <c r="G110" i="152"/>
  <c r="G204" i="174"/>
  <c r="G153" i="174"/>
  <c r="G169" i="60"/>
  <c r="G97" i="164"/>
  <c r="G50" i="31"/>
  <c r="G173" i="31"/>
  <c r="G13" i="95"/>
  <c r="G105" i="92"/>
  <c r="G29" i="92"/>
  <c r="G168" i="69"/>
  <c r="G68" i="69"/>
  <c r="G220" i="89"/>
  <c r="G116" i="143"/>
  <c r="G164" i="155"/>
  <c r="G166" i="175"/>
  <c r="E235" i="47"/>
  <c r="G231" i="47"/>
  <c r="G165" i="164"/>
  <c r="G46" i="94"/>
  <c r="G106" i="174"/>
  <c r="G36" i="155"/>
  <c r="G75" i="60"/>
  <c r="G91" i="176"/>
  <c r="G223" i="172"/>
  <c r="G75" i="176"/>
  <c r="G170" i="14"/>
  <c r="G168" i="10"/>
  <c r="G200" i="158"/>
  <c r="G149" i="152"/>
  <c r="G165" i="87"/>
  <c r="G204" i="53"/>
  <c r="G170" i="60"/>
  <c r="G107" i="103"/>
  <c r="G180" i="164"/>
  <c r="G98" i="142"/>
  <c r="G83" i="68"/>
  <c r="G193" i="94"/>
  <c r="G140" i="60"/>
  <c r="G165" i="172"/>
  <c r="G86" i="32"/>
  <c r="G219" i="83"/>
  <c r="G193" i="98"/>
  <c r="G173" i="53"/>
  <c r="G165" i="53"/>
  <c r="G140" i="53"/>
  <c r="G148" i="174"/>
  <c r="G31" i="174"/>
  <c r="G231" i="58"/>
  <c r="G235" i="58" s="1"/>
  <c r="E235" i="58"/>
  <c r="G87" i="50"/>
  <c r="G172" i="142"/>
  <c r="G205" i="10"/>
  <c r="G129" i="156"/>
  <c r="G140" i="120"/>
  <c r="G189" i="46"/>
  <c r="G47" i="14"/>
  <c r="G203" i="86"/>
  <c r="G203" i="155"/>
  <c r="G220" i="106"/>
  <c r="G224" i="14"/>
  <c r="G177" i="157"/>
  <c r="G44" i="164"/>
  <c r="G66" i="66"/>
  <c r="G203" i="50"/>
  <c r="G89" i="89"/>
  <c r="G114" i="10"/>
  <c r="G115" i="175"/>
  <c r="G66" i="54"/>
  <c r="G191" i="42"/>
  <c r="G39" i="106"/>
  <c r="G91" i="69"/>
  <c r="G123" i="55"/>
  <c r="G133" i="55"/>
  <c r="G67" i="55"/>
  <c r="G166" i="55"/>
  <c r="G130" i="55"/>
  <c r="E235" i="55"/>
  <c r="E237" i="55" s="1"/>
  <c r="G131" i="55"/>
  <c r="G78" i="55"/>
  <c r="G233" i="55"/>
  <c r="G92" i="155"/>
  <c r="G36" i="142"/>
  <c r="G220" i="177"/>
  <c r="G17" i="25"/>
  <c r="G148" i="64"/>
  <c r="G59" i="119"/>
  <c r="G55" i="120"/>
  <c r="G72" i="86"/>
  <c r="G172" i="176"/>
  <c r="G20" i="141"/>
  <c r="G110" i="46"/>
  <c r="G115" i="176"/>
  <c r="G42" i="165"/>
  <c r="G35" i="1"/>
  <c r="G88" i="60"/>
  <c r="G30" i="60"/>
  <c r="G89" i="158"/>
  <c r="G53" i="98"/>
  <c r="G178" i="86"/>
  <c r="G50" i="14"/>
  <c r="G124" i="71"/>
  <c r="G56" i="174"/>
  <c r="G184" i="58"/>
  <c r="G149" i="63"/>
  <c r="G221" i="103"/>
  <c r="G159" i="60"/>
  <c r="G26" i="176"/>
  <c r="G45" i="174"/>
  <c r="G221" i="87"/>
  <c r="G37" i="53"/>
  <c r="G40" i="157"/>
  <c r="G115" i="42"/>
  <c r="G14" i="141"/>
  <c r="G135" i="175"/>
  <c r="G58" i="25"/>
  <c r="G205" i="28"/>
  <c r="G38" i="175"/>
  <c r="G68" i="43"/>
  <c r="G31" i="106"/>
  <c r="G29" i="94"/>
  <c r="G170" i="176"/>
  <c r="G150" i="55"/>
  <c r="G152" i="120"/>
  <c r="G98" i="86"/>
  <c r="G57" i="86"/>
  <c r="G29" i="86"/>
  <c r="E235" i="87"/>
  <c r="G150" i="119"/>
  <c r="G223" i="65"/>
  <c r="G195" i="65"/>
  <c r="G179" i="28"/>
  <c r="G123" i="28"/>
  <c r="G44" i="28"/>
  <c r="G226" i="64"/>
  <c r="G178" i="83"/>
  <c r="G91" i="31"/>
  <c r="G77" i="95"/>
  <c r="G50" i="95"/>
  <c r="G26" i="95"/>
  <c r="G189" i="50"/>
  <c r="G117" i="50"/>
  <c r="G73" i="50"/>
  <c r="G34" i="50"/>
  <c r="G223" i="1"/>
  <c r="G193" i="1"/>
  <c r="G153" i="1"/>
  <c r="G145" i="1"/>
  <c r="G88" i="1"/>
  <c r="G14" i="1"/>
  <c r="G92" i="92"/>
  <c r="G58" i="92"/>
  <c r="G181" i="142"/>
  <c r="G169" i="142"/>
  <c r="G140" i="142"/>
  <c r="G169" i="69"/>
  <c r="G125" i="69"/>
  <c r="G88" i="69"/>
  <c r="G227" i="86"/>
  <c r="G158" i="86"/>
  <c r="G149" i="86"/>
  <c r="G73" i="86"/>
  <c r="G58" i="86"/>
  <c r="G14" i="86"/>
  <c r="G77" i="87"/>
  <c r="G177" i="10"/>
  <c r="G145" i="143"/>
  <c r="G110" i="143"/>
  <c r="G92" i="143"/>
  <c r="G77" i="143"/>
  <c r="G69" i="143"/>
  <c r="G58" i="143"/>
  <c r="G34" i="143"/>
  <c r="G227" i="14"/>
  <c r="G184" i="16"/>
  <c r="G143" i="16"/>
  <c r="G83" i="158"/>
  <c r="G33" i="158"/>
  <c r="G150" i="157"/>
  <c r="G131" i="157"/>
  <c r="G70" i="157"/>
  <c r="G43" i="157"/>
  <c r="G55" i="64"/>
  <c r="G194" i="32"/>
  <c r="G150" i="32"/>
  <c r="G100" i="32"/>
  <c r="G220" i="90"/>
  <c r="G194" i="43"/>
  <c r="G155" i="43"/>
  <c r="G160" i="104"/>
  <c r="E235" i="106"/>
  <c r="G231" i="106"/>
  <c r="G235" i="106" s="1"/>
  <c r="G27" i="47"/>
  <c r="G85" i="49"/>
  <c r="G42" i="164"/>
  <c r="G72" i="172"/>
  <c r="G99" i="143"/>
  <c r="G127" i="164"/>
  <c r="G56" i="54"/>
  <c r="G118" i="89"/>
  <c r="G116" i="42"/>
  <c r="G202" i="156"/>
  <c r="K14" i="46"/>
  <c r="G192" i="83"/>
  <c r="G29" i="53"/>
  <c r="G98" i="174"/>
  <c r="G174" i="133"/>
  <c r="G82" i="158"/>
  <c r="G231" i="69"/>
  <c r="G231" i="95"/>
  <c r="E235" i="95"/>
  <c r="G86" i="71"/>
  <c r="G38" i="98"/>
  <c r="G221" i="1"/>
  <c r="G74" i="145"/>
  <c r="G226" i="27"/>
  <c r="G172" i="158"/>
  <c r="G70" i="87"/>
  <c r="G97" i="25"/>
  <c r="G59" i="69"/>
  <c r="G172" i="119"/>
  <c r="G73" i="150"/>
  <c r="G72" i="119"/>
  <c r="G151" i="152"/>
  <c r="G124" i="49"/>
  <c r="G186" i="174"/>
  <c r="G48" i="176"/>
  <c r="G72" i="176"/>
  <c r="G36" i="24"/>
  <c r="G200" i="55"/>
  <c r="G174" i="178"/>
  <c r="G156" i="95"/>
  <c r="G115" i="62"/>
  <c r="G58" i="50"/>
  <c r="G146" i="175"/>
  <c r="G47" i="104"/>
  <c r="G182" i="46"/>
  <c r="G31" i="90"/>
  <c r="G124" i="65"/>
  <c r="G168" i="90"/>
  <c r="G87" i="149"/>
  <c r="G40" i="1"/>
  <c r="G19" i="54"/>
  <c r="G74" i="118"/>
  <c r="G194" i="103"/>
  <c r="G138" i="62"/>
  <c r="G155" i="94"/>
  <c r="G28" i="28"/>
  <c r="G200" i="1"/>
  <c r="G30" i="143"/>
  <c r="G191" i="104"/>
  <c r="G155" i="46"/>
  <c r="G71" i="24"/>
  <c r="G82" i="24"/>
  <c r="G147" i="89"/>
  <c r="G153" i="86"/>
  <c r="G172" i="46"/>
  <c r="G30" i="50"/>
  <c r="G11" i="27"/>
  <c r="G83" i="120"/>
  <c r="G33" i="155"/>
  <c r="G110" i="50"/>
  <c r="G13" i="25"/>
  <c r="G118" i="133"/>
  <c r="G105" i="31"/>
  <c r="G85" i="133"/>
  <c r="G200" i="87"/>
  <c r="G101" i="141"/>
  <c r="G194" i="174"/>
  <c r="G204" i="172"/>
  <c r="G185" i="176"/>
  <c r="G18" i="172"/>
  <c r="G27" i="155"/>
  <c r="G224" i="175"/>
  <c r="G107" i="98"/>
  <c r="G108" i="164"/>
  <c r="G116" i="87"/>
  <c r="G202" i="176"/>
  <c r="G43" i="175"/>
  <c r="G68" i="98"/>
  <c r="G185" i="32"/>
  <c r="G124" i="176"/>
  <c r="G223" i="120"/>
  <c r="G187" i="47"/>
  <c r="G169" i="15"/>
  <c r="G224" i="49"/>
  <c r="G31" i="172"/>
  <c r="G90" i="174"/>
  <c r="G136" i="150"/>
  <c r="G89" i="32"/>
  <c r="G135" i="87"/>
  <c r="G86" i="24"/>
  <c r="G26" i="25"/>
  <c r="G135" i="32"/>
  <c r="G165" i="69"/>
  <c r="G30" i="10"/>
  <c r="G39" i="141"/>
  <c r="G90" i="164"/>
  <c r="G205" i="65"/>
  <c r="G106" i="53"/>
  <c r="G66" i="47"/>
  <c r="G200" i="46"/>
  <c r="G60" i="164"/>
  <c r="G203" i="142"/>
  <c r="G158" i="174"/>
  <c r="G225" i="66"/>
  <c r="G58" i="142"/>
  <c r="G172" i="69"/>
  <c r="G221" i="10"/>
  <c r="G172" i="164"/>
  <c r="G49" i="164"/>
  <c r="G87" i="60"/>
  <c r="G219" i="98"/>
  <c r="G190" i="141"/>
  <c r="G31" i="14"/>
  <c r="G164" i="50"/>
  <c r="G105" i="69"/>
  <c r="G180" i="87"/>
  <c r="G203" i="143"/>
  <c r="G195" i="176"/>
  <c r="G194" i="98"/>
  <c r="G192" i="95"/>
  <c r="G76" i="50"/>
  <c r="G160" i="90"/>
  <c r="G25" i="156"/>
  <c r="G133" i="120"/>
  <c r="G38" i="152"/>
  <c r="G141" i="63"/>
  <c r="G182" i="119"/>
  <c r="G92" i="95"/>
  <c r="G38" i="50"/>
  <c r="G65" i="1"/>
  <c r="G145" i="86"/>
  <c r="G182" i="32"/>
  <c r="G90" i="104"/>
  <c r="G99" i="164"/>
  <c r="G152" i="95"/>
  <c r="G191" i="176"/>
  <c r="G220" i="50"/>
  <c r="G176" i="142"/>
  <c r="G193" i="165"/>
  <c r="G194" i="157"/>
  <c r="G191" i="28"/>
  <c r="G91" i="142"/>
  <c r="G172" i="10"/>
  <c r="G194" i="156"/>
  <c r="G190" i="175"/>
  <c r="G221" i="47"/>
  <c r="G32" i="24"/>
  <c r="G205" i="98"/>
  <c r="G125" i="157"/>
  <c r="G178" i="66"/>
  <c r="G232" i="142"/>
  <c r="G68" i="175"/>
  <c r="G157" i="95"/>
  <c r="G68" i="95"/>
  <c r="G96" i="15"/>
  <c r="G78" i="64"/>
  <c r="G35" i="15"/>
  <c r="G224" i="10"/>
  <c r="G60" i="158"/>
  <c r="G225" i="14"/>
  <c r="G130" i="46"/>
  <c r="G42" i="89"/>
  <c r="G109" i="165"/>
  <c r="G183" i="98"/>
  <c r="G188" i="103"/>
  <c r="G186" i="50"/>
  <c r="G194" i="142"/>
  <c r="G107" i="142"/>
  <c r="G141" i="89"/>
  <c r="G181" i="176"/>
  <c r="G57" i="50"/>
  <c r="G56" i="68"/>
  <c r="G151" i="42"/>
  <c r="G146" i="66"/>
  <c r="G178" i="55"/>
  <c r="G183" i="103"/>
  <c r="G45" i="10"/>
  <c r="G73" i="172"/>
  <c r="G130" i="164"/>
  <c r="G177" i="94"/>
  <c r="G153" i="94"/>
  <c r="G164" i="16"/>
  <c r="G170" i="32"/>
  <c r="G74" i="141"/>
  <c r="G35" i="141"/>
  <c r="G181" i="39"/>
  <c r="G182" i="98"/>
  <c r="G114" i="98"/>
  <c r="G200" i="164"/>
  <c r="G73" i="94"/>
  <c r="G181" i="143"/>
  <c r="G88" i="42"/>
  <c r="G173" i="141"/>
  <c r="G224" i="120"/>
  <c r="G39" i="120"/>
  <c r="G205" i="133"/>
  <c r="G20" i="175"/>
  <c r="G201" i="106"/>
  <c r="G164" i="106"/>
  <c r="G129" i="106"/>
  <c r="G58" i="46"/>
  <c r="G151" i="164"/>
  <c r="G33" i="50"/>
  <c r="G87" i="92"/>
  <c r="G129" i="69"/>
  <c r="G105" i="87"/>
  <c r="G192" i="10"/>
  <c r="G49" i="10"/>
  <c r="G176" i="143"/>
  <c r="G82" i="176"/>
  <c r="G40" i="176"/>
  <c r="G58" i="165"/>
  <c r="G35" i="25"/>
  <c r="G185" i="46"/>
  <c r="G173" i="54"/>
  <c r="G49" i="95"/>
  <c r="G13" i="50"/>
  <c r="G152" i="69"/>
  <c r="G184" i="87"/>
  <c r="G220" i="156"/>
  <c r="G136" i="69"/>
  <c r="G170" i="175"/>
  <c r="G167" i="176"/>
  <c r="G226" i="55"/>
  <c r="E235" i="16"/>
  <c r="G73" i="174"/>
  <c r="G47" i="120"/>
  <c r="G16" i="141"/>
  <c r="G138" i="15"/>
  <c r="G193" i="69"/>
  <c r="G57" i="172"/>
  <c r="G193" i="157"/>
  <c r="G42" i="31"/>
  <c r="G66" i="14"/>
  <c r="G176" i="69"/>
  <c r="G196" i="69"/>
  <c r="G231" i="150"/>
  <c r="G235" i="150" s="1"/>
  <c r="G225" i="64"/>
  <c r="G52" i="141"/>
  <c r="G225" i="174"/>
  <c r="G37" i="14"/>
  <c r="G18" i="158"/>
  <c r="G78" i="157"/>
  <c r="G203" i="90"/>
  <c r="G20" i="172"/>
  <c r="G44" i="32"/>
  <c r="G153" i="10"/>
  <c r="G97" i="63"/>
  <c r="G200" i="94"/>
  <c r="G224" i="42"/>
  <c r="G180" i="53"/>
  <c r="G182" i="106"/>
  <c r="G28" i="158"/>
  <c r="G110" i="42"/>
  <c r="G56" i="64"/>
  <c r="G77" i="174"/>
  <c r="G138" i="176"/>
  <c r="G44" i="118"/>
  <c r="G73" i="69"/>
  <c r="G145" i="164"/>
  <c r="G76" i="60"/>
  <c r="G143" i="71"/>
  <c r="G204" i="94"/>
  <c r="G69" i="157"/>
  <c r="G181" i="69"/>
  <c r="G58" i="174"/>
  <c r="G201" i="174"/>
  <c r="G101" i="32"/>
  <c r="G37" i="92"/>
  <c r="G106" i="16"/>
  <c r="G42" i="95"/>
  <c r="G69" i="69"/>
  <c r="G223" i="14"/>
  <c r="G176" i="31"/>
  <c r="G29" i="50"/>
  <c r="E119" i="69"/>
  <c r="G124" i="155"/>
  <c r="G159" i="164"/>
  <c r="G53" i="89"/>
  <c r="G88" i="165"/>
  <c r="G191" i="55"/>
  <c r="G14" i="143"/>
  <c r="G152" i="92"/>
  <c r="G12" i="68"/>
  <c r="G219" i="53"/>
  <c r="G38" i="53"/>
  <c r="G52" i="10"/>
  <c r="G29" i="24"/>
  <c r="G220" i="43"/>
  <c r="G13" i="143"/>
  <c r="G142" i="28"/>
  <c r="G38" i="95"/>
  <c r="G65" i="50"/>
  <c r="G177" i="69"/>
  <c r="G181" i="89"/>
  <c r="G193" i="143"/>
  <c r="E235" i="165"/>
  <c r="G170" i="157"/>
  <c r="G159" i="64"/>
  <c r="G174" i="32"/>
  <c r="G190" i="90"/>
  <c r="G75" i="104"/>
  <c r="G100" i="47"/>
  <c r="G35" i="49"/>
  <c r="G125" i="49"/>
  <c r="G181" i="98"/>
  <c r="G185" i="53"/>
  <c r="G192" i="42"/>
  <c r="G159" i="94"/>
  <c r="G152" i="176"/>
  <c r="G98" i="175"/>
  <c r="G114" i="103"/>
  <c r="G191" i="165"/>
  <c r="G189" i="94"/>
  <c r="G118" i="65"/>
  <c r="G147" i="39"/>
  <c r="G165" i="92"/>
  <c r="G53" i="145"/>
  <c r="G221" i="16"/>
  <c r="G38" i="165"/>
  <c r="G87" i="143"/>
  <c r="G231" i="86"/>
  <c r="G235" i="86" s="1"/>
  <c r="G57" i="120"/>
  <c r="G35" i="64"/>
  <c r="G227" i="16"/>
  <c r="G106" i="92"/>
  <c r="G126" i="64"/>
  <c r="G172" i="156"/>
  <c r="G158" i="155"/>
  <c r="G200" i="60"/>
  <c r="G166" i="64"/>
  <c r="G58" i="16"/>
  <c r="G84" i="14"/>
  <c r="G178" i="58"/>
  <c r="G35" i="150"/>
  <c r="G187" i="175"/>
  <c r="G203" i="145"/>
  <c r="G53" i="53"/>
  <c r="G147" i="14"/>
  <c r="G82" i="42"/>
  <c r="G129" i="47"/>
  <c r="G74" i="14"/>
  <c r="G184" i="69"/>
  <c r="G17" i="86"/>
  <c r="G74" i="176"/>
  <c r="G47" i="25"/>
  <c r="G39" i="174"/>
  <c r="G196" i="68"/>
  <c r="G69" i="164"/>
  <c r="G222" i="94"/>
  <c r="G167" i="54"/>
  <c r="G181" i="92"/>
  <c r="G191" i="90"/>
  <c r="G189" i="31"/>
  <c r="G148" i="95"/>
  <c r="G202" i="94"/>
  <c r="G153" i="15"/>
  <c r="G226" i="155"/>
  <c r="G173" i="1"/>
  <c r="G42" i="10"/>
  <c r="G176" i="16"/>
  <c r="G100" i="98"/>
  <c r="G222" i="143"/>
  <c r="G201" i="53"/>
  <c r="G78" i="141"/>
  <c r="G48" i="172"/>
  <c r="G135" i="55"/>
  <c r="G164" i="92"/>
  <c r="G182" i="14"/>
  <c r="G205" i="43"/>
  <c r="G41" i="10"/>
  <c r="G36" i="157"/>
  <c r="G182" i="28"/>
  <c r="G183" i="141"/>
  <c r="G98" i="25"/>
  <c r="G35" i="103"/>
  <c r="G58" i="15"/>
  <c r="G26" i="31"/>
  <c r="G187" i="15"/>
  <c r="G37" i="142"/>
  <c r="E235" i="156"/>
  <c r="E237" i="156" s="1"/>
  <c r="G147" i="28"/>
  <c r="G142" i="176"/>
  <c r="G171" i="90"/>
  <c r="G99" i="50"/>
  <c r="G35" i="104"/>
  <c r="E235" i="150"/>
  <c r="G70" i="66"/>
  <c r="G153" i="175"/>
  <c r="G110" i="32"/>
  <c r="E237" i="42"/>
  <c r="G127" i="141"/>
  <c r="G29" i="142"/>
  <c r="G188" i="31"/>
  <c r="G53" i="176"/>
  <c r="G196" i="38"/>
  <c r="G91" i="38"/>
  <c r="G184" i="38"/>
  <c r="G152" i="38"/>
  <c r="G183" i="84"/>
  <c r="G136" i="84"/>
  <c r="G231" i="84"/>
  <c r="G57" i="84"/>
  <c r="G201" i="84"/>
  <c r="G75" i="84"/>
  <c r="G189" i="84"/>
  <c r="E235" i="84"/>
  <c r="G14" i="172"/>
  <c r="G149" i="174"/>
  <c r="G25" i="89"/>
  <c r="G160" i="65"/>
  <c r="G205" i="104"/>
  <c r="G84" i="174"/>
  <c r="G116" i="142"/>
  <c r="G201" i="119"/>
  <c r="G179" i="94"/>
  <c r="G203" i="150"/>
  <c r="G183" i="143"/>
  <c r="G222" i="1"/>
  <c r="G133" i="65"/>
  <c r="G71" i="158"/>
  <c r="G140" i="104"/>
  <c r="G54" i="1"/>
  <c r="G188" i="152"/>
  <c r="G37" i="15"/>
  <c r="G29" i="38"/>
  <c r="G196" i="172"/>
  <c r="G138" i="38"/>
  <c r="G41" i="25"/>
  <c r="G35" i="174"/>
  <c r="G12" i="141"/>
  <c r="G73" i="31"/>
  <c r="G123" i="46"/>
  <c r="G116" i="65"/>
  <c r="G140" i="1"/>
  <c r="G203" i="55"/>
  <c r="G235" i="46"/>
  <c r="K15" i="46" s="1"/>
  <c r="G157" i="133"/>
  <c r="G47" i="47"/>
  <c r="G165" i="68"/>
  <c r="G149" i="172"/>
  <c r="G222" i="178"/>
  <c r="G135" i="172"/>
  <c r="G108" i="64"/>
  <c r="G138" i="92"/>
  <c r="G221" i="60"/>
  <c r="G193" i="172"/>
  <c r="G168" i="68"/>
  <c r="G46" i="103"/>
  <c r="G60" i="165"/>
  <c r="G196" i="90"/>
  <c r="G124" i="50"/>
  <c r="G149" i="31"/>
  <c r="G109" i="87"/>
  <c r="G152" i="143"/>
  <c r="G167" i="118"/>
  <c r="G77" i="164"/>
  <c r="G46" i="120"/>
  <c r="G176" i="150"/>
  <c r="E111" i="64"/>
  <c r="G87" i="118"/>
  <c r="G225" i="156"/>
  <c r="G221" i="71"/>
  <c r="G222" i="55"/>
  <c r="G180" i="16"/>
  <c r="G84" i="1"/>
  <c r="G222" i="50"/>
  <c r="G182" i="95"/>
  <c r="G54" i="165"/>
  <c r="G117" i="174"/>
  <c r="G126" i="104"/>
  <c r="G220" i="60"/>
  <c r="G131" i="176"/>
  <c r="G172" i="172"/>
  <c r="G77" i="152"/>
  <c r="G169" i="55"/>
  <c r="G109" i="58"/>
  <c r="G232" i="86"/>
  <c r="G171" i="106"/>
  <c r="G78" i="120"/>
  <c r="G125" i="120"/>
  <c r="G64" i="164"/>
  <c r="G83" i="28"/>
  <c r="G41" i="94"/>
  <c r="G131" i="119"/>
  <c r="G219" i="32"/>
  <c r="G142" i="54"/>
  <c r="G89" i="14"/>
  <c r="G26" i="104"/>
  <c r="G224" i="174"/>
  <c r="G71" i="176"/>
  <c r="G226" i="176"/>
  <c r="G232" i="95"/>
  <c r="G72" i="92"/>
  <c r="G28" i="106"/>
  <c r="G136" i="24"/>
  <c r="G34" i="98"/>
  <c r="G49" i="14"/>
  <c r="G49" i="31"/>
  <c r="G185" i="55"/>
  <c r="G89" i="120"/>
  <c r="G109" i="69"/>
  <c r="G11" i="174"/>
  <c r="G164" i="142"/>
  <c r="G184" i="155"/>
  <c r="G109" i="92"/>
  <c r="G176" i="103"/>
  <c r="G196" i="31"/>
  <c r="G76" i="49"/>
  <c r="G194" i="104"/>
  <c r="G67" i="32"/>
  <c r="G44" i="172"/>
  <c r="G203" i="87"/>
  <c r="G11" i="55"/>
  <c r="G178" i="69"/>
  <c r="G54" i="133"/>
  <c r="G30" i="175"/>
  <c r="G222" i="133"/>
  <c r="G223" i="63"/>
  <c r="G167" i="16"/>
  <c r="G146" i="98"/>
  <c r="G184" i="54"/>
  <c r="G51" i="175"/>
  <c r="G72" i="10"/>
  <c r="G50" i="176"/>
  <c r="G124" i="92"/>
  <c r="G25" i="92"/>
  <c r="G65" i="172"/>
  <c r="G124" i="87"/>
  <c r="G86" i="176"/>
  <c r="G232" i="165"/>
  <c r="G106" i="31"/>
  <c r="G26" i="165"/>
  <c r="G133" i="50"/>
  <c r="G226" i="106"/>
  <c r="G34" i="49"/>
  <c r="G156" i="28"/>
  <c r="G176" i="38"/>
  <c r="G64" i="50"/>
  <c r="G41" i="50"/>
  <c r="G57" i="89"/>
  <c r="G184" i="86"/>
  <c r="G192" i="87"/>
  <c r="G83" i="87"/>
  <c r="G220" i="10"/>
  <c r="G25" i="10"/>
  <c r="G42" i="55"/>
  <c r="G41" i="156"/>
  <c r="G101" i="176"/>
  <c r="G124" i="38"/>
  <c r="G105" i="38"/>
  <c r="G88" i="31"/>
  <c r="G110" i="31"/>
  <c r="G153" i="31"/>
  <c r="G129" i="95"/>
  <c r="G53" i="50"/>
  <c r="G57" i="92"/>
  <c r="G168" i="142"/>
  <c r="G51" i="14"/>
  <c r="G18" i="55"/>
  <c r="G189" i="165"/>
  <c r="G118" i="119"/>
  <c r="G183" i="65"/>
  <c r="G137" i="65"/>
  <c r="G183" i="28"/>
  <c r="G117" i="120"/>
  <c r="G149" i="46"/>
  <c r="G125" i="174"/>
  <c r="G69" i="31"/>
  <c r="G181" i="31"/>
  <c r="G143" i="92"/>
  <c r="G124" i="142"/>
  <c r="G109" i="142"/>
  <c r="G181" i="55"/>
  <c r="G140" i="55"/>
  <c r="G221" i="158"/>
  <c r="G201" i="25"/>
  <c r="G186" i="119"/>
  <c r="G175" i="28"/>
  <c r="G224" i="15"/>
  <c r="G219" i="94"/>
  <c r="G227" i="60"/>
  <c r="G171" i="65"/>
  <c r="G91" i="15"/>
  <c r="G17" i="142"/>
  <c r="G84" i="31"/>
  <c r="G192" i="142"/>
  <c r="G149" i="176"/>
  <c r="G194" i="14"/>
  <c r="G226" i="65"/>
  <c r="G127" i="65"/>
  <c r="G137" i="28"/>
  <c r="G60" i="28"/>
  <c r="G130" i="133"/>
  <c r="G171" i="54"/>
  <c r="G98" i="143"/>
  <c r="G33" i="156"/>
  <c r="G175" i="54"/>
  <c r="G14" i="118"/>
  <c r="G83" i="1"/>
  <c r="G66" i="69"/>
  <c r="G140" i="141"/>
  <c r="G69" i="145"/>
  <c r="G49" i="53"/>
  <c r="G140" i="32"/>
  <c r="G68" i="19"/>
  <c r="G231" i="174"/>
  <c r="K14" i="174" s="1"/>
  <c r="G165" i="90"/>
  <c r="G16" i="65"/>
  <c r="G136" i="32"/>
  <c r="G226" i="49"/>
  <c r="G196" i="65"/>
  <c r="G123" i="175"/>
  <c r="G179" i="54"/>
  <c r="G201" i="15"/>
  <c r="G188" i="86"/>
  <c r="G165" i="158"/>
  <c r="G168" i="155"/>
  <c r="G126" i="69"/>
  <c r="G193" i="10"/>
  <c r="G101" i="172"/>
  <c r="G33" i="10"/>
  <c r="G97" i="28"/>
  <c r="G66" i="49"/>
  <c r="G189" i="174"/>
  <c r="G172" i="38"/>
  <c r="G34" i="31"/>
  <c r="G203" i="95"/>
  <c r="G170" i="50"/>
  <c r="G83" i="92"/>
  <c r="G143" i="142"/>
  <c r="G124" i="69"/>
  <c r="G87" i="87"/>
  <c r="G152" i="10"/>
  <c r="G39" i="14"/>
  <c r="G153" i="55"/>
  <c r="G38" i="55"/>
  <c r="G125" i="165"/>
  <c r="G126" i="155"/>
  <c r="G205" i="25"/>
  <c r="G70" i="119"/>
  <c r="G187" i="106"/>
  <c r="G123" i="164"/>
  <c r="G133" i="38"/>
  <c r="G33" i="142"/>
  <c r="G196" i="87"/>
  <c r="G76" i="10"/>
  <c r="G132" i="176"/>
  <c r="G67" i="176"/>
  <c r="G223" i="58"/>
  <c r="G231" i="68"/>
  <c r="G235" i="68" s="1"/>
  <c r="G165" i="55"/>
  <c r="G53" i="95"/>
  <c r="G49" i="50"/>
  <c r="G224" i="86"/>
  <c r="G105" i="86"/>
  <c r="G143" i="143"/>
  <c r="G171" i="176"/>
  <c r="G232" i="152"/>
  <c r="G196" i="50"/>
  <c r="G109" i="50"/>
  <c r="G83" i="89"/>
  <c r="G91" i="86"/>
  <c r="G53" i="15"/>
  <c r="G129" i="38"/>
  <c r="G203" i="69"/>
  <c r="G109" i="10"/>
  <c r="G38" i="176"/>
  <c r="G131" i="25"/>
  <c r="G191" i="65"/>
  <c r="G184" i="143"/>
  <c r="G145" i="55"/>
  <c r="G145" i="165"/>
  <c r="G87" i="156"/>
  <c r="G130" i="120"/>
  <c r="G38" i="28"/>
  <c r="G168" i="133"/>
  <c r="G194" i="175"/>
  <c r="G184" i="1"/>
  <c r="G160" i="15"/>
  <c r="G127" i="87"/>
  <c r="G46" i="15"/>
  <c r="G174" i="16"/>
  <c r="G124" i="119"/>
  <c r="G32" i="118"/>
  <c r="G12" i="145"/>
  <c r="G129" i="145"/>
  <c r="E102" i="172"/>
  <c r="G42" i="1"/>
  <c r="G30" i="104"/>
  <c r="G114" i="53"/>
  <c r="G164" i="69"/>
  <c r="G179" i="120"/>
  <c r="G185" i="47"/>
  <c r="G97" i="65"/>
  <c r="E119" i="53"/>
  <c r="G181" i="64"/>
  <c r="G39" i="27"/>
  <c r="G136" i="164"/>
  <c r="G202" i="28"/>
  <c r="G33" i="14"/>
  <c r="G28" i="47"/>
  <c r="G220" i="31"/>
  <c r="G180" i="31"/>
  <c r="G222" i="174"/>
  <c r="G220" i="86"/>
  <c r="G72" i="89"/>
  <c r="G185" i="157"/>
  <c r="G220" i="14"/>
  <c r="G180" i="38"/>
  <c r="G76" i="38"/>
  <c r="G148" i="92"/>
  <c r="G64" i="92"/>
  <c r="G157" i="142"/>
  <c r="G148" i="87"/>
  <c r="G106" i="176"/>
  <c r="G205" i="14"/>
  <c r="G59" i="14"/>
  <c r="G35" i="14"/>
  <c r="G15" i="14"/>
  <c r="G30" i="165"/>
  <c r="G201" i="156"/>
  <c r="G85" i="155"/>
  <c r="G127" i="28"/>
  <c r="G225" i="90"/>
  <c r="G55" i="53"/>
  <c r="G140" i="174"/>
  <c r="G88" i="174"/>
  <c r="G141" i="155"/>
  <c r="G220" i="38"/>
  <c r="G109" i="38"/>
  <c r="G176" i="50"/>
  <c r="G168" i="50"/>
  <c r="G68" i="50"/>
  <c r="G53" i="86"/>
  <c r="G164" i="87"/>
  <c r="G152" i="87"/>
  <c r="G91" i="87"/>
  <c r="G129" i="143"/>
  <c r="G26" i="55"/>
  <c r="G180" i="50"/>
  <c r="G72" i="50"/>
  <c r="G188" i="1"/>
  <c r="G203" i="92"/>
  <c r="G133" i="86"/>
  <c r="G45" i="86"/>
  <c r="G129" i="87"/>
  <c r="G224" i="155"/>
  <c r="G146" i="119"/>
  <c r="G232" i="46"/>
  <c r="G223" i="94"/>
  <c r="G184" i="49"/>
  <c r="G167" i="62"/>
  <c r="G145" i="103"/>
  <c r="G124" i="175"/>
  <c r="G159" i="58"/>
  <c r="G89" i="164"/>
  <c r="G182" i="60"/>
  <c r="G196" i="165"/>
  <c r="G72" i="71"/>
  <c r="G159" i="54"/>
  <c r="G138" i="71"/>
  <c r="G187" i="98"/>
  <c r="G74" i="164"/>
  <c r="G181" i="32"/>
  <c r="G173" i="25"/>
  <c r="G196" i="118"/>
  <c r="G171" i="16"/>
  <c r="G149" i="143"/>
  <c r="G76" i="176"/>
  <c r="G205" i="157"/>
  <c r="G96" i="64"/>
  <c r="G19" i="32"/>
  <c r="G107" i="141"/>
  <c r="G70" i="141"/>
  <c r="G150" i="24"/>
  <c r="G221" i="84"/>
  <c r="G157" i="83"/>
  <c r="G201" i="98"/>
  <c r="G150" i="98"/>
  <c r="G27" i="98"/>
  <c r="G159" i="63"/>
  <c r="G84" i="164"/>
  <c r="G90" i="94"/>
  <c r="G173" i="60"/>
  <c r="G123" i="60"/>
  <c r="G181" i="118"/>
  <c r="G125" i="118"/>
  <c r="G165" i="143"/>
  <c r="G152" i="31"/>
  <c r="G145" i="50"/>
  <c r="G165" i="10"/>
  <c r="G57" i="176"/>
  <c r="G109" i="172"/>
  <c r="G184" i="55"/>
  <c r="G151" i="16"/>
  <c r="G195" i="32"/>
  <c r="G127" i="32"/>
  <c r="G195" i="141"/>
  <c r="G171" i="141"/>
  <c r="G56" i="141"/>
  <c r="G156" i="24"/>
  <c r="G115" i="24"/>
  <c r="G179" i="90"/>
  <c r="G86" i="90"/>
  <c r="G186" i="120"/>
  <c r="G59" i="152"/>
  <c r="G224" i="133"/>
  <c r="G190" i="133"/>
  <c r="G78" i="133"/>
  <c r="G51" i="133"/>
  <c r="G31" i="133"/>
  <c r="G160" i="71"/>
  <c r="G188" i="84"/>
  <c r="G68" i="84"/>
  <c r="G28" i="175"/>
  <c r="G195" i="104"/>
  <c r="G123" i="104"/>
  <c r="G180" i="106"/>
  <c r="G133" i="106"/>
  <c r="G73" i="46"/>
  <c r="G173" i="47"/>
  <c r="G92" i="53"/>
  <c r="G42" i="53"/>
  <c r="G231" i="54"/>
  <c r="G86" i="10"/>
  <c r="G87" i="84"/>
  <c r="G126" i="32"/>
  <c r="G127" i="69"/>
  <c r="G115" i="83"/>
  <c r="G170" i="98"/>
  <c r="G107" i="65"/>
  <c r="G156" i="47"/>
  <c r="G106" i="172"/>
  <c r="G184" i="133"/>
  <c r="G231" i="164"/>
  <c r="G29" i="150"/>
  <c r="G183" i="32"/>
  <c r="E235" i="54"/>
  <c r="G15" i="94"/>
  <c r="G152" i="16"/>
  <c r="G90" i="16"/>
  <c r="G17" i="84"/>
  <c r="G182" i="133"/>
  <c r="G37" i="66"/>
  <c r="G31" i="66"/>
  <c r="G96" i="27"/>
  <c r="G117" i="24"/>
  <c r="G14" i="133"/>
  <c r="G200" i="50"/>
  <c r="G195" i="24"/>
  <c r="G205" i="86"/>
  <c r="G182" i="92"/>
  <c r="G108" i="141"/>
  <c r="G183" i="47"/>
  <c r="G188" i="150"/>
  <c r="G59" i="64"/>
  <c r="G25" i="47"/>
  <c r="G109" i="53"/>
  <c r="G158" i="141"/>
  <c r="G225" i="119"/>
  <c r="G141" i="24"/>
  <c r="G50" i="50"/>
  <c r="G137" i="84"/>
  <c r="G16" i="83"/>
  <c r="G46" i="118"/>
  <c r="G232" i="104"/>
  <c r="G92" i="14"/>
  <c r="G25" i="71"/>
  <c r="G141" i="94"/>
  <c r="G87" i="119"/>
  <c r="G193" i="39"/>
  <c r="G85" i="54"/>
  <c r="G70" i="118"/>
  <c r="G59" i="103"/>
  <c r="G186" i="150"/>
  <c r="G166" i="94"/>
  <c r="G182" i="54"/>
  <c r="G151" i="28"/>
  <c r="G137" i="118"/>
  <c r="G200" i="104"/>
  <c r="G168" i="172"/>
  <c r="G33" i="103"/>
  <c r="G117" i="95"/>
  <c r="G204" i="60"/>
  <c r="G54" i="10"/>
  <c r="G201" i="49"/>
  <c r="G179" i="158"/>
  <c r="G231" i="45"/>
  <c r="E235" i="45"/>
  <c r="G186" i="157"/>
  <c r="G85" i="157"/>
  <c r="G131" i="64"/>
  <c r="G178" i="32"/>
  <c r="G114" i="32"/>
  <c r="G126" i="24"/>
  <c r="G96" i="90"/>
  <c r="G25" i="84"/>
  <c r="G152" i="83"/>
  <c r="G96" i="98"/>
  <c r="G145" i="58"/>
  <c r="G222" i="164"/>
  <c r="G204" i="54"/>
  <c r="G88" i="54"/>
  <c r="G34" i="54"/>
  <c r="G158" i="60"/>
  <c r="G149" i="118"/>
  <c r="G70" i="65"/>
  <c r="G231" i="31"/>
  <c r="E235" i="31"/>
  <c r="G232" i="89"/>
  <c r="G135" i="143"/>
  <c r="G125" i="42"/>
  <c r="G195" i="64"/>
  <c r="G82" i="64"/>
  <c r="G44" i="141"/>
  <c r="G171" i="24"/>
  <c r="G142" i="24"/>
  <c r="G101" i="24"/>
  <c r="G194" i="120"/>
  <c r="G178" i="120"/>
  <c r="G136" i="120"/>
  <c r="G116" i="84"/>
  <c r="G71" i="104"/>
  <c r="G196" i="106"/>
  <c r="G69" i="53"/>
  <c r="G75" i="158"/>
  <c r="G174" i="43"/>
  <c r="G159" i="120"/>
  <c r="G58" i="1"/>
  <c r="G67" i="120"/>
  <c r="G65" i="94"/>
  <c r="G109" i="16"/>
  <c r="G129" i="176"/>
  <c r="G221" i="172"/>
  <c r="G173" i="64"/>
  <c r="G194" i="28"/>
  <c r="G196" i="84"/>
  <c r="G201" i="103"/>
  <c r="G170" i="47"/>
  <c r="G127" i="158"/>
  <c r="G138" i="55"/>
  <c r="G137" i="90"/>
  <c r="G46" i="172"/>
  <c r="G20" i="46"/>
  <c r="G76" i="84"/>
  <c r="G75" i="165"/>
  <c r="G164" i="103"/>
  <c r="G52" i="164"/>
  <c r="G167" i="84"/>
  <c r="G40" i="120"/>
  <c r="G51" i="164"/>
  <c r="G194" i="54"/>
  <c r="G150" i="60"/>
  <c r="G75" i="87"/>
  <c r="G57" i="24"/>
  <c r="G174" i="84"/>
  <c r="G116" i="152"/>
  <c r="G185" i="10"/>
  <c r="G201" i="83"/>
  <c r="G26" i="94"/>
  <c r="G34" i="1"/>
  <c r="G203" i="16"/>
  <c r="G129" i="31"/>
  <c r="G140" i="172"/>
  <c r="G75" i="172"/>
  <c r="G196" i="16"/>
  <c r="G31" i="64"/>
  <c r="G96" i="32"/>
  <c r="G35" i="32"/>
  <c r="G136" i="141"/>
  <c r="G96" i="141"/>
  <c r="G59" i="141"/>
  <c r="G90" i="39"/>
  <c r="G100" i="53"/>
  <c r="G171" i="164"/>
  <c r="G160" i="94"/>
  <c r="G73" i="54"/>
  <c r="G193" i="60"/>
  <c r="G204" i="1"/>
  <c r="G158" i="92"/>
  <c r="G69" i="142"/>
  <c r="G99" i="86"/>
  <c r="G157" i="176"/>
  <c r="G158" i="157"/>
  <c r="G171" i="64"/>
  <c r="G108" i="32"/>
  <c r="G52" i="32"/>
  <c r="G175" i="141"/>
  <c r="G160" i="141"/>
  <c r="G86" i="141"/>
  <c r="G187" i="24"/>
  <c r="G132" i="24"/>
  <c r="G12" i="24"/>
  <c r="G170" i="120"/>
  <c r="G51" i="120"/>
  <c r="G170" i="133"/>
  <c r="G70" i="133"/>
  <c r="G41" i="84"/>
  <c r="G159" i="43"/>
  <c r="G148" i="106"/>
  <c r="G99" i="53"/>
  <c r="G58" i="53"/>
  <c r="G32" i="158"/>
  <c r="E102" i="64"/>
  <c r="G186" i="103"/>
  <c r="E119" i="24"/>
  <c r="G142" i="86"/>
  <c r="G166" i="84"/>
  <c r="G204" i="98"/>
  <c r="G173" i="39"/>
  <c r="G136" i="157"/>
  <c r="G85" i="165"/>
  <c r="G129" i="103"/>
  <c r="G168" i="157"/>
  <c r="G201" i="175"/>
  <c r="G35" i="152"/>
  <c r="G188" i="106"/>
  <c r="G38" i="86"/>
  <c r="G137" i="158"/>
  <c r="G69" i="46"/>
  <c r="G179" i="164"/>
  <c r="G171" i="158"/>
  <c r="G46" i="62"/>
  <c r="G42" i="118"/>
  <c r="G116" i="94"/>
  <c r="G42" i="54"/>
  <c r="G187" i="174"/>
  <c r="G100" i="119"/>
  <c r="G40" i="65"/>
  <c r="G82" i="55"/>
  <c r="G231" i="149"/>
  <c r="K14" i="149" s="1"/>
  <c r="G137" i="92"/>
  <c r="G53" i="175"/>
  <c r="G181" i="84"/>
  <c r="G202" i="133"/>
  <c r="G110" i="84"/>
  <c r="G168" i="58"/>
  <c r="G125" i="63"/>
  <c r="G69" i="63"/>
  <c r="G41" i="103"/>
  <c r="G41" i="172"/>
  <c r="G131" i="66"/>
  <c r="G43" i="66"/>
  <c r="G188" i="49"/>
  <c r="G188" i="174"/>
  <c r="G176" i="83"/>
  <c r="G68" i="174"/>
  <c r="G148" i="133"/>
  <c r="G110" i="64"/>
  <c r="G193" i="141"/>
  <c r="G88" i="141"/>
  <c r="G123" i="118"/>
  <c r="G75" i="118"/>
  <c r="G232" i="119"/>
  <c r="G84" i="104"/>
  <c r="G178" i="106"/>
  <c r="G126" i="43"/>
  <c r="G66" i="157"/>
  <c r="G178" i="176"/>
  <c r="E235" i="1"/>
  <c r="G76" i="86"/>
  <c r="G17" i="87"/>
  <c r="G196" i="10"/>
  <c r="G91" i="143"/>
  <c r="G132" i="28"/>
  <c r="G107" i="49"/>
  <c r="G107" i="47"/>
  <c r="G149" i="95"/>
  <c r="G84" i="95"/>
  <c r="G73" i="95"/>
  <c r="G18" i="95"/>
  <c r="G223" i="50"/>
  <c r="G185" i="50"/>
  <c r="G77" i="50"/>
  <c r="G158" i="1"/>
  <c r="G149" i="1"/>
  <c r="G106" i="1"/>
  <c r="G46" i="1"/>
  <c r="G38" i="1"/>
  <c r="G149" i="92"/>
  <c r="G65" i="92"/>
  <c r="G46" i="92"/>
  <c r="G130" i="142"/>
  <c r="G46" i="142"/>
  <c r="G38" i="142"/>
  <c r="G173" i="69"/>
  <c r="G130" i="69"/>
  <c r="G117" i="69"/>
  <c r="G26" i="86"/>
  <c r="G227" i="10"/>
  <c r="G200" i="143"/>
  <c r="G65" i="143"/>
  <c r="G54" i="143"/>
  <c r="G46" i="143"/>
  <c r="G38" i="143"/>
  <c r="G34" i="172"/>
  <c r="G192" i="16"/>
  <c r="G157" i="16"/>
  <c r="G57" i="158"/>
  <c r="G25" i="158"/>
  <c r="G159" i="157"/>
  <c r="G55" i="157"/>
  <c r="G159" i="32"/>
  <c r="G141" i="32"/>
  <c r="G66" i="32"/>
  <c r="G174" i="141"/>
  <c r="G166" i="141"/>
  <c r="G155" i="141"/>
  <c r="G27" i="141"/>
  <c r="G142" i="104"/>
  <c r="G157" i="106"/>
  <c r="G126" i="47"/>
  <c r="G89" i="47"/>
  <c r="G194" i="83"/>
  <c r="G174" i="83"/>
  <c r="G159" i="49"/>
  <c r="G100" i="49"/>
  <c r="G30" i="54"/>
  <c r="G183" i="94"/>
  <c r="G116" i="31"/>
  <c r="G68" i="176"/>
  <c r="G28" i="164"/>
  <c r="G222" i="142"/>
  <c r="G91" i="172"/>
  <c r="G200" i="142"/>
  <c r="G173" i="94"/>
  <c r="G135" i="118"/>
  <c r="G184" i="31"/>
  <c r="G203" i="31"/>
  <c r="G185" i="1"/>
  <c r="G69" i="10"/>
  <c r="G137" i="172"/>
  <c r="G141" i="64"/>
  <c r="G66" i="141"/>
  <c r="G100" i="24"/>
  <c r="G30" i="164"/>
  <c r="G200" i="54"/>
  <c r="G181" i="95"/>
  <c r="G147" i="64"/>
  <c r="G115" i="64"/>
  <c r="G151" i="32"/>
  <c r="G123" i="32"/>
  <c r="G48" i="32"/>
  <c r="G48" i="141"/>
  <c r="G40" i="141"/>
  <c r="G123" i="24"/>
  <c r="G101" i="90"/>
  <c r="G47" i="133"/>
  <c r="G219" i="71"/>
  <c r="G153" i="47"/>
  <c r="G92" i="49"/>
  <c r="G84" i="49"/>
  <c r="G227" i="98"/>
  <c r="G185" i="98"/>
  <c r="G65" i="98"/>
  <c r="G26" i="98"/>
  <c r="G174" i="174"/>
  <c r="G166" i="174"/>
  <c r="E111" i="142"/>
  <c r="E206" i="83"/>
  <c r="E237" i="45"/>
  <c r="E102" i="141"/>
  <c r="G181" i="10"/>
  <c r="G155" i="32"/>
  <c r="G189" i="95"/>
  <c r="G177" i="142"/>
  <c r="G173" i="87"/>
  <c r="G49" i="172"/>
  <c r="G17" i="172"/>
  <c r="G115" i="16"/>
  <c r="G52" i="158"/>
  <c r="G227" i="64"/>
  <c r="G143" i="176"/>
  <c r="G164" i="31"/>
  <c r="G232" i="175"/>
  <c r="G54" i="50"/>
  <c r="G30" i="92"/>
  <c r="G226" i="172"/>
  <c r="G110" i="172"/>
  <c r="G225" i="65"/>
  <c r="G178" i="64"/>
  <c r="G146" i="64"/>
  <c r="G47" i="32"/>
  <c r="G59" i="47"/>
  <c r="G185" i="164"/>
  <c r="G56" i="164"/>
  <c r="G40" i="164"/>
  <c r="G34" i="164"/>
  <c r="G140" i="92"/>
  <c r="G46" i="95"/>
  <c r="G50" i="142"/>
  <c r="G232" i="69"/>
  <c r="G200" i="69"/>
  <c r="G204" i="87"/>
  <c r="G222" i="10"/>
  <c r="G179" i="64"/>
  <c r="G48" i="64"/>
  <c r="G12" i="64"/>
  <c r="G16" i="32"/>
  <c r="G97" i="141"/>
  <c r="G219" i="90"/>
  <c r="G201" i="133"/>
  <c r="G221" i="39"/>
  <c r="G165" i="47"/>
  <c r="G149" i="47"/>
  <c r="G140" i="47"/>
  <c r="G88" i="49"/>
  <c r="G69" i="49"/>
  <c r="G58" i="98"/>
  <c r="G193" i="53"/>
  <c r="G177" i="53"/>
  <c r="G153" i="53"/>
  <c r="G190" i="174"/>
  <c r="E206" i="94"/>
  <c r="G30" i="58"/>
  <c r="G183" i="54"/>
  <c r="G115" i="94"/>
  <c r="G14" i="10"/>
  <c r="G99" i="92"/>
  <c r="G189" i="87"/>
  <c r="G172" i="31"/>
  <c r="G86" i="164"/>
  <c r="G222" i="172"/>
  <c r="G88" i="172"/>
  <c r="G40" i="172"/>
  <c r="G26" i="172"/>
  <c r="G155" i="157"/>
  <c r="G223" i="119"/>
  <c r="G150" i="64"/>
  <c r="G85" i="32"/>
  <c r="G131" i="141"/>
  <c r="G146" i="24"/>
  <c r="G29" i="84"/>
  <c r="G70" i="47"/>
  <c r="G31" i="47"/>
  <c r="G115" i="164"/>
  <c r="G77" i="94"/>
  <c r="G108" i="54"/>
  <c r="G77" i="54"/>
  <c r="G165" i="60"/>
  <c r="G137" i="60"/>
  <c r="G97" i="60"/>
  <c r="G145" i="118"/>
  <c r="G180" i="176"/>
  <c r="G88" i="50"/>
  <c r="G88" i="142"/>
  <c r="G125" i="87"/>
  <c r="G133" i="176"/>
  <c r="G133" i="172"/>
  <c r="G68" i="172"/>
  <c r="G175" i="16"/>
  <c r="G44" i="158"/>
  <c r="G20" i="158"/>
  <c r="G204" i="157"/>
  <c r="G179" i="32"/>
  <c r="G179" i="141"/>
  <c r="G167" i="141"/>
  <c r="G151" i="141"/>
  <c r="G90" i="141"/>
  <c r="G175" i="24"/>
  <c r="G97" i="24"/>
  <c r="G167" i="90"/>
  <c r="G75" i="90"/>
  <c r="G190" i="120"/>
  <c r="G182" i="120"/>
  <c r="G166" i="120"/>
  <c r="G155" i="120"/>
  <c r="G126" i="120"/>
  <c r="G47" i="152"/>
  <c r="G186" i="133"/>
  <c r="G96" i="133"/>
  <c r="G35" i="133"/>
  <c r="G143" i="39"/>
  <c r="G192" i="84"/>
  <c r="G105" i="84"/>
  <c r="G91" i="84"/>
  <c r="G83" i="84"/>
  <c r="G45" i="84"/>
  <c r="G137" i="104"/>
  <c r="G86" i="104"/>
  <c r="G192" i="106"/>
  <c r="G176" i="106"/>
  <c r="G84" i="53"/>
  <c r="G86" i="53"/>
  <c r="G158" i="150"/>
  <c r="G75" i="156"/>
  <c r="G226" i="142"/>
  <c r="G150" i="58"/>
  <c r="G166" i="60"/>
  <c r="G91" i="14"/>
  <c r="G67" i="165"/>
  <c r="G117" i="16"/>
  <c r="G180" i="28"/>
  <c r="G168" i="103"/>
  <c r="G34" i="156"/>
  <c r="G193" i="19"/>
  <c r="G181" i="119"/>
  <c r="G232" i="31"/>
  <c r="G166" i="42"/>
  <c r="G115" i="55"/>
  <c r="G41" i="157"/>
  <c r="G43" i="86"/>
  <c r="G178" i="49"/>
  <c r="G136" i="49"/>
  <c r="G160" i="143"/>
  <c r="G231" i="49"/>
  <c r="G116" i="141"/>
  <c r="G64" i="141"/>
  <c r="G204" i="38"/>
  <c r="G148" i="165"/>
  <c r="G124" i="165"/>
  <c r="G33" i="165"/>
  <c r="G64" i="156"/>
  <c r="G99" i="24"/>
  <c r="E102" i="24"/>
  <c r="G117" i="14"/>
  <c r="G25" i="55"/>
  <c r="G188" i="165"/>
  <c r="G225" i="94"/>
  <c r="G60" i="174"/>
  <c r="G50" i="174"/>
  <c r="G14" i="174"/>
  <c r="G204" i="63"/>
  <c r="G177" i="63"/>
  <c r="G174" i="94"/>
  <c r="G109" i="94"/>
  <c r="G141" i="43"/>
  <c r="G135" i="176"/>
  <c r="G34" i="25"/>
  <c r="G147" i="15"/>
  <c r="G44" i="157"/>
  <c r="G50" i="156"/>
  <c r="G130" i="155"/>
  <c r="G33" i="53"/>
  <c r="G19" i="103"/>
  <c r="G71" i="16"/>
  <c r="G123" i="157"/>
  <c r="G50" i="157"/>
  <c r="G190" i="62"/>
  <c r="G147" i="150"/>
  <c r="G129" i="14"/>
  <c r="G58" i="158"/>
  <c r="G152" i="28"/>
  <c r="G225" i="84"/>
  <c r="G12" i="157"/>
  <c r="G97" i="42"/>
  <c r="G28" i="10"/>
  <c r="G54" i="175"/>
  <c r="G49" i="65"/>
  <c r="G138" i="14"/>
  <c r="G164" i="28"/>
  <c r="G226" i="39"/>
  <c r="G59" i="98"/>
  <c r="G172" i="28"/>
  <c r="G203" i="177"/>
  <c r="G52" i="156"/>
  <c r="G109" i="155"/>
  <c r="G17" i="155"/>
  <c r="G192" i="25"/>
  <c r="G98" i="64"/>
  <c r="G30" i="24"/>
  <c r="G189" i="90"/>
  <c r="G123" i="152"/>
  <c r="G57" i="175"/>
  <c r="G12" i="43"/>
  <c r="G135" i="106"/>
  <c r="G151" i="31"/>
  <c r="G203" i="156"/>
  <c r="G76" i="156"/>
  <c r="G164" i="120"/>
  <c r="G158" i="39"/>
  <c r="G14" i="39"/>
  <c r="G28" i="49"/>
  <c r="G28" i="98"/>
  <c r="G157" i="15"/>
  <c r="G224" i="94"/>
  <c r="G47" i="118"/>
  <c r="G86" i="87"/>
  <c r="E111" i="176"/>
  <c r="G85" i="46"/>
  <c r="G183" i="53"/>
  <c r="G195" i="63"/>
  <c r="G127" i="66"/>
  <c r="G172" i="15"/>
  <c r="G105" i="15"/>
  <c r="G69" i="15"/>
  <c r="G39" i="164"/>
  <c r="G174" i="145"/>
  <c r="G118" i="54"/>
  <c r="G109" i="64"/>
  <c r="G16" i="175"/>
  <c r="G183" i="42"/>
  <c r="G33" i="83"/>
  <c r="G25" i="64"/>
  <c r="G149" i="150"/>
  <c r="G45" i="158"/>
  <c r="G136" i="19"/>
  <c r="G182" i="150"/>
  <c r="G12" i="38"/>
  <c r="G43" i="94"/>
  <c r="G126" i="60"/>
  <c r="G159" i="118"/>
  <c r="G56" i="55"/>
  <c r="G50" i="158"/>
  <c r="G167" i="157"/>
  <c r="G51" i="176"/>
  <c r="G88" i="118"/>
  <c r="E228" i="94"/>
  <c r="G84" i="172"/>
  <c r="G192" i="39"/>
  <c r="G225" i="38"/>
  <c r="G12" i="86"/>
  <c r="G56" i="62"/>
  <c r="G177" i="38"/>
  <c r="G180" i="90"/>
  <c r="G160" i="120"/>
  <c r="G123" i="120"/>
  <c r="G152" i="152"/>
  <c r="G68" i="152"/>
  <c r="G17" i="152"/>
  <c r="G118" i="104"/>
  <c r="G167" i="106"/>
  <c r="G150" i="46"/>
  <c r="G38" i="46"/>
  <c r="G190" i="47"/>
  <c r="G168" i="63"/>
  <c r="G49" i="63"/>
  <c r="G18" i="118"/>
  <c r="G203" i="42"/>
  <c r="G68" i="119"/>
  <c r="G180" i="32"/>
  <c r="G26" i="24"/>
  <c r="G204" i="71"/>
  <c r="G52" i="43"/>
  <c r="G221" i="104"/>
  <c r="G133" i="104"/>
  <c r="G130" i="106"/>
  <c r="G29" i="155"/>
  <c r="G30" i="150"/>
  <c r="G221" i="42"/>
  <c r="G124" i="42"/>
  <c r="G29" i="25"/>
  <c r="G135" i="90"/>
  <c r="G142" i="120"/>
  <c r="G56" i="152"/>
  <c r="G86" i="43"/>
  <c r="G48" i="43"/>
  <c r="G196" i="104"/>
  <c r="G157" i="104"/>
  <c r="G201" i="38"/>
  <c r="G155" i="50"/>
  <c r="G131" i="92"/>
  <c r="G225" i="142"/>
  <c r="G107" i="89"/>
  <c r="G31" i="89"/>
  <c r="G150" i="172"/>
  <c r="G114" i="172"/>
  <c r="G55" i="172"/>
  <c r="G35" i="172"/>
  <c r="G19" i="172"/>
  <c r="G155" i="63"/>
  <c r="G231" i="152"/>
  <c r="E235" i="152"/>
  <c r="E237" i="152" s="1"/>
  <c r="G171" i="15"/>
  <c r="G110" i="119"/>
  <c r="G58" i="32"/>
  <c r="G203" i="43"/>
  <c r="G169" i="25"/>
  <c r="G135" i="25"/>
  <c r="G185" i="119"/>
  <c r="G11" i="28"/>
  <c r="G145" i="141"/>
  <c r="G204" i="90"/>
  <c r="E119" i="84"/>
  <c r="G99" i="104"/>
  <c r="G14" i="104"/>
  <c r="G53" i="19"/>
  <c r="G53" i="54"/>
  <c r="G195" i="103"/>
  <c r="G114" i="65"/>
  <c r="G224" i="28"/>
  <c r="G155" i="28"/>
  <c r="G146" i="84"/>
  <c r="G153" i="104"/>
  <c r="G43" i="106"/>
  <c r="G16" i="174"/>
  <c r="G97" i="118"/>
  <c r="G97" i="103"/>
  <c r="G30" i="155"/>
  <c r="G177" i="25"/>
  <c r="G50" i="119"/>
  <c r="G194" i="65"/>
  <c r="G181" i="175"/>
  <c r="G196" i="43"/>
  <c r="G106" i="104"/>
  <c r="G17" i="164"/>
  <c r="G67" i="118"/>
  <c r="G152" i="53"/>
  <c r="G64" i="53"/>
  <c r="G83" i="174"/>
  <c r="G14" i="103"/>
  <c r="G38" i="92"/>
  <c r="G188" i="68"/>
  <c r="G42" i="94"/>
  <c r="G153" i="103"/>
  <c r="G16" i="164"/>
  <c r="G166" i="53"/>
  <c r="G223" i="142"/>
  <c r="G226" i="32"/>
  <c r="G50" i="92"/>
  <c r="G169" i="54"/>
  <c r="G39" i="49"/>
  <c r="G174" i="53"/>
  <c r="G160" i="54"/>
  <c r="G65" i="118"/>
  <c r="E102" i="14"/>
  <c r="G232" i="53"/>
  <c r="G11" i="176"/>
  <c r="G188" i="87"/>
  <c r="G100" i="14"/>
  <c r="G11" i="155"/>
  <c r="G126" i="25"/>
  <c r="G59" i="25"/>
  <c r="G141" i="119"/>
  <c r="G85" i="119"/>
  <c r="G227" i="65"/>
  <c r="G187" i="65"/>
  <c r="G123" i="65"/>
  <c r="G32" i="65"/>
  <c r="G160" i="28"/>
  <c r="G142" i="64"/>
  <c r="G205" i="49"/>
  <c r="G143" i="31"/>
  <c r="G193" i="95"/>
  <c r="G169" i="95"/>
  <c r="G58" i="95"/>
  <c r="G14" i="50"/>
  <c r="G223" i="92"/>
  <c r="G135" i="92"/>
  <c r="G117" i="92"/>
  <c r="G88" i="92"/>
  <c r="G54" i="92"/>
  <c r="G14" i="92"/>
  <c r="G185" i="142"/>
  <c r="G173" i="142"/>
  <c r="G106" i="142"/>
  <c r="G169" i="86"/>
  <c r="G130" i="86"/>
  <c r="G77" i="86"/>
  <c r="G185" i="87"/>
  <c r="G169" i="87"/>
  <c r="G149" i="87"/>
  <c r="G117" i="87"/>
  <c r="G169" i="10"/>
  <c r="G149" i="10"/>
  <c r="G130" i="10"/>
  <c r="G18" i="10"/>
  <c r="G153" i="143"/>
  <c r="G125" i="143"/>
  <c r="G106" i="143"/>
  <c r="G88" i="143"/>
  <c r="G73" i="143"/>
  <c r="G118" i="157"/>
  <c r="G223" i="25"/>
  <c r="G89" i="64"/>
  <c r="G201" i="32"/>
  <c r="G118" i="90"/>
  <c r="G186" i="43"/>
  <c r="G232" i="58"/>
  <c r="G232" i="164"/>
  <c r="G14" i="94"/>
  <c r="G106" i="54"/>
  <c r="G226" i="60"/>
  <c r="G65" i="60"/>
  <c r="G178" i="119"/>
  <c r="G89" i="119"/>
  <c r="G43" i="64"/>
  <c r="G78" i="53"/>
  <c r="G49" i="68"/>
  <c r="G193" i="164"/>
  <c r="G167" i="94"/>
  <c r="G108" i="94"/>
  <c r="G183" i="60"/>
  <c r="G220" i="63"/>
  <c r="G13" i="15"/>
  <c r="G69" i="54"/>
  <c r="G15" i="119"/>
  <c r="G54" i="54"/>
  <c r="E111" i="149"/>
  <c r="G92" i="60"/>
  <c r="G147" i="94"/>
  <c r="G186" i="47"/>
  <c r="G92" i="103"/>
  <c r="G226" i="42"/>
  <c r="G219" i="65"/>
  <c r="G124" i="39"/>
  <c r="G190" i="83"/>
  <c r="G89" i="98"/>
  <c r="G224" i="31"/>
  <c r="G92" i="86"/>
  <c r="G189" i="10"/>
  <c r="G146" i="43"/>
  <c r="G170" i="53"/>
  <c r="G159" i="53"/>
  <c r="G118" i="53"/>
  <c r="G96" i="53"/>
  <c r="G59" i="53"/>
  <c r="G59" i="63"/>
  <c r="G25" i="68"/>
  <c r="G75" i="164"/>
  <c r="G171" i="94"/>
  <c r="G30" i="94"/>
  <c r="G158" i="54"/>
  <c r="G84" i="54"/>
  <c r="G142" i="60"/>
  <c r="G226" i="118"/>
  <c r="G130" i="118"/>
  <c r="G136" i="119"/>
  <c r="G28" i="65"/>
  <c r="G98" i="15"/>
  <c r="G190" i="49"/>
  <c r="G89" i="53"/>
  <c r="G51" i="53"/>
  <c r="G39" i="53"/>
  <c r="G38" i="58"/>
  <c r="G164" i="68"/>
  <c r="G117" i="164"/>
  <c r="G67" i="164"/>
  <c r="G189" i="60"/>
  <c r="G132" i="60"/>
  <c r="G32" i="60"/>
  <c r="G224" i="98"/>
  <c r="G92" i="54"/>
  <c r="G98" i="10"/>
  <c r="G87" i="10"/>
  <c r="G136" i="25"/>
  <c r="G66" i="119"/>
  <c r="G179" i="65"/>
  <c r="G48" i="65"/>
  <c r="G220" i="103"/>
  <c r="G118" i="47"/>
  <c r="G153" i="95"/>
  <c r="G106" i="95"/>
  <c r="G177" i="50"/>
  <c r="G149" i="50"/>
  <c r="G106" i="50"/>
  <c r="G169" i="1"/>
  <c r="G177" i="92"/>
  <c r="G153" i="92"/>
  <c r="G145" i="92"/>
  <c r="G117" i="142"/>
  <c r="G54" i="142"/>
  <c r="G42" i="142"/>
  <c r="G140" i="86"/>
  <c r="G117" i="86"/>
  <c r="G193" i="87"/>
  <c r="G158" i="87"/>
  <c r="G145" i="87"/>
  <c r="G130" i="87"/>
  <c r="G200" i="10"/>
  <c r="G158" i="10"/>
  <c r="G140" i="10"/>
  <c r="G92" i="10"/>
  <c r="G38" i="10"/>
  <c r="G204" i="143"/>
  <c r="G173" i="143"/>
  <c r="G158" i="143"/>
  <c r="G130" i="143"/>
  <c r="G26" i="143"/>
  <c r="G99" i="172"/>
  <c r="G219" i="14"/>
  <c r="G168" i="16"/>
  <c r="G72" i="16"/>
  <c r="G223" i="155"/>
  <c r="G186" i="64"/>
  <c r="G136" i="64"/>
  <c r="G85" i="64"/>
  <c r="G11" i="32"/>
  <c r="G205" i="24"/>
  <c r="G131" i="46"/>
  <c r="G186" i="83"/>
  <c r="G149" i="164"/>
  <c r="G135" i="164"/>
  <c r="G106" i="164"/>
  <c r="G179" i="60"/>
  <c r="G232" i="103"/>
  <c r="G110" i="103"/>
  <c r="G109" i="19"/>
  <c r="G153" i="19"/>
  <c r="K14" i="19"/>
  <c r="G28" i="19"/>
  <c r="G223" i="54"/>
  <c r="G20" i="66"/>
  <c r="G137" i="49"/>
  <c r="G167" i="174"/>
  <c r="G108" i="172"/>
  <c r="G158" i="28"/>
  <c r="G30" i="106"/>
  <c r="G74" i="54"/>
  <c r="G173" i="90"/>
  <c r="G107" i="71"/>
  <c r="G55" i="141"/>
  <c r="G88" i="71"/>
  <c r="G227" i="69"/>
  <c r="G223" i="39"/>
  <c r="G226" i="14"/>
  <c r="G175" i="39"/>
  <c r="G40" i="43"/>
  <c r="E228" i="90"/>
  <c r="G84" i="28"/>
  <c r="G98" i="53"/>
  <c r="G192" i="55"/>
  <c r="G133" i="155"/>
  <c r="G114" i="60"/>
  <c r="G50" i="145"/>
  <c r="G133" i="145"/>
  <c r="G141" i="19"/>
  <c r="G150" i="149"/>
  <c r="G130" i="141"/>
  <c r="G127" i="39"/>
  <c r="G168" i="15"/>
  <c r="E119" i="87"/>
  <c r="G179" i="92"/>
  <c r="G202" i="175"/>
  <c r="G177" i="84"/>
  <c r="G126" i="66"/>
  <c r="G29" i="104"/>
  <c r="G101" i="133"/>
  <c r="G202" i="98"/>
  <c r="G97" i="43"/>
  <c r="G101" i="63"/>
  <c r="E111" i="118"/>
  <c r="G172" i="55"/>
  <c r="G116" i="16"/>
  <c r="G129" i="104"/>
  <c r="G191" i="103"/>
  <c r="G167" i="39"/>
  <c r="G148" i="119"/>
  <c r="G42" i="14"/>
  <c r="E206" i="142"/>
  <c r="G41" i="16"/>
  <c r="G232" i="158"/>
  <c r="G226" i="157"/>
  <c r="G47" i="119"/>
  <c r="G56" i="28"/>
  <c r="G223" i="83"/>
  <c r="G137" i="142"/>
  <c r="G55" i="92"/>
  <c r="G194" i="158"/>
  <c r="G87" i="104"/>
  <c r="G76" i="150"/>
  <c r="G98" i="49"/>
  <c r="G31" i="31"/>
  <c r="G226" i="120"/>
  <c r="G219" i="133"/>
  <c r="G118" i="66"/>
  <c r="G101" i="92"/>
  <c r="G17" i="98"/>
  <c r="G124" i="24"/>
  <c r="G13" i="53"/>
  <c r="G74" i="172"/>
  <c r="G98" i="43"/>
  <c r="G109" i="55"/>
  <c r="G226" i="92"/>
  <c r="G100" i="58"/>
  <c r="G118" i="25"/>
  <c r="G222" i="175"/>
  <c r="G180" i="175"/>
  <c r="G60" i="87"/>
  <c r="G179" i="10"/>
  <c r="G52" i="14"/>
  <c r="E237" i="10"/>
  <c r="G59" i="65"/>
  <c r="E102" i="164"/>
  <c r="G45" i="83"/>
  <c r="E206" i="60"/>
  <c r="G117" i="103"/>
  <c r="G15" i="55"/>
  <c r="G170" i="165"/>
  <c r="G19" i="19"/>
  <c r="G107" i="84"/>
  <c r="G85" i="65"/>
  <c r="G50" i="106"/>
  <c r="G36" i="47"/>
  <c r="G51" i="118"/>
  <c r="G178" i="60"/>
  <c r="E119" i="118"/>
  <c r="G71" i="156"/>
  <c r="G73" i="14"/>
  <c r="G203" i="25"/>
  <c r="G222" i="158"/>
  <c r="G84" i="37"/>
  <c r="G186" i="152"/>
  <c r="G180" i="118"/>
  <c r="G108" i="66"/>
  <c r="G76" i="47"/>
  <c r="G145" i="155"/>
  <c r="G179" i="15"/>
  <c r="G168" i="174"/>
  <c r="G146" i="63"/>
  <c r="G204" i="141"/>
  <c r="G25" i="54"/>
  <c r="G53" i="164"/>
  <c r="G151" i="14"/>
  <c r="G114" i="145"/>
  <c r="G190" i="164"/>
  <c r="G52" i="28"/>
  <c r="G182" i="66"/>
  <c r="G46" i="155"/>
  <c r="G129" i="152"/>
  <c r="G69" i="175"/>
  <c r="G90" i="118"/>
  <c r="G136" i="65"/>
  <c r="G189" i="141"/>
  <c r="G77" i="27"/>
  <c r="G125" i="37"/>
  <c r="G166" i="69"/>
  <c r="E206" i="92"/>
  <c r="G25" i="155"/>
  <c r="G153" i="32"/>
  <c r="G77" i="141"/>
  <c r="G201" i="142"/>
  <c r="G86" i="94"/>
  <c r="G146" i="87"/>
  <c r="G205" i="92"/>
  <c r="G33" i="54"/>
  <c r="G16" i="172"/>
  <c r="G107" i="104"/>
  <c r="G195" i="106"/>
  <c r="G53" i="16"/>
  <c r="G203" i="24"/>
  <c r="G225" i="25"/>
  <c r="G90" i="14"/>
  <c r="G195" i="42"/>
  <c r="G151" i="39"/>
  <c r="G200" i="24"/>
  <c r="G13" i="164"/>
  <c r="G177" i="141"/>
  <c r="G117" i="119"/>
  <c r="G137" i="152"/>
  <c r="G18" i="46"/>
  <c r="G157" i="47"/>
  <c r="G147" i="27"/>
  <c r="G150" i="84"/>
  <c r="G171" i="14"/>
  <c r="G142" i="119"/>
  <c r="G13" i="47"/>
  <c r="G175" i="106"/>
  <c r="G204" i="104"/>
  <c r="G59" i="66"/>
  <c r="G196" i="71"/>
  <c r="G100" i="149"/>
  <c r="G108" i="60"/>
  <c r="G59" i="55"/>
  <c r="G57" i="155"/>
  <c r="G193" i="25"/>
  <c r="G53" i="118"/>
  <c r="E206" i="103"/>
  <c r="G151" i="165"/>
  <c r="G52" i="165"/>
  <c r="G92" i="68"/>
  <c r="G167" i="165"/>
  <c r="E237" i="68"/>
  <c r="G44" i="175"/>
  <c r="G159" i="47"/>
  <c r="G148" i="104"/>
  <c r="G35" i="68"/>
  <c r="G37" i="28"/>
  <c r="G179" i="98"/>
  <c r="G27" i="31"/>
  <c r="G32" i="120"/>
  <c r="G76" i="157"/>
  <c r="G219" i="28"/>
  <c r="G74" i="63"/>
  <c r="G142" i="39"/>
  <c r="G114" i="63"/>
  <c r="G97" i="14"/>
  <c r="G177" i="156"/>
  <c r="E235" i="133"/>
  <c r="G156" i="15"/>
  <c r="G146" i="55"/>
  <c r="G201" i="55"/>
  <c r="G89" i="63"/>
  <c r="G164" i="53"/>
  <c r="G221" i="174"/>
  <c r="G118" i="63"/>
  <c r="G227" i="15"/>
  <c r="G140" i="155"/>
  <c r="G48" i="157"/>
  <c r="G87" i="174"/>
  <c r="G141" i="66"/>
  <c r="G88" i="64"/>
  <c r="G181" i="141"/>
  <c r="G169" i="32"/>
  <c r="G149" i="25"/>
  <c r="G98" i="152"/>
  <c r="G170" i="106"/>
  <c r="G65" i="25"/>
  <c r="G131" i="65"/>
  <c r="G25" i="152"/>
  <c r="G47" i="84"/>
  <c r="G117" i="175"/>
  <c r="G109" i="43"/>
  <c r="G173" i="104"/>
  <c r="G191" i="118"/>
  <c r="G92" i="104"/>
  <c r="G18" i="155"/>
  <c r="G182" i="65"/>
  <c r="G15" i="65"/>
  <c r="G172" i="152"/>
  <c r="G169" i="104"/>
  <c r="G72" i="164"/>
  <c r="G171" i="118"/>
  <c r="G48" i="118"/>
  <c r="G105" i="28"/>
  <c r="G176" i="145"/>
  <c r="G182" i="164"/>
  <c r="G131" i="94"/>
  <c r="G194" i="55"/>
  <c r="G96" i="55"/>
  <c r="G110" i="141"/>
  <c r="G193" i="119"/>
  <c r="G141" i="65"/>
  <c r="G166" i="28"/>
  <c r="G141" i="84"/>
  <c r="G194" i="106"/>
  <c r="G99" i="25"/>
  <c r="G153" i="119"/>
  <c r="G66" i="65"/>
  <c r="G86" i="118"/>
  <c r="G27" i="16"/>
  <c r="G91" i="152"/>
  <c r="G135" i="63"/>
  <c r="G86" i="46"/>
  <c r="G156" i="39"/>
  <c r="G143" i="47"/>
  <c r="G150" i="63"/>
  <c r="G172" i="120"/>
  <c r="G35" i="106"/>
  <c r="G189" i="25"/>
  <c r="G220" i="164"/>
  <c r="G71" i="118"/>
  <c r="G137" i="15"/>
  <c r="G52" i="58"/>
  <c r="G11" i="172"/>
  <c r="G151" i="156"/>
  <c r="G195" i="155"/>
  <c r="G114" i="150"/>
  <c r="G151" i="55"/>
  <c r="G101" i="155"/>
  <c r="G219" i="16"/>
  <c r="G130" i="25"/>
  <c r="G189" i="63"/>
  <c r="G34" i="32"/>
  <c r="G60" i="118"/>
  <c r="G177" i="119"/>
  <c r="G92" i="141"/>
  <c r="G16" i="133"/>
  <c r="G123" i="106"/>
  <c r="G44" i="120"/>
  <c r="G40" i="16"/>
  <c r="G166" i="38"/>
  <c r="G116" i="32"/>
  <c r="G175" i="47"/>
  <c r="G182" i="38"/>
  <c r="G175" i="157"/>
  <c r="G220" i="53"/>
  <c r="G74" i="42"/>
  <c r="E228" i="83"/>
  <c r="G72" i="83"/>
  <c r="G30" i="32"/>
  <c r="G51" i="68"/>
  <c r="G132" i="43"/>
  <c r="G196" i="83"/>
  <c r="G141" i="104"/>
  <c r="G226" i="152"/>
  <c r="G49" i="43"/>
  <c r="G145" i="25"/>
  <c r="G53" i="43"/>
  <c r="G51" i="55"/>
  <c r="G127" i="165"/>
  <c r="G100" i="145"/>
  <c r="G178" i="149"/>
  <c r="G90" i="42"/>
  <c r="G37" i="24"/>
  <c r="G29" i="16"/>
  <c r="G87" i="32"/>
  <c r="G222" i="141"/>
  <c r="G76" i="53"/>
  <c r="G200" i="14"/>
  <c r="G184" i="71"/>
  <c r="G174" i="60"/>
  <c r="G70" i="94"/>
  <c r="G176" i="164"/>
  <c r="G181" i="63"/>
  <c r="G187" i="118"/>
  <c r="G116" i="103"/>
  <c r="G100" i="43"/>
  <c r="G153" i="25"/>
  <c r="G194" i="66"/>
  <c r="G132" i="14"/>
  <c r="G150" i="66"/>
  <c r="G100" i="66"/>
  <c r="G53" i="83"/>
  <c r="G34" i="141"/>
  <c r="G142" i="118"/>
  <c r="G200" i="25"/>
  <c r="G84" i="119"/>
  <c r="G26" i="175"/>
  <c r="G159" i="106"/>
  <c r="G224" i="65"/>
  <c r="G42" i="141"/>
  <c r="G193" i="104"/>
  <c r="G125" i="104"/>
  <c r="G42" i="104"/>
  <c r="E21" i="172"/>
  <c r="G68" i="90"/>
  <c r="G108" i="152"/>
  <c r="G71" i="157"/>
  <c r="G173" i="63"/>
  <c r="G177" i="176"/>
  <c r="G15" i="156"/>
  <c r="G195" i="39"/>
  <c r="G202" i="15"/>
  <c r="G72" i="53"/>
  <c r="G183" i="15"/>
  <c r="G82" i="39"/>
  <c r="G92" i="25"/>
  <c r="G125" i="32"/>
  <c r="G203" i="152"/>
  <c r="G177" i="175"/>
  <c r="G193" i="32"/>
  <c r="G125" i="141"/>
  <c r="G145" i="175"/>
  <c r="G29" i="14"/>
  <c r="G107" i="68"/>
  <c r="G75" i="83"/>
  <c r="G159" i="50"/>
  <c r="G225" i="102"/>
  <c r="G54" i="86"/>
  <c r="G69" i="42"/>
  <c r="G45" i="119"/>
  <c r="G117" i="158"/>
  <c r="G33" i="120"/>
  <c r="G172" i="53"/>
  <c r="G78" i="63"/>
  <c r="G143" i="53"/>
  <c r="G11" i="71"/>
  <c r="G87" i="47"/>
  <c r="G124" i="174"/>
  <c r="G71" i="39"/>
  <c r="G149" i="119"/>
  <c r="G165" i="104"/>
  <c r="G106" i="32"/>
  <c r="G77" i="25"/>
  <c r="G200" i="141"/>
  <c r="G175" i="92"/>
  <c r="G27" i="42"/>
  <c r="G227" i="42"/>
  <c r="G68" i="28"/>
  <c r="G177" i="16"/>
  <c r="G195" i="55"/>
  <c r="G26" i="158"/>
  <c r="G146" i="16"/>
  <c r="G78" i="60"/>
  <c r="G225" i="106"/>
  <c r="G42" i="38"/>
  <c r="G138" i="149"/>
  <c r="G156" i="19"/>
  <c r="G76" i="141"/>
  <c r="G66" i="71"/>
  <c r="G221" i="119"/>
  <c r="G11" i="68"/>
  <c r="E119" i="176"/>
  <c r="E206" i="32"/>
  <c r="G75" i="49"/>
  <c r="G34" i="104"/>
  <c r="G193" i="145"/>
  <c r="G172" i="157"/>
  <c r="G138" i="157"/>
  <c r="G133" i="39"/>
  <c r="G59" i="24"/>
  <c r="G109" i="28"/>
  <c r="G152" i="155"/>
  <c r="G203" i="103"/>
  <c r="G164" i="164"/>
  <c r="G138" i="164"/>
  <c r="G87" i="94"/>
  <c r="G172" i="103"/>
  <c r="G142" i="42"/>
  <c r="G85" i="71"/>
  <c r="G115" i="15"/>
  <c r="G85" i="55"/>
  <c r="G106" i="119"/>
  <c r="G49" i="152"/>
  <c r="G130" i="104"/>
  <c r="G204" i="119"/>
  <c r="G135" i="104"/>
  <c r="G17" i="37"/>
  <c r="G86" i="19"/>
  <c r="G195" i="19"/>
  <c r="G97" i="55"/>
  <c r="G96" i="43"/>
  <c r="G19" i="150"/>
  <c r="G180" i="83"/>
  <c r="G45" i="152"/>
  <c r="G101" i="103"/>
  <c r="G77" i="64"/>
  <c r="G202" i="103"/>
  <c r="G84" i="155"/>
  <c r="G45" i="69"/>
  <c r="E102" i="149"/>
  <c r="G19" i="149"/>
  <c r="G184" i="83"/>
  <c r="G117" i="42"/>
  <c r="G110" i="133"/>
  <c r="G12" i="106"/>
  <c r="G91" i="49"/>
  <c r="G194" i="118"/>
  <c r="G46" i="16"/>
  <c r="G153" i="176"/>
  <c r="G78" i="66"/>
  <c r="G221" i="43"/>
  <c r="G82" i="103"/>
  <c r="G204" i="32"/>
  <c r="G169" i="63"/>
  <c r="G194" i="84"/>
  <c r="G73" i="32"/>
  <c r="G203" i="60"/>
  <c r="G74" i="113"/>
  <c r="G43" i="178"/>
  <c r="G14" i="98"/>
  <c r="G39" i="65"/>
  <c r="E228" i="106"/>
  <c r="E228" i="55"/>
  <c r="G49" i="71"/>
  <c r="G84" i="64"/>
  <c r="G18" i="175"/>
  <c r="G175" i="84"/>
  <c r="G89" i="172"/>
  <c r="G184" i="156"/>
  <c r="G157" i="120"/>
  <c r="G178" i="104"/>
  <c r="G28" i="152"/>
  <c r="G176" i="64"/>
  <c r="G174" i="28"/>
  <c r="G108" i="68"/>
  <c r="G131" i="118"/>
  <c r="G195" i="68"/>
  <c r="E228" i="60"/>
  <c r="E119" i="54"/>
  <c r="G110" i="25"/>
  <c r="G174" i="119"/>
  <c r="G126" i="55"/>
  <c r="G39" i="66"/>
  <c r="G168" i="47"/>
  <c r="G168" i="83"/>
  <c r="G136" i="63"/>
  <c r="G175" i="15"/>
  <c r="G183" i="14"/>
  <c r="G20" i="157"/>
  <c r="G138" i="47"/>
  <c r="G157" i="174"/>
  <c r="G47" i="63"/>
  <c r="G39" i="68"/>
  <c r="G101" i="14"/>
  <c r="G182" i="55"/>
  <c r="G47" i="66"/>
  <c r="G15" i="68"/>
  <c r="G132" i="15"/>
  <c r="G170" i="55"/>
  <c r="G75" i="42"/>
  <c r="G83" i="47"/>
  <c r="G172" i="174"/>
  <c r="G155" i="66"/>
  <c r="G11" i="150"/>
  <c r="G189" i="119"/>
  <c r="G38" i="104"/>
  <c r="G92" i="119"/>
  <c r="G55" i="65"/>
  <c r="G46" i="104"/>
  <c r="G130" i="175"/>
  <c r="G181" i="25"/>
  <c r="G38" i="119"/>
  <c r="G150" i="65"/>
  <c r="G184" i="152"/>
  <c r="G76" i="152"/>
  <c r="G14" i="175"/>
  <c r="G181" i="104"/>
  <c r="G77" i="104"/>
  <c r="G17" i="54"/>
  <c r="G51" i="65"/>
  <c r="G204" i="24"/>
  <c r="G177" i="104"/>
  <c r="G83" i="94"/>
  <c r="G183" i="118"/>
  <c r="G90" i="103"/>
  <c r="G136" i="43"/>
  <c r="G43" i="43"/>
  <c r="G34" i="155"/>
  <c r="G34" i="119"/>
  <c r="G175" i="65"/>
  <c r="G91" i="174"/>
  <c r="G70" i="68"/>
  <c r="G223" i="175"/>
  <c r="G127" i="58"/>
  <c r="G220" i="83"/>
  <c r="G137" i="42"/>
  <c r="G108" i="118"/>
  <c r="G185" i="25"/>
  <c r="G88" i="25"/>
  <c r="G186" i="65"/>
  <c r="G157" i="152"/>
  <c r="G145" i="104"/>
  <c r="G18" i="104"/>
  <c r="G146" i="106"/>
  <c r="G101" i="15"/>
  <c r="G175" i="118"/>
  <c r="G36" i="118"/>
  <c r="G145" i="119"/>
  <c r="G14" i="119"/>
  <c r="G160" i="118"/>
  <c r="G132" i="103"/>
  <c r="G201" i="65"/>
  <c r="G54" i="141"/>
  <c r="G65" i="64"/>
  <c r="G158" i="32"/>
  <c r="G185" i="141"/>
  <c r="G223" i="90"/>
  <c r="G223" i="71"/>
  <c r="E206" i="54"/>
  <c r="G131" i="43"/>
  <c r="G31" i="43"/>
  <c r="G30" i="119"/>
  <c r="G98" i="47"/>
  <c r="G203" i="83"/>
  <c r="G180" i="174"/>
  <c r="G171" i="42"/>
  <c r="G165" i="155"/>
  <c r="G174" i="66"/>
  <c r="G201" i="68"/>
  <c r="G127" i="15"/>
  <c r="G179" i="14"/>
  <c r="G183" i="39"/>
  <c r="G96" i="63"/>
  <c r="G47" i="68"/>
  <c r="G191" i="15"/>
  <c r="G193" i="155"/>
  <c r="G205" i="55"/>
  <c r="G73" i="64"/>
  <c r="G149" i="32"/>
  <c r="G26" i="32"/>
  <c r="G50" i="141"/>
  <c r="G190" i="28"/>
  <c r="G69" i="155"/>
  <c r="G222" i="119"/>
  <c r="G155" i="65"/>
  <c r="G89" i="65"/>
  <c r="G201" i="28"/>
  <c r="G72" i="152"/>
  <c r="G155" i="84"/>
  <c r="G152" i="43"/>
  <c r="G73" i="104"/>
  <c r="G66" i="106"/>
  <c r="G11" i="106"/>
  <c r="G110" i="155"/>
  <c r="G190" i="65"/>
  <c r="G178" i="28"/>
  <c r="G117" i="141"/>
  <c r="G37" i="120"/>
  <c r="G143" i="133"/>
  <c r="G99" i="175"/>
  <c r="G87" i="43"/>
  <c r="G174" i="106"/>
  <c r="G140" i="25"/>
  <c r="G47" i="65"/>
  <c r="G96" i="65"/>
  <c r="G148" i="152"/>
  <c r="G57" i="43"/>
  <c r="G89" i="106"/>
  <c r="G151" i="118"/>
  <c r="E111" i="53"/>
  <c r="G107" i="43"/>
  <c r="G18" i="83"/>
  <c r="G51" i="25"/>
  <c r="G115" i="65"/>
  <c r="G90" i="28"/>
  <c r="G123" i="39"/>
  <c r="G91" i="53"/>
  <c r="G85" i="63"/>
  <c r="G91" i="47"/>
  <c r="G164" i="47"/>
  <c r="G202" i="42"/>
  <c r="G76" i="174"/>
  <c r="G101" i="39"/>
  <c r="G135" i="155"/>
  <c r="G150" i="28"/>
  <c r="G143" i="152"/>
  <c r="G143" i="54"/>
  <c r="G156" i="118"/>
  <c r="G127" i="103"/>
  <c r="G193" i="24"/>
  <c r="G125" i="25"/>
  <c r="G140" i="119"/>
  <c r="G46" i="64"/>
  <c r="G65" i="32"/>
  <c r="G38" i="141"/>
  <c r="G204" i="175"/>
  <c r="G189" i="32"/>
  <c r="G158" i="104"/>
  <c r="G58" i="141"/>
  <c r="G41" i="54"/>
  <c r="G219" i="103"/>
  <c r="G31" i="25"/>
  <c r="G30" i="25"/>
  <c r="G32" i="174"/>
  <c r="G12" i="174"/>
  <c r="G158" i="63"/>
  <c r="G231" i="103"/>
  <c r="E235" i="103"/>
  <c r="E102" i="113"/>
  <c r="G15" i="113"/>
  <c r="G58" i="68"/>
  <c r="G131" i="49"/>
  <c r="E235" i="32"/>
  <c r="G190" i="152"/>
  <c r="G77" i="63"/>
  <c r="E206" i="24"/>
  <c r="E102" i="32"/>
  <c r="G71" i="62"/>
  <c r="G40" i="42"/>
  <c r="G56" i="155"/>
  <c r="G155" i="71"/>
  <c r="G42" i="42"/>
  <c r="G108" i="150"/>
  <c r="G34" i="39"/>
  <c r="E93" i="155"/>
  <c r="G43" i="174"/>
  <c r="G13" i="27"/>
  <c r="G138" i="119"/>
  <c r="G46" i="158"/>
  <c r="G19" i="31"/>
  <c r="G155" i="149"/>
  <c r="G49" i="69"/>
  <c r="G124" i="89"/>
  <c r="G231" i="42"/>
  <c r="K14" i="42" s="1"/>
  <c r="G171" i="25"/>
  <c r="G191" i="152"/>
  <c r="G138" i="43"/>
  <c r="G160" i="133"/>
  <c r="G64" i="175"/>
  <c r="G183" i="175"/>
  <c r="G108" i="86"/>
  <c r="G75" i="157"/>
  <c r="E21" i="174"/>
  <c r="G188" i="164"/>
  <c r="G152" i="62"/>
  <c r="G109" i="46"/>
  <c r="G186" i="175"/>
  <c r="G97" i="175"/>
  <c r="G149" i="24"/>
  <c r="G78" i="164"/>
  <c r="E102" i="174"/>
  <c r="G132" i="89"/>
  <c r="G106" i="14"/>
  <c r="G90" i="65"/>
  <c r="G30" i="156"/>
  <c r="G38" i="174"/>
  <c r="G30" i="174"/>
  <c r="G26" i="174"/>
  <c r="G185" i="63"/>
  <c r="G165" i="63"/>
  <c r="G222" i="66"/>
  <c r="G73" i="66"/>
  <c r="G20" i="15"/>
  <c r="G72" i="54"/>
  <c r="G29" i="54"/>
  <c r="G13" i="103"/>
  <c r="G46" i="174"/>
  <c r="G20" i="174"/>
  <c r="G176" i="58"/>
  <c r="G200" i="63"/>
  <c r="G204" i="66"/>
  <c r="G67" i="25"/>
  <c r="G83" i="104"/>
  <c r="G141" i="58"/>
  <c r="G145" i="14"/>
  <c r="G44" i="150"/>
  <c r="G194" i="176"/>
  <c r="G35" i="38"/>
  <c r="G201" i="50"/>
  <c r="G50" i="42"/>
  <c r="G109" i="49"/>
  <c r="G74" i="150"/>
  <c r="E119" i="149"/>
  <c r="G70" i="31"/>
  <c r="G187" i="133"/>
  <c r="G47" i="145"/>
  <c r="G27" i="94"/>
  <c r="G200" i="90"/>
  <c r="G155" i="58"/>
  <c r="G99" i="42"/>
  <c r="G98" i="157"/>
  <c r="G74" i="92"/>
  <c r="G235" i="133"/>
  <c r="G221" i="175"/>
  <c r="G220" i="58"/>
  <c r="G107" i="54"/>
  <c r="E102" i="25"/>
  <c r="G64" i="32"/>
  <c r="E119" i="164"/>
  <c r="E111" i="119"/>
  <c r="G170" i="25"/>
  <c r="G75" i="65"/>
  <c r="G225" i="98"/>
  <c r="G224" i="58"/>
  <c r="G125" i="66"/>
  <c r="G145" i="68"/>
  <c r="G90" i="15"/>
  <c r="G196" i="164"/>
  <c r="G157" i="164"/>
  <c r="G133" i="164"/>
  <c r="G124" i="164"/>
  <c r="G109" i="164"/>
  <c r="G87" i="164"/>
  <c r="G45" i="164"/>
  <c r="G37" i="164"/>
  <c r="G138" i="94"/>
  <c r="G124" i="94"/>
  <c r="G91" i="94"/>
  <c r="G76" i="94"/>
  <c r="G68" i="94"/>
  <c r="G53" i="94"/>
  <c r="G17" i="94"/>
  <c r="G203" i="54"/>
  <c r="G138" i="54"/>
  <c r="G129" i="54"/>
  <c r="G76" i="54"/>
  <c r="G68" i="54"/>
  <c r="G157" i="60"/>
  <c r="G148" i="60"/>
  <c r="G91" i="60"/>
  <c r="G41" i="60"/>
  <c r="G13" i="60"/>
  <c r="G188" i="118"/>
  <c r="G152" i="118"/>
  <c r="G143" i="118"/>
  <c r="G98" i="118"/>
  <c r="G72" i="118"/>
  <c r="G64" i="118"/>
  <c r="G184" i="103"/>
  <c r="G53" i="103"/>
  <c r="G37" i="103"/>
  <c r="G25" i="103"/>
  <c r="G44" i="65"/>
  <c r="G54" i="174"/>
  <c r="G28" i="174"/>
  <c r="G45" i="54"/>
  <c r="G115" i="145"/>
  <c r="G71" i="87"/>
  <c r="G64" i="98"/>
  <c r="G192" i="32"/>
  <c r="G71" i="63"/>
  <c r="G75" i="38"/>
  <c r="G224" i="118"/>
  <c r="G219" i="1"/>
  <c r="G106" i="83"/>
  <c r="G124" i="118"/>
  <c r="G143" i="14"/>
  <c r="G13" i="150"/>
  <c r="E119" i="62"/>
  <c r="G227" i="165"/>
  <c r="G33" i="90"/>
  <c r="G49" i="155"/>
  <c r="G35" i="94"/>
  <c r="G159" i="38"/>
  <c r="G176" i="28"/>
  <c r="G59" i="38"/>
  <c r="G124" i="83"/>
  <c r="G114" i="87"/>
  <c r="G143" i="119"/>
  <c r="G188" i="64"/>
  <c r="G45" i="71"/>
  <c r="G73" i="16"/>
  <c r="E237" i="69"/>
  <c r="G127" i="42"/>
  <c r="G18" i="25"/>
  <c r="G221" i="83"/>
  <c r="G153" i="68"/>
  <c r="G130" i="68"/>
  <c r="G190" i="15"/>
  <c r="G86" i="15"/>
  <c r="G57" i="19"/>
  <c r="G192" i="164"/>
  <c r="G148" i="164"/>
  <c r="G129" i="164"/>
  <c r="G116" i="164"/>
  <c r="G91" i="164"/>
  <c r="G68" i="164"/>
  <c r="G41" i="164"/>
  <c r="G33" i="164"/>
  <c r="G25" i="164"/>
  <c r="G129" i="94"/>
  <c r="G49" i="94"/>
  <c r="G37" i="94"/>
  <c r="G25" i="94"/>
  <c r="G13" i="94"/>
  <c r="G196" i="54"/>
  <c r="G133" i="54"/>
  <c r="G64" i="54"/>
  <c r="G37" i="54"/>
  <c r="G196" i="60"/>
  <c r="G98" i="60"/>
  <c r="G68" i="60"/>
  <c r="G184" i="118"/>
  <c r="G176" i="118"/>
  <c r="G157" i="118"/>
  <c r="G133" i="118"/>
  <c r="G91" i="118"/>
  <c r="G76" i="118"/>
  <c r="G68" i="118"/>
  <c r="G57" i="118"/>
  <c r="G49" i="118"/>
  <c r="G25" i="118"/>
  <c r="G13" i="118"/>
  <c r="G192" i="103"/>
  <c r="G57" i="103"/>
  <c r="G39" i="145"/>
  <c r="G166" i="145"/>
  <c r="G25" i="177"/>
  <c r="G34" i="177"/>
  <c r="G35" i="177"/>
  <c r="G51" i="177"/>
  <c r="G126" i="177"/>
  <c r="E21" i="177"/>
  <c r="G92" i="177"/>
  <c r="G231" i="62"/>
  <c r="G235" i="62" s="1"/>
  <c r="G237" i="62" s="1"/>
  <c r="G140" i="62"/>
  <c r="E235" i="62"/>
  <c r="G67" i="175"/>
  <c r="G75" i="175"/>
  <c r="G101" i="175"/>
  <c r="E228" i="175"/>
  <c r="G167" i="175"/>
  <c r="G47" i="175"/>
  <c r="G52" i="175"/>
  <c r="G48" i="175"/>
  <c r="G40" i="175"/>
  <c r="G19" i="175"/>
  <c r="G127" i="175"/>
  <c r="G82" i="175"/>
  <c r="G36" i="175"/>
  <c r="G179" i="175"/>
  <c r="G86" i="175"/>
  <c r="G35" i="175"/>
  <c r="G39" i="178"/>
  <c r="G187" i="27"/>
  <c r="G137" i="27"/>
  <c r="G166" i="27"/>
  <c r="G125" i="27"/>
  <c r="G70" i="149"/>
  <c r="G39" i="149"/>
  <c r="G109" i="149"/>
  <c r="G68" i="149"/>
  <c r="G183" i="149"/>
  <c r="G35" i="149"/>
  <c r="G26" i="145"/>
  <c r="G141" i="133"/>
  <c r="G194" i="64"/>
  <c r="G85" i="24"/>
  <c r="G87" i="25"/>
  <c r="G148" i="84"/>
  <c r="G181" i="43"/>
  <c r="G173" i="46"/>
  <c r="G185" i="58"/>
  <c r="G43" i="53"/>
  <c r="G110" i="24"/>
  <c r="G68" i="155"/>
  <c r="G98" i="42"/>
  <c r="G138" i="155"/>
  <c r="G25" i="119"/>
  <c r="G46" i="150"/>
  <c r="G188" i="42"/>
  <c r="G12" i="156"/>
  <c r="G49" i="25"/>
  <c r="G82" i="152"/>
  <c r="G179" i="133"/>
  <c r="G232" i="71"/>
  <c r="G115" i="43"/>
  <c r="G36" i="43"/>
  <c r="G160" i="31"/>
  <c r="G200" i="152"/>
  <c r="G202" i="106"/>
  <c r="G49" i="156"/>
  <c r="G222" i="104"/>
  <c r="G11" i="31"/>
  <c r="G51" i="31"/>
  <c r="G114" i="31"/>
  <c r="G136" i="31"/>
  <c r="G219" i="50"/>
  <c r="G219" i="92"/>
  <c r="G227" i="87"/>
  <c r="G227" i="63"/>
  <c r="G225" i="118"/>
  <c r="G166" i="172"/>
  <c r="G182" i="50"/>
  <c r="G190" i="142"/>
  <c r="G146" i="69"/>
  <c r="G194" i="89"/>
  <c r="G159" i="89"/>
  <c r="G136" i="89"/>
  <c r="G15" i="87"/>
  <c r="G70" i="10"/>
  <c r="G14" i="176"/>
  <c r="G141" i="172"/>
  <c r="G107" i="172"/>
  <c r="G85" i="172"/>
  <c r="E79" i="172"/>
  <c r="G185" i="39"/>
  <c r="G226" i="10"/>
  <c r="G115" i="10"/>
  <c r="G133" i="165"/>
  <c r="G202" i="174"/>
  <c r="G182" i="58"/>
  <c r="G70" i="164"/>
  <c r="G178" i="54"/>
  <c r="G51" i="54"/>
  <c r="G47" i="60"/>
  <c r="G90" i="69"/>
  <c r="G44" i="69"/>
  <c r="G82" i="86"/>
  <c r="G187" i="10"/>
  <c r="G60" i="10"/>
  <c r="G33" i="32"/>
  <c r="G20" i="83"/>
  <c r="G191" i="98"/>
  <c r="G16" i="98"/>
  <c r="G118" i="58"/>
  <c r="G183" i="63"/>
  <c r="G147" i="66"/>
  <c r="G160" i="68"/>
  <c r="G133" i="15"/>
  <c r="G224" i="164"/>
  <c r="G126" i="164"/>
  <c r="G19" i="164"/>
  <c r="G224" i="60"/>
  <c r="G67" i="174"/>
  <c r="G156" i="174"/>
  <c r="E102" i="176"/>
  <c r="G96" i="176"/>
  <c r="G56" i="47"/>
  <c r="G132" i="98"/>
  <c r="G179" i="174"/>
  <c r="G166" i="58"/>
  <c r="G82" i="63"/>
  <c r="G86" i="66"/>
  <c r="G16" i="68"/>
  <c r="G73" i="15"/>
  <c r="G96" i="164"/>
  <c r="G35" i="54"/>
  <c r="G174" i="172"/>
  <c r="G75" i="89"/>
  <c r="G191" i="10"/>
  <c r="G32" i="10"/>
  <c r="G180" i="71"/>
  <c r="G179" i="63"/>
  <c r="G71" i="68"/>
  <c r="G89" i="19"/>
  <c r="G150" i="164"/>
  <c r="G85" i="164"/>
  <c r="G96" i="54"/>
  <c r="G146" i="60"/>
  <c r="G188" i="14"/>
  <c r="G152" i="14"/>
  <c r="G133" i="14"/>
  <c r="G108" i="55"/>
  <c r="G12" i="55"/>
  <c r="G195" i="165"/>
  <c r="G223" i="158"/>
  <c r="G219" i="25"/>
  <c r="G192" i="65"/>
  <c r="G176" i="65"/>
  <c r="G157" i="65"/>
  <c r="G129" i="65"/>
  <c r="G98" i="65"/>
  <c r="E102" i="65"/>
  <c r="G41" i="65"/>
  <c r="G192" i="28"/>
  <c r="G168" i="28"/>
  <c r="G124" i="28"/>
  <c r="G57" i="28"/>
  <c r="G153" i="71"/>
  <c r="G89" i="178"/>
  <c r="G189" i="89"/>
  <c r="G66" i="86"/>
  <c r="G109" i="118"/>
  <c r="G191" i="150"/>
  <c r="G67" i="150"/>
  <c r="G40" i="150"/>
  <c r="G225" i="47"/>
  <c r="E111" i="172"/>
  <c r="G137" i="39"/>
  <c r="G72" i="165"/>
  <c r="G51" i="24"/>
  <c r="G105" i="65"/>
  <c r="G91" i="28"/>
  <c r="G59" i="15"/>
  <c r="G141" i="10"/>
  <c r="G137" i="157"/>
  <c r="G107" i="28"/>
  <c r="G68" i="64"/>
  <c r="G146" i="145"/>
  <c r="G184" i="66"/>
  <c r="G42" i="46"/>
  <c r="G203" i="64"/>
  <c r="G68" i="141"/>
  <c r="G12" i="152"/>
  <c r="G75" i="46"/>
  <c r="G227" i="152"/>
  <c r="G201" i="39"/>
  <c r="G227" i="43"/>
  <c r="G137" i="46"/>
  <c r="G35" i="31"/>
  <c r="G67" i="89"/>
  <c r="G47" i="87"/>
  <c r="G150" i="178"/>
  <c r="G201" i="176"/>
  <c r="G90" i="152"/>
  <c r="G181" i="120"/>
  <c r="G142" i="145"/>
  <c r="G219" i="43"/>
  <c r="G116" i="119"/>
  <c r="G46" i="25"/>
  <c r="G195" i="145"/>
  <c r="G59" i="49"/>
  <c r="G174" i="54"/>
  <c r="G33" i="58"/>
  <c r="G96" i="118"/>
  <c r="G41" i="175"/>
  <c r="G171" i="142"/>
  <c r="G141" i="106"/>
  <c r="G143" i="15"/>
  <c r="G66" i="172"/>
  <c r="G69" i="90"/>
  <c r="G171" i="120"/>
  <c r="G20" i="43"/>
  <c r="G168" i="104"/>
  <c r="G116" i="104"/>
  <c r="G45" i="104"/>
  <c r="G52" i="46"/>
  <c r="G156" i="157"/>
  <c r="G88" i="145"/>
  <c r="G224" i="145"/>
  <c r="E228" i="145"/>
  <c r="G220" i="66"/>
  <c r="G164" i="94"/>
  <c r="G132" i="47"/>
  <c r="G116" i="49"/>
  <c r="G231" i="141"/>
  <c r="E235" i="141"/>
  <c r="G109" i="42"/>
  <c r="G159" i="172"/>
  <c r="G186" i="58"/>
  <c r="E102" i="118"/>
  <c r="G169" i="156"/>
  <c r="G149" i="120"/>
  <c r="G72" i="141"/>
  <c r="G57" i="66"/>
  <c r="G200" i="118"/>
  <c r="G34" i="28"/>
  <c r="G175" i="119"/>
  <c r="G83" i="43"/>
  <c r="G170" i="95"/>
  <c r="G129" i="55"/>
  <c r="G53" i="55"/>
  <c r="G174" i="92"/>
  <c r="G118" i="172"/>
  <c r="G89" i="50"/>
  <c r="G159" i="1"/>
  <c r="G141" i="92"/>
  <c r="G96" i="142"/>
  <c r="G100" i="176"/>
  <c r="G175" i="83"/>
  <c r="G187" i="68"/>
  <c r="G66" i="103"/>
  <c r="G166" i="164"/>
  <c r="G42" i="39"/>
  <c r="G232" i="84"/>
  <c r="G131" i="103"/>
  <c r="G48" i="87"/>
  <c r="G89" i="46"/>
  <c r="G187" i="83"/>
  <c r="G51" i="94"/>
  <c r="G146" i="118"/>
  <c r="G43" i="118"/>
  <c r="G142" i="66"/>
  <c r="G83" i="14"/>
  <c r="G75" i="55"/>
  <c r="G173" i="16"/>
  <c r="G26" i="16"/>
  <c r="G226" i="156"/>
  <c r="G68" i="65"/>
  <c r="G226" i="43"/>
  <c r="G47" i="172"/>
  <c r="G223" i="178"/>
  <c r="E111" i="158"/>
  <c r="E111" i="16"/>
  <c r="G78" i="19"/>
  <c r="G77" i="15"/>
  <c r="G19" i="95"/>
  <c r="G156" i="98"/>
  <c r="G146" i="94"/>
  <c r="G26" i="118"/>
  <c r="G171" i="49"/>
  <c r="G187" i="25"/>
  <c r="G18" i="16"/>
  <c r="G41" i="145"/>
  <c r="E111" i="86"/>
  <c r="E235" i="119"/>
  <c r="E102" i="175"/>
  <c r="E111" i="65"/>
  <c r="G150" i="145"/>
  <c r="G183" i="10"/>
  <c r="G147" i="156"/>
  <c r="G180" i="15"/>
  <c r="G20" i="118"/>
  <c r="G190" i="1"/>
  <c r="G158" i="24"/>
  <c r="G117" i="155"/>
  <c r="G39" i="31"/>
  <c r="G36" i="1"/>
  <c r="G46" i="14"/>
  <c r="G219" i="63"/>
  <c r="G169" i="176"/>
  <c r="G178" i="50"/>
  <c r="G89" i="92"/>
  <c r="G205" i="142"/>
  <c r="G186" i="142"/>
  <c r="G131" i="89"/>
  <c r="G201" i="10"/>
  <c r="G43" i="172"/>
  <c r="G101" i="87"/>
  <c r="G195" i="10"/>
  <c r="G56" i="10"/>
  <c r="G82" i="98"/>
  <c r="G182" i="94"/>
  <c r="G11" i="94"/>
  <c r="G107" i="118"/>
  <c r="G137" i="10"/>
  <c r="G226" i="53"/>
  <c r="G174" i="58"/>
  <c r="G107" i="58"/>
  <c r="G167" i="63"/>
  <c r="G196" i="15"/>
  <c r="G43" i="19"/>
  <c r="G194" i="164"/>
  <c r="G100" i="164"/>
  <c r="G74" i="94"/>
  <c r="G148" i="15"/>
  <c r="G164" i="71"/>
  <c r="G132" i="87"/>
  <c r="G159" i="176"/>
  <c r="G12" i="98"/>
  <c r="G160" i="174"/>
  <c r="G202" i="63"/>
  <c r="G202" i="66"/>
  <c r="G97" i="68"/>
  <c r="G221" i="15"/>
  <c r="G54" i="15"/>
  <c r="G15" i="54"/>
  <c r="G186" i="54"/>
  <c r="G16" i="10"/>
  <c r="G177" i="39"/>
  <c r="G18" i="39"/>
  <c r="G167" i="68"/>
  <c r="G32" i="68"/>
  <c r="G35" i="164"/>
  <c r="G170" i="94"/>
  <c r="G155" i="54"/>
  <c r="G201" i="60"/>
  <c r="G96" i="103"/>
  <c r="G148" i="14"/>
  <c r="G105" i="14"/>
  <c r="G101" i="55"/>
  <c r="G77" i="16"/>
  <c r="G42" i="16"/>
  <c r="G60" i="155"/>
  <c r="G188" i="65"/>
  <c r="G148" i="65"/>
  <c r="G138" i="28"/>
  <c r="G220" i="64"/>
  <c r="G219" i="69"/>
  <c r="G178" i="10"/>
  <c r="G224" i="172"/>
  <c r="G159" i="150"/>
  <c r="G13" i="24"/>
  <c r="G46" i="39"/>
  <c r="G78" i="94"/>
  <c r="G155" i="150"/>
  <c r="G171" i="69"/>
  <c r="G98" i="71"/>
  <c r="G32" i="49"/>
  <c r="G176" i="90"/>
  <c r="G17" i="71"/>
  <c r="G178" i="94"/>
  <c r="G187" i="69"/>
  <c r="G222" i="84"/>
  <c r="G100" i="46"/>
  <c r="G12" i="53"/>
  <c r="G19" i="118"/>
  <c r="G53" i="14"/>
  <c r="G204" i="158"/>
  <c r="G110" i="158"/>
  <c r="G220" i="42"/>
  <c r="G40" i="155"/>
  <c r="G166" i="150"/>
  <c r="E235" i="28"/>
  <c r="G41" i="32"/>
  <c r="E206" i="90"/>
  <c r="G31" i="54"/>
  <c r="G25" i="43"/>
  <c r="G43" i="164"/>
  <c r="G231" i="119"/>
  <c r="E206" i="164"/>
  <c r="G130" i="65"/>
  <c r="G77" i="145"/>
  <c r="G174" i="46"/>
  <c r="G100" i="92"/>
  <c r="G155" i="31"/>
  <c r="G219" i="87"/>
  <c r="K14" i="16"/>
  <c r="G186" i="95"/>
  <c r="G205" i="50"/>
  <c r="G155" i="1"/>
  <c r="G170" i="92"/>
  <c r="G136" i="92"/>
  <c r="G89" i="142"/>
  <c r="G43" i="69"/>
  <c r="G150" i="89"/>
  <c r="G15" i="89"/>
  <c r="G34" i="176"/>
  <c r="G27" i="172"/>
  <c r="G194" i="150"/>
  <c r="G118" i="150"/>
  <c r="G31" i="176"/>
  <c r="G124" i="90"/>
  <c r="G30" i="39"/>
  <c r="G226" i="66"/>
  <c r="G171" i="68"/>
  <c r="G67" i="68"/>
  <c r="G224" i="54"/>
  <c r="G27" i="54"/>
  <c r="G156" i="69"/>
  <c r="G168" i="55"/>
  <c r="G138" i="90"/>
  <c r="G203" i="71"/>
  <c r="G167" i="83"/>
  <c r="G12" i="49"/>
  <c r="G151" i="174"/>
  <c r="G97" i="174"/>
  <c r="G194" i="60"/>
  <c r="G57" i="174"/>
  <c r="G201" i="145"/>
  <c r="G150" i="150"/>
  <c r="G32" i="87"/>
  <c r="G157" i="55"/>
  <c r="G72" i="55"/>
  <c r="G168" i="71"/>
  <c r="G15" i="164"/>
  <c r="G205" i="60"/>
  <c r="G141" i="60"/>
  <c r="G126" i="118"/>
  <c r="G27" i="118"/>
  <c r="G76" i="24"/>
  <c r="G190" i="150"/>
  <c r="G226" i="83"/>
  <c r="G17" i="14"/>
  <c r="G219" i="55"/>
  <c r="G167" i="55"/>
  <c r="G137" i="55"/>
  <c r="G219" i="165"/>
  <c r="G171" i="165"/>
  <c r="G142" i="165"/>
  <c r="G28" i="165"/>
  <c r="G185" i="16"/>
  <c r="G149" i="16"/>
  <c r="G99" i="16"/>
  <c r="G38" i="16"/>
  <c r="G149" i="158"/>
  <c r="G77" i="158"/>
  <c r="G14" i="158"/>
  <c r="G87" i="65"/>
  <c r="G116" i="28"/>
  <c r="G53" i="28"/>
  <c r="G25" i="28"/>
  <c r="G53" i="68"/>
  <c r="G89" i="31"/>
  <c r="G166" i="31"/>
  <c r="G26" i="14"/>
  <c r="G67" i="58"/>
  <c r="G178" i="89"/>
  <c r="G137" i="174"/>
  <c r="G131" i="60"/>
  <c r="G101" i="10"/>
  <c r="G147" i="83"/>
  <c r="G109" i="15"/>
  <c r="G65" i="15"/>
  <c r="G136" i="54"/>
  <c r="G203" i="65"/>
  <c r="G109" i="65"/>
  <c r="G53" i="65"/>
  <c r="G157" i="28"/>
  <c r="G72" i="28"/>
  <c r="E228" i="87"/>
  <c r="G19" i="39"/>
  <c r="G29" i="28"/>
  <c r="G13" i="157"/>
  <c r="G60" i="69"/>
  <c r="G35" i="60"/>
  <c r="E119" i="172"/>
  <c r="G188" i="94"/>
  <c r="G82" i="174"/>
  <c r="G90" i="155"/>
  <c r="G219" i="143"/>
  <c r="G97" i="54"/>
  <c r="E206" i="55"/>
  <c r="G224" i="16"/>
  <c r="G151" i="133"/>
  <c r="G150" i="176"/>
  <c r="G147" i="63"/>
  <c r="G69" i="152"/>
  <c r="G89" i="54"/>
  <c r="G43" i="60"/>
  <c r="G19" i="49"/>
  <c r="G166" i="54"/>
  <c r="E111" i="174"/>
  <c r="G135" i="16"/>
  <c r="G205" i="164"/>
  <c r="G12" i="47"/>
  <c r="G187" i="49"/>
  <c r="G146" i="89"/>
  <c r="G171" i="63"/>
  <c r="G174" i="164"/>
  <c r="G205" i="54"/>
  <c r="G114" i="38"/>
  <c r="G55" i="175"/>
  <c r="G138" i="156"/>
  <c r="G219" i="89"/>
  <c r="G219" i="10"/>
  <c r="G130" i="176"/>
  <c r="G100" i="50"/>
  <c r="G170" i="1"/>
  <c r="G150" i="1"/>
  <c r="G66" i="89"/>
  <c r="G190" i="10"/>
  <c r="G31" i="150"/>
  <c r="G146" i="176"/>
  <c r="G87" i="71"/>
  <c r="G28" i="83"/>
  <c r="G160" i="98"/>
  <c r="G124" i="15"/>
  <c r="G35" i="19"/>
  <c r="G70" i="54"/>
  <c r="G205" i="118"/>
  <c r="G100" i="103"/>
  <c r="G126" i="150"/>
  <c r="G160" i="89"/>
  <c r="G186" i="176"/>
  <c r="G143" i="55"/>
  <c r="G169" i="39"/>
  <c r="G157" i="71"/>
  <c r="G125" i="46"/>
  <c r="G142" i="174"/>
  <c r="G141" i="54"/>
  <c r="G114" i="118"/>
  <c r="G205" i="103"/>
  <c r="G115" i="87"/>
  <c r="G108" i="10"/>
  <c r="G232" i="14"/>
  <c r="G149" i="39"/>
  <c r="G16" i="47"/>
  <c r="G55" i="164"/>
  <c r="G126" i="94"/>
  <c r="G19" i="94"/>
  <c r="G89" i="103"/>
  <c r="G142" i="47"/>
  <c r="G191" i="174"/>
  <c r="G97" i="66"/>
  <c r="G11" i="164"/>
  <c r="G114" i="54"/>
  <c r="G100" i="60"/>
  <c r="G55" i="118"/>
  <c r="G72" i="14"/>
  <c r="G45" i="14"/>
  <c r="G132" i="55"/>
  <c r="G16" i="55"/>
  <c r="G137" i="165"/>
  <c r="G181" i="16"/>
  <c r="G145" i="16"/>
  <c r="G189" i="158"/>
  <c r="G92" i="158"/>
  <c r="G48" i="155"/>
  <c r="G184" i="65"/>
  <c r="G33" i="65"/>
  <c r="G203" i="28"/>
  <c r="G13" i="28"/>
  <c r="G220" i="141"/>
  <c r="G192" i="156"/>
  <c r="G43" i="31"/>
  <c r="G126" i="31"/>
  <c r="G226" i="103"/>
  <c r="G186" i="10"/>
  <c r="G194" i="86"/>
  <c r="G222" i="14"/>
  <c r="G53" i="165"/>
  <c r="G60" i="47"/>
  <c r="G85" i="118"/>
  <c r="G137" i="83"/>
  <c r="G70" i="176"/>
  <c r="G151" i="66"/>
  <c r="G39" i="94"/>
  <c r="G127" i="10"/>
  <c r="G231" i="71"/>
  <c r="E235" i="71"/>
  <c r="G115" i="68"/>
  <c r="G78" i="54"/>
  <c r="G164" i="14"/>
  <c r="G124" i="14"/>
  <c r="G45" i="28"/>
  <c r="G105" i="58"/>
  <c r="G179" i="142"/>
  <c r="G37" i="150"/>
  <c r="G82" i="49"/>
  <c r="G164" i="32"/>
  <c r="E111" i="69"/>
  <c r="G98" i="83"/>
  <c r="G64" i="42"/>
  <c r="G48" i="90"/>
  <c r="G72" i="64"/>
  <c r="G17" i="32"/>
  <c r="G189" i="16"/>
  <c r="G86" i="68"/>
  <c r="G145" i="106"/>
  <c r="G58" i="176"/>
  <c r="G174" i="90"/>
  <c r="G56" i="31"/>
  <c r="G64" i="174"/>
  <c r="G52" i="155"/>
  <c r="G147" i="174"/>
  <c r="G25" i="42"/>
  <c r="G17" i="157"/>
  <c r="G87" i="155"/>
  <c r="G39" i="175"/>
  <c r="G133" i="156"/>
  <c r="G77" i="155"/>
  <c r="G226" i="145"/>
  <c r="G47" i="31"/>
  <c r="G66" i="31"/>
  <c r="G107" i="31"/>
  <c r="G131" i="31"/>
  <c r="G178" i="31"/>
  <c r="G180" i="55"/>
  <c r="G84" i="176"/>
  <c r="G170" i="89"/>
  <c r="G114" i="89"/>
  <c r="G201" i="87"/>
  <c r="G74" i="87"/>
  <c r="G201" i="172"/>
  <c r="G70" i="172"/>
  <c r="G96" i="46"/>
  <c r="G132" i="10"/>
  <c r="G87" i="24"/>
  <c r="G52" i="47"/>
  <c r="G86" i="174"/>
  <c r="G96" i="58"/>
  <c r="G27" i="164"/>
  <c r="G47" i="94"/>
  <c r="G107" i="60"/>
  <c r="G183" i="69"/>
  <c r="G82" i="10"/>
  <c r="G48" i="47"/>
  <c r="G179" i="49"/>
  <c r="G137" i="98"/>
  <c r="G201" i="58"/>
  <c r="G146" i="164"/>
  <c r="G31" i="60"/>
  <c r="G170" i="150"/>
  <c r="G41" i="55"/>
  <c r="G202" i="49"/>
  <c r="G202" i="53"/>
  <c r="G195" i="174"/>
  <c r="G101" i="66"/>
  <c r="G164" i="15"/>
  <c r="G131" i="150"/>
  <c r="G145" i="39"/>
  <c r="G192" i="71"/>
  <c r="G32" i="53"/>
  <c r="G205" i="58"/>
  <c r="G90" i="68"/>
  <c r="G170" i="164"/>
  <c r="G136" i="94"/>
  <c r="G190" i="54"/>
  <c r="G59" i="54"/>
  <c r="G157" i="14"/>
  <c r="G116" i="14"/>
  <c r="G98" i="14"/>
  <c r="G13" i="14"/>
  <c r="G40" i="55"/>
  <c r="G50" i="16"/>
  <c r="G34" i="16"/>
  <c r="G14" i="16"/>
  <c r="G145" i="158"/>
  <c r="G86" i="155"/>
  <c r="G180" i="65"/>
  <c r="G76" i="65"/>
  <c r="G196" i="28"/>
  <c r="G41" i="28"/>
  <c r="E206" i="174"/>
  <c r="G59" i="31"/>
  <c r="G16" i="1"/>
  <c r="G91" i="55"/>
  <c r="G114" i="142"/>
  <c r="G205" i="172"/>
  <c r="G126" i="172"/>
  <c r="G174" i="176"/>
  <c r="G152" i="55"/>
  <c r="G202" i="69"/>
  <c r="G82" i="68"/>
  <c r="G178" i="164"/>
  <c r="G146" i="150"/>
  <c r="G195" i="98"/>
  <c r="G82" i="69"/>
  <c r="G75" i="68"/>
  <c r="G141" i="164"/>
  <c r="G90" i="98"/>
  <c r="G28" i="66"/>
  <c r="G186" i="60"/>
  <c r="G202" i="55"/>
  <c r="G48" i="55"/>
  <c r="G54" i="16"/>
  <c r="E228" i="42"/>
  <c r="E21" i="175"/>
  <c r="E228" i="174"/>
  <c r="G43" i="143"/>
  <c r="G130" i="28"/>
  <c r="G109" i="104"/>
  <c r="E79" i="94"/>
  <c r="G165" i="39"/>
  <c r="E206" i="65"/>
  <c r="G114" i="58"/>
  <c r="G195" i="84"/>
  <c r="G37" i="155"/>
  <c r="G141" i="175"/>
  <c r="G168" i="14"/>
  <c r="G11" i="157"/>
  <c r="G201" i="104"/>
  <c r="G219" i="86"/>
  <c r="G227" i="143"/>
  <c r="G69" i="14"/>
  <c r="G64" i="55"/>
  <c r="G125" i="176"/>
  <c r="G166" i="50"/>
  <c r="G118" i="50"/>
  <c r="G166" i="1"/>
  <c r="G74" i="1"/>
  <c r="G190" i="92"/>
  <c r="G146" i="92"/>
  <c r="G126" i="92"/>
  <c r="G43" i="89"/>
  <c r="G182" i="10"/>
  <c r="G158" i="176"/>
  <c r="G194" i="172"/>
  <c r="G146" i="172"/>
  <c r="G51" i="172"/>
  <c r="G226" i="87"/>
  <c r="G172" i="71"/>
  <c r="G76" i="71"/>
  <c r="G232" i="106"/>
  <c r="G191" i="83"/>
  <c r="G191" i="49"/>
  <c r="G142" i="98"/>
  <c r="G90" i="66"/>
  <c r="G176" i="15"/>
  <c r="G31" i="94"/>
  <c r="G39" i="176"/>
  <c r="G220" i="55"/>
  <c r="G220" i="157"/>
  <c r="G153" i="39"/>
  <c r="G148" i="71"/>
  <c r="G13" i="71"/>
  <c r="G114" i="46"/>
  <c r="G183" i="174"/>
  <c r="G127" i="174"/>
  <c r="G190" i="94"/>
  <c r="G11" i="60"/>
  <c r="G175" i="63"/>
  <c r="G27" i="150"/>
  <c r="G47" i="176"/>
  <c r="G226" i="133"/>
  <c r="G37" i="71"/>
  <c r="G107" i="46"/>
  <c r="G202" i="83"/>
  <c r="G167" i="98"/>
  <c r="G118" i="164"/>
  <c r="G47" i="164"/>
  <c r="G201" i="94"/>
  <c r="G66" i="94"/>
  <c r="G78" i="118"/>
  <c r="G70" i="103"/>
  <c r="G78" i="176"/>
  <c r="G77" i="14"/>
  <c r="G226" i="46"/>
  <c r="G44" i="47"/>
  <c r="G151" i="83"/>
  <c r="G175" i="174"/>
  <c r="G156" i="66"/>
  <c r="G82" i="66"/>
  <c r="G202" i="68"/>
  <c r="G186" i="94"/>
  <c r="G55" i="60"/>
  <c r="G39" i="118"/>
  <c r="G227" i="55"/>
  <c r="G127" i="55"/>
  <c r="G71" i="165"/>
  <c r="G204" i="16"/>
  <c r="G158" i="16"/>
  <c r="G110" i="16"/>
  <c r="G30" i="16"/>
  <c r="G54" i="158"/>
  <c r="G44" i="155"/>
  <c r="G220" i="24"/>
  <c r="G156" i="149"/>
  <c r="G133" i="149"/>
  <c r="G171" i="149"/>
  <c r="G190" i="149"/>
  <c r="G170" i="149"/>
  <c r="G126" i="149"/>
  <c r="G33" i="149"/>
  <c r="G115" i="149"/>
  <c r="G195" i="149"/>
  <c r="G42" i="149"/>
  <c r="G90" i="149"/>
  <c r="G101" i="149"/>
  <c r="G43" i="149"/>
  <c r="G123" i="149"/>
  <c r="G141" i="149"/>
  <c r="G132" i="149"/>
  <c r="G182" i="149"/>
  <c r="G175" i="149"/>
  <c r="G131" i="149"/>
  <c r="G156" i="27"/>
  <c r="G106" i="27"/>
  <c r="G115" i="27"/>
  <c r="G116" i="27"/>
  <c r="G227" i="27"/>
  <c r="G201" i="27"/>
  <c r="G123" i="27"/>
  <c r="G183" i="27"/>
  <c r="G169" i="27"/>
  <c r="G160" i="27"/>
  <c r="G89" i="27"/>
  <c r="G97" i="27"/>
  <c r="G127" i="27"/>
  <c r="G194" i="27"/>
  <c r="G71" i="27"/>
  <c r="G44" i="27"/>
  <c r="G90" i="27"/>
  <c r="G157" i="62"/>
  <c r="G106" i="62"/>
  <c r="G193" i="62"/>
  <c r="G66" i="62"/>
  <c r="G117" i="62"/>
  <c r="G75" i="62"/>
  <c r="G52" i="62"/>
  <c r="G180" i="62"/>
  <c r="G131" i="62"/>
  <c r="G189" i="62"/>
  <c r="G159" i="62"/>
  <c r="G186" i="62"/>
  <c r="G19" i="177"/>
  <c r="G193" i="177"/>
  <c r="G14" i="177"/>
  <c r="G192" i="177"/>
  <c r="G170" i="177"/>
  <c r="G54" i="177"/>
  <c r="G221" i="177"/>
  <c r="G15" i="177"/>
  <c r="G77" i="177"/>
  <c r="G130" i="177"/>
  <c r="G131" i="177"/>
  <c r="G186" i="177"/>
  <c r="G205" i="177"/>
  <c r="G106" i="68"/>
  <c r="G224" i="62"/>
  <c r="G151" i="25"/>
  <c r="G226" i="89"/>
  <c r="G20" i="10"/>
  <c r="G20" i="14"/>
  <c r="G50" i="38"/>
  <c r="G18" i="68"/>
  <c r="G146" i="27"/>
  <c r="G116" i="156"/>
  <c r="G43" i="24"/>
  <c r="G78" i="25"/>
  <c r="G15" i="92"/>
  <c r="G159" i="45"/>
  <c r="G118" i="45"/>
  <c r="G55" i="45"/>
  <c r="G91" i="65"/>
  <c r="G87" i="28"/>
  <c r="G84" i="45"/>
  <c r="G42" i="15"/>
  <c r="G83" i="45"/>
  <c r="G42" i="83"/>
  <c r="G28" i="1"/>
  <c r="G184" i="119"/>
  <c r="G110" i="150"/>
  <c r="G183" i="156"/>
  <c r="G129" i="119"/>
  <c r="G219" i="152"/>
  <c r="G147" i="152"/>
  <c r="G179" i="155"/>
  <c r="G175" i="156"/>
  <c r="G168" i="119"/>
  <c r="G45" i="64"/>
  <c r="G33" i="141"/>
  <c r="G14" i="24"/>
  <c r="G219" i="120"/>
  <c r="G109" i="175"/>
  <c r="G45" i="175"/>
  <c r="G191" i="43"/>
  <c r="G184" i="104"/>
  <c r="G53" i="104"/>
  <c r="G49" i="119"/>
  <c r="G129" i="24"/>
  <c r="G106" i="90"/>
  <c r="G54" i="90"/>
  <c r="G48" i="133"/>
  <c r="G75" i="43"/>
  <c r="G42" i="106"/>
  <c r="G44" i="46"/>
  <c r="G66" i="15"/>
  <c r="G48" i="103"/>
  <c r="G157" i="119"/>
  <c r="G91" i="32"/>
  <c r="G87" i="141"/>
  <c r="G90" i="46"/>
  <c r="G136" i="143"/>
  <c r="E93" i="141"/>
  <c r="G43" i="95"/>
  <c r="E206" i="176"/>
  <c r="G39" i="89"/>
  <c r="G108" i="63"/>
  <c r="G84" i="27"/>
  <c r="G168" i="156"/>
  <c r="G171" i="177"/>
  <c r="G74" i="106"/>
  <c r="G74" i="25"/>
  <c r="G71" i="65"/>
  <c r="G78" i="142"/>
  <c r="G39" i="90"/>
  <c r="G194" i="45"/>
  <c r="G155" i="45"/>
  <c r="G100" i="45"/>
  <c r="G51" i="45"/>
  <c r="G156" i="55"/>
  <c r="G64" i="65"/>
  <c r="G49" i="28"/>
  <c r="G91" i="149"/>
  <c r="G223" i="98"/>
  <c r="G101" i="156"/>
  <c r="G37" i="42"/>
  <c r="G60" i="156"/>
  <c r="G37" i="25"/>
  <c r="G87" i="64"/>
  <c r="G172" i="141"/>
  <c r="G156" i="120"/>
  <c r="G195" i="152"/>
  <c r="G127" i="152"/>
  <c r="G187" i="43"/>
  <c r="G82" i="43"/>
  <c r="G152" i="104"/>
  <c r="G177" i="15"/>
  <c r="G138" i="104"/>
  <c r="G180" i="42"/>
  <c r="G227" i="155"/>
  <c r="G180" i="64"/>
  <c r="G196" i="141"/>
  <c r="G138" i="141"/>
  <c r="G227" i="133"/>
  <c r="G223" i="84"/>
  <c r="G36" i="46"/>
  <c r="G77" i="150"/>
  <c r="G105" i="155"/>
  <c r="G33" i="25"/>
  <c r="G29" i="119"/>
  <c r="G164" i="64"/>
  <c r="G192" i="141"/>
  <c r="G108" i="120"/>
  <c r="G40" i="133"/>
  <c r="G185" i="84"/>
  <c r="G91" i="175"/>
  <c r="G145" i="15"/>
  <c r="G53" i="42"/>
  <c r="G191" i="156"/>
  <c r="G148" i="155"/>
  <c r="G53" i="155"/>
  <c r="G37" i="119"/>
  <c r="G138" i="24"/>
  <c r="G105" i="175"/>
  <c r="G25" i="175"/>
  <c r="G73" i="106"/>
  <c r="G125" i="15"/>
  <c r="G141" i="177"/>
  <c r="G221" i="53"/>
  <c r="G105" i="119"/>
  <c r="G184" i="89"/>
  <c r="G150" i="31"/>
  <c r="G25" i="90"/>
  <c r="G153" i="178"/>
  <c r="G86" i="89"/>
  <c r="G117" i="15"/>
  <c r="G91" i="1"/>
  <c r="G109" i="39"/>
  <c r="E235" i="98"/>
  <c r="E237" i="98" s="1"/>
  <c r="G33" i="19"/>
  <c r="G39" i="95"/>
  <c r="G148" i="16"/>
  <c r="G82" i="31"/>
  <c r="G35" i="119"/>
  <c r="G72" i="106"/>
  <c r="G72" i="58"/>
  <c r="G91" i="83"/>
  <c r="G36" i="95"/>
  <c r="E111" i="45"/>
  <c r="G193" i="90"/>
  <c r="G76" i="64"/>
  <c r="G15" i="133"/>
  <c r="G56" i="156"/>
  <c r="G205" i="27"/>
  <c r="G31" i="27"/>
  <c r="G42" i="157"/>
  <c r="G58" i="42"/>
  <c r="G16" i="53"/>
  <c r="G195" i="69"/>
  <c r="G46" i="65"/>
  <c r="G86" i="25"/>
  <c r="G194" i="90"/>
  <c r="G73" i="152"/>
  <c r="G37" i="27"/>
  <c r="G36" i="119"/>
  <c r="G151" i="49"/>
  <c r="G39" i="58"/>
  <c r="G181" i="19"/>
  <c r="G84" i="42"/>
  <c r="G175" i="25"/>
  <c r="G56" i="69"/>
  <c r="G137" i="120"/>
  <c r="G36" i="60"/>
  <c r="G40" i="38"/>
  <c r="G54" i="53"/>
  <c r="G192" i="104"/>
  <c r="G77" i="38"/>
  <c r="G44" i="54"/>
  <c r="G74" i="31"/>
  <c r="G39" i="25"/>
  <c r="G11" i="158"/>
  <c r="G182" i="45"/>
  <c r="G141" i="45"/>
  <c r="G74" i="45"/>
  <c r="G39" i="45"/>
  <c r="G28" i="55"/>
  <c r="G164" i="65"/>
  <c r="G13" i="65"/>
  <c r="G72" i="43"/>
  <c r="G98" i="46"/>
  <c r="G221" i="69"/>
  <c r="G149" i="83"/>
  <c r="G191" i="92"/>
  <c r="G219" i="60"/>
  <c r="G179" i="43"/>
  <c r="G115" i="156"/>
  <c r="G164" i="119"/>
  <c r="G124" i="64"/>
  <c r="G29" i="141"/>
  <c r="G82" i="46"/>
  <c r="G90" i="156"/>
  <c r="G196" i="25"/>
  <c r="G220" i="119"/>
  <c r="G83" i="141"/>
  <c r="G176" i="24"/>
  <c r="G36" i="120"/>
  <c r="G173" i="84"/>
  <c r="G72" i="175"/>
  <c r="G17" i="175"/>
  <c r="G56" i="43"/>
  <c r="G91" i="104"/>
  <c r="G204" i="106"/>
  <c r="G142" i="46"/>
  <c r="G26" i="150"/>
  <c r="G86" i="156"/>
  <c r="G143" i="155"/>
  <c r="G196" i="24"/>
  <c r="G169" i="90"/>
  <c r="G77" i="90"/>
  <c r="G26" i="90"/>
  <c r="G147" i="133"/>
  <c r="G29" i="175"/>
  <c r="G123" i="43"/>
  <c r="G231" i="104"/>
  <c r="E235" i="104"/>
  <c r="G68" i="104"/>
  <c r="G173" i="15"/>
  <c r="G13" i="42"/>
  <c r="G109" i="119"/>
  <c r="G176" i="141"/>
  <c r="G40" i="152"/>
  <c r="G165" i="84"/>
  <c r="G25" i="104"/>
  <c r="G191" i="46"/>
  <c r="G59" i="58"/>
  <c r="G135" i="28"/>
  <c r="G88" i="16"/>
  <c r="G140" i="106"/>
  <c r="G202" i="54"/>
  <c r="G11" i="69"/>
  <c r="G205" i="47"/>
  <c r="G59" i="1"/>
  <c r="G67" i="143"/>
  <c r="G85" i="90"/>
  <c r="G50" i="150"/>
  <c r="G37" i="157"/>
  <c r="G29" i="149"/>
  <c r="G140" i="42"/>
  <c r="E228" i="177"/>
  <c r="G52" i="98"/>
  <c r="G167" i="133"/>
  <c r="G142" i="1"/>
  <c r="G101" i="25"/>
  <c r="G89" i="177"/>
  <c r="E93" i="149"/>
  <c r="G33" i="24"/>
  <c r="G34" i="152"/>
  <c r="G160" i="84"/>
  <c r="G90" i="84"/>
  <c r="K14" i="1"/>
  <c r="G200" i="42"/>
  <c r="G204" i="64"/>
  <c r="G27" i="143"/>
  <c r="G130" i="38"/>
  <c r="G200" i="106"/>
  <c r="G191" i="145"/>
  <c r="G98" i="66"/>
  <c r="G34" i="38"/>
  <c r="G169" i="178"/>
  <c r="G60" i="19"/>
  <c r="G169" i="106"/>
  <c r="G138" i="39"/>
  <c r="G227" i="46"/>
  <c r="E102" i="27"/>
  <c r="G20" i="142"/>
  <c r="G55" i="69"/>
  <c r="G53" i="119"/>
  <c r="G224" i="95"/>
  <c r="G33" i="46"/>
  <c r="G67" i="95"/>
  <c r="G91" i="42"/>
  <c r="G172" i="42"/>
  <c r="G73" i="65"/>
  <c r="G82" i="150"/>
  <c r="G27" i="158"/>
  <c r="G180" i="150"/>
  <c r="G118" i="177"/>
  <c r="G78" i="27"/>
  <c r="G169" i="133"/>
  <c r="G66" i="25"/>
  <c r="G190" i="45"/>
  <c r="G150" i="45"/>
  <c r="G85" i="45"/>
  <c r="G47" i="45"/>
  <c r="G73" i="158"/>
  <c r="G225" i="165"/>
  <c r="G37" i="149"/>
  <c r="G12" i="1"/>
  <c r="G160" i="156"/>
  <c r="G69" i="150"/>
  <c r="G184" i="42"/>
  <c r="G132" i="156"/>
  <c r="G41" i="119"/>
  <c r="G143" i="64"/>
  <c r="G195" i="46"/>
  <c r="G40" i="46"/>
  <c r="G133" i="42"/>
  <c r="G76" i="42"/>
  <c r="G152" i="119"/>
  <c r="G188" i="24"/>
  <c r="G87" i="175"/>
  <c r="G196" i="42"/>
  <c r="G108" i="156"/>
  <c r="G221" i="24"/>
  <c r="G88" i="90"/>
  <c r="G34" i="90"/>
  <c r="G28" i="46"/>
  <c r="G28" i="103"/>
  <c r="G76" i="104"/>
  <c r="G202" i="47"/>
  <c r="E228" i="24"/>
  <c r="E228" i="10"/>
  <c r="E236" i="10" s="1"/>
  <c r="G116" i="155"/>
  <c r="G186" i="45"/>
  <c r="G146" i="45"/>
  <c r="G78" i="45"/>
  <c r="G43" i="45"/>
  <c r="G36" i="55"/>
  <c r="G29" i="65"/>
  <c r="G33" i="28"/>
  <c r="G148" i="43"/>
  <c r="G30" i="158"/>
  <c r="G107" i="155"/>
  <c r="G64" i="149"/>
  <c r="G105" i="42"/>
  <c r="G67" i="103"/>
  <c r="G168" i="42"/>
  <c r="G48" i="156"/>
  <c r="G98" i="119"/>
  <c r="G232" i="28"/>
  <c r="G157" i="141"/>
  <c r="G18" i="90"/>
  <c r="G127" i="43"/>
  <c r="G188" i="104"/>
  <c r="G223" i="106"/>
  <c r="G129" i="64"/>
  <c r="G84" i="90"/>
  <c r="G127" i="120"/>
  <c r="G191" i="133"/>
  <c r="G76" i="155"/>
  <c r="G180" i="141"/>
  <c r="G20" i="152"/>
  <c r="G20" i="133"/>
  <c r="G169" i="84"/>
  <c r="G130" i="15"/>
  <c r="G164" i="42"/>
  <c r="G33" i="42"/>
  <c r="G153" i="90"/>
  <c r="G32" i="133"/>
  <c r="G67" i="43"/>
  <c r="G180" i="104"/>
  <c r="G219" i="46"/>
  <c r="E102" i="31"/>
  <c r="G114" i="177"/>
  <c r="G11" i="39"/>
  <c r="G86" i="84"/>
  <c r="E79" i="55"/>
  <c r="G142" i="133"/>
  <c r="G188" i="25"/>
  <c r="G196" i="156"/>
  <c r="G126" i="119"/>
  <c r="G178" i="45"/>
  <c r="G136" i="45"/>
  <c r="G70" i="45"/>
  <c r="G35" i="45"/>
  <c r="G12" i="165"/>
  <c r="G152" i="65"/>
  <c r="G148" i="28"/>
  <c r="G17" i="43"/>
  <c r="G130" i="47"/>
  <c r="G158" i="158"/>
  <c r="G36" i="152"/>
  <c r="G89" i="155"/>
  <c r="G57" i="149"/>
  <c r="G26" i="83"/>
  <c r="G54" i="106"/>
  <c r="G203" i="141"/>
  <c r="G33" i="175"/>
  <c r="G176" i="104"/>
  <c r="G71" i="46"/>
  <c r="G135" i="15"/>
  <c r="G183" i="19"/>
  <c r="G13" i="119"/>
  <c r="G168" i="141"/>
  <c r="G58" i="90"/>
  <c r="G202" i="152"/>
  <c r="G223" i="150"/>
  <c r="G176" i="42"/>
  <c r="G45" i="42"/>
  <c r="G64" i="119"/>
  <c r="G133" i="64"/>
  <c r="G29" i="32"/>
  <c r="G133" i="141"/>
  <c r="G77" i="106"/>
  <c r="G14" i="106"/>
  <c r="G127" i="156"/>
  <c r="G18" i="24"/>
  <c r="G183" i="43"/>
  <c r="G48" i="46"/>
  <c r="G60" i="103"/>
  <c r="E206" i="42"/>
  <c r="G204" i="156"/>
  <c r="E93" i="10"/>
  <c r="E228" i="158"/>
  <c r="G14" i="45"/>
  <c r="E93" i="158"/>
  <c r="G28" i="86"/>
  <c r="G166" i="25"/>
  <c r="G55" i="1"/>
  <c r="G174" i="45"/>
  <c r="G131" i="45"/>
  <c r="G66" i="45"/>
  <c r="G31" i="45"/>
  <c r="G173" i="27"/>
  <c r="G117" i="47"/>
  <c r="G53" i="149"/>
  <c r="G65" i="83"/>
  <c r="G49" i="42"/>
  <c r="G195" i="156"/>
  <c r="G83" i="155"/>
  <c r="G86" i="120"/>
  <c r="G156" i="152"/>
  <c r="G192" i="24"/>
  <c r="G176" i="119"/>
  <c r="G183" i="133"/>
  <c r="G90" i="133"/>
  <c r="G200" i="71"/>
  <c r="G125" i="84"/>
  <c r="G72" i="104"/>
  <c r="G129" i="155"/>
  <c r="G168" i="24"/>
  <c r="G145" i="90"/>
  <c r="G224" i="39"/>
  <c r="G58" i="106"/>
  <c r="G56" i="46"/>
  <c r="G56" i="103"/>
  <c r="G180" i="119"/>
  <c r="G57" i="119"/>
  <c r="G110" i="28"/>
  <c r="G143" i="141"/>
  <c r="G101" i="152"/>
  <c r="G205" i="39"/>
  <c r="G117" i="106"/>
  <c r="G147" i="46"/>
  <c r="E206" i="27"/>
  <c r="E119" i="165"/>
  <c r="G46" i="42"/>
  <c r="G96" i="25"/>
  <c r="G96" i="119"/>
  <c r="G170" i="45"/>
  <c r="G126" i="45"/>
  <c r="G59" i="45"/>
  <c r="G133" i="90"/>
  <c r="G77" i="47"/>
  <c r="G41" i="149"/>
  <c r="G14" i="83"/>
  <c r="G227" i="164"/>
  <c r="G13" i="155"/>
  <c r="G184" i="141"/>
  <c r="G129" i="141"/>
  <c r="G44" i="152"/>
  <c r="G156" i="133"/>
  <c r="G204" i="84"/>
  <c r="G196" i="175"/>
  <c r="G13" i="175"/>
  <c r="G90" i="43"/>
  <c r="G106" i="106"/>
  <c r="G195" i="47"/>
  <c r="G157" i="42"/>
  <c r="G74" i="15"/>
  <c r="G152" i="141"/>
  <c r="G171" i="156"/>
  <c r="G29" i="42"/>
  <c r="G41" i="155"/>
  <c r="G172" i="64"/>
  <c r="G91" i="64"/>
  <c r="G221" i="141"/>
  <c r="G195" i="133"/>
  <c r="G222" i="45"/>
  <c r="G158" i="15"/>
  <c r="G72" i="42"/>
  <c r="G219" i="156"/>
  <c r="G72" i="155"/>
  <c r="G180" i="24"/>
  <c r="G222" i="90"/>
  <c r="G32" i="46"/>
  <c r="G141" i="178"/>
  <c r="G77" i="71"/>
  <c r="K15" i="165"/>
  <c r="G157" i="49"/>
  <c r="G191" i="84"/>
  <c r="G205" i="175"/>
  <c r="G106" i="46"/>
  <c r="G138" i="49"/>
  <c r="G129" i="27"/>
  <c r="G82" i="157"/>
  <c r="G75" i="174"/>
  <c r="G153" i="58"/>
  <c r="G73" i="49"/>
  <c r="G11" i="92"/>
  <c r="G78" i="89"/>
  <c r="G99" i="45"/>
  <c r="G66" i="149"/>
  <c r="G72" i="90"/>
  <c r="G225" i="39"/>
  <c r="E228" i="39"/>
  <c r="G157" i="165"/>
  <c r="G221" i="157"/>
  <c r="G173" i="42"/>
  <c r="G135" i="24"/>
  <c r="G138" i="120"/>
  <c r="G179" i="87"/>
  <c r="G108" i="69"/>
  <c r="G148" i="24"/>
  <c r="G43" i="27"/>
  <c r="E197" i="54"/>
  <c r="G170" i="103"/>
  <c r="G224" i="156"/>
  <c r="G227" i="84"/>
  <c r="G17" i="58"/>
  <c r="G129" i="68"/>
  <c r="G52" i="92"/>
  <c r="G86" i="106"/>
  <c r="G19" i="66"/>
  <c r="G178" i="118"/>
  <c r="G90" i="53"/>
  <c r="G159" i="174"/>
  <c r="G32" i="25"/>
  <c r="G165" i="28"/>
  <c r="G222" i="64"/>
  <c r="G66" i="87"/>
  <c r="G71" i="28"/>
  <c r="G77" i="49"/>
  <c r="G27" i="15"/>
  <c r="G58" i="38"/>
  <c r="G156" i="106"/>
  <c r="G84" i="145"/>
  <c r="G164" i="175"/>
  <c r="G25" i="120"/>
  <c r="G106" i="71"/>
  <c r="G153" i="45"/>
  <c r="G92" i="45"/>
  <c r="G30" i="45"/>
  <c r="G142" i="87"/>
  <c r="G59" i="42"/>
  <c r="G125" i="54"/>
  <c r="E111" i="42"/>
  <c r="G32" i="89"/>
  <c r="G12" i="87"/>
  <c r="E79" i="1"/>
  <c r="G98" i="62"/>
  <c r="G72" i="31"/>
  <c r="G221" i="106"/>
  <c r="G86" i="150"/>
  <c r="G135" i="156"/>
  <c r="G194" i="155"/>
  <c r="G145" i="28"/>
  <c r="G38" i="49"/>
  <c r="G135" i="38"/>
  <c r="G219" i="84"/>
  <c r="G118" i="175"/>
  <c r="G100" i="175"/>
  <c r="G150" i="104"/>
  <c r="G66" i="104"/>
  <c r="G15" i="104"/>
  <c r="G183" i="106"/>
  <c r="G108" i="106"/>
  <c r="G20" i="106"/>
  <c r="G223" i="47"/>
  <c r="G167" i="47"/>
  <c r="E235" i="66"/>
  <c r="G231" i="66"/>
  <c r="G222" i="103"/>
  <c r="G225" i="89"/>
  <c r="G50" i="46"/>
  <c r="G39" i="104"/>
  <c r="G157" i="89"/>
  <c r="G101" i="177"/>
  <c r="G107" i="87"/>
  <c r="G45" i="149"/>
  <c r="G172" i="90"/>
  <c r="G196" i="152"/>
  <c r="G169" i="45"/>
  <c r="G149" i="42"/>
  <c r="G83" i="156"/>
  <c r="G105" i="39"/>
  <c r="E206" i="66"/>
  <c r="G30" i="89"/>
  <c r="G55" i="54"/>
  <c r="G231" i="25"/>
  <c r="K14" i="25" s="1"/>
  <c r="E235" i="25"/>
  <c r="G60" i="150"/>
  <c r="G73" i="45"/>
  <c r="G110" i="14"/>
  <c r="G189" i="45"/>
  <c r="G182" i="90"/>
  <c r="G51" i="90"/>
  <c r="G91" i="120"/>
  <c r="G15" i="38"/>
  <c r="G70" i="90"/>
  <c r="E161" i="157"/>
  <c r="G191" i="178"/>
  <c r="G185" i="145"/>
  <c r="G36" i="28"/>
  <c r="G90" i="86"/>
  <c r="G84" i="89"/>
  <c r="G143" i="177"/>
  <c r="G39" i="39"/>
  <c r="G55" i="58"/>
  <c r="G165" i="62"/>
  <c r="G115" i="177"/>
  <c r="G57" i="32"/>
  <c r="G155" i="143"/>
  <c r="G191" i="143"/>
  <c r="G221" i="27"/>
  <c r="G18" i="157"/>
  <c r="G57" i="152"/>
  <c r="G36" i="38"/>
  <c r="G67" i="49"/>
  <c r="G159" i="156"/>
  <c r="G189" i="66"/>
  <c r="G171" i="71"/>
  <c r="G55" i="158"/>
  <c r="G132" i="25"/>
  <c r="G20" i="25"/>
  <c r="G156" i="119"/>
  <c r="G16" i="119"/>
  <c r="G92" i="28"/>
  <c r="G235" i="156"/>
  <c r="K14" i="156"/>
  <c r="G184" i="53"/>
  <c r="G98" i="150"/>
  <c r="G40" i="142"/>
  <c r="G123" i="89"/>
  <c r="E119" i="27"/>
  <c r="G92" i="43"/>
  <c r="G56" i="92"/>
  <c r="G27" i="175"/>
  <c r="G34" i="46"/>
  <c r="G32" i="83"/>
  <c r="E111" i="46"/>
  <c r="G57" i="16"/>
  <c r="G131" i="39"/>
  <c r="G34" i="45"/>
  <c r="G17" i="24"/>
  <c r="G101" i="120"/>
  <c r="G116" i="157"/>
  <c r="G130" i="42"/>
  <c r="G165" i="24"/>
  <c r="G168" i="120"/>
  <c r="G177" i="133"/>
  <c r="G140" i="133"/>
  <c r="G99" i="133"/>
  <c r="G224" i="38"/>
  <c r="G15" i="149"/>
  <c r="G41" i="27"/>
  <c r="G20" i="71"/>
  <c r="G141" i="42"/>
  <c r="G170" i="118"/>
  <c r="G185" i="65"/>
  <c r="G127" i="94"/>
  <c r="G35" i="157"/>
  <c r="G222" i="54"/>
  <c r="G18" i="71"/>
  <c r="G168" i="43"/>
  <c r="G105" i="165"/>
  <c r="G118" i="27"/>
  <c r="G148" i="120"/>
  <c r="G192" i="62"/>
  <c r="G124" i="66"/>
  <c r="G107" i="42"/>
  <c r="G38" i="15"/>
  <c r="E206" i="156"/>
  <c r="E228" i="157"/>
  <c r="G170" i="15"/>
  <c r="G146" i="90"/>
  <c r="G85" i="31"/>
  <c r="G14" i="46"/>
  <c r="G41" i="66"/>
  <c r="G50" i="28"/>
  <c r="G20" i="28"/>
  <c r="G70" i="178"/>
  <c r="G145" i="178"/>
  <c r="G168" i="60"/>
  <c r="G11" i="142"/>
  <c r="E235" i="175"/>
  <c r="G129" i="25"/>
  <c r="E228" i="14"/>
  <c r="G89" i="165"/>
  <c r="G180" i="27"/>
  <c r="G138" i="27"/>
  <c r="G38" i="27"/>
  <c r="G200" i="16"/>
  <c r="G108" i="157"/>
  <c r="G138" i="152"/>
  <c r="E206" i="47"/>
  <c r="G138" i="133"/>
  <c r="E197" i="164"/>
  <c r="G56" i="25"/>
  <c r="E102" i="87"/>
  <c r="G73" i="38"/>
  <c r="G138" i="1"/>
  <c r="G156" i="54"/>
  <c r="G202" i="71"/>
  <c r="G171" i="84"/>
  <c r="G32" i="84"/>
  <c r="G77" i="46"/>
  <c r="G147" i="47"/>
  <c r="G71" i="83"/>
  <c r="G180" i="49"/>
  <c r="G151" i="62"/>
  <c r="G72" i="19"/>
  <c r="G52" i="42"/>
  <c r="G140" i="84"/>
  <c r="G158" i="45"/>
  <c r="G14" i="68"/>
  <c r="G64" i="24"/>
  <c r="G175" i="120"/>
  <c r="G131" i="84"/>
  <c r="G96" i="106"/>
  <c r="G190" i="27"/>
  <c r="G43" i="90"/>
  <c r="G109" i="120"/>
  <c r="G177" i="152"/>
  <c r="G200" i="133"/>
  <c r="G76" i="39"/>
  <c r="G57" i="27"/>
  <c r="G141" i="141"/>
  <c r="G73" i="42"/>
  <c r="G160" i="157"/>
  <c r="G115" i="19"/>
  <c r="G84" i="84"/>
  <c r="G169" i="46"/>
  <c r="G72" i="62"/>
  <c r="G179" i="119"/>
  <c r="G173" i="145"/>
  <c r="G58" i="83"/>
  <c r="G140" i="45"/>
  <c r="G83" i="149"/>
  <c r="G42" i="133"/>
  <c r="G164" i="55"/>
  <c r="G53" i="24"/>
  <c r="G45" i="43"/>
  <c r="G42" i="45"/>
  <c r="G13" i="165"/>
  <c r="G47" i="27"/>
  <c r="G203" i="157"/>
  <c r="G176" i="157"/>
  <c r="G109" i="157"/>
  <c r="G34" i="42"/>
  <c r="G130" i="24"/>
  <c r="G100" i="90"/>
  <c r="G27" i="90"/>
  <c r="G145" i="152"/>
  <c r="G88" i="152"/>
  <c r="G53" i="39"/>
  <c r="G109" i="178"/>
  <c r="G178" i="16"/>
  <c r="G68" i="25"/>
  <c r="G43" i="42"/>
  <c r="G109" i="145"/>
  <c r="G34" i="37"/>
  <c r="G92" i="149"/>
  <c r="G65" i="27"/>
  <c r="G34" i="145"/>
  <c r="E228" i="133"/>
  <c r="G53" i="156"/>
  <c r="E161" i="55"/>
  <c r="G72" i="49"/>
  <c r="G166" i="49"/>
  <c r="E111" i="1"/>
  <c r="E111" i="150"/>
  <c r="G15" i="142"/>
  <c r="G72" i="39"/>
  <c r="G55" i="177"/>
  <c r="G151" i="84"/>
  <c r="G105" i="149"/>
  <c r="G18" i="156"/>
  <c r="G108" i="15"/>
  <c r="G51" i="149"/>
  <c r="G196" i="55"/>
  <c r="G33" i="55"/>
  <c r="G72" i="65"/>
  <c r="G193" i="45"/>
  <c r="G50" i="45"/>
  <c r="G180" i="157"/>
  <c r="G152" i="157"/>
  <c r="G54" i="42"/>
  <c r="G55" i="24"/>
  <c r="G11" i="24"/>
  <c r="G186" i="90"/>
  <c r="G170" i="90"/>
  <c r="G55" i="90"/>
  <c r="G18" i="152"/>
  <c r="G150" i="175"/>
  <c r="G107" i="175"/>
  <c r="G89" i="175"/>
  <c r="G155" i="104"/>
  <c r="G51" i="104"/>
  <c r="G226" i="45"/>
  <c r="G190" i="46"/>
  <c r="G159" i="46"/>
  <c r="G219" i="49"/>
  <c r="G149" i="103"/>
  <c r="E93" i="90"/>
  <c r="E21" i="176"/>
  <c r="E206" i="143"/>
  <c r="E119" i="175"/>
  <c r="E228" i="164"/>
  <c r="E161" i="164"/>
  <c r="E79" i="174"/>
  <c r="E93" i="32"/>
  <c r="G88" i="14"/>
  <c r="G235" i="1"/>
  <c r="G149" i="149"/>
  <c r="G17" i="120"/>
  <c r="G200" i="45"/>
  <c r="G145" i="45"/>
  <c r="G88" i="45"/>
  <c r="G32" i="86"/>
  <c r="G224" i="158"/>
  <c r="G166" i="149"/>
  <c r="G59" i="149"/>
  <c r="G227" i="25"/>
  <c r="G25" i="65"/>
  <c r="G143" i="24"/>
  <c r="E235" i="90"/>
  <c r="G231" i="90"/>
  <c r="G109" i="90"/>
  <c r="G41" i="152"/>
  <c r="G188" i="133"/>
  <c r="G74" i="39"/>
  <c r="G114" i="84"/>
  <c r="G105" i="43"/>
  <c r="G41" i="165"/>
  <c r="G85" i="27"/>
  <c r="G59" i="27"/>
  <c r="G27" i="27"/>
  <c r="G204" i="42"/>
  <c r="G169" i="42"/>
  <c r="G145" i="42"/>
  <c r="G176" i="156"/>
  <c r="G72" i="156"/>
  <c r="G45" i="156"/>
  <c r="G153" i="24"/>
  <c r="G47" i="24"/>
  <c r="G205" i="90"/>
  <c r="G114" i="90"/>
  <c r="G72" i="120"/>
  <c r="G189" i="133"/>
  <c r="G135" i="133"/>
  <c r="G88" i="133"/>
  <c r="G129" i="39"/>
  <c r="G57" i="39"/>
  <c r="G191" i="71"/>
  <c r="G167" i="71"/>
  <c r="G187" i="84"/>
  <c r="G101" i="84"/>
  <c r="G28" i="84"/>
  <c r="G70" i="175"/>
  <c r="G15" i="175"/>
  <c r="G142" i="106"/>
  <c r="G99" i="46"/>
  <c r="G46" i="46"/>
  <c r="G30" i="46"/>
  <c r="G137" i="47"/>
  <c r="G48" i="83"/>
  <c r="G133" i="49"/>
  <c r="G173" i="103"/>
  <c r="K14" i="165"/>
  <c r="G75" i="54"/>
  <c r="G49" i="24"/>
  <c r="G87" i="152"/>
  <c r="G181" i="45"/>
  <c r="G114" i="27"/>
  <c r="G65" i="133"/>
  <c r="G116" i="39"/>
  <c r="G101" i="71"/>
  <c r="G20" i="84"/>
  <c r="G66" i="175"/>
  <c r="G132" i="106"/>
  <c r="G82" i="83"/>
  <c r="G152" i="49"/>
  <c r="G191" i="120"/>
  <c r="E79" i="65"/>
  <c r="E111" i="120"/>
  <c r="G27" i="24"/>
  <c r="G26" i="133"/>
  <c r="E206" i="62"/>
  <c r="E206" i="16"/>
  <c r="E111" i="15"/>
  <c r="G11" i="49"/>
  <c r="G86" i="172"/>
  <c r="G185" i="45"/>
  <c r="G125" i="45"/>
  <c r="G58" i="45"/>
  <c r="G40" i="54"/>
  <c r="G130" i="62"/>
  <c r="G220" i="165"/>
  <c r="G220" i="118"/>
  <c r="G224" i="47"/>
  <c r="G99" i="14"/>
  <c r="G87" i="55"/>
  <c r="G129" i="28"/>
  <c r="G135" i="45"/>
  <c r="G69" i="45"/>
  <c r="G174" i="27"/>
  <c r="G74" i="27"/>
  <c r="G35" i="27"/>
  <c r="G105" i="157"/>
  <c r="G65" i="42"/>
  <c r="G125" i="24"/>
  <c r="G70" i="24"/>
  <c r="G178" i="90"/>
  <c r="G50" i="120"/>
  <c r="G181" i="152"/>
  <c r="G46" i="152"/>
  <c r="G30" i="152"/>
  <c r="G114" i="175"/>
  <c r="G166" i="104"/>
  <c r="G59" i="104"/>
  <c r="G179" i="106"/>
  <c r="G101" i="106"/>
  <c r="G16" i="106"/>
  <c r="G224" i="46"/>
  <c r="G136" i="46"/>
  <c r="G157" i="63"/>
  <c r="G140" i="103"/>
  <c r="G130" i="45"/>
  <c r="G72" i="149"/>
  <c r="G98" i="90"/>
  <c r="G168" i="152"/>
  <c r="G26" i="45"/>
  <c r="G196" i="157"/>
  <c r="G201" i="90"/>
  <c r="G185" i="133"/>
  <c r="G87" i="39"/>
  <c r="G179" i="84"/>
  <c r="G88" i="46"/>
  <c r="G65" i="46"/>
  <c r="G204" i="47"/>
  <c r="G40" i="83"/>
  <c r="G192" i="49"/>
  <c r="G165" i="103"/>
  <c r="G164" i="43"/>
  <c r="G74" i="90"/>
  <c r="E21" i="54"/>
  <c r="E197" i="133"/>
  <c r="G190" i="177"/>
  <c r="G58" i="14"/>
  <c r="E21" i="24"/>
  <c r="G14" i="152"/>
  <c r="G38" i="42"/>
  <c r="G193" i="152"/>
  <c r="E102" i="53"/>
  <c r="E119" i="66"/>
  <c r="E235" i="157"/>
  <c r="G27" i="38"/>
  <c r="K14" i="157"/>
  <c r="G164" i="66"/>
  <c r="G35" i="90"/>
  <c r="G196" i="149"/>
  <c r="G173" i="45"/>
  <c r="G110" i="45"/>
  <c r="G46" i="45"/>
  <c r="G225" i="164"/>
  <c r="G99" i="103"/>
  <c r="G136" i="149"/>
  <c r="G138" i="65"/>
  <c r="G72" i="24"/>
  <c r="G76" i="90"/>
  <c r="G220" i="152"/>
  <c r="G180" i="133"/>
  <c r="G64" i="43"/>
  <c r="G29" i="43"/>
  <c r="G166" i="106"/>
  <c r="G204" i="45"/>
  <c r="G76" i="165"/>
  <c r="G136" i="27"/>
  <c r="G153" i="42"/>
  <c r="G157" i="156"/>
  <c r="G66" i="90"/>
  <c r="G143" i="120"/>
  <c r="G223" i="152"/>
  <c r="G223" i="133"/>
  <c r="G58" i="133"/>
  <c r="G83" i="39"/>
  <c r="G175" i="71"/>
  <c r="G127" i="84"/>
  <c r="G36" i="84"/>
  <c r="G101" i="83"/>
  <c r="G227" i="49"/>
  <c r="G45" i="66"/>
  <c r="G185" i="103"/>
  <c r="G158" i="103"/>
  <c r="E228" i="50"/>
  <c r="G65" i="45"/>
  <c r="G108" i="65"/>
  <c r="G69" i="172"/>
  <c r="G31" i="149"/>
  <c r="G184" i="90"/>
  <c r="G29" i="152"/>
  <c r="G78" i="84"/>
  <c r="G223" i="45"/>
  <c r="G181" i="42"/>
  <c r="G124" i="120"/>
  <c r="G125" i="133"/>
  <c r="G203" i="39"/>
  <c r="G187" i="71"/>
  <c r="G132" i="84"/>
  <c r="G56" i="84"/>
  <c r="G160" i="47"/>
  <c r="G171" i="62"/>
  <c r="G189" i="103"/>
  <c r="G12" i="83"/>
  <c r="E93" i="177"/>
  <c r="E79" i="42"/>
  <c r="E93" i="53"/>
  <c r="E111" i="66"/>
  <c r="E61" i="45"/>
  <c r="G191" i="106"/>
  <c r="G19" i="58"/>
  <c r="G192" i="149"/>
  <c r="G25" i="24"/>
  <c r="G165" i="45"/>
  <c r="G106" i="45"/>
  <c r="G38" i="45"/>
  <c r="G49" i="149"/>
  <c r="G74" i="155"/>
  <c r="G55" i="27"/>
  <c r="G16" i="54"/>
  <c r="G168" i="53"/>
  <c r="G38" i="14"/>
  <c r="G37" i="55"/>
  <c r="G85" i="149"/>
  <c r="G64" i="28"/>
  <c r="G15" i="39"/>
  <c r="G224" i="84"/>
  <c r="G184" i="43"/>
  <c r="G177" i="45"/>
  <c r="G117" i="45"/>
  <c r="G54" i="45"/>
  <c r="G18" i="45"/>
  <c r="G184" i="165"/>
  <c r="G66" i="27"/>
  <c r="G184" i="157"/>
  <c r="G157" i="157"/>
  <c r="G57" i="156"/>
  <c r="G145" i="24"/>
  <c r="G66" i="24"/>
  <c r="G126" i="90"/>
  <c r="G59" i="90"/>
  <c r="G76" i="120"/>
  <c r="G204" i="152"/>
  <c r="G42" i="152"/>
  <c r="G64" i="39"/>
  <c r="G174" i="175"/>
  <c r="G136" i="175"/>
  <c r="G200" i="43"/>
  <c r="G159" i="104"/>
  <c r="G55" i="104"/>
  <c r="G31" i="104"/>
  <c r="G194" i="46"/>
  <c r="G170" i="46"/>
  <c r="G200" i="47"/>
  <c r="G142" i="83"/>
  <c r="G143" i="49"/>
  <c r="G92" i="145"/>
  <c r="G130" i="145"/>
  <c r="G205" i="145"/>
  <c r="G33" i="145"/>
  <c r="G106" i="145"/>
  <c r="G140" i="145"/>
  <c r="G136" i="145"/>
  <c r="G148" i="145"/>
  <c r="G59" i="145"/>
  <c r="G55" i="145"/>
  <c r="G117" i="145"/>
  <c r="G18" i="145"/>
  <c r="G182" i="145"/>
  <c r="G172" i="145"/>
  <c r="G11" i="145"/>
  <c r="G225" i="145"/>
  <c r="G105" i="145"/>
  <c r="G189" i="145"/>
  <c r="G145" i="145"/>
  <c r="G227" i="145"/>
  <c r="G19" i="145"/>
  <c r="G35" i="145"/>
  <c r="G52" i="15"/>
  <c r="G147" i="69"/>
  <c r="G101" i="89"/>
  <c r="G105" i="49"/>
  <c r="G64" i="66"/>
  <c r="E206" i="165"/>
  <c r="G108" i="133"/>
  <c r="G184" i="24"/>
  <c r="G221" i="49"/>
  <c r="G18" i="53"/>
  <c r="G39" i="55"/>
  <c r="G11" i="38"/>
  <c r="G89" i="87"/>
  <c r="G42" i="87"/>
  <c r="G67" i="38"/>
  <c r="G117" i="71"/>
  <c r="G73" i="103"/>
  <c r="G182" i="31"/>
  <c r="G12" i="10"/>
  <c r="G12" i="14"/>
  <c r="G15" i="69"/>
  <c r="G70" i="177"/>
  <c r="G149" i="38"/>
  <c r="G194" i="113"/>
  <c r="G130" i="66"/>
  <c r="G97" i="62"/>
  <c r="G166" i="62"/>
  <c r="G223" i="53"/>
  <c r="G88" i="84"/>
  <c r="G70" i="143"/>
  <c r="G165" i="150"/>
  <c r="E21" i="86"/>
  <c r="G123" i="176"/>
  <c r="G32" i="155"/>
  <c r="G78" i="177"/>
  <c r="G114" i="28"/>
  <c r="G143" i="149"/>
  <c r="G84" i="149"/>
  <c r="G47" i="178"/>
  <c r="E102" i="47"/>
  <c r="G105" i="63"/>
  <c r="G73" i="63"/>
  <c r="G16" i="95"/>
  <c r="G31" i="120"/>
  <c r="G224" i="142"/>
  <c r="G42" i="120"/>
  <c r="G100" i="94"/>
  <c r="G35" i="69"/>
  <c r="G140" i="38"/>
  <c r="G141" i="152"/>
  <c r="G123" i="86"/>
  <c r="G127" i="89"/>
  <c r="G57" i="98"/>
  <c r="G118" i="174"/>
  <c r="G51" i="103"/>
  <c r="E79" i="86"/>
  <c r="G190" i="89"/>
  <c r="G159" i="10"/>
  <c r="G142" i="25"/>
  <c r="G190" i="69"/>
  <c r="G85" i="87"/>
  <c r="G39" i="87"/>
  <c r="G87" i="63"/>
  <c r="G75" i="119"/>
  <c r="G52" i="63"/>
  <c r="G11" i="43"/>
  <c r="G17" i="42"/>
  <c r="G91" i="145"/>
  <c r="G100" i="157"/>
  <c r="G89" i="94"/>
  <c r="G20" i="1"/>
  <c r="G124" i="150"/>
  <c r="G28" i="31"/>
  <c r="G75" i="31"/>
  <c r="G132" i="69"/>
  <c r="G71" i="69"/>
  <c r="G226" i="86"/>
  <c r="G20" i="86"/>
  <c r="G106" i="49"/>
  <c r="G220" i="145"/>
  <c r="G49" i="32"/>
  <c r="G225" i="83"/>
  <c r="G58" i="49"/>
  <c r="G73" i="53"/>
  <c r="G167" i="14"/>
  <c r="G70" i="55"/>
  <c r="G35" i="55"/>
  <c r="G105" i="16"/>
  <c r="G68" i="16"/>
  <c r="G224" i="157"/>
  <c r="G44" i="42"/>
  <c r="G186" i="156"/>
  <c r="G226" i="71"/>
  <c r="G190" i="38"/>
  <c r="G43" i="38"/>
  <c r="G27" i="95"/>
  <c r="G114" i="50"/>
  <c r="G51" i="1"/>
  <c r="G11" i="1"/>
  <c r="G59" i="92"/>
  <c r="G27" i="92"/>
  <c r="G85" i="142"/>
  <c r="G27" i="142"/>
  <c r="G150" i="69"/>
  <c r="G182" i="89"/>
  <c r="G47" i="89"/>
  <c r="G27" i="89"/>
  <c r="G136" i="87"/>
  <c r="G131" i="143"/>
  <c r="G47" i="143"/>
  <c r="G31" i="143"/>
  <c r="G59" i="177"/>
  <c r="G181" i="38"/>
  <c r="G224" i="177"/>
  <c r="G33" i="31"/>
  <c r="G177" i="86"/>
  <c r="G182" i="155"/>
  <c r="G131" i="38"/>
  <c r="G52" i="142"/>
  <c r="G97" i="69"/>
  <c r="G191" i="86"/>
  <c r="G155" i="89"/>
  <c r="G96" i="177"/>
  <c r="G100" i="177"/>
  <c r="G137" i="87"/>
  <c r="G172" i="54"/>
  <c r="G148" i="94"/>
  <c r="G49" i="27"/>
  <c r="G20" i="87"/>
  <c r="G16" i="103"/>
  <c r="G66" i="38"/>
  <c r="G11" i="95"/>
  <c r="G39" i="1"/>
  <c r="G70" i="69"/>
  <c r="G51" i="89"/>
  <c r="G114" i="143"/>
  <c r="E206" i="118"/>
  <c r="G50" i="62"/>
  <c r="G32" i="1"/>
  <c r="G48" i="31"/>
  <c r="G86" i="69"/>
  <c r="G97" i="89"/>
  <c r="G60" i="86"/>
  <c r="G40" i="86"/>
  <c r="G48" i="10"/>
  <c r="G48" i="143"/>
  <c r="G31" i="157"/>
  <c r="G69" i="38"/>
  <c r="G155" i="113"/>
  <c r="E79" i="113"/>
  <c r="G193" i="178"/>
  <c r="G166" i="95"/>
  <c r="G48" i="71"/>
  <c r="G90" i="120"/>
  <c r="G123" i="31"/>
  <c r="G17" i="16"/>
  <c r="G13" i="49"/>
  <c r="G114" i="42"/>
  <c r="G92" i="84"/>
  <c r="G167" i="42"/>
  <c r="G221" i="133"/>
  <c r="E228" i="89"/>
  <c r="G114" i="158"/>
  <c r="G37" i="64"/>
  <c r="G201" i="177"/>
  <c r="G167" i="119"/>
  <c r="E119" i="143"/>
  <c r="G67" i="42"/>
  <c r="G39" i="157"/>
  <c r="G56" i="87"/>
  <c r="G89" i="68"/>
  <c r="G51" i="143"/>
  <c r="G25" i="98"/>
  <c r="G191" i="157"/>
  <c r="G38" i="89"/>
  <c r="G173" i="65"/>
  <c r="E197" i="31"/>
  <c r="E228" i="142"/>
  <c r="E119" i="106"/>
  <c r="E93" i="157"/>
  <c r="E228" i="32"/>
  <c r="E93" i="16"/>
  <c r="E119" i="150"/>
  <c r="G183" i="119"/>
  <c r="G182" i="69"/>
  <c r="G78" i="87"/>
  <c r="G35" i="87"/>
  <c r="G42" i="98"/>
  <c r="G160" i="66"/>
  <c r="G138" i="58"/>
  <c r="G101" i="65"/>
  <c r="G126" i="39"/>
  <c r="G83" i="145"/>
  <c r="G89" i="157"/>
  <c r="G110" i="63"/>
  <c r="G100" i="31"/>
  <c r="G187" i="92"/>
  <c r="G86" i="54"/>
  <c r="G89" i="38"/>
  <c r="G52" i="31"/>
  <c r="G12" i="142"/>
  <c r="G167" i="89"/>
  <c r="G115" i="89"/>
  <c r="G175" i="86"/>
  <c r="G156" i="86"/>
  <c r="G101" i="86"/>
  <c r="G56" i="86"/>
  <c r="G187" i="87"/>
  <c r="G123" i="87"/>
  <c r="G44" i="87"/>
  <c r="G123" i="10"/>
  <c r="G71" i="10"/>
  <c r="G44" i="10"/>
  <c r="G226" i="143"/>
  <c r="G138" i="106"/>
  <c r="G220" i="68"/>
  <c r="G87" i="49"/>
  <c r="G224" i="165"/>
  <c r="G27" i="157"/>
  <c r="E235" i="64"/>
  <c r="G231" i="64"/>
  <c r="G235" i="64" s="1"/>
  <c r="G232" i="24"/>
  <c r="G26" i="120"/>
  <c r="G225" i="104"/>
  <c r="G70" i="50"/>
  <c r="G100" i="69"/>
  <c r="G30" i="38"/>
  <c r="G155" i="177"/>
  <c r="G223" i="38"/>
  <c r="G173" i="38"/>
  <c r="G85" i="177"/>
  <c r="G65" i="38"/>
  <c r="G126" i="87"/>
  <c r="G97" i="64"/>
  <c r="G73" i="119"/>
  <c r="G151" i="89"/>
  <c r="G71" i="89"/>
  <c r="G48" i="86"/>
  <c r="G97" i="87"/>
  <c r="G90" i="10"/>
  <c r="G187" i="143"/>
  <c r="G98" i="141"/>
  <c r="G30" i="43"/>
  <c r="G13" i="158"/>
  <c r="G169" i="38"/>
  <c r="E21" i="28"/>
  <c r="G65" i="53"/>
  <c r="G55" i="47"/>
  <c r="G157" i="150"/>
  <c r="G142" i="69"/>
  <c r="G227" i="120"/>
  <c r="G65" i="49"/>
  <c r="G160" i="63"/>
  <c r="G55" i="55"/>
  <c r="G48" i="42"/>
  <c r="G13" i="39"/>
  <c r="G100" i="38"/>
  <c r="G31" i="38"/>
  <c r="G89" i="1"/>
  <c r="G15" i="1"/>
  <c r="G55" i="142"/>
  <c r="G89" i="143"/>
  <c r="G138" i="158"/>
  <c r="K14" i="175"/>
  <c r="E119" i="60"/>
  <c r="G96" i="87"/>
  <c r="G39" i="43"/>
  <c r="G114" i="157"/>
  <c r="G35" i="47"/>
  <c r="G16" i="142"/>
  <c r="G60" i="89"/>
  <c r="G115" i="86"/>
  <c r="G195" i="87"/>
  <c r="G171" i="143"/>
  <c r="G219" i="19"/>
  <c r="G18" i="43"/>
  <c r="G232" i="98"/>
  <c r="G51" i="142"/>
  <c r="G201" i="86"/>
  <c r="G186" i="178"/>
  <c r="G130" i="178"/>
  <c r="G147" i="31"/>
  <c r="G147" i="50"/>
  <c r="E228" i="165"/>
  <c r="G19" i="104"/>
  <c r="G54" i="71"/>
  <c r="G115" i="150"/>
  <c r="E21" i="142"/>
  <c r="G110" i="106"/>
  <c r="E161" i="69"/>
  <c r="G158" i="66"/>
  <c r="G86" i="95"/>
  <c r="G83" i="62"/>
  <c r="E21" i="31"/>
  <c r="E79" i="53"/>
  <c r="E102" i="150"/>
  <c r="G123" i="177"/>
  <c r="G227" i="158"/>
  <c r="G136" i="98"/>
  <c r="G13" i="31"/>
  <c r="G148" i="175"/>
  <c r="G90" i="87"/>
  <c r="G109" i="66"/>
  <c r="G55" i="103"/>
  <c r="G132" i="58"/>
  <c r="G96" i="89"/>
  <c r="G142" i="103"/>
  <c r="E119" i="86"/>
  <c r="G19" i="55"/>
  <c r="E197" i="47"/>
  <c r="G31" i="87"/>
  <c r="G86" i="65"/>
  <c r="G89" i="39"/>
  <c r="G72" i="145"/>
  <c r="G146" i="31"/>
  <c r="G191" i="69"/>
  <c r="G36" i="54"/>
  <c r="G232" i="155"/>
  <c r="G116" i="150"/>
  <c r="G32" i="31"/>
  <c r="G48" i="69"/>
  <c r="G16" i="143"/>
  <c r="G221" i="46"/>
  <c r="G45" i="32"/>
  <c r="G222" i="43"/>
  <c r="G54" i="49"/>
  <c r="G32" i="62"/>
  <c r="G48" i="14"/>
  <c r="G100" i="55"/>
  <c r="G47" i="55"/>
  <c r="G31" i="55"/>
  <c r="G87" i="16"/>
  <c r="G64" i="16"/>
  <c r="G45" i="16"/>
  <c r="G41" i="158"/>
  <c r="G132" i="42"/>
  <c r="G25" i="150"/>
  <c r="G118" i="38"/>
  <c r="G39" i="38"/>
  <c r="G19" i="38"/>
  <c r="G136" i="50"/>
  <c r="G78" i="1"/>
  <c r="G47" i="1"/>
  <c r="G19" i="92"/>
  <c r="G74" i="142"/>
  <c r="G47" i="142"/>
  <c r="G19" i="142"/>
  <c r="G174" i="89"/>
  <c r="G85" i="89"/>
  <c r="G59" i="89"/>
  <c r="G19" i="89"/>
  <c r="G27" i="87"/>
  <c r="G66" i="10"/>
  <c r="G126" i="143"/>
  <c r="G43" i="177"/>
  <c r="G158" i="38"/>
  <c r="G125" i="38"/>
  <c r="G55" i="87"/>
  <c r="G88" i="53"/>
  <c r="G90" i="106"/>
  <c r="G170" i="31"/>
  <c r="G16" i="31"/>
  <c r="G167" i="86"/>
  <c r="G28" i="87"/>
  <c r="G75" i="143"/>
  <c r="G83" i="32"/>
  <c r="G136" i="177"/>
  <c r="G165" i="38"/>
  <c r="G34" i="60"/>
  <c r="G235" i="175"/>
  <c r="E235" i="49"/>
  <c r="G100" i="87"/>
  <c r="G16" i="64"/>
  <c r="G174" i="31"/>
  <c r="G184" i="150"/>
  <c r="G44" i="31"/>
  <c r="G33" i="16"/>
  <c r="G47" i="38"/>
  <c r="G225" i="69"/>
  <c r="G74" i="89"/>
  <c r="G55" i="10"/>
  <c r="G146" i="177"/>
  <c r="E21" i="155"/>
  <c r="G91" i="90"/>
  <c r="G53" i="150"/>
  <c r="G96" i="38"/>
  <c r="G179" i="86"/>
  <c r="G75" i="10"/>
  <c r="G124" i="141"/>
  <c r="G220" i="16"/>
  <c r="G224" i="50"/>
  <c r="G11" i="143"/>
  <c r="E61" i="113"/>
  <c r="G190" i="178"/>
  <c r="G96" i="50"/>
  <c r="G92" i="150"/>
  <c r="G225" i="103"/>
  <c r="G168" i="89"/>
  <c r="G40" i="119"/>
  <c r="G43" i="84"/>
  <c r="G126" i="16"/>
  <c r="G89" i="15"/>
  <c r="G182" i="19"/>
  <c r="E119" i="49"/>
  <c r="G41" i="19"/>
  <c r="G31" i="178"/>
  <c r="G12" i="42"/>
  <c r="G147" i="86"/>
  <c r="G37" i="60"/>
  <c r="E111" i="143"/>
  <c r="G88" i="19"/>
  <c r="E161" i="156"/>
  <c r="E93" i="69"/>
  <c r="G49" i="177"/>
  <c r="G53" i="27"/>
  <c r="G190" i="50"/>
  <c r="G38" i="24"/>
  <c r="G76" i="98"/>
  <c r="G12" i="90"/>
  <c r="E21" i="39"/>
  <c r="E21" i="143"/>
  <c r="G187" i="38"/>
  <c r="G29" i="157"/>
  <c r="G26" i="66"/>
  <c r="G84" i="38"/>
  <c r="G52" i="84"/>
  <c r="G174" i="86"/>
  <c r="G19" i="87"/>
  <c r="G18" i="98"/>
  <c r="G38" i="150"/>
  <c r="G53" i="58"/>
  <c r="G129" i="43"/>
  <c r="G155" i="55"/>
  <c r="G117" i="25"/>
  <c r="G160" i="164"/>
  <c r="G45" i="150"/>
  <c r="G141" i="38"/>
  <c r="G85" i="38"/>
  <c r="G36" i="31"/>
  <c r="G225" i="50"/>
  <c r="G32" i="142"/>
  <c r="G226" i="69"/>
  <c r="G156" i="89"/>
  <c r="G108" i="89"/>
  <c r="G82" i="89"/>
  <c r="G195" i="86"/>
  <c r="G171" i="86"/>
  <c r="G151" i="86"/>
  <c r="G127" i="86"/>
  <c r="G97" i="86"/>
  <c r="G71" i="86"/>
  <c r="G52" i="86"/>
  <c r="G108" i="87"/>
  <c r="G67" i="87"/>
  <c r="G36" i="87"/>
  <c r="G97" i="10"/>
  <c r="G36" i="10"/>
  <c r="G156" i="143"/>
  <c r="G51" i="15"/>
  <c r="G190" i="155"/>
  <c r="G105" i="141"/>
  <c r="G192" i="47"/>
  <c r="G19" i="157"/>
  <c r="G232" i="32"/>
  <c r="G70" i="1"/>
  <c r="G43" i="142"/>
  <c r="G47" i="69"/>
  <c r="G11" i="89"/>
  <c r="G205" i="87"/>
  <c r="G141" i="143"/>
  <c r="G19" i="143"/>
  <c r="G38" i="38"/>
  <c r="G189" i="38"/>
  <c r="G26" i="38"/>
  <c r="G67" i="31"/>
  <c r="G35" i="53"/>
  <c r="G188" i="47"/>
  <c r="G225" i="86"/>
  <c r="E228" i="86"/>
  <c r="E236" i="86" s="1"/>
  <c r="G171" i="60"/>
  <c r="G51" i="87"/>
  <c r="G135" i="145"/>
  <c r="G220" i="150"/>
  <c r="G71" i="31"/>
  <c r="G74" i="55"/>
  <c r="G76" i="16"/>
  <c r="G32" i="42"/>
  <c r="G33" i="150"/>
  <c r="G126" i="50"/>
  <c r="G31" i="142"/>
  <c r="G15" i="143"/>
  <c r="G127" i="178"/>
  <c r="G86" i="86"/>
  <c r="G227" i="106"/>
  <c r="G149" i="133"/>
  <c r="G47" i="177"/>
  <c r="G44" i="142"/>
  <c r="G131" i="83"/>
  <c r="E93" i="86"/>
  <c r="E102" i="106"/>
  <c r="E228" i="16"/>
  <c r="E228" i="62"/>
  <c r="E21" i="84"/>
  <c r="E228" i="69"/>
  <c r="G18" i="38"/>
  <c r="G98" i="158"/>
  <c r="G174" i="42"/>
  <c r="G150" i="87"/>
  <c r="G59" i="87"/>
  <c r="G11" i="87"/>
  <c r="G110" i="53"/>
  <c r="G125" i="16"/>
  <c r="G205" i="66"/>
  <c r="G101" i="64"/>
  <c r="G41" i="43"/>
  <c r="G77" i="119"/>
  <c r="G159" i="31"/>
  <c r="G160" i="69"/>
  <c r="G172" i="150"/>
  <c r="G41" i="150"/>
  <c r="G60" i="31"/>
  <c r="G167" i="69"/>
  <c r="E206" i="87"/>
  <c r="G202" i="87"/>
  <c r="G25" i="32"/>
  <c r="G232" i="90"/>
  <c r="G42" i="43"/>
  <c r="G46" i="49"/>
  <c r="G69" i="98"/>
  <c r="G67" i="63"/>
  <c r="G32" i="14"/>
  <c r="G89" i="55"/>
  <c r="G43" i="55"/>
  <c r="G27" i="55"/>
  <c r="G138" i="16"/>
  <c r="G83" i="16"/>
  <c r="G37" i="16"/>
  <c r="G37" i="158"/>
  <c r="G47" i="157"/>
  <c r="G36" i="42"/>
  <c r="G16" i="42"/>
  <c r="G222" i="24"/>
  <c r="G17" i="39"/>
  <c r="G107" i="38"/>
  <c r="G51" i="38"/>
  <c r="G15" i="95"/>
  <c r="G131" i="50"/>
  <c r="G100" i="1"/>
  <c r="G43" i="1"/>
  <c r="G19" i="1"/>
  <c r="G96" i="92"/>
  <c r="G43" i="92"/>
  <c r="G70" i="142"/>
  <c r="G100" i="89"/>
  <c r="G35" i="89"/>
  <c r="G19" i="86"/>
  <c r="G59" i="10"/>
  <c r="G118" i="143"/>
  <c r="G96" i="143"/>
  <c r="G55" i="143"/>
  <c r="G39" i="143"/>
  <c r="G31" i="177"/>
  <c r="G145" i="38"/>
  <c r="G174" i="177"/>
  <c r="G178" i="177"/>
  <c r="G92" i="38"/>
  <c r="G106" i="38"/>
  <c r="G131" i="113"/>
  <c r="G26" i="113"/>
  <c r="G116" i="113"/>
  <c r="G85" i="113"/>
  <c r="G55" i="113"/>
  <c r="G224" i="113"/>
  <c r="G100" i="113"/>
  <c r="G127" i="113"/>
  <c r="G92" i="113"/>
  <c r="G105" i="113"/>
  <c r="G167" i="113"/>
  <c r="G136" i="113"/>
  <c r="G78" i="113"/>
  <c r="G33" i="113"/>
  <c r="G37" i="113"/>
  <c r="G205" i="113"/>
  <c r="G175" i="113"/>
  <c r="E93" i="113"/>
  <c r="G42" i="113"/>
  <c r="G18" i="113"/>
  <c r="G187" i="113"/>
  <c r="G142" i="143"/>
  <c r="G171" i="79"/>
  <c r="G12" i="69"/>
  <c r="G39" i="158"/>
  <c r="G147" i="177"/>
  <c r="E102" i="72"/>
  <c r="G12" i="119"/>
  <c r="G179" i="177"/>
  <c r="G188" i="175"/>
  <c r="G177" i="46"/>
  <c r="G225" i="53"/>
  <c r="E228" i="53"/>
  <c r="G60" i="53"/>
  <c r="F215" i="164"/>
  <c r="G75" i="150"/>
  <c r="F215" i="71"/>
  <c r="G223" i="113"/>
  <c r="G55" i="16"/>
  <c r="G31" i="16"/>
  <c r="G190" i="158"/>
  <c r="G170" i="158"/>
  <c r="G118" i="158"/>
  <c r="G78" i="158"/>
  <c r="G46" i="156"/>
  <c r="G205" i="155"/>
  <c r="G187" i="155"/>
  <c r="G127" i="25"/>
  <c r="G71" i="119"/>
  <c r="G48" i="119"/>
  <c r="G181" i="65"/>
  <c r="G145" i="65"/>
  <c r="G106" i="65"/>
  <c r="G233" i="28"/>
  <c r="G189" i="28"/>
  <c r="G125" i="28"/>
  <c r="G77" i="28"/>
  <c r="G58" i="28"/>
  <c r="G42" i="28"/>
  <c r="G26" i="28"/>
  <c r="G153" i="64"/>
  <c r="G224" i="152"/>
  <c r="G174" i="152"/>
  <c r="G107" i="152"/>
  <c r="G85" i="152"/>
  <c r="G69" i="84"/>
  <c r="G50" i="84"/>
  <c r="G185" i="106"/>
  <c r="G124" i="98"/>
  <c r="G196" i="53"/>
  <c r="G176" i="53"/>
  <c r="G89" i="174"/>
  <c r="G55" i="174"/>
  <c r="G185" i="178"/>
  <c r="G70" i="42"/>
  <c r="E61" i="149"/>
  <c r="E79" i="102"/>
  <c r="G173" i="86"/>
  <c r="E228" i="1"/>
  <c r="G149" i="106"/>
  <c r="G74" i="149"/>
  <c r="E119" i="16"/>
  <c r="G153" i="89"/>
  <c r="G73" i="89"/>
  <c r="G51" i="86"/>
  <c r="G40" i="94"/>
  <c r="F215" i="42"/>
  <c r="F215" i="39"/>
  <c r="G21" i="21"/>
  <c r="E237" i="21"/>
  <c r="G76" i="106"/>
  <c r="G176" i="46"/>
  <c r="G105" i="46"/>
  <c r="G35" i="63"/>
  <c r="G96" i="71"/>
  <c r="G227" i="45"/>
  <c r="G124" i="46"/>
  <c r="G189" i="47"/>
  <c r="G15" i="63"/>
  <c r="G129" i="46"/>
  <c r="G49" i="62"/>
  <c r="G25" i="62"/>
  <c r="G192" i="66"/>
  <c r="G179" i="145"/>
  <c r="G29" i="145"/>
  <c r="G172" i="94"/>
  <c r="G143" i="94"/>
  <c r="G56" i="119"/>
  <c r="G125" i="150"/>
  <c r="G71" i="150"/>
  <c r="G202" i="119"/>
  <c r="E206" i="119"/>
  <c r="G50" i="65"/>
  <c r="G117" i="28"/>
  <c r="G88" i="28"/>
  <c r="G195" i="66"/>
  <c r="E228" i="45"/>
  <c r="G219" i="45"/>
  <c r="G131" i="19"/>
  <c r="G168" i="94"/>
  <c r="G167" i="150"/>
  <c r="G74" i="16"/>
  <c r="G178" i="158"/>
  <c r="G35" i="158"/>
  <c r="G35" i="156"/>
  <c r="G140" i="65"/>
  <c r="G189" i="64"/>
  <c r="G117" i="64"/>
  <c r="G78" i="152"/>
  <c r="G29" i="98"/>
  <c r="G30" i="47"/>
  <c r="G157" i="177"/>
  <c r="G140" i="37"/>
  <c r="E102" i="152"/>
  <c r="G194" i="149"/>
  <c r="E197" i="69"/>
  <c r="G74" i="158"/>
  <c r="G127" i="150"/>
  <c r="G141" i="71"/>
  <c r="G35" i="50"/>
  <c r="G189" i="106"/>
  <c r="G109" i="27"/>
  <c r="G13" i="16"/>
  <c r="G223" i="42"/>
  <c r="G18" i="60"/>
  <c r="G159" i="14"/>
  <c r="G68" i="1"/>
  <c r="G141" i="25"/>
  <c r="G165" i="49"/>
  <c r="G58" i="63"/>
  <c r="G152" i="63"/>
  <c r="G70" i="15"/>
  <c r="G64" i="158"/>
  <c r="G51" i="98"/>
  <c r="G27" i="53"/>
  <c r="F208" i="87"/>
  <c r="G195" i="45"/>
  <c r="E161" i="45"/>
  <c r="G123" i="45"/>
  <c r="G40" i="165"/>
  <c r="G21" i="136"/>
  <c r="G228" i="57"/>
  <c r="G184" i="46"/>
  <c r="G115" i="45"/>
  <c r="G40" i="45"/>
  <c r="G220" i="47"/>
  <c r="G191" i="45"/>
  <c r="G137" i="45"/>
  <c r="G36" i="45"/>
  <c r="G36" i="39"/>
  <c r="G67" i="45"/>
  <c r="E79" i="45"/>
  <c r="G12" i="45"/>
  <c r="E21" i="45"/>
  <c r="G116" i="46"/>
  <c r="K18" i="66"/>
  <c r="G233" i="15"/>
  <c r="G100" i="15"/>
  <c r="G109" i="54"/>
  <c r="G91" i="54"/>
  <c r="G200" i="65"/>
  <c r="G117" i="94"/>
  <c r="G88" i="94"/>
  <c r="G35" i="16"/>
  <c r="G17" i="62"/>
  <c r="G183" i="150"/>
  <c r="G90" i="150"/>
  <c r="G151" i="119"/>
  <c r="G44" i="119"/>
  <c r="G92" i="65"/>
  <c r="F215" i="25"/>
  <c r="G83" i="66"/>
  <c r="G190" i="19"/>
  <c r="G25" i="145"/>
  <c r="G108" i="155"/>
  <c r="G115" i="25"/>
  <c r="G185" i="28"/>
  <c r="G200" i="39"/>
  <c r="G84" i="43"/>
  <c r="G143" i="27"/>
  <c r="G52" i="25"/>
  <c r="G142" i="49"/>
  <c r="G201" i="155"/>
  <c r="G155" i="158"/>
  <c r="G141" i="20"/>
  <c r="G143" i="66"/>
  <c r="G193" i="86"/>
  <c r="G192" i="145"/>
  <c r="G61" i="57"/>
  <c r="G192" i="158"/>
  <c r="G37" i="143"/>
  <c r="E161" i="64"/>
  <c r="G82" i="19"/>
  <c r="E93" i="65"/>
  <c r="G27" i="119"/>
  <c r="E21" i="87"/>
  <c r="G167" i="172"/>
  <c r="G180" i="14"/>
  <c r="G171" i="46"/>
  <c r="G60" i="50"/>
  <c r="G195" i="58"/>
  <c r="G21" i="111"/>
  <c r="G228" i="136"/>
  <c r="E208" i="21"/>
  <c r="G105" i="66"/>
  <c r="G150" i="19"/>
  <c r="G126" i="19"/>
  <c r="G39" i="19"/>
  <c r="G187" i="164"/>
  <c r="G77" i="118"/>
  <c r="G54" i="118"/>
  <c r="G155" i="62"/>
  <c r="G19" i="16"/>
  <c r="G183" i="25"/>
  <c r="G193" i="65"/>
  <c r="G149" i="64"/>
  <c r="G205" i="152"/>
  <c r="E206" i="152"/>
  <c r="G170" i="152"/>
  <c r="G150" i="152"/>
  <c r="G65" i="84"/>
  <c r="G188" i="89"/>
  <c r="G168" i="46"/>
  <c r="G131" i="47"/>
  <c r="G19" i="63"/>
  <c r="G182" i="47"/>
  <c r="G174" i="47"/>
  <c r="G75" i="47"/>
  <c r="G61" i="21"/>
  <c r="G156" i="25"/>
  <c r="G70" i="19"/>
  <c r="G175" i="164"/>
  <c r="G184" i="94"/>
  <c r="K18" i="113"/>
  <c r="G15" i="16"/>
  <c r="G140" i="156"/>
  <c r="G90" i="25"/>
  <c r="E93" i="25"/>
  <c r="G16" i="25"/>
  <c r="G69" i="28"/>
  <c r="G35" i="120"/>
  <c r="K17" i="57"/>
  <c r="G98" i="98"/>
  <c r="G66" i="174"/>
  <c r="G114" i="106"/>
  <c r="G152" i="58"/>
  <c r="G190" i="113"/>
  <c r="G97" i="145"/>
  <c r="G187" i="142"/>
  <c r="G71" i="25"/>
  <c r="E79" i="16"/>
  <c r="G171" i="145"/>
  <c r="G166" i="158"/>
  <c r="G117" i="156"/>
  <c r="G56" i="38"/>
  <c r="E111" i="155"/>
  <c r="G20" i="95"/>
  <c r="G26" i="84"/>
  <c r="G14" i="69"/>
  <c r="G183" i="155"/>
  <c r="G84" i="118"/>
  <c r="G178" i="42"/>
  <c r="G192" i="43"/>
  <c r="G48" i="53"/>
  <c r="G177" i="58"/>
  <c r="G194" i="63"/>
  <c r="E61" i="86"/>
  <c r="G34" i="86"/>
  <c r="G26" i="53"/>
  <c r="G116" i="63"/>
  <c r="G176" i="113"/>
  <c r="G41" i="63"/>
  <c r="G27" i="86"/>
  <c r="G204" i="145"/>
  <c r="G114" i="64"/>
  <c r="G110" i="27"/>
  <c r="G179" i="45"/>
  <c r="G90" i="45"/>
  <c r="F215" i="66"/>
  <c r="G17" i="158"/>
  <c r="E21" i="158"/>
  <c r="G224" i="66"/>
  <c r="K18" i="19"/>
  <c r="G232" i="15"/>
  <c r="G87" i="54"/>
  <c r="G61" i="135"/>
  <c r="E208" i="159"/>
  <c r="G99" i="65"/>
  <c r="G193" i="68"/>
  <c r="G174" i="68"/>
  <c r="G167" i="164"/>
  <c r="G137" i="164"/>
  <c r="G145" i="94"/>
  <c r="G129" i="118"/>
  <c r="G16" i="28"/>
  <c r="G166" i="45"/>
  <c r="E197" i="45"/>
  <c r="G86" i="62"/>
  <c r="G45" i="62"/>
  <c r="G123" i="150"/>
  <c r="G48" i="150"/>
  <c r="G136" i="158"/>
  <c r="G167" i="25"/>
  <c r="G171" i="119"/>
  <c r="G67" i="119"/>
  <c r="G177" i="65"/>
  <c r="G117" i="65"/>
  <c r="E119" i="65"/>
  <c r="G26" i="65"/>
  <c r="G54" i="28"/>
  <c r="G18" i="28"/>
  <c r="G173" i="106"/>
  <c r="G13" i="98"/>
  <c r="G188" i="53"/>
  <c r="G126" i="174"/>
  <c r="G85" i="174"/>
  <c r="E93" i="174"/>
  <c r="G51" i="174"/>
  <c r="G164" i="177"/>
  <c r="G205" i="1"/>
  <c r="G205" i="165"/>
  <c r="G76" i="158"/>
  <c r="G90" i="47"/>
  <c r="G170" i="63"/>
  <c r="G40" i="39"/>
  <c r="G34" i="118"/>
  <c r="G188" i="66"/>
  <c r="G203" i="94"/>
  <c r="G140" i="94"/>
  <c r="G179" i="150"/>
  <c r="G173" i="156"/>
  <c r="G69" i="156"/>
  <c r="G195" i="119"/>
  <c r="G223" i="28"/>
  <c r="E228" i="28"/>
  <c r="G165" i="64"/>
  <c r="G96" i="152"/>
  <c r="G182" i="178"/>
  <c r="E228" i="152"/>
  <c r="E102" i="10"/>
  <c r="G151" i="155"/>
  <c r="E93" i="28"/>
  <c r="G72" i="38"/>
  <c r="G68" i="157"/>
  <c r="G141" i="83"/>
  <c r="G193" i="42"/>
  <c r="G231" i="120"/>
  <c r="G235" i="120" s="1"/>
  <c r="E235" i="120"/>
  <c r="G17" i="1"/>
  <c r="G73" i="71"/>
  <c r="G56" i="58"/>
  <c r="G67" i="90"/>
  <c r="G109" i="63"/>
  <c r="G56" i="66"/>
  <c r="G101" i="164"/>
  <c r="G45" i="177"/>
  <c r="G174" i="10"/>
  <c r="G193" i="71"/>
  <c r="G70" i="64"/>
  <c r="G82" i="143"/>
  <c r="G69" i="27"/>
  <c r="G171" i="45"/>
  <c r="G86" i="45"/>
  <c r="E206" i="45"/>
  <c r="G201" i="45"/>
  <c r="G235" i="143"/>
  <c r="G123" i="25"/>
  <c r="G28" i="68"/>
  <c r="G193" i="15"/>
  <c r="G155" i="15"/>
  <c r="G114" i="15"/>
  <c r="G105" i="54"/>
  <c r="E111" i="54"/>
  <c r="G149" i="60"/>
  <c r="G42" i="60"/>
  <c r="E102" i="177"/>
  <c r="G84" i="71"/>
  <c r="G30" i="53"/>
  <c r="G54" i="66"/>
  <c r="G105" i="150"/>
  <c r="G53" i="158"/>
  <c r="G192" i="63"/>
  <c r="G183" i="46"/>
  <c r="G187" i="45"/>
  <c r="F215" i="21"/>
  <c r="E102" i="45"/>
  <c r="G96" i="45"/>
  <c r="F215" i="133"/>
  <c r="F215" i="53"/>
  <c r="E236" i="57"/>
  <c r="E236" i="136"/>
  <c r="G31" i="113"/>
  <c r="G147" i="45"/>
  <c r="G52" i="45"/>
  <c r="G57" i="113"/>
  <c r="K18" i="71"/>
  <c r="G151" i="45"/>
  <c r="G48" i="45"/>
  <c r="G201" i="62"/>
  <c r="G225" i="71"/>
  <c r="G75" i="45"/>
  <c r="G32" i="45"/>
  <c r="G131" i="15"/>
  <c r="G153" i="60"/>
  <c r="G110" i="60"/>
  <c r="G46" i="60"/>
  <c r="G76" i="66"/>
  <c r="G118" i="68"/>
  <c r="G226" i="164"/>
  <c r="G191" i="164"/>
  <c r="G142" i="164"/>
  <c r="G58" i="118"/>
  <c r="G125" i="94"/>
  <c r="G92" i="94"/>
  <c r="G182" i="158"/>
  <c r="G97" i="150"/>
  <c r="G52" i="150"/>
  <c r="G91" i="113"/>
  <c r="G51" i="16"/>
  <c r="G205" i="158"/>
  <c r="G186" i="158"/>
  <c r="G145" i="156"/>
  <c r="G77" i="156"/>
  <c r="G115" i="155"/>
  <c r="G75" i="25"/>
  <c r="G40" i="25"/>
  <c r="G233" i="65"/>
  <c r="G165" i="65"/>
  <c r="G125" i="65"/>
  <c r="G69" i="65"/>
  <c r="G153" i="28"/>
  <c r="G18" i="141"/>
  <c r="G194" i="152"/>
  <c r="G131" i="152"/>
  <c r="G204" i="39"/>
  <c r="G49" i="98"/>
  <c r="G107" i="174"/>
  <c r="G70" i="174"/>
  <c r="E206" i="102"/>
  <c r="E102" i="68"/>
  <c r="E206" i="53"/>
  <c r="E197" i="50"/>
  <c r="G196" i="92"/>
  <c r="G58" i="71"/>
  <c r="G36" i="58"/>
  <c r="G132" i="133"/>
  <c r="G72" i="63"/>
  <c r="G115" i="39"/>
  <c r="G12" i="54"/>
  <c r="G49" i="58"/>
  <c r="G33" i="177"/>
  <c r="G115" i="120"/>
  <c r="G140" i="71"/>
  <c r="G77" i="53"/>
  <c r="G160" i="45"/>
  <c r="E93" i="45"/>
  <c r="G82" i="45"/>
  <c r="G187" i="58"/>
  <c r="G27" i="45"/>
  <c r="G224" i="176"/>
  <c r="G203" i="47"/>
  <c r="G11" i="113"/>
  <c r="K17" i="71"/>
  <c r="G183" i="45"/>
  <c r="G157" i="46"/>
  <c r="G166" i="47"/>
  <c r="G123" i="47"/>
  <c r="G51" i="63"/>
  <c r="G11" i="63"/>
  <c r="G20" i="45"/>
  <c r="G91" i="46"/>
  <c r="G141" i="47"/>
  <c r="G31" i="63"/>
  <c r="G178" i="63"/>
  <c r="G205" i="71"/>
  <c r="G156" i="62"/>
  <c r="G12" i="150"/>
  <c r="K17" i="15"/>
  <c r="G233" i="118"/>
  <c r="G114" i="68"/>
  <c r="G18" i="15"/>
  <c r="G20" i="19"/>
  <c r="G202" i="164"/>
  <c r="E235" i="94"/>
  <c r="G231" i="94"/>
  <c r="G73" i="118"/>
  <c r="G50" i="118"/>
  <c r="G43" i="158"/>
  <c r="G138" i="66"/>
  <c r="G180" i="94"/>
  <c r="G135" i="94"/>
  <c r="G70" i="16"/>
  <c r="G195" i="150"/>
  <c r="G160" i="150"/>
  <c r="G47" i="16"/>
  <c r="G201" i="158"/>
  <c r="G131" i="158"/>
  <c r="G85" i="158"/>
  <c r="G132" i="155"/>
  <c r="G160" i="25"/>
  <c r="G147" i="119"/>
  <c r="G60" i="119"/>
  <c r="G32" i="119"/>
  <c r="G189" i="65"/>
  <c r="G84" i="65"/>
  <c r="G42" i="65"/>
  <c r="G204" i="28"/>
  <c r="G106" i="28"/>
  <c r="K18" i="72"/>
  <c r="G145" i="64"/>
  <c r="G166" i="152"/>
  <c r="G118" i="152"/>
  <c r="G11" i="133"/>
  <c r="G18" i="84"/>
  <c r="G47" i="174"/>
  <c r="E21" i="141"/>
  <c r="E161" i="24"/>
  <c r="E93" i="68"/>
  <c r="E21" i="68"/>
  <c r="E102" i="50"/>
  <c r="E111" i="89"/>
  <c r="G28" i="58"/>
  <c r="G177" i="47"/>
  <c r="G39" i="83"/>
  <c r="G90" i="71"/>
  <c r="G164" i="54"/>
  <c r="G110" i="66"/>
  <c r="G180" i="43"/>
  <c r="G233" i="174"/>
  <c r="G87" i="120"/>
  <c r="G142" i="45"/>
  <c r="G90" i="58"/>
  <c r="G32" i="165"/>
  <c r="G41" i="104"/>
  <c r="E119" i="45"/>
  <c r="G114" i="45"/>
  <c r="F215" i="64"/>
  <c r="G93" i="159"/>
  <c r="G61" i="159"/>
  <c r="G111" i="159"/>
  <c r="G21" i="57"/>
  <c r="E236" i="111"/>
  <c r="E236" i="21"/>
  <c r="G97" i="45"/>
  <c r="G28" i="45"/>
  <c r="G175" i="45"/>
  <c r="G101" i="45"/>
  <c r="G32" i="39"/>
  <c r="G56" i="45"/>
  <c r="G205" i="62"/>
  <c r="G194" i="62"/>
  <c r="G64" i="62"/>
  <c r="G37" i="62"/>
  <c r="G21" i="135"/>
  <c r="G223" i="15"/>
  <c r="G181" i="15"/>
  <c r="G146" i="15"/>
  <c r="G83" i="54"/>
  <c r="G145" i="60"/>
  <c r="G186" i="68"/>
  <c r="G131" i="68"/>
  <c r="G183" i="164"/>
  <c r="G156" i="164"/>
  <c r="G88" i="156"/>
  <c r="G43" i="16"/>
  <c r="G110" i="94"/>
  <c r="G149" i="156"/>
  <c r="G175" i="150"/>
  <c r="G137" i="150"/>
  <c r="K17" i="113"/>
  <c r="G45" i="113"/>
  <c r="G39" i="16"/>
  <c r="G110" i="156"/>
  <c r="G65" i="156"/>
  <c r="G11" i="156"/>
  <c r="G171" i="155"/>
  <c r="G179" i="25"/>
  <c r="G108" i="25"/>
  <c r="K17" i="65"/>
  <c r="G153" i="65"/>
  <c r="G110" i="65"/>
  <c r="G65" i="28"/>
  <c r="G140" i="64"/>
  <c r="G30" i="141"/>
  <c r="G70" i="152"/>
  <c r="G232" i="39"/>
  <c r="G41" i="98"/>
  <c r="E235" i="53"/>
  <c r="G231" i="53"/>
  <c r="G100" i="174"/>
  <c r="G78" i="174"/>
  <c r="E21" i="83"/>
  <c r="E206" i="20"/>
  <c r="E61" i="89"/>
  <c r="E197" i="86"/>
  <c r="E93" i="84"/>
  <c r="E206" i="95"/>
  <c r="E79" i="38"/>
  <c r="E79" i="25"/>
  <c r="G186" i="25"/>
  <c r="G38" i="71"/>
  <c r="G158" i="47"/>
  <c r="G71" i="120"/>
  <c r="G201" i="46"/>
  <c r="G28" i="143"/>
  <c r="G132" i="45"/>
  <c r="F215" i="158"/>
  <c r="F215" i="69"/>
  <c r="G205" i="45"/>
  <c r="G155" i="47"/>
  <c r="K18" i="33"/>
  <c r="G83" i="106"/>
  <c r="G16" i="45"/>
  <c r="G101" i="47"/>
  <c r="G39" i="63"/>
  <c r="G172" i="133"/>
  <c r="G152" i="46"/>
  <c r="G196" i="47"/>
  <c r="G152" i="133"/>
  <c r="G64" i="106"/>
  <c r="G164" i="46"/>
  <c r="G193" i="47"/>
  <c r="G55" i="63"/>
  <c r="G164" i="133"/>
  <c r="G107" i="15"/>
  <c r="G98" i="54"/>
  <c r="G204" i="118"/>
  <c r="G195" i="164"/>
  <c r="G132" i="164"/>
  <c r="G221" i="94"/>
  <c r="G69" i="118"/>
  <c r="G38" i="118"/>
  <c r="G196" i="66"/>
  <c r="G180" i="66"/>
  <c r="G133" i="66"/>
  <c r="G123" i="145"/>
  <c r="G192" i="94"/>
  <c r="G176" i="94"/>
  <c r="G157" i="94"/>
  <c r="G130" i="94"/>
  <c r="G132" i="150"/>
  <c r="G56" i="150"/>
  <c r="G66" i="16"/>
  <c r="G11" i="16"/>
  <c r="G174" i="158"/>
  <c r="G107" i="158"/>
  <c r="G66" i="158"/>
  <c r="G191" i="155"/>
  <c r="G160" i="155"/>
  <c r="G127" i="155"/>
  <c r="G44" i="25"/>
  <c r="G187" i="119"/>
  <c r="G160" i="119"/>
  <c r="G52" i="119"/>
  <c r="G28" i="119"/>
  <c r="K18" i="65"/>
  <c r="G204" i="65"/>
  <c r="G169" i="65"/>
  <c r="G149" i="65"/>
  <c r="G34" i="65"/>
  <c r="G99" i="28"/>
  <c r="G30" i="28"/>
  <c r="K17" i="72"/>
  <c r="G182" i="152"/>
  <c r="G89" i="152"/>
  <c r="G73" i="84"/>
  <c r="G14" i="84"/>
  <c r="K18" i="57"/>
  <c r="G114" i="174"/>
  <c r="G178" i="25"/>
  <c r="G169" i="49"/>
  <c r="G143" i="62"/>
  <c r="G48" i="165"/>
  <c r="G109" i="32"/>
  <c r="G39" i="142"/>
  <c r="G12" i="143"/>
  <c r="G202" i="45"/>
  <c r="G127" i="45"/>
  <c r="G36" i="172"/>
  <c r="F215" i="174"/>
  <c r="F215" i="95"/>
  <c r="G107" i="45"/>
  <c r="F215" i="104"/>
  <c r="K14" i="159"/>
  <c r="G235" i="159"/>
  <c r="G237" i="159" s="1"/>
  <c r="E236" i="33"/>
  <c r="G156" i="45"/>
  <c r="G71" i="45"/>
  <c r="G97" i="47"/>
  <c r="G17" i="106"/>
  <c r="G167" i="45"/>
  <c r="G60" i="45"/>
  <c r="G108" i="45"/>
  <c r="G44" i="45"/>
  <c r="G146" i="47"/>
  <c r="G101" i="62"/>
  <c r="G53" i="62"/>
  <c r="G29" i="62"/>
  <c r="K17" i="66"/>
  <c r="K17" i="19"/>
  <c r="K18" i="15"/>
  <c r="G204" i="15"/>
  <c r="G174" i="15"/>
  <c r="G141" i="15"/>
  <c r="G117" i="60"/>
  <c r="G50" i="60"/>
  <c r="G182" i="68"/>
  <c r="G126" i="68"/>
  <c r="G16" i="19"/>
  <c r="G147" i="164"/>
  <c r="G37" i="145"/>
  <c r="G116" i="118"/>
  <c r="G106" i="94"/>
  <c r="G151" i="150"/>
  <c r="G225" i="158"/>
  <c r="G126" i="158"/>
  <c r="G19" i="158"/>
  <c r="G153" i="156"/>
  <c r="G130" i="156"/>
  <c r="G84" i="156"/>
  <c r="G191" i="25"/>
  <c r="G82" i="25"/>
  <c r="G60" i="25"/>
  <c r="G28" i="25"/>
  <c r="G137" i="119"/>
  <c r="G77" i="65"/>
  <c r="G96" i="174"/>
  <c r="G130" i="64"/>
  <c r="G136" i="152"/>
  <c r="G66" i="152"/>
  <c r="G222" i="39"/>
  <c r="G54" i="84"/>
  <c r="G129" i="98"/>
  <c r="G72" i="98"/>
  <c r="E102" i="79"/>
  <c r="E228" i="79"/>
  <c r="G186" i="84"/>
  <c r="E197" i="84"/>
  <c r="G125" i="102"/>
  <c r="E235" i="20"/>
  <c r="E237" i="20" s="1"/>
  <c r="G67" i="39"/>
  <c r="G203" i="178"/>
  <c r="G88" i="62"/>
  <c r="E197" i="120"/>
  <c r="G160" i="83"/>
  <c r="G187" i="177"/>
  <c r="G71" i="90"/>
  <c r="E21" i="47"/>
  <c r="E102" i="66"/>
  <c r="G99" i="66"/>
  <c r="E93" i="50"/>
  <c r="E79" i="141"/>
  <c r="E61" i="141"/>
  <c r="G160" i="95"/>
  <c r="G41" i="1"/>
  <c r="E161" i="142"/>
  <c r="E93" i="142"/>
  <c r="G46" i="66"/>
  <c r="G185" i="68"/>
  <c r="G50" i="178"/>
  <c r="G152" i="178"/>
  <c r="E21" i="43"/>
  <c r="G138" i="165"/>
  <c r="E161" i="54"/>
  <c r="E79" i="149"/>
  <c r="G69" i="149"/>
  <c r="G15" i="178"/>
  <c r="G88" i="178"/>
  <c r="G57" i="1"/>
  <c r="G36" i="89"/>
  <c r="G71" i="1"/>
  <c r="G67" i="145"/>
  <c r="G29" i="83"/>
  <c r="E61" i="177"/>
  <c r="E161" i="172"/>
  <c r="G97" i="31"/>
  <c r="G115" i="31"/>
  <c r="E119" i="31"/>
  <c r="G137" i="31"/>
  <c r="G174" i="95"/>
  <c r="G100" i="95"/>
  <c r="G74" i="95"/>
  <c r="G59" i="95"/>
  <c r="G31" i="50"/>
  <c r="G175" i="1"/>
  <c r="G156" i="1"/>
  <c r="G137" i="1"/>
  <c r="G195" i="142"/>
  <c r="G167" i="142"/>
  <c r="G147" i="142"/>
  <c r="G127" i="142"/>
  <c r="G32" i="104"/>
  <c r="G203" i="106"/>
  <c r="E206" i="106"/>
  <c r="G82" i="106"/>
  <c r="G56" i="106"/>
  <c r="G160" i="46"/>
  <c r="G133" i="46"/>
  <c r="G15" i="66"/>
  <c r="G225" i="178"/>
  <c r="G131" i="10"/>
  <c r="G39" i="10"/>
  <c r="G186" i="143"/>
  <c r="G203" i="14"/>
  <c r="G59" i="165"/>
  <c r="G39" i="165"/>
  <c r="G73" i="27"/>
  <c r="G18" i="27"/>
  <c r="E206" i="157"/>
  <c r="G202" i="157"/>
  <c r="G147" i="157"/>
  <c r="G127" i="157"/>
  <c r="G14" i="157"/>
  <c r="E21" i="157"/>
  <c r="G185" i="42"/>
  <c r="G59" i="28"/>
  <c r="G15" i="28"/>
  <c r="G170" i="64"/>
  <c r="G187" i="178"/>
  <c r="G83" i="79"/>
  <c r="G13" i="149"/>
  <c r="G12" i="28"/>
  <c r="G66" i="39"/>
  <c r="G142" i="55"/>
  <c r="G123" i="165"/>
  <c r="G64" i="31"/>
  <c r="G146" i="95"/>
  <c r="G186" i="1"/>
  <c r="G171" i="92"/>
  <c r="E197" i="92"/>
  <c r="G82" i="92"/>
  <c r="E93" i="92"/>
  <c r="E21" i="92"/>
  <c r="G142" i="142"/>
  <c r="G72" i="142"/>
  <c r="G57" i="142"/>
  <c r="G181" i="106"/>
  <c r="E197" i="106"/>
  <c r="G175" i="66"/>
  <c r="G227" i="68"/>
  <c r="G150" i="10"/>
  <c r="G166" i="143"/>
  <c r="G182" i="165"/>
  <c r="G166" i="165"/>
  <c r="G141" i="165"/>
  <c r="G78" i="165"/>
  <c r="G157" i="27"/>
  <c r="G105" i="27"/>
  <c r="G88" i="27"/>
  <c r="G34" i="27"/>
  <c r="G193" i="16"/>
  <c r="G166" i="16"/>
  <c r="E197" i="16"/>
  <c r="G100" i="16"/>
  <c r="G67" i="16"/>
  <c r="G191" i="158"/>
  <c r="G101" i="157"/>
  <c r="G64" i="157"/>
  <c r="E79" i="157"/>
  <c r="G45" i="157"/>
  <c r="G74" i="28"/>
  <c r="G151" i="64"/>
  <c r="G196" i="32"/>
  <c r="G176" i="32"/>
  <c r="G138" i="32"/>
  <c r="G65" i="47"/>
  <c r="G203" i="158"/>
  <c r="E206" i="158"/>
  <c r="G116" i="158"/>
  <c r="G65" i="157"/>
  <c r="G186" i="49"/>
  <c r="G167" i="49"/>
  <c r="G127" i="49"/>
  <c r="G172" i="98"/>
  <c r="G152" i="98"/>
  <c r="G195" i="60"/>
  <c r="G180" i="60"/>
  <c r="G91" i="103"/>
  <c r="G37" i="177"/>
  <c r="G227" i="38"/>
  <c r="G101" i="38"/>
  <c r="E102" i="38"/>
  <c r="G32" i="38"/>
  <c r="G185" i="89"/>
  <c r="G158" i="89"/>
  <c r="G140" i="89"/>
  <c r="G117" i="89"/>
  <c r="G65" i="89"/>
  <c r="E79" i="89"/>
  <c r="G26" i="89"/>
  <c r="G204" i="86"/>
  <c r="G185" i="86"/>
  <c r="G146" i="86"/>
  <c r="G107" i="86"/>
  <c r="G39" i="86"/>
  <c r="G82" i="16"/>
  <c r="G150" i="83"/>
  <c r="G126" i="49"/>
  <c r="E111" i="49"/>
  <c r="G86" i="49"/>
  <c r="G25" i="174"/>
  <c r="G114" i="94"/>
  <c r="E119" i="94"/>
  <c r="G118" i="42"/>
  <c r="E119" i="42"/>
  <c r="G100" i="42"/>
  <c r="E102" i="42"/>
  <c r="G78" i="42"/>
  <c r="G11" i="42"/>
  <c r="E21" i="42"/>
  <c r="G28" i="156"/>
  <c r="G226" i="25"/>
  <c r="E228" i="25"/>
  <c r="G184" i="25"/>
  <c r="G148" i="25"/>
  <c r="G39" i="84"/>
  <c r="E79" i="37"/>
  <c r="G58" i="145"/>
  <c r="G64" i="19"/>
  <c r="G83" i="19"/>
  <c r="E206" i="85"/>
  <c r="E197" i="142"/>
  <c r="E161" i="158"/>
  <c r="K14" i="72"/>
  <c r="G26" i="62"/>
  <c r="G50" i="25"/>
  <c r="G56" i="19"/>
  <c r="G186" i="19"/>
  <c r="G41" i="49"/>
  <c r="G176" i="27"/>
  <c r="G148" i="150"/>
  <c r="G84" i="150"/>
  <c r="G78" i="50"/>
  <c r="G109" i="14"/>
  <c r="G17" i="27"/>
  <c r="G195" i="71"/>
  <c r="G147" i="10"/>
  <c r="G86" i="14"/>
  <c r="G78" i="39"/>
  <c r="G98" i="39"/>
  <c r="G156" i="92"/>
  <c r="G54" i="119"/>
  <c r="G83" i="46"/>
  <c r="G116" i="58"/>
  <c r="G169" i="83"/>
  <c r="G125" i="19"/>
  <c r="G180" i="178"/>
  <c r="G16" i="58"/>
  <c r="G167" i="31"/>
  <c r="G55" i="94"/>
  <c r="G89" i="86"/>
  <c r="G36" i="104"/>
  <c r="E235" i="15"/>
  <c r="G231" i="15"/>
  <c r="G17" i="150"/>
  <c r="E206" i="46"/>
  <c r="G204" i="46"/>
  <c r="E79" i="90"/>
  <c r="G46" i="84"/>
  <c r="E79" i="43"/>
  <c r="G159" i="19"/>
  <c r="G176" i="177"/>
  <c r="G143" i="150"/>
  <c r="G65" i="150"/>
  <c r="G66" i="50"/>
  <c r="G28" i="142"/>
  <c r="E93" i="27"/>
  <c r="G83" i="27"/>
  <c r="G186" i="38"/>
  <c r="G82" i="14"/>
  <c r="G70" i="39"/>
  <c r="G36" i="86"/>
  <c r="G172" i="43"/>
  <c r="G151" i="92"/>
  <c r="G46" i="119"/>
  <c r="G125" i="47"/>
  <c r="G14" i="15"/>
  <c r="G194" i="92"/>
  <c r="G142" i="58"/>
  <c r="G194" i="39"/>
  <c r="G153" i="62"/>
  <c r="G70" i="86"/>
  <c r="G12" i="62"/>
  <c r="E61" i="42"/>
  <c r="G164" i="158"/>
  <c r="G83" i="83"/>
  <c r="G147" i="49"/>
  <c r="G57" i="49"/>
  <c r="G145" i="54"/>
  <c r="G190" i="118"/>
  <c r="G174" i="118"/>
  <c r="G171" i="103"/>
  <c r="G202" i="38"/>
  <c r="G127" i="38"/>
  <c r="G86" i="38"/>
  <c r="G99" i="89"/>
  <c r="G46" i="89"/>
  <c r="G189" i="86"/>
  <c r="G131" i="86"/>
  <c r="G85" i="86"/>
  <c r="G55" i="86"/>
  <c r="G194" i="87"/>
  <c r="G178" i="87"/>
  <c r="G159" i="87"/>
  <c r="G155" i="14"/>
  <c r="G18" i="47"/>
  <c r="G204" i="49"/>
  <c r="G48" i="49"/>
  <c r="G96" i="94"/>
  <c r="G44" i="94"/>
  <c r="G205" i="42"/>
  <c r="G126" i="42"/>
  <c r="G85" i="42"/>
  <c r="G170" i="156"/>
  <c r="G131" i="156"/>
  <c r="G28" i="155"/>
  <c r="G168" i="25"/>
  <c r="G72" i="25"/>
  <c r="G178" i="65"/>
  <c r="G158" i="43"/>
  <c r="G140" i="43"/>
  <c r="G196" i="46"/>
  <c r="G130" i="98"/>
  <c r="G55" i="98"/>
  <c r="G19" i="98"/>
  <c r="G52" i="53"/>
  <c r="G192" i="174"/>
  <c r="G149" i="58"/>
  <c r="G88" i="58"/>
  <c r="G51" i="62"/>
  <c r="G35" i="62"/>
  <c r="G15" i="62"/>
  <c r="G153" i="66"/>
  <c r="G135" i="66"/>
  <c r="G142" i="95"/>
  <c r="G44" i="95"/>
  <c r="G129" i="1"/>
  <c r="G45" i="1"/>
  <c r="G57" i="69"/>
  <c r="G33" i="69"/>
  <c r="E235" i="89"/>
  <c r="G231" i="89"/>
  <c r="G152" i="89"/>
  <c r="G189" i="150"/>
  <c r="G173" i="150"/>
  <c r="G90" i="95"/>
  <c r="G40" i="95"/>
  <c r="G156" i="50"/>
  <c r="G157" i="1"/>
  <c r="G180" i="89"/>
  <c r="G46" i="86"/>
  <c r="G220" i="175"/>
  <c r="G192" i="46"/>
  <c r="G78" i="46"/>
  <c r="G55" i="46"/>
  <c r="G39" i="46"/>
  <c r="G182" i="53"/>
  <c r="G167" i="53"/>
  <c r="G147" i="53"/>
  <c r="G123" i="53"/>
  <c r="G71" i="53"/>
  <c r="G155" i="174"/>
  <c r="G181" i="58"/>
  <c r="G125" i="58"/>
  <c r="G50" i="58"/>
  <c r="G201" i="63"/>
  <c r="G182" i="63"/>
  <c r="G96" i="66"/>
  <c r="G12" i="95"/>
  <c r="G52" i="50"/>
  <c r="G87" i="89"/>
  <c r="G204" i="150"/>
  <c r="G185" i="150"/>
  <c r="G153" i="150"/>
  <c r="G135" i="150"/>
  <c r="G89" i="150"/>
  <c r="G55" i="150"/>
  <c r="G101" i="53"/>
  <c r="E197" i="87"/>
  <c r="E21" i="27"/>
  <c r="G175" i="50"/>
  <c r="E119" i="177"/>
  <c r="G116" i="175"/>
  <c r="E111" i="157"/>
  <c r="E61" i="65"/>
  <c r="E93" i="14"/>
  <c r="E119" i="32"/>
  <c r="E119" i="43"/>
  <c r="G70" i="28"/>
  <c r="E197" i="38"/>
  <c r="E61" i="38"/>
  <c r="E161" i="50"/>
  <c r="E228" i="95"/>
  <c r="E228" i="143"/>
  <c r="G138" i="150"/>
  <c r="G58" i="150"/>
  <c r="G27" i="50"/>
  <c r="G114" i="69"/>
  <c r="G72" i="27"/>
  <c r="G54" i="155"/>
  <c r="G170" i="38"/>
  <c r="G73" i="10"/>
  <c r="G67" i="14"/>
  <c r="G51" i="39"/>
  <c r="G64" i="10"/>
  <c r="G147" i="92"/>
  <c r="G26" i="119"/>
  <c r="G135" i="49"/>
  <c r="G174" i="19"/>
  <c r="G186" i="92"/>
  <c r="G190" i="39"/>
  <c r="G225" i="172"/>
  <c r="G191" i="63"/>
  <c r="G219" i="164"/>
  <c r="G17" i="46"/>
  <c r="G83" i="31"/>
  <c r="G142" i="31"/>
  <c r="G70" i="95"/>
  <c r="G55" i="95"/>
  <c r="G15" i="50"/>
  <c r="G171" i="1"/>
  <c r="G132" i="1"/>
  <c r="G115" i="92"/>
  <c r="G97" i="92"/>
  <c r="E102" i="92"/>
  <c r="G227" i="142"/>
  <c r="G191" i="142"/>
  <c r="G160" i="142"/>
  <c r="G45" i="142"/>
  <c r="G182" i="84"/>
  <c r="G20" i="104"/>
  <c r="G131" i="106"/>
  <c r="G100" i="106"/>
  <c r="G36" i="106"/>
  <c r="G72" i="46"/>
  <c r="G53" i="46"/>
  <c r="G29" i="46"/>
  <c r="G166" i="10"/>
  <c r="G146" i="10"/>
  <c r="G126" i="10"/>
  <c r="G107" i="10"/>
  <c r="G85" i="10"/>
  <c r="G35" i="10"/>
  <c r="G178" i="143"/>
  <c r="G196" i="14"/>
  <c r="G51" i="165"/>
  <c r="G35" i="165"/>
  <c r="G192" i="27"/>
  <c r="G14" i="27"/>
  <c r="G141" i="16"/>
  <c r="G142" i="157"/>
  <c r="G89" i="28"/>
  <c r="G31" i="28"/>
  <c r="G64" i="64"/>
  <c r="G13" i="64"/>
  <c r="G157" i="158"/>
  <c r="G26" i="157"/>
  <c r="G76" i="83"/>
  <c r="G160" i="49"/>
  <c r="G133" i="98"/>
  <c r="G223" i="118"/>
  <c r="G187" i="103"/>
  <c r="G167" i="103"/>
  <c r="G124" i="103"/>
  <c r="G147" i="38"/>
  <c r="G123" i="38"/>
  <c r="G82" i="38"/>
  <c r="G26" i="69"/>
  <c r="G77" i="89"/>
  <c r="G58" i="89"/>
  <c r="G166" i="86"/>
  <c r="G126" i="86"/>
  <c r="G78" i="86"/>
  <c r="G141" i="14"/>
  <c r="G14" i="47"/>
  <c r="G109" i="83"/>
  <c r="G200" i="49"/>
  <c r="G60" i="49"/>
  <c r="G44" i="49"/>
  <c r="G85" i="94"/>
  <c r="G60" i="94"/>
  <c r="K14" i="79"/>
  <c r="G189" i="156"/>
  <c r="G126" i="156"/>
  <c r="G196" i="155"/>
  <c r="G20" i="155"/>
  <c r="G180" i="25"/>
  <c r="G83" i="25"/>
  <c r="G174" i="65"/>
  <c r="G143" i="84"/>
  <c r="G99" i="84"/>
  <c r="G35" i="84"/>
  <c r="G173" i="43"/>
  <c r="G153" i="43"/>
  <c r="G135" i="43"/>
  <c r="G181" i="174"/>
  <c r="G115" i="174"/>
  <c r="G200" i="58"/>
  <c r="G165" i="58"/>
  <c r="G140" i="58"/>
  <c r="G106" i="58"/>
  <c r="G84" i="58"/>
  <c r="G65" i="58"/>
  <c r="G46" i="58"/>
  <c r="G47" i="62"/>
  <c r="G31" i="62"/>
  <c r="G11" i="62"/>
  <c r="G149" i="66"/>
  <c r="G67" i="66"/>
  <c r="G137" i="95"/>
  <c r="G97" i="95"/>
  <c r="G60" i="95"/>
  <c r="G152" i="1"/>
  <c r="G116" i="1"/>
  <c r="G192" i="92"/>
  <c r="G53" i="69"/>
  <c r="G29" i="69"/>
  <c r="G143" i="89"/>
  <c r="G130" i="150"/>
  <c r="G107" i="150"/>
  <c r="G132" i="95"/>
  <c r="G195" i="50"/>
  <c r="G143" i="1"/>
  <c r="G98" i="1"/>
  <c r="G188" i="92"/>
  <c r="G13" i="69"/>
  <c r="G172" i="89"/>
  <c r="G54" i="150"/>
  <c r="G96" i="69"/>
  <c r="G150" i="38"/>
  <c r="G60" i="14"/>
  <c r="G19" i="25"/>
  <c r="G130" i="49"/>
  <c r="G178" i="92"/>
  <c r="G148" i="63"/>
  <c r="G18" i="106"/>
  <c r="G132" i="172"/>
  <c r="G41" i="31"/>
  <c r="G159" i="95"/>
  <c r="G96" i="95"/>
  <c r="E102" i="95"/>
  <c r="G224" i="1"/>
  <c r="G40" i="92"/>
  <c r="G68" i="142"/>
  <c r="G171" i="66"/>
  <c r="G174" i="143"/>
  <c r="G231" i="27"/>
  <c r="E235" i="27"/>
  <c r="G30" i="27"/>
  <c r="G159" i="16"/>
  <c r="G96" i="16"/>
  <c r="G78" i="16"/>
  <c r="G60" i="16"/>
  <c r="G187" i="158"/>
  <c r="G133" i="32"/>
  <c r="G38" i="47"/>
  <c r="G184" i="158"/>
  <c r="G53" i="49"/>
  <c r="G60" i="38"/>
  <c r="G44" i="38"/>
  <c r="G200" i="89"/>
  <c r="G135" i="89"/>
  <c r="G200" i="86"/>
  <c r="G190" i="87"/>
  <c r="G155" i="87"/>
  <c r="G127" i="83"/>
  <c r="G101" i="49"/>
  <c r="G168" i="54"/>
  <c r="G20" i="156"/>
  <c r="G55" i="155"/>
  <c r="G143" i="25"/>
  <c r="G203" i="175"/>
  <c r="G181" i="46"/>
  <c r="G74" i="46"/>
  <c r="G51" i="46"/>
  <c r="G35" i="46"/>
  <c r="G125" i="98"/>
  <c r="G47" i="98"/>
  <c r="G11" i="98"/>
  <c r="G194" i="53"/>
  <c r="G160" i="53"/>
  <c r="G115" i="53"/>
  <c r="G108" i="174"/>
  <c r="G32" i="95"/>
  <c r="G109" i="89"/>
  <c r="G47" i="150"/>
  <c r="G28" i="95"/>
  <c r="G220" i="178"/>
  <c r="G71" i="95"/>
  <c r="E93" i="38"/>
  <c r="G118" i="98"/>
  <c r="E102" i="69"/>
  <c r="G66" i="42"/>
  <c r="G200" i="66"/>
  <c r="G117" i="150"/>
  <c r="E228" i="43"/>
  <c r="E79" i="49"/>
  <c r="E79" i="150"/>
  <c r="E61" i="165"/>
  <c r="G164" i="1"/>
  <c r="E206" i="38"/>
  <c r="E119" i="89"/>
  <c r="G116" i="89"/>
  <c r="E61" i="50"/>
  <c r="E161" i="1"/>
  <c r="E61" i="1"/>
  <c r="G18" i="89"/>
  <c r="G106" i="150"/>
  <c r="G64" i="1"/>
  <c r="G89" i="69"/>
  <c r="G146" i="38"/>
  <c r="G56" i="14"/>
  <c r="G131" i="71"/>
  <c r="G15" i="25"/>
  <c r="G68" i="38"/>
  <c r="G132" i="92"/>
  <c r="G192" i="133"/>
  <c r="G57" i="58"/>
  <c r="G132" i="118"/>
  <c r="G66" i="155"/>
  <c r="G42" i="63"/>
  <c r="G132" i="68"/>
  <c r="G136" i="47"/>
  <c r="G116" i="145"/>
  <c r="G42" i="68"/>
  <c r="E79" i="95"/>
  <c r="G127" i="31"/>
  <c r="G85" i="95"/>
  <c r="G51" i="95"/>
  <c r="G35" i="95"/>
  <c r="G183" i="1"/>
  <c r="G167" i="1"/>
  <c r="G147" i="1"/>
  <c r="G127" i="1"/>
  <c r="G90" i="92"/>
  <c r="G156" i="142"/>
  <c r="G67" i="69"/>
  <c r="G178" i="84"/>
  <c r="G118" i="106"/>
  <c r="G205" i="46"/>
  <c r="G108" i="46"/>
  <c r="G68" i="46"/>
  <c r="G45" i="46"/>
  <c r="G177" i="106"/>
  <c r="G78" i="10"/>
  <c r="G31" i="10"/>
  <c r="G137" i="143"/>
  <c r="G185" i="14"/>
  <c r="G178" i="165"/>
  <c r="G136" i="165"/>
  <c r="G47" i="165"/>
  <c r="G172" i="27"/>
  <c r="G152" i="27"/>
  <c r="G190" i="16"/>
  <c r="G155" i="16"/>
  <c r="G136" i="16"/>
  <c r="G75" i="16"/>
  <c r="G187" i="157"/>
  <c r="G97" i="157"/>
  <c r="G72" i="157"/>
  <c r="G53" i="157"/>
  <c r="G27" i="28"/>
  <c r="G200" i="64"/>
  <c r="G167" i="64"/>
  <c r="G152" i="158"/>
  <c r="G49" i="49"/>
  <c r="G99" i="98"/>
  <c r="G182" i="118"/>
  <c r="G179" i="103"/>
  <c r="G156" i="103"/>
  <c r="G109" i="103"/>
  <c r="G137" i="38"/>
  <c r="G97" i="38"/>
  <c r="G110" i="89"/>
  <c r="G159" i="86"/>
  <c r="G118" i="86"/>
  <c r="G74" i="86"/>
  <c r="G186" i="87"/>
  <c r="G170" i="87"/>
  <c r="G127" i="143"/>
  <c r="G166" i="14"/>
  <c r="G136" i="14"/>
  <c r="G28" i="16"/>
  <c r="G34" i="47"/>
  <c r="G222" i="83"/>
  <c r="G232" i="49"/>
  <c r="G155" i="49"/>
  <c r="G56" i="49"/>
  <c r="G40" i="49"/>
  <c r="G17" i="174"/>
  <c r="G82" i="94"/>
  <c r="E93" i="94"/>
  <c r="G56" i="94"/>
  <c r="G96" i="42"/>
  <c r="G55" i="42"/>
  <c r="G39" i="42"/>
  <c r="G185" i="156"/>
  <c r="G189" i="155"/>
  <c r="G47" i="155"/>
  <c r="G16" i="155"/>
  <c r="E206" i="25"/>
  <c r="G202" i="25"/>
  <c r="G176" i="25"/>
  <c r="G64" i="25"/>
  <c r="G157" i="84"/>
  <c r="G77" i="84"/>
  <c r="G169" i="43"/>
  <c r="G125" i="43"/>
  <c r="G117" i="98"/>
  <c r="G132" i="53"/>
  <c r="G97" i="53"/>
  <c r="G44" i="53"/>
  <c r="G28" i="53"/>
  <c r="G203" i="174"/>
  <c r="G158" i="58"/>
  <c r="G135" i="58"/>
  <c r="G117" i="58"/>
  <c r="G105" i="62"/>
  <c r="G43" i="62"/>
  <c r="G27" i="62"/>
  <c r="G174" i="63"/>
  <c r="G165" i="66"/>
  <c r="G145" i="66"/>
  <c r="G114" i="66"/>
  <c r="G89" i="66"/>
  <c r="G52" i="66"/>
  <c r="G56" i="95"/>
  <c r="G226" i="50"/>
  <c r="G171" i="50"/>
  <c r="G180" i="1"/>
  <c r="G105" i="1"/>
  <c r="G184" i="92"/>
  <c r="G25" i="69"/>
  <c r="G203" i="89"/>
  <c r="G138" i="89"/>
  <c r="G232" i="150"/>
  <c r="G181" i="150"/>
  <c r="G115" i="95"/>
  <c r="E119" i="95"/>
  <c r="G187" i="50"/>
  <c r="G176" i="1"/>
  <c r="G133" i="1"/>
  <c r="G180" i="92"/>
  <c r="G164" i="89"/>
  <c r="G30" i="86"/>
  <c r="G75" i="50"/>
  <c r="G85" i="150"/>
  <c r="G46" i="157"/>
  <c r="E21" i="95"/>
  <c r="G170" i="49"/>
  <c r="G157" i="175"/>
  <c r="G69" i="58"/>
  <c r="E102" i="158"/>
  <c r="E21" i="106"/>
  <c r="E228" i="102"/>
  <c r="E111" i="37"/>
  <c r="G146" i="49"/>
  <c r="E197" i="156"/>
  <c r="E228" i="64"/>
  <c r="G127" i="95"/>
  <c r="G172" i="32"/>
  <c r="G116" i="83"/>
  <c r="G99" i="150"/>
  <c r="G31" i="95"/>
  <c r="G53" i="1"/>
  <c r="G85" i="69"/>
  <c r="G33" i="27"/>
  <c r="G116" i="24"/>
  <c r="G136" i="38"/>
  <c r="G186" i="55"/>
  <c r="G177" i="43"/>
  <c r="G11" i="25"/>
  <c r="G127" i="92"/>
  <c r="G51" i="49"/>
  <c r="G124" i="62"/>
  <c r="G97" i="178"/>
  <c r="G43" i="155"/>
  <c r="G38" i="63"/>
  <c r="G101" i="60"/>
  <c r="G48" i="54"/>
  <c r="G15" i="98"/>
  <c r="G52" i="152"/>
  <c r="G87" i="158"/>
  <c r="E102" i="103"/>
  <c r="G53" i="31"/>
  <c r="G86" i="31"/>
  <c r="G108" i="31"/>
  <c r="E111" i="31"/>
  <c r="G136" i="95"/>
  <c r="G66" i="95"/>
  <c r="G179" i="1"/>
  <c r="G71" i="92"/>
  <c r="G36" i="92"/>
  <c r="G16" i="92"/>
  <c r="G219" i="142"/>
  <c r="G132" i="142"/>
  <c r="G143" i="46"/>
  <c r="G50" i="69"/>
  <c r="G100" i="10"/>
  <c r="G190" i="165"/>
  <c r="G174" i="165"/>
  <c r="G96" i="165"/>
  <c r="G31" i="165"/>
  <c r="G186" i="16"/>
  <c r="G167" i="158"/>
  <c r="G115" i="157"/>
  <c r="G90" i="157"/>
  <c r="G85" i="28"/>
  <c r="G160" i="64"/>
  <c r="G71" i="64"/>
  <c r="G220" i="32"/>
  <c r="G188" i="32"/>
  <c r="G175" i="49"/>
  <c r="G156" i="49"/>
  <c r="G68" i="49"/>
  <c r="G164" i="98"/>
  <c r="G188" i="60"/>
  <c r="G76" i="103"/>
  <c r="G219" i="38"/>
  <c r="E228" i="38"/>
  <c r="G20" i="38"/>
  <c r="G54" i="89"/>
  <c r="G34" i="89"/>
  <c r="G14" i="89"/>
  <c r="G155" i="86"/>
  <c r="G31" i="86"/>
  <c r="G194" i="16"/>
  <c r="G86" i="16"/>
  <c r="G123" i="83"/>
  <c r="G71" i="49"/>
  <c r="G13" i="174"/>
  <c r="G32" i="94"/>
  <c r="G219" i="54"/>
  <c r="G180" i="54"/>
  <c r="G152" i="54"/>
  <c r="G155" i="42"/>
  <c r="G89" i="42"/>
  <c r="G150" i="156"/>
  <c r="G74" i="156"/>
  <c r="G16" i="156"/>
  <c r="G157" i="25"/>
  <c r="G138" i="25"/>
  <c r="G76" i="25"/>
  <c r="G129" i="84"/>
  <c r="G74" i="84"/>
  <c r="G15" i="84"/>
  <c r="G188" i="43"/>
  <c r="G203" i="46"/>
  <c r="G158" i="46"/>
  <c r="G47" i="46"/>
  <c r="G31" i="46"/>
  <c r="G15" i="46"/>
  <c r="G43" i="98"/>
  <c r="G190" i="53"/>
  <c r="G156" i="53"/>
  <c r="G82" i="53"/>
  <c r="G173" i="58"/>
  <c r="G77" i="58"/>
  <c r="G58" i="58"/>
  <c r="G190" i="63"/>
  <c r="G123" i="95"/>
  <c r="G101" i="50"/>
  <c r="G67" i="50"/>
  <c r="G145" i="150"/>
  <c r="G100" i="150"/>
  <c r="G66" i="150"/>
  <c r="G43" i="150"/>
  <c r="G101" i="95"/>
  <c r="G86" i="50"/>
  <c r="G133" i="150"/>
  <c r="G76" i="1"/>
  <c r="G170" i="65"/>
  <c r="G58" i="10"/>
  <c r="G13" i="90"/>
  <c r="G64" i="58"/>
  <c r="G178" i="145"/>
  <c r="G60" i="58"/>
  <c r="G133" i="19"/>
  <c r="G179" i="69"/>
  <c r="G191" i="66"/>
  <c r="G68" i="31"/>
  <c r="G101" i="31"/>
  <c r="G194" i="95"/>
  <c r="G141" i="95"/>
  <c r="G20" i="92"/>
  <c r="G175" i="142"/>
  <c r="G115" i="47"/>
  <c r="G36" i="150"/>
  <c r="G74" i="165"/>
  <c r="G188" i="27"/>
  <c r="G46" i="27"/>
  <c r="G25" i="157"/>
  <c r="G152" i="32"/>
  <c r="G117" i="32"/>
  <c r="G54" i="157"/>
  <c r="G123" i="49"/>
  <c r="G140" i="54"/>
  <c r="G192" i="60"/>
  <c r="G83" i="103"/>
  <c r="G29" i="177"/>
  <c r="G183" i="38"/>
  <c r="G28" i="38"/>
  <c r="G173" i="89"/>
  <c r="G181" i="86"/>
  <c r="G141" i="86"/>
  <c r="G100" i="86"/>
  <c r="G35" i="86"/>
  <c r="G174" i="87"/>
  <c r="G201" i="16"/>
  <c r="G146" i="83"/>
  <c r="G188" i="54"/>
  <c r="G159" i="42"/>
  <c r="G85" i="156"/>
  <c r="G55" i="156"/>
  <c r="G164" i="25"/>
  <c r="G124" i="25"/>
  <c r="G66" i="84"/>
  <c r="G220" i="46"/>
  <c r="G165" i="46"/>
  <c r="G150" i="174"/>
  <c r="G68" i="62"/>
  <c r="G151" i="50"/>
  <c r="G97" i="50"/>
  <c r="E61" i="95"/>
  <c r="E161" i="38"/>
  <c r="E79" i="28"/>
  <c r="E161" i="150"/>
  <c r="E21" i="25"/>
  <c r="G64" i="27"/>
  <c r="G150" i="42"/>
  <c r="G194" i="165"/>
  <c r="G107" i="94"/>
  <c r="E206" i="150"/>
  <c r="E79" i="46"/>
  <c r="E161" i="92"/>
  <c r="G205" i="31"/>
  <c r="E206" i="175"/>
  <c r="E197" i="65"/>
  <c r="E79" i="92"/>
  <c r="E102" i="86"/>
  <c r="E93" i="42"/>
  <c r="G71" i="66"/>
  <c r="G186" i="118"/>
  <c r="G66" i="142"/>
  <c r="G78" i="69"/>
  <c r="G29" i="27"/>
  <c r="G83" i="24"/>
  <c r="G126" i="38"/>
  <c r="G115" i="143"/>
  <c r="G59" i="156"/>
  <c r="G159" i="119"/>
  <c r="G167" i="92"/>
  <c r="G26" i="27"/>
  <c r="G43" i="49"/>
  <c r="G153" i="46"/>
  <c r="G17" i="66"/>
  <c r="G20" i="103"/>
  <c r="G12" i="103"/>
  <c r="G179" i="143"/>
  <c r="G132" i="31"/>
  <c r="G190" i="95"/>
  <c r="G155" i="95"/>
  <c r="G47" i="95"/>
  <c r="G160" i="1"/>
  <c r="G86" i="92"/>
  <c r="G32" i="92"/>
  <c r="G151" i="142"/>
  <c r="G165" i="106"/>
  <c r="G60" i="106"/>
  <c r="G138" i="46"/>
  <c r="G64" i="46"/>
  <c r="G41" i="46"/>
  <c r="G118" i="10"/>
  <c r="E119" i="10"/>
  <c r="G47" i="10"/>
  <c r="G27" i="10"/>
  <c r="G170" i="143"/>
  <c r="G118" i="165"/>
  <c r="G43" i="165"/>
  <c r="G184" i="27"/>
  <c r="G42" i="27"/>
  <c r="G170" i="16"/>
  <c r="G150" i="16"/>
  <c r="G131" i="16"/>
  <c r="G107" i="16"/>
  <c r="G89" i="16"/>
  <c r="G56" i="16"/>
  <c r="G179" i="157"/>
  <c r="G33" i="157"/>
  <c r="G100" i="28"/>
  <c r="G66" i="28"/>
  <c r="G19" i="28"/>
  <c r="G53" i="64"/>
  <c r="G168" i="32"/>
  <c r="G148" i="158"/>
  <c r="G87" i="83"/>
  <c r="G68" i="83"/>
  <c r="G64" i="49"/>
  <c r="G117" i="54"/>
  <c r="G193" i="118"/>
  <c r="G175" i="103"/>
  <c r="G156" i="38"/>
  <c r="G132" i="38"/>
  <c r="G90" i="38"/>
  <c r="G193" i="89"/>
  <c r="G149" i="89"/>
  <c r="G106" i="89"/>
  <c r="G69" i="89"/>
  <c r="G50" i="89"/>
  <c r="G136" i="86"/>
  <c r="G114" i="86"/>
  <c r="G131" i="14"/>
  <c r="G68" i="47"/>
  <c r="G222" i="49"/>
  <c r="G174" i="49"/>
  <c r="G115" i="49"/>
  <c r="G52" i="49"/>
  <c r="G52" i="94"/>
  <c r="G28" i="94"/>
  <c r="G35" i="42"/>
  <c r="G232" i="156"/>
  <c r="G181" i="156"/>
  <c r="G136" i="156"/>
  <c r="G185" i="155"/>
  <c r="G12" i="155"/>
  <c r="G172" i="25"/>
  <c r="G57" i="25"/>
  <c r="G152" i="84"/>
  <c r="G11" i="84"/>
  <c r="G185" i="43"/>
  <c r="G165" i="43"/>
  <c r="G110" i="98"/>
  <c r="G20" i="53"/>
  <c r="G196" i="174"/>
  <c r="G130" i="58"/>
  <c r="G110" i="58"/>
  <c r="G92" i="58"/>
  <c r="G73" i="58"/>
  <c r="G54" i="58"/>
  <c r="G132" i="62"/>
  <c r="G39" i="62"/>
  <c r="G19" i="62"/>
  <c r="G224" i="63"/>
  <c r="G203" i="66"/>
  <c r="G140" i="66"/>
  <c r="G147" i="95"/>
  <c r="G82" i="95"/>
  <c r="G48" i="95"/>
  <c r="G191" i="50"/>
  <c r="G56" i="50"/>
  <c r="G87" i="1"/>
  <c r="G176" i="92"/>
  <c r="G41" i="69"/>
  <c r="G17" i="69"/>
  <c r="G192" i="89"/>
  <c r="G133" i="89"/>
  <c r="E102" i="89"/>
  <c r="G98" i="89"/>
  <c r="G42" i="86"/>
  <c r="G222" i="150"/>
  <c r="E228" i="150"/>
  <c r="G193" i="150"/>
  <c r="G177" i="150"/>
  <c r="G78" i="150"/>
  <c r="G71" i="50"/>
  <c r="G168" i="1"/>
  <c r="G124" i="1"/>
  <c r="G64" i="69"/>
  <c r="G148" i="89"/>
  <c r="G105" i="89"/>
  <c r="G109" i="1"/>
  <c r="E61" i="72"/>
  <c r="E102" i="16"/>
  <c r="E111" i="94"/>
  <c r="E79" i="158"/>
  <c r="E119" i="47"/>
  <c r="E197" i="174"/>
  <c r="E79" i="27"/>
  <c r="E79" i="20"/>
  <c r="E228" i="20"/>
  <c r="G204" i="89"/>
  <c r="E79" i="14"/>
  <c r="G168" i="150"/>
  <c r="G88" i="150"/>
  <c r="G59" i="142"/>
  <c r="G176" i="133"/>
  <c r="G151" i="10"/>
  <c r="G108" i="14"/>
  <c r="G51" i="156"/>
  <c r="G160" i="92"/>
  <c r="G182" i="157"/>
  <c r="G87" i="46"/>
  <c r="G124" i="58"/>
  <c r="G45" i="68"/>
  <c r="G118" i="46"/>
  <c r="G96" i="68"/>
  <c r="G167" i="143"/>
  <c r="G44" i="104"/>
  <c r="G25" i="31"/>
  <c r="G57" i="31"/>
  <c r="G76" i="31"/>
  <c r="G90" i="31"/>
  <c r="G150" i="95"/>
  <c r="G131" i="95"/>
  <c r="G107" i="95"/>
  <c r="E111" i="95"/>
  <c r="G78" i="95"/>
  <c r="G201" i="1"/>
  <c r="G123" i="92"/>
  <c r="G67" i="92"/>
  <c r="G48" i="92"/>
  <c r="G202" i="142"/>
  <c r="G158" i="106"/>
  <c r="G136" i="106"/>
  <c r="G107" i="106"/>
  <c r="G101" i="46"/>
  <c r="G179" i="66"/>
  <c r="G167" i="46"/>
  <c r="G76" i="142"/>
  <c r="G175" i="46"/>
  <c r="G170" i="10"/>
  <c r="G155" i="10"/>
  <c r="G177" i="14"/>
  <c r="G186" i="165"/>
  <c r="G146" i="165"/>
  <c r="G114" i="165"/>
  <c r="G27" i="165"/>
  <c r="G196" i="27"/>
  <c r="G92" i="27"/>
  <c r="G182" i="16"/>
  <c r="G132" i="157"/>
  <c r="G86" i="157"/>
  <c r="G78" i="28"/>
  <c r="G177" i="64"/>
  <c r="G156" i="64"/>
  <c r="G203" i="32"/>
  <c r="G184" i="32"/>
  <c r="G143" i="32"/>
  <c r="G220" i="158"/>
  <c r="G83" i="157"/>
  <c r="G30" i="157"/>
  <c r="G132" i="49"/>
  <c r="G157" i="98"/>
  <c r="G219" i="58"/>
  <c r="G184" i="60"/>
  <c r="G14" i="60"/>
  <c r="G17" i="177"/>
  <c r="G108" i="38"/>
  <c r="E111" i="38"/>
  <c r="G52" i="38"/>
  <c r="G223" i="89"/>
  <c r="G165" i="89"/>
  <c r="G145" i="89"/>
  <c r="G125" i="89"/>
  <c r="G223" i="86"/>
  <c r="G170" i="86"/>
  <c r="G182" i="87"/>
  <c r="G166" i="87"/>
  <c r="G64" i="47"/>
  <c r="G200" i="83"/>
  <c r="G136" i="83"/>
  <c r="G67" i="94"/>
  <c r="G195" i="54"/>
  <c r="G176" i="54"/>
  <c r="G148" i="54"/>
  <c r="G47" i="42"/>
  <c r="G31" i="42"/>
  <c r="G100" i="156"/>
  <c r="G70" i="156"/>
  <c r="G32" i="156"/>
  <c r="G195" i="25"/>
  <c r="G133" i="25"/>
  <c r="G124" i="84"/>
  <c r="G70" i="84"/>
  <c r="G184" i="175"/>
  <c r="G145" i="43"/>
  <c r="G146" i="46"/>
  <c r="G66" i="46"/>
  <c r="G43" i="46"/>
  <c r="G27" i="46"/>
  <c r="G205" i="53"/>
  <c r="G186" i="53"/>
  <c r="G171" i="53"/>
  <c r="G127" i="53"/>
  <c r="G108" i="53"/>
  <c r="G75" i="53"/>
  <c r="G56" i="53"/>
  <c r="G40" i="53"/>
  <c r="G169" i="58"/>
  <c r="G76" i="62"/>
  <c r="G205" i="63"/>
  <c r="G107" i="66"/>
  <c r="G14" i="66"/>
  <c r="G51" i="150"/>
  <c r="G108" i="95"/>
  <c r="G183" i="50"/>
  <c r="G167" i="50"/>
  <c r="G90" i="50"/>
  <c r="G172" i="1"/>
  <c r="G91" i="89"/>
  <c r="G140" i="150"/>
  <c r="G59" i="150"/>
  <c r="G39" i="150"/>
  <c r="G202" i="50"/>
  <c r="E206" i="50"/>
  <c r="E21" i="102"/>
  <c r="G124" i="177"/>
  <c r="G126" i="71"/>
  <c r="G30" i="14"/>
  <c r="G68" i="63"/>
  <c r="G15" i="103"/>
  <c r="G17" i="90"/>
  <c r="G39" i="103"/>
  <c r="G173" i="120"/>
  <c r="G92" i="47"/>
  <c r="G72" i="158"/>
  <c r="G168" i="165"/>
  <c r="G38" i="106"/>
  <c r="G38" i="62"/>
  <c r="G41" i="47"/>
  <c r="G194" i="24"/>
  <c r="G48" i="142"/>
  <c r="G58" i="156"/>
  <c r="G202" i="92"/>
  <c r="G132" i="165"/>
  <c r="G67" i="54"/>
  <c r="E79" i="54"/>
  <c r="G59" i="68"/>
  <c r="G20" i="39"/>
  <c r="G166" i="71"/>
  <c r="G146" i="71"/>
  <c r="G203" i="84"/>
  <c r="G107" i="83"/>
  <c r="G68" i="66"/>
  <c r="G219" i="95"/>
  <c r="G88" i="87"/>
  <c r="G30" i="87"/>
  <c r="G77" i="176"/>
  <c r="G114" i="14"/>
  <c r="G222" i="62"/>
  <c r="G148" i="39"/>
  <c r="G135" i="39"/>
  <c r="G176" i="120"/>
  <c r="G176" i="39"/>
  <c r="G189" i="43"/>
  <c r="G47" i="58"/>
  <c r="E228" i="27"/>
  <c r="G202" i="120"/>
  <c r="E102" i="62"/>
  <c r="G60" i="133"/>
  <c r="G169" i="158"/>
  <c r="G86" i="119"/>
  <c r="G224" i="43"/>
  <c r="G178" i="14"/>
  <c r="E61" i="172"/>
  <c r="G34" i="83"/>
  <c r="E21" i="104"/>
  <c r="G175" i="95"/>
  <c r="G17" i="49"/>
  <c r="G181" i="158"/>
  <c r="G40" i="15"/>
  <c r="E111" i="55"/>
  <c r="G47" i="54"/>
  <c r="E206" i="31"/>
  <c r="E197" i="177"/>
  <c r="G45" i="27"/>
  <c r="G29" i="58"/>
  <c r="E111" i="92"/>
  <c r="G99" i="158"/>
  <c r="G100" i="155"/>
  <c r="G82" i="50"/>
  <c r="G143" i="165"/>
  <c r="G183" i="152"/>
  <c r="G185" i="83"/>
  <c r="G57" i="106"/>
  <c r="G34" i="62"/>
  <c r="G76" i="68"/>
  <c r="G185" i="49"/>
  <c r="G28" i="133"/>
  <c r="G167" i="58"/>
  <c r="G86" i="63"/>
  <c r="G78" i="92"/>
  <c r="G174" i="69"/>
  <c r="G75" i="141"/>
  <c r="G188" i="58"/>
  <c r="G202" i="10"/>
  <c r="E206" i="10"/>
  <c r="G182" i="143"/>
  <c r="G44" i="14"/>
  <c r="G225" i="155"/>
  <c r="G20" i="143"/>
  <c r="G56" i="165"/>
  <c r="G226" i="63"/>
  <c r="G52" i="145"/>
  <c r="G72" i="103"/>
  <c r="G11" i="103"/>
  <c r="G117" i="68"/>
  <c r="G44" i="68"/>
  <c r="G91" i="177"/>
  <c r="G129" i="83"/>
  <c r="G60" i="83"/>
  <c r="G184" i="98"/>
  <c r="G186" i="31"/>
  <c r="G65" i="176"/>
  <c r="G143" i="172"/>
  <c r="G45" i="58"/>
  <c r="G141" i="62"/>
  <c r="G124" i="68"/>
  <c r="G38" i="177"/>
  <c r="G28" i="90"/>
  <c r="G149" i="98"/>
  <c r="G172" i="39"/>
  <c r="G65" i="39"/>
  <c r="G183" i="177"/>
  <c r="G32" i="90"/>
  <c r="G58" i="39"/>
  <c r="G98" i="24"/>
  <c r="G70" i="98"/>
  <c r="G159" i="68"/>
  <c r="G108" i="177"/>
  <c r="G50" i="24"/>
  <c r="G107" i="156"/>
  <c r="G26" i="43"/>
  <c r="G174" i="38"/>
  <c r="G115" i="69"/>
  <c r="G109" i="62"/>
  <c r="G75" i="103"/>
  <c r="G72" i="177"/>
  <c r="G224" i="71"/>
  <c r="G133" i="83"/>
  <c r="G51" i="58"/>
  <c r="G69" i="87"/>
  <c r="G50" i="87"/>
  <c r="G151" i="172"/>
  <c r="G169" i="14"/>
  <c r="G118" i="14"/>
  <c r="G173" i="62"/>
  <c r="G179" i="95"/>
  <c r="G88" i="24"/>
  <c r="G84" i="24"/>
  <c r="G177" i="178"/>
  <c r="G28" i="104"/>
  <c r="G132" i="143"/>
  <c r="G114" i="92"/>
  <c r="E119" i="92"/>
  <c r="G125" i="68"/>
  <c r="G45" i="90"/>
  <c r="G27" i="39"/>
  <c r="G70" i="58"/>
  <c r="G25" i="176"/>
  <c r="G146" i="62"/>
  <c r="G78" i="68"/>
  <c r="G160" i="177"/>
  <c r="G156" i="83"/>
  <c r="G137" i="177"/>
  <c r="G84" i="39"/>
  <c r="G92" i="98"/>
  <c r="G140" i="39"/>
  <c r="E161" i="20"/>
  <c r="G49" i="55"/>
  <c r="G98" i="149"/>
  <c r="G89" i="95"/>
  <c r="G167" i="120"/>
  <c r="G82" i="120"/>
  <c r="G36" i="133"/>
  <c r="G75" i="14"/>
  <c r="G27" i="156"/>
  <c r="G40" i="143"/>
  <c r="G82" i="165"/>
  <c r="G69" i="62"/>
  <c r="G219" i="177"/>
  <c r="G116" i="177"/>
  <c r="G41" i="90"/>
  <c r="G169" i="120"/>
  <c r="E206" i="71"/>
  <c r="G201" i="71"/>
  <c r="G203" i="98"/>
  <c r="E206" i="98"/>
  <c r="G170" i="68"/>
  <c r="G146" i="68"/>
  <c r="G106" i="87"/>
  <c r="G65" i="87"/>
  <c r="G46" i="87"/>
  <c r="G14" i="87"/>
  <c r="G36" i="176"/>
  <c r="G202" i="172"/>
  <c r="G165" i="14"/>
  <c r="G140" i="14"/>
  <c r="G169" i="62"/>
  <c r="G41" i="133"/>
  <c r="G172" i="177"/>
  <c r="G42" i="177"/>
  <c r="G34" i="24"/>
  <c r="G97" i="133"/>
  <c r="G191" i="95"/>
  <c r="G58" i="178"/>
  <c r="G74" i="58"/>
  <c r="G58" i="62"/>
  <c r="G140" i="98"/>
  <c r="G185" i="172"/>
  <c r="G150" i="71"/>
  <c r="E93" i="120"/>
  <c r="G189" i="175"/>
  <c r="E161" i="177"/>
  <c r="G30" i="71"/>
  <c r="E161" i="46"/>
  <c r="E79" i="58"/>
  <c r="G71" i="54"/>
  <c r="E228" i="84"/>
  <c r="G124" i="172"/>
  <c r="G117" i="90"/>
  <c r="E237" i="164"/>
  <c r="E161" i="149"/>
  <c r="E111" i="62"/>
  <c r="G47" i="50"/>
  <c r="E206" i="141"/>
  <c r="E228" i="118"/>
  <c r="E21" i="149"/>
  <c r="G53" i="177"/>
  <c r="E93" i="95"/>
  <c r="G159" i="92"/>
  <c r="G116" i="165"/>
  <c r="G175" i="152"/>
  <c r="G49" i="106"/>
  <c r="G66" i="58"/>
  <c r="G60" i="46"/>
  <c r="G160" i="58"/>
  <c r="G51" i="92"/>
  <c r="G159" i="69"/>
  <c r="G60" i="141"/>
  <c r="G180" i="58"/>
  <c r="G43" i="10"/>
  <c r="G170" i="27"/>
  <c r="G54" i="156"/>
  <c r="G223" i="143"/>
  <c r="G153" i="98"/>
  <c r="G68" i="103"/>
  <c r="G34" i="103"/>
  <c r="E237" i="24"/>
  <c r="G129" i="177"/>
  <c r="G109" i="177"/>
  <c r="G87" i="177"/>
  <c r="G189" i="120"/>
  <c r="G165" i="120"/>
  <c r="G136" i="71"/>
  <c r="G78" i="83"/>
  <c r="G13" i="83"/>
  <c r="G196" i="98"/>
  <c r="G166" i="68"/>
  <c r="G141" i="68"/>
  <c r="G58" i="87"/>
  <c r="G73" i="176"/>
  <c r="G54" i="176"/>
  <c r="G32" i="176"/>
  <c r="G195" i="172"/>
  <c r="G179" i="172"/>
  <c r="G176" i="14"/>
  <c r="G158" i="14"/>
  <c r="G204" i="62"/>
  <c r="G227" i="39"/>
  <c r="G65" i="103"/>
  <c r="G105" i="118"/>
  <c r="G97" i="177"/>
  <c r="G196" i="120"/>
  <c r="G72" i="133"/>
  <c r="G157" i="39"/>
  <c r="G168" i="177"/>
  <c r="G167" i="95"/>
  <c r="G44" i="174"/>
  <c r="G203" i="120"/>
  <c r="G164" i="39"/>
  <c r="G46" i="177"/>
  <c r="G126" i="98"/>
  <c r="G33" i="174"/>
  <c r="G152" i="39"/>
  <c r="G43" i="39"/>
  <c r="G141" i="98"/>
  <c r="G42" i="150"/>
  <c r="G106" i="39"/>
  <c r="G31" i="103"/>
  <c r="G137" i="58"/>
  <c r="G138" i="174"/>
  <c r="G118" i="92"/>
  <c r="G31" i="156"/>
  <c r="G193" i="156"/>
  <c r="G220" i="84"/>
  <c r="G227" i="95"/>
  <c r="G168" i="39"/>
  <c r="G131" i="142"/>
  <c r="E93" i="24"/>
  <c r="G20" i="90"/>
  <c r="G135" i="178"/>
  <c r="G195" i="178"/>
  <c r="G28" i="63"/>
  <c r="G19" i="119"/>
  <c r="E21" i="119"/>
  <c r="G231" i="65"/>
  <c r="G97" i="15"/>
  <c r="G59" i="106"/>
  <c r="E93" i="172"/>
  <c r="G58" i="172"/>
  <c r="G147" i="62"/>
  <c r="G59" i="19"/>
  <c r="E21" i="90"/>
  <c r="E61" i="176"/>
  <c r="E102" i="15"/>
  <c r="G66" i="98"/>
  <c r="E102" i="83"/>
  <c r="E79" i="104"/>
  <c r="E197" i="43"/>
  <c r="E79" i="39"/>
  <c r="G201" i="178"/>
  <c r="G118" i="178"/>
  <c r="G118" i="87"/>
  <c r="G52" i="55"/>
  <c r="G116" i="120"/>
  <c r="G176" i="87"/>
  <c r="G84" i="165"/>
  <c r="G87" i="150"/>
  <c r="G41" i="106"/>
  <c r="G42" i="25"/>
  <c r="G44" i="103"/>
  <c r="G92" i="62"/>
  <c r="G16" i="46"/>
  <c r="G156" i="58"/>
  <c r="G96" i="145"/>
  <c r="G47" i="92"/>
  <c r="G183" i="87"/>
  <c r="G14" i="53"/>
  <c r="G164" i="58"/>
  <c r="G159" i="143"/>
  <c r="G222" i="156"/>
  <c r="E228" i="156"/>
  <c r="G99" i="83"/>
  <c r="G182" i="62"/>
  <c r="G100" i="68"/>
  <c r="G36" i="68"/>
  <c r="G114" i="71"/>
  <c r="G148" i="83"/>
  <c r="G52" i="83"/>
  <c r="G190" i="31"/>
  <c r="G227" i="172"/>
  <c r="G135" i="14"/>
  <c r="G107" i="14"/>
  <c r="E111" i="14"/>
  <c r="G41" i="58"/>
  <c r="G36" i="98"/>
  <c r="G226" i="177"/>
  <c r="G92" i="39"/>
  <c r="G187" i="31"/>
  <c r="G52" i="90"/>
  <c r="G50" i="39"/>
  <c r="G169" i="98"/>
  <c r="G130" i="39"/>
  <c r="G49" i="133"/>
  <c r="G175" i="31"/>
  <c r="G175" i="177"/>
  <c r="G31" i="39"/>
  <c r="G191" i="14"/>
  <c r="G56" i="133"/>
  <c r="G118" i="142"/>
  <c r="G30" i="177"/>
  <c r="G92" i="87"/>
  <c r="G187" i="172"/>
  <c r="G196" i="39"/>
  <c r="G28" i="150"/>
  <c r="G47" i="103"/>
  <c r="G202" i="177"/>
  <c r="G202" i="39"/>
  <c r="E206" i="39"/>
  <c r="G59" i="178"/>
  <c r="G111" i="167"/>
  <c r="E79" i="177"/>
  <c r="G45" i="31"/>
  <c r="G91" i="24"/>
  <c r="G152" i="47"/>
  <c r="G73" i="92"/>
  <c r="G190" i="143"/>
  <c r="G98" i="177"/>
  <c r="G137" i="68"/>
  <c r="G195" i="177"/>
  <c r="G184" i="39"/>
  <c r="G69" i="39"/>
  <c r="G171" i="95"/>
  <c r="G46" i="165"/>
  <c r="G157" i="145"/>
  <c r="G231" i="178"/>
  <c r="G235" i="178" s="1"/>
  <c r="E102" i="43"/>
  <c r="G57" i="60"/>
  <c r="E161" i="143"/>
  <c r="G27" i="103"/>
  <c r="G68" i="58"/>
  <c r="G50" i="149"/>
  <c r="G183" i="172"/>
  <c r="G201" i="31"/>
  <c r="G171" i="10"/>
  <c r="G19" i="64"/>
  <c r="G82" i="87"/>
  <c r="G44" i="55"/>
  <c r="G73" i="165"/>
  <c r="G141" i="39"/>
  <c r="G72" i="150"/>
  <c r="G158" i="53"/>
  <c r="G88" i="68"/>
  <c r="G34" i="71"/>
  <c r="G133" i="58"/>
  <c r="G43" i="50"/>
  <c r="G35" i="92"/>
  <c r="G17" i="68"/>
  <c r="G157" i="58"/>
  <c r="G223" i="156"/>
  <c r="G42" i="156"/>
  <c r="G40" i="58"/>
  <c r="G150" i="143"/>
  <c r="G60" i="143"/>
  <c r="G90" i="165"/>
  <c r="E206" i="172"/>
  <c r="G116" i="62"/>
  <c r="G227" i="177"/>
  <c r="G83" i="177"/>
  <c r="G12" i="39"/>
  <c r="G194" i="71"/>
  <c r="G138" i="83"/>
  <c r="G100" i="83"/>
  <c r="G74" i="83"/>
  <c r="G44" i="83"/>
  <c r="G192" i="98"/>
  <c r="G176" i="98"/>
  <c r="G155" i="68"/>
  <c r="G136" i="68"/>
  <c r="G99" i="87"/>
  <c r="G73" i="87"/>
  <c r="G26" i="87"/>
  <c r="G46" i="176"/>
  <c r="G28" i="176"/>
  <c r="G175" i="172"/>
  <c r="G156" i="172"/>
  <c r="G172" i="14"/>
  <c r="G149" i="14"/>
  <c r="G130" i="14"/>
  <c r="G200" i="62"/>
  <c r="G136" i="62"/>
  <c r="E111" i="177"/>
  <c r="G105" i="177"/>
  <c r="G180" i="177"/>
  <c r="G183" i="31"/>
  <c r="G115" i="98"/>
  <c r="G177" i="24"/>
  <c r="G188" i="39"/>
  <c r="G76" i="177"/>
  <c r="G48" i="98"/>
  <c r="G174" i="24"/>
  <c r="G184" i="120"/>
  <c r="G142" i="68"/>
  <c r="G167" i="177"/>
  <c r="G180" i="120"/>
  <c r="G219" i="39"/>
  <c r="G69" i="103"/>
  <c r="G191" i="31"/>
  <c r="G127" i="68"/>
  <c r="G32" i="150"/>
  <c r="G170" i="24"/>
  <c r="G77" i="24"/>
  <c r="G36" i="90"/>
  <c r="G99" i="39"/>
  <c r="G56" i="98"/>
  <c r="G185" i="24"/>
  <c r="G56" i="90"/>
  <c r="G188" i="120"/>
  <c r="G77" i="39"/>
  <c r="G105" i="24"/>
  <c r="G110" i="164"/>
  <c r="E111" i="164"/>
  <c r="G98" i="58"/>
  <c r="G14" i="150"/>
  <c r="G73" i="156"/>
  <c r="G44" i="143"/>
  <c r="G69" i="83"/>
  <c r="G177" i="120"/>
  <c r="G186" i="71"/>
  <c r="G188" i="98"/>
  <c r="G150" i="68"/>
  <c r="G110" i="87"/>
  <c r="E228" i="172"/>
  <c r="G219" i="172"/>
  <c r="G232" i="62"/>
  <c r="G109" i="68"/>
  <c r="G32" i="98"/>
  <c r="G166" i="24"/>
  <c r="G108" i="98"/>
  <c r="G156" i="177"/>
  <c r="G54" i="39"/>
  <c r="E111" i="87"/>
  <c r="G43" i="152"/>
  <c r="G42" i="62"/>
  <c r="G44" i="133"/>
  <c r="G183" i="58"/>
  <c r="G100" i="142"/>
  <c r="G221" i="64"/>
  <c r="G58" i="103"/>
  <c r="G56" i="83"/>
  <c r="G138" i="177"/>
  <c r="G43" i="176"/>
  <c r="G171" i="172"/>
  <c r="G83" i="133"/>
  <c r="G127" i="177"/>
  <c r="G88" i="39"/>
  <c r="G37" i="133"/>
  <c r="G60" i="90"/>
  <c r="G132" i="177"/>
  <c r="E197" i="158"/>
  <c r="E102" i="60"/>
  <c r="G226" i="178"/>
  <c r="E228" i="85"/>
  <c r="E206" i="68"/>
  <c r="G48" i="58"/>
  <c r="G220" i="72"/>
  <c r="E102" i="104"/>
  <c r="G227" i="94"/>
  <c r="G194" i="42"/>
  <c r="G99" i="60"/>
  <c r="G195" i="157"/>
  <c r="E206" i="84"/>
  <c r="E61" i="142"/>
  <c r="G35" i="178"/>
  <c r="E228" i="71"/>
  <c r="E102" i="120"/>
  <c r="G68" i="177"/>
  <c r="E206" i="177"/>
  <c r="E93" i="72"/>
  <c r="E197" i="141"/>
  <c r="E228" i="103"/>
  <c r="E93" i="87"/>
  <c r="G83" i="10"/>
  <c r="G46" i="32"/>
  <c r="G143" i="158"/>
  <c r="G65" i="165"/>
  <c r="G135" i="84"/>
  <c r="G166" i="156"/>
  <c r="G85" i="53"/>
  <c r="G43" i="15"/>
  <c r="G69" i="68"/>
  <c r="G148" i="98"/>
  <c r="G129" i="58"/>
  <c r="G31" i="92"/>
  <c r="G148" i="58"/>
  <c r="G224" i="143"/>
  <c r="G151" i="143"/>
  <c r="G20" i="58"/>
  <c r="G156" i="165"/>
  <c r="G19" i="71"/>
  <c r="G84" i="83"/>
  <c r="G64" i="103"/>
  <c r="G30" i="103"/>
  <c r="G174" i="62"/>
  <c r="G74" i="68"/>
  <c r="G49" i="90"/>
  <c r="G29" i="90"/>
  <c r="G45" i="49"/>
  <c r="G194" i="31"/>
  <c r="G151" i="95"/>
  <c r="G54" i="87"/>
  <c r="G38" i="87"/>
  <c r="G18" i="87"/>
  <c r="G69" i="176"/>
  <c r="G191" i="172"/>
  <c r="G37" i="58"/>
  <c r="G85" i="68"/>
  <c r="G64" i="177"/>
  <c r="G84" i="98"/>
  <c r="G48" i="174"/>
  <c r="G191" i="177"/>
  <c r="G192" i="120"/>
  <c r="G73" i="39"/>
  <c r="G202" i="31"/>
  <c r="G40" i="90"/>
  <c r="G25" i="133"/>
  <c r="G117" i="39"/>
  <c r="G179" i="31"/>
  <c r="G145" i="98"/>
  <c r="G151" i="177"/>
  <c r="G181" i="24"/>
  <c r="G110" i="39"/>
  <c r="G184" i="177"/>
  <c r="G195" i="31"/>
  <c r="G40" i="98"/>
  <c r="G44" i="90"/>
  <c r="G29" i="133"/>
  <c r="G70" i="79"/>
  <c r="G58" i="20"/>
  <c r="G54" i="20"/>
  <c r="G119" i="20"/>
  <c r="E119" i="20"/>
  <c r="E21" i="85"/>
  <c r="E102" i="85"/>
  <c r="G13" i="85"/>
  <c r="G173" i="85"/>
  <c r="E79" i="85"/>
  <c r="G44" i="63"/>
  <c r="G232" i="50"/>
  <c r="G150" i="15"/>
  <c r="G58" i="27"/>
  <c r="E61" i="27"/>
  <c r="G107" i="39"/>
  <c r="G107" i="145"/>
  <c r="G83" i="58"/>
  <c r="G140" i="49"/>
  <c r="G25" i="58"/>
  <c r="G71" i="103"/>
  <c r="G91" i="150"/>
  <c r="G11" i="50"/>
  <c r="G114" i="178"/>
  <c r="E111" i="106"/>
  <c r="G183" i="157"/>
  <c r="G96" i="39"/>
  <c r="G110" i="83"/>
  <c r="E111" i="83"/>
  <c r="G92" i="66"/>
  <c r="G51" i="19"/>
  <c r="G164" i="150"/>
  <c r="G156" i="10"/>
  <c r="E111" i="145"/>
  <c r="G92" i="63"/>
  <c r="G13" i="19"/>
  <c r="G185" i="19"/>
  <c r="G219" i="15"/>
  <c r="G220" i="65"/>
  <c r="E228" i="65"/>
  <c r="G222" i="106"/>
  <c r="G191" i="38"/>
  <c r="G64" i="38"/>
  <c r="G115" i="50"/>
  <c r="E119" i="50"/>
  <c r="E228" i="92"/>
  <c r="G221" i="92"/>
  <c r="G52" i="89"/>
  <c r="G183" i="86"/>
  <c r="G69" i="24"/>
  <c r="G110" i="90"/>
  <c r="G150" i="50"/>
  <c r="G12" i="50"/>
  <c r="G141" i="1"/>
  <c r="G101" i="1"/>
  <c r="G48" i="1"/>
  <c r="G220" i="98"/>
  <c r="E228" i="98"/>
  <c r="G57" i="150"/>
  <c r="E61" i="150"/>
  <c r="G65" i="63"/>
  <c r="G50" i="68"/>
  <c r="G37" i="39"/>
  <c r="G26" i="63"/>
  <c r="G171" i="19"/>
  <c r="G106" i="47"/>
  <c r="E111" i="47"/>
  <c r="G32" i="63"/>
  <c r="G149" i="68"/>
  <c r="G157" i="31"/>
  <c r="E161" i="31"/>
  <c r="G135" i="10"/>
  <c r="G34" i="10"/>
  <c r="G178" i="71"/>
  <c r="G76" i="58"/>
  <c r="G150" i="39"/>
  <c r="G18" i="150"/>
  <c r="G58" i="155"/>
  <c r="G87" i="178"/>
  <c r="G44" i="145"/>
  <c r="G156" i="63"/>
  <c r="E61" i="94"/>
  <c r="E93" i="150"/>
  <c r="E206" i="145"/>
  <c r="G170" i="19"/>
  <c r="G115" i="172"/>
  <c r="G157" i="149"/>
  <c r="G115" i="14"/>
  <c r="E119" i="14"/>
  <c r="G18" i="14"/>
  <c r="G189" i="55"/>
  <c r="G164" i="165"/>
  <c r="G220" i="27"/>
  <c r="E237" i="86"/>
  <c r="G12" i="16"/>
  <c r="G146" i="1"/>
  <c r="G74" i="64"/>
  <c r="E79" i="64"/>
  <c r="G151" i="63"/>
  <c r="E237" i="177"/>
  <c r="G182" i="71"/>
  <c r="G181" i="71"/>
  <c r="G164" i="141"/>
  <c r="G126" i="58"/>
  <c r="G51" i="145"/>
  <c r="G145" i="84"/>
  <c r="G89" i="71"/>
  <c r="G33" i="39"/>
  <c r="G105" i="19"/>
  <c r="G66" i="165"/>
  <c r="G179" i="149"/>
  <c r="G11" i="165"/>
  <c r="E21" i="165"/>
  <c r="E197" i="150"/>
  <c r="G149" i="49"/>
  <c r="G156" i="65"/>
  <c r="G84" i="103"/>
  <c r="G160" i="14"/>
  <c r="G55" i="50"/>
  <c r="G40" i="145"/>
  <c r="G164" i="149"/>
  <c r="G21" i="167"/>
  <c r="H15" i="167" s="1"/>
  <c r="G48" i="28"/>
  <c r="G106" i="64"/>
  <c r="G158" i="84"/>
  <c r="G43" i="54"/>
  <c r="G75" i="142"/>
  <c r="E79" i="142"/>
  <c r="G60" i="142"/>
  <c r="G41" i="142"/>
  <c r="G42" i="69"/>
  <c r="G33" i="143"/>
  <c r="G185" i="158"/>
  <c r="G150" i="158"/>
  <c r="G20" i="63"/>
  <c r="G167" i="66"/>
  <c r="G74" i="66"/>
  <c r="G176" i="68"/>
  <c r="G164" i="60"/>
  <c r="G59" i="60"/>
  <c r="G50" i="10"/>
  <c r="G36" i="71"/>
  <c r="G46" i="10"/>
  <c r="G31" i="58"/>
  <c r="G117" i="83"/>
  <c r="E119" i="83"/>
  <c r="G90" i="63"/>
  <c r="G118" i="156"/>
  <c r="G78" i="156"/>
  <c r="G150" i="155"/>
  <c r="G142" i="63"/>
  <c r="G75" i="19"/>
  <c r="G34" i="53"/>
  <c r="E61" i="53"/>
  <c r="G86" i="58"/>
  <c r="G42" i="103"/>
  <c r="E111" i="178"/>
  <c r="E119" i="39"/>
  <c r="E161" i="87"/>
  <c r="G167" i="38"/>
  <c r="G49" i="38"/>
  <c r="G137" i="50"/>
  <c r="G20" i="89"/>
  <c r="G157" i="86"/>
  <c r="E161" i="86"/>
  <c r="G145" i="172"/>
  <c r="G49" i="141"/>
  <c r="G37" i="141"/>
  <c r="G20" i="24"/>
  <c r="G164" i="90"/>
  <c r="G140" i="90"/>
  <c r="G168" i="118"/>
  <c r="E197" i="118"/>
  <c r="G150" i="118"/>
  <c r="G174" i="103"/>
  <c r="E197" i="103"/>
  <c r="G87" i="31"/>
  <c r="E93" i="31"/>
  <c r="G226" i="95"/>
  <c r="E197" i="95"/>
  <c r="G172" i="95"/>
  <c r="G145" i="95"/>
  <c r="G202" i="1"/>
  <c r="E206" i="1"/>
  <c r="G118" i="1"/>
  <c r="G86" i="1"/>
  <c r="E93" i="1"/>
  <c r="G52" i="1"/>
  <c r="E21" i="1"/>
  <c r="G13" i="1"/>
  <c r="G170" i="142"/>
  <c r="G150" i="142"/>
  <c r="G56" i="142"/>
  <c r="G38" i="69"/>
  <c r="G225" i="143"/>
  <c r="G52" i="16"/>
  <c r="G175" i="42"/>
  <c r="E197" i="42"/>
  <c r="G156" i="42"/>
  <c r="G138" i="42"/>
  <c r="G106" i="156"/>
  <c r="G42" i="66"/>
  <c r="G221" i="68"/>
  <c r="G74" i="60"/>
  <c r="E197" i="157"/>
  <c r="E197" i="32"/>
  <c r="G97" i="71"/>
  <c r="G28" i="14"/>
  <c r="G26" i="142"/>
  <c r="G170" i="39"/>
  <c r="G13" i="133"/>
  <c r="G35" i="58"/>
  <c r="G16" i="152"/>
  <c r="G98" i="68"/>
  <c r="G59" i="39"/>
  <c r="G110" i="47"/>
  <c r="G48" i="63"/>
  <c r="G123" i="64"/>
  <c r="G145" i="49"/>
  <c r="G46" i="106"/>
  <c r="G76" i="46"/>
  <c r="G50" i="98"/>
  <c r="G13" i="54"/>
  <c r="G65" i="158"/>
  <c r="G156" i="104"/>
  <c r="G40" i="118"/>
  <c r="G181" i="49"/>
  <c r="G55" i="83"/>
  <c r="G155" i="38"/>
  <c r="G59" i="50"/>
  <c r="G99" i="62"/>
  <c r="G117" i="46"/>
  <c r="G108" i="145"/>
  <c r="G11" i="119"/>
  <c r="G13" i="104"/>
  <c r="G184" i="63"/>
  <c r="G172" i="84"/>
  <c r="G136" i="172"/>
  <c r="G123" i="14"/>
  <c r="G204" i="55"/>
  <c r="G172" i="165"/>
  <c r="K14" i="14"/>
  <c r="G195" i="38"/>
  <c r="G171" i="38"/>
  <c r="G33" i="38"/>
  <c r="G123" i="50"/>
  <c r="G115" i="1"/>
  <c r="G72" i="1"/>
  <c r="G56" i="89"/>
  <c r="G40" i="89"/>
  <c r="G187" i="86"/>
  <c r="G54" i="24"/>
  <c r="G178" i="103"/>
  <c r="G108" i="103"/>
  <c r="G88" i="103"/>
  <c r="G33" i="1"/>
  <c r="G49" i="142"/>
  <c r="G125" i="95"/>
  <c r="E161" i="95"/>
  <c r="G48" i="50"/>
  <c r="G32" i="50"/>
  <c r="G16" i="50"/>
  <c r="G108" i="1"/>
  <c r="G37" i="1"/>
  <c r="G155" i="142"/>
  <c r="G136" i="142"/>
  <c r="G123" i="142"/>
  <c r="G101" i="142"/>
  <c r="G82" i="142"/>
  <c r="G27" i="69"/>
  <c r="G11" i="10"/>
  <c r="G201" i="42"/>
  <c r="G160" i="42"/>
  <c r="G142" i="156"/>
  <c r="G181" i="66"/>
  <c r="G77" i="66"/>
  <c r="G124" i="60"/>
  <c r="G235" i="38"/>
  <c r="K14" i="38"/>
  <c r="G167" i="10"/>
  <c r="E61" i="106"/>
  <c r="E161" i="49"/>
  <c r="G138" i="178"/>
  <c r="G182" i="25"/>
  <c r="G56" i="178"/>
  <c r="G174" i="155"/>
  <c r="G51" i="155"/>
  <c r="G82" i="71"/>
  <c r="G40" i="71"/>
  <c r="G132" i="63"/>
  <c r="G35" i="71"/>
  <c r="G85" i="83"/>
  <c r="G58" i="66"/>
  <c r="G172" i="58"/>
  <c r="G118" i="15"/>
  <c r="G82" i="58"/>
  <c r="G194" i="25"/>
  <c r="G158" i="83"/>
  <c r="G92" i="46"/>
  <c r="G58" i="43"/>
  <c r="G71" i="58"/>
  <c r="G82" i="145"/>
  <c r="G90" i="54"/>
  <c r="G222" i="28"/>
  <c r="G78" i="15"/>
  <c r="G151" i="65"/>
  <c r="G38" i="65"/>
  <c r="G44" i="39"/>
  <c r="G179" i="38"/>
  <c r="G45" i="38"/>
  <c r="G132" i="50"/>
  <c r="G49" i="1"/>
  <c r="G16" i="69"/>
  <c r="G16" i="89"/>
  <c r="G180" i="86"/>
  <c r="G184" i="176"/>
  <c r="G45" i="141"/>
  <c r="G190" i="24"/>
  <c r="G46" i="24"/>
  <c r="G107" i="90"/>
  <c r="G45" i="60"/>
  <c r="G165" i="118"/>
  <c r="G147" i="118"/>
  <c r="G193" i="103"/>
  <c r="G105" i="103"/>
  <c r="G78" i="103"/>
  <c r="G36" i="16"/>
  <c r="G202" i="95"/>
  <c r="G183" i="95"/>
  <c r="G168" i="95"/>
  <c r="G135" i="95"/>
  <c r="G44" i="50"/>
  <c r="G195" i="1"/>
  <c r="G136" i="1"/>
  <c r="G67" i="1"/>
  <c r="G29" i="1"/>
  <c r="G182" i="142"/>
  <c r="G166" i="142"/>
  <c r="G115" i="142"/>
  <c r="E119" i="142"/>
  <c r="G97" i="142"/>
  <c r="E102" i="142"/>
  <c r="G201" i="69"/>
  <c r="E206" i="69"/>
  <c r="G19" i="69"/>
  <c r="G175" i="87"/>
  <c r="G19" i="10"/>
  <c r="G29" i="143"/>
  <c r="G196" i="158"/>
  <c r="G146" i="158"/>
  <c r="G36" i="156"/>
  <c r="G89" i="84"/>
  <c r="G60" i="66"/>
  <c r="G204" i="68"/>
  <c r="G172" i="68"/>
  <c r="G48" i="60"/>
  <c r="G148" i="172"/>
  <c r="G174" i="25"/>
  <c r="G116" i="90"/>
  <c r="G132" i="119"/>
  <c r="G155" i="25"/>
  <c r="G66" i="176"/>
  <c r="E79" i="176"/>
  <c r="G74" i="175"/>
  <c r="G17" i="31"/>
  <c r="G110" i="145"/>
  <c r="G177" i="49"/>
  <c r="G188" i="63"/>
  <c r="G26" i="71"/>
  <c r="G54" i="43"/>
  <c r="G176" i="63"/>
  <c r="G99" i="47"/>
  <c r="G152" i="150"/>
  <c r="G55" i="165"/>
  <c r="G177" i="66"/>
  <c r="G223" i="68"/>
  <c r="G30" i="84"/>
  <c r="G89" i="49"/>
  <c r="G25" i="46"/>
  <c r="G83" i="150"/>
  <c r="G49" i="150"/>
  <c r="G219" i="31"/>
  <c r="E228" i="31"/>
  <c r="G85" i="50"/>
  <c r="G191" i="1"/>
  <c r="G16" i="71"/>
  <c r="G16" i="150"/>
  <c r="G26" i="15"/>
  <c r="G222" i="46"/>
  <c r="E228" i="46"/>
  <c r="G74" i="152"/>
  <c r="G153" i="84"/>
  <c r="G172" i="149"/>
  <c r="G68" i="14"/>
  <c r="G14" i="14"/>
  <c r="G152" i="165"/>
  <c r="G203" i="27"/>
  <c r="G148" i="90"/>
  <c r="G160" i="38"/>
  <c r="G57" i="38"/>
  <c r="G48" i="89"/>
  <c r="G71" i="141"/>
  <c r="G65" i="24"/>
  <c r="G42" i="24"/>
  <c r="G192" i="90"/>
  <c r="E237" i="92"/>
  <c r="E102" i="84"/>
  <c r="G96" i="84"/>
  <c r="G152" i="86"/>
  <c r="G86" i="142"/>
  <c r="G226" i="31"/>
  <c r="G28" i="50"/>
  <c r="G226" i="1"/>
  <c r="G97" i="1"/>
  <c r="E102" i="1"/>
  <c r="G82" i="1"/>
  <c r="G146" i="142"/>
  <c r="G126" i="142"/>
  <c r="G71" i="142"/>
  <c r="G48" i="16"/>
  <c r="G152" i="42"/>
  <c r="G156" i="156"/>
  <c r="G193" i="66"/>
  <c r="G152" i="66"/>
  <c r="G38" i="66"/>
  <c r="G143" i="60"/>
  <c r="G70" i="60"/>
  <c r="G17" i="176"/>
  <c r="E161" i="141"/>
  <c r="G148" i="177"/>
  <c r="G129" i="120"/>
  <c r="G35" i="39"/>
  <c r="G183" i="64"/>
  <c r="G193" i="43"/>
  <c r="G33" i="66"/>
  <c r="G53" i="10"/>
  <c r="G114" i="156"/>
  <c r="E119" i="156"/>
  <c r="G26" i="49"/>
  <c r="G130" i="63"/>
  <c r="G27" i="145"/>
  <c r="G19" i="106"/>
  <c r="G85" i="58"/>
  <c r="G82" i="118"/>
  <c r="G15" i="43"/>
  <c r="G57" i="47"/>
  <c r="G38" i="43"/>
  <c r="G20" i="165"/>
  <c r="G15" i="58"/>
  <c r="G50" i="43"/>
  <c r="G70" i="49"/>
  <c r="G232" i="47"/>
  <c r="G68" i="150"/>
  <c r="G227" i="31"/>
  <c r="G77" i="92"/>
  <c r="G193" i="84"/>
  <c r="G106" i="63"/>
  <c r="E111" i="63"/>
  <c r="G75" i="145"/>
  <c r="G78" i="119"/>
  <c r="G200" i="28"/>
  <c r="E206" i="28"/>
  <c r="E119" i="15"/>
  <c r="G152" i="149"/>
  <c r="G179" i="165"/>
  <c r="G19" i="165"/>
  <c r="G33" i="60"/>
  <c r="G127" i="50"/>
  <c r="G186" i="24"/>
  <c r="G188" i="90"/>
  <c r="G152" i="90"/>
  <c r="G204" i="120"/>
  <c r="G183" i="71"/>
  <c r="G182" i="103"/>
  <c r="G166" i="103"/>
  <c r="K14" i="92"/>
  <c r="G235" i="92"/>
  <c r="G140" i="95"/>
  <c r="G195" i="95"/>
  <c r="G164" i="95"/>
  <c r="G130" i="95"/>
  <c r="G40" i="50"/>
  <c r="G20" i="50"/>
  <c r="G114" i="1"/>
  <c r="E119" i="1"/>
  <c r="G75" i="1"/>
  <c r="G60" i="1"/>
  <c r="G44" i="1"/>
  <c r="G90" i="142"/>
  <c r="G53" i="142"/>
  <c r="G34" i="69"/>
  <c r="G148" i="86"/>
  <c r="G15" i="10"/>
  <c r="G205" i="143"/>
  <c r="G25" i="143"/>
  <c r="G177" i="158"/>
  <c r="G190" i="42"/>
  <c r="G185" i="66"/>
  <c r="G148" i="66"/>
  <c r="G49" i="66"/>
  <c r="G190" i="68"/>
  <c r="E21" i="150"/>
  <c r="G175" i="60"/>
  <c r="E61" i="16"/>
  <c r="E93" i="55"/>
  <c r="G37" i="31"/>
  <c r="E61" i="31"/>
  <c r="G172" i="92"/>
  <c r="G186" i="39"/>
  <c r="G13" i="89"/>
  <c r="G47" i="71"/>
  <c r="G125" i="83"/>
  <c r="G12" i="66"/>
  <c r="G52" i="65"/>
  <c r="G196" i="63"/>
  <c r="G13" i="120"/>
  <c r="G49" i="46"/>
  <c r="G88" i="98"/>
  <c r="G98" i="63"/>
  <c r="G187" i="54"/>
  <c r="G189" i="83"/>
  <c r="G54" i="63"/>
  <c r="G38" i="103"/>
  <c r="G126" i="106"/>
  <c r="G115" i="152"/>
  <c r="G221" i="54"/>
  <c r="G137" i="62"/>
  <c r="G34" i="43"/>
  <c r="G129" i="150"/>
  <c r="G19" i="43"/>
  <c r="G72" i="68"/>
  <c r="G124" i="43"/>
  <c r="G137" i="54"/>
  <c r="G178" i="38"/>
  <c r="E79" i="50"/>
  <c r="G74" i="50"/>
  <c r="G39" i="50"/>
  <c r="G133" i="62"/>
  <c r="G226" i="15"/>
  <c r="G67" i="15"/>
  <c r="G147" i="65"/>
  <c r="G168" i="149"/>
  <c r="G223" i="55"/>
  <c r="G175" i="165"/>
  <c r="G15" i="165"/>
  <c r="G53" i="141"/>
  <c r="G175" i="38"/>
  <c r="G53" i="38"/>
  <c r="G142" i="50"/>
  <c r="G108" i="50"/>
  <c r="E111" i="50"/>
  <c r="G31" i="69"/>
  <c r="G44" i="89"/>
  <c r="G12" i="89"/>
  <c r="E21" i="89"/>
  <c r="G176" i="86"/>
  <c r="G67" i="141"/>
  <c r="G41" i="141"/>
  <c r="G183" i="24"/>
  <c r="G58" i="24"/>
  <c r="G28" i="24"/>
  <c r="G204" i="103"/>
  <c r="G159" i="103"/>
  <c r="G131" i="1"/>
  <c r="G41" i="143"/>
  <c r="G129" i="86"/>
  <c r="K14" i="118"/>
  <c r="G51" i="50"/>
  <c r="G36" i="50"/>
  <c r="G178" i="142"/>
  <c r="G159" i="142"/>
  <c r="G141" i="142"/>
  <c r="G108" i="142"/>
  <c r="G30" i="69"/>
  <c r="G171" i="87"/>
  <c r="G44" i="16"/>
  <c r="G141" i="158"/>
  <c r="G143" i="42"/>
  <c r="G99" i="156"/>
  <c r="E102" i="156"/>
  <c r="G100" i="84"/>
  <c r="G71" i="84"/>
  <c r="G34" i="66"/>
  <c r="G85" i="60"/>
  <c r="G13" i="176"/>
  <c r="E79" i="60"/>
  <c r="E197" i="119"/>
  <c r="G165" i="71"/>
  <c r="G32" i="71"/>
  <c r="G45" i="133"/>
  <c r="G54" i="68"/>
  <c r="G165" i="32"/>
  <c r="G140" i="68"/>
  <c r="G116" i="47"/>
  <c r="G30" i="98"/>
  <c r="G83" i="63"/>
  <c r="G92" i="83"/>
  <c r="G11" i="15"/>
  <c r="G27" i="43"/>
  <c r="G53" i="106"/>
  <c r="G141" i="46"/>
  <c r="G125" i="119"/>
  <c r="G177" i="62"/>
  <c r="G20" i="55"/>
  <c r="G57" i="104"/>
  <c r="G222" i="47"/>
  <c r="E228" i="47"/>
  <c r="G64" i="150"/>
  <c r="G225" i="95"/>
  <c r="G19" i="50"/>
  <c r="G149" i="84"/>
  <c r="G91" i="63"/>
  <c r="G135" i="46"/>
  <c r="G99" i="63"/>
  <c r="G74" i="119"/>
  <c r="G167" i="65"/>
  <c r="G135" i="65"/>
  <c r="E161" i="65"/>
  <c r="G169" i="28"/>
  <c r="G97" i="172"/>
  <c r="G186" i="149"/>
  <c r="G64" i="14"/>
  <c r="G164" i="86"/>
  <c r="G142" i="38"/>
  <c r="G37" i="38"/>
  <c r="G17" i="38"/>
  <c r="G28" i="89"/>
  <c r="G168" i="86"/>
  <c r="G127" i="176"/>
  <c r="G57" i="141"/>
  <c r="G143" i="90"/>
  <c r="G200" i="120"/>
  <c r="G185" i="118"/>
  <c r="G155" i="118"/>
  <c r="G77" i="31"/>
  <c r="E79" i="31"/>
  <c r="G187" i="95"/>
  <c r="G176" i="95"/>
  <c r="E197" i="1"/>
  <c r="G177" i="1"/>
  <c r="G90" i="1"/>
  <c r="G56" i="1"/>
  <c r="G174" i="142"/>
  <c r="G67" i="142"/>
  <c r="G194" i="69"/>
  <c r="G124" i="86"/>
  <c r="G148" i="10"/>
  <c r="G188" i="176"/>
  <c r="G16" i="16"/>
  <c r="G188" i="158"/>
  <c r="G173" i="158"/>
  <c r="G186" i="42"/>
  <c r="G180" i="68"/>
  <c r="G66" i="60"/>
  <c r="E237" i="38"/>
  <c r="G160" i="10"/>
  <c r="E21" i="152"/>
  <c r="F215" i="72"/>
  <c r="G72" i="72"/>
  <c r="G232" i="72"/>
  <c r="G126" i="72"/>
  <c r="G45" i="72"/>
  <c r="G168" i="72"/>
  <c r="G59" i="72"/>
  <c r="G146" i="72"/>
  <c r="G97" i="72"/>
  <c r="G13" i="72"/>
  <c r="G190" i="72"/>
  <c r="G136" i="72"/>
  <c r="G114" i="72"/>
  <c r="E119" i="72"/>
  <c r="G42" i="72"/>
  <c r="G101" i="72"/>
  <c r="G169" i="72"/>
  <c r="G202" i="72"/>
  <c r="E228" i="72"/>
  <c r="G219" i="72"/>
  <c r="G86" i="72"/>
  <c r="G194" i="72"/>
  <c r="G89" i="72"/>
  <c r="G118" i="72"/>
  <c r="G38" i="72"/>
  <c r="G68" i="72"/>
  <c r="G34" i="72"/>
  <c r="G14" i="72"/>
  <c r="G57" i="72"/>
  <c r="G193" i="72"/>
  <c r="G188" i="72"/>
  <c r="G165" i="72"/>
  <c r="G166" i="72"/>
  <c r="G69" i="72"/>
  <c r="G41" i="72"/>
  <c r="G184" i="72"/>
  <c r="G17" i="72"/>
  <c r="G64" i="72"/>
  <c r="E79" i="72"/>
  <c r="G227" i="72"/>
  <c r="G157" i="72"/>
  <c r="G164" i="72"/>
  <c r="G53" i="72"/>
  <c r="G90" i="72"/>
  <c r="E235" i="72"/>
  <c r="G233" i="72"/>
  <c r="G49" i="72"/>
  <c r="G158" i="72"/>
  <c r="F215" i="79"/>
  <c r="G118" i="79"/>
  <c r="G204" i="79"/>
  <c r="G124" i="79"/>
  <c r="G26" i="79"/>
  <c r="G179" i="79"/>
  <c r="G45" i="79"/>
  <c r="G196" i="79"/>
  <c r="G117" i="79"/>
  <c r="G194" i="79"/>
  <c r="G74" i="79"/>
  <c r="G82" i="79"/>
  <c r="G11" i="79"/>
  <c r="E21" i="79"/>
  <c r="G180" i="79"/>
  <c r="G193" i="79"/>
  <c r="G220" i="79"/>
  <c r="G25" i="79"/>
  <c r="G76" i="79"/>
  <c r="G187" i="79"/>
  <c r="G219" i="79"/>
  <c r="G38" i="79"/>
  <c r="G14" i="79"/>
  <c r="G135" i="79"/>
  <c r="G18" i="79"/>
  <c r="G107" i="79"/>
  <c r="G173" i="79"/>
  <c r="G75" i="79"/>
  <c r="G99" i="79"/>
  <c r="E235" i="79"/>
  <c r="G233" i="79"/>
  <c r="G125" i="79"/>
  <c r="G72" i="79"/>
  <c r="G39" i="79"/>
  <c r="G109" i="79"/>
  <c r="G158" i="79"/>
  <c r="G189" i="79"/>
  <c r="G200" i="79"/>
  <c r="G114" i="79"/>
  <c r="G204" i="37"/>
  <c r="G201" i="37"/>
  <c r="G78" i="37"/>
  <c r="G175" i="37"/>
  <c r="G75" i="37"/>
  <c r="G56" i="37"/>
  <c r="G89" i="37"/>
  <c r="G70" i="37"/>
  <c r="G41" i="37"/>
  <c r="G108" i="37"/>
  <c r="G32" i="37"/>
  <c r="G100" i="37"/>
  <c r="G47" i="37"/>
  <c r="G20" i="37"/>
  <c r="G110" i="37"/>
  <c r="G200" i="37"/>
  <c r="G205" i="37"/>
  <c r="G138" i="37"/>
  <c r="G114" i="37"/>
  <c r="E119" i="37"/>
  <c r="G51" i="37"/>
  <c r="G179" i="37"/>
  <c r="G151" i="37"/>
  <c r="G117" i="37"/>
  <c r="G160" i="37"/>
  <c r="G101" i="37"/>
  <c r="G157" i="37"/>
  <c r="G183" i="37"/>
  <c r="G85" i="37"/>
  <c r="G143" i="37"/>
  <c r="G169" i="37"/>
  <c r="G172" i="37"/>
  <c r="G43" i="37"/>
  <c r="G57" i="37"/>
  <c r="G30" i="37"/>
  <c r="G37" i="37"/>
  <c r="G181" i="37"/>
  <c r="G107" i="37"/>
  <c r="G36" i="37"/>
  <c r="G156" i="37"/>
  <c r="G231" i="37"/>
  <c r="E235" i="37"/>
  <c r="G186" i="37"/>
  <c r="G97" i="37"/>
  <c r="G43" i="85"/>
  <c r="G141" i="85"/>
  <c r="G98" i="85"/>
  <c r="G190" i="85"/>
  <c r="G138" i="85"/>
  <c r="G28" i="85"/>
  <c r="G232" i="85"/>
  <c r="G66" i="85"/>
  <c r="G51" i="85"/>
  <c r="G223" i="85"/>
  <c r="G187" i="85"/>
  <c r="G146" i="85"/>
  <c r="E235" i="85"/>
  <c r="G231" i="85"/>
  <c r="G182" i="85"/>
  <c r="G157" i="85"/>
  <c r="G107" i="85"/>
  <c r="G137" i="85"/>
  <c r="G222" i="85"/>
  <c r="G181" i="85"/>
  <c r="G183" i="85"/>
  <c r="G20" i="85"/>
  <c r="G70" i="85"/>
  <c r="G205" i="85"/>
  <c r="G69" i="85"/>
  <c r="G36" i="85"/>
  <c r="G186" i="85"/>
  <c r="G200" i="85"/>
  <c r="G99" i="85"/>
  <c r="G127" i="85"/>
  <c r="G39" i="85"/>
  <c r="G194" i="85"/>
  <c r="G58" i="85"/>
  <c r="G84" i="85"/>
  <c r="F215" i="20"/>
  <c r="G204" i="20"/>
  <c r="G15" i="20"/>
  <c r="G77" i="20"/>
  <c r="G11" i="20"/>
  <c r="G69" i="20"/>
  <c r="G158" i="20"/>
  <c r="G127" i="20"/>
  <c r="G101" i="20"/>
  <c r="G180" i="20"/>
  <c r="G74" i="20"/>
  <c r="G105" i="20"/>
  <c r="E111" i="20"/>
  <c r="G123" i="20"/>
  <c r="G196" i="20"/>
  <c r="G176" i="20"/>
  <c r="G59" i="20"/>
  <c r="G124" i="20"/>
  <c r="G12" i="20"/>
  <c r="G189" i="20"/>
  <c r="G226" i="20"/>
  <c r="G192" i="20"/>
  <c r="G172" i="20"/>
  <c r="G164" i="20"/>
  <c r="G233" i="20"/>
  <c r="G155" i="20"/>
  <c r="G227" i="20"/>
  <c r="G35" i="20"/>
  <c r="G42" i="20"/>
  <c r="G65" i="20"/>
  <c r="G43" i="20"/>
  <c r="G129" i="20"/>
  <c r="G98" i="20"/>
  <c r="G27" i="20"/>
  <c r="G177" i="20"/>
  <c r="G136" i="20"/>
  <c r="G76" i="20"/>
  <c r="G219" i="20"/>
  <c r="G188" i="20"/>
  <c r="G168" i="20"/>
  <c r="G19" i="20"/>
  <c r="G200" i="20"/>
  <c r="G68" i="20"/>
  <c r="G146" i="20"/>
  <c r="G203" i="20"/>
  <c r="G73" i="20"/>
  <c r="G109" i="20"/>
  <c r="G50" i="20"/>
  <c r="G99" i="20"/>
  <c r="G132" i="20"/>
  <c r="G131" i="20"/>
  <c r="G108" i="20"/>
  <c r="G150" i="20"/>
  <c r="G233" i="102"/>
  <c r="G135" i="102"/>
  <c r="G190" i="102"/>
  <c r="G115" i="102"/>
  <c r="C240" i="97"/>
  <c r="G175" i="102"/>
  <c r="G193" i="102"/>
  <c r="G87" i="102"/>
  <c r="G92" i="102"/>
  <c r="G54" i="102"/>
  <c r="G72" i="102"/>
  <c r="G194" i="102"/>
  <c r="G145" i="102"/>
  <c r="G186" i="102"/>
  <c r="G69" i="102"/>
  <c r="G221" i="102"/>
  <c r="G50" i="102"/>
  <c r="G25" i="102"/>
  <c r="G192" i="102"/>
  <c r="G166" i="102"/>
  <c r="G168" i="102"/>
  <c r="G131" i="102"/>
  <c r="G180" i="102"/>
  <c r="G17" i="102"/>
  <c r="G31" i="102"/>
  <c r="G20" i="102"/>
  <c r="G56" i="102"/>
  <c r="G86" i="102"/>
  <c r="G130" i="102"/>
  <c r="G15" i="102"/>
  <c r="E235" i="102"/>
  <c r="G231" i="102"/>
  <c r="G182" i="102"/>
  <c r="G65" i="102"/>
  <c r="G179" i="102"/>
  <c r="G26" i="102"/>
  <c r="G177" i="102"/>
  <c r="G164" i="102"/>
  <c r="G204" i="102"/>
  <c r="G126" i="102"/>
  <c r="G142" i="102"/>
  <c r="G172" i="102"/>
  <c r="G90" i="102"/>
  <c r="G101" i="102"/>
  <c r="G232" i="102"/>
  <c r="G71" i="102"/>
  <c r="G11" i="102"/>
  <c r="G178" i="102"/>
  <c r="G200" i="102"/>
  <c r="G202" i="19"/>
  <c r="G180" i="19"/>
  <c r="E93" i="19"/>
  <c r="E206" i="19"/>
  <c r="G173" i="19"/>
  <c r="G67" i="19"/>
  <c r="G205" i="19"/>
  <c r="G187" i="19"/>
  <c r="G92" i="19"/>
  <c r="G116" i="19"/>
  <c r="G15" i="19"/>
  <c r="G149" i="19"/>
  <c r="G172" i="19"/>
  <c r="G107" i="19"/>
  <c r="G47" i="19"/>
  <c r="G123" i="19"/>
  <c r="G85" i="19"/>
  <c r="G135" i="19"/>
  <c r="G194" i="19"/>
  <c r="G42" i="19"/>
  <c r="G201" i="19"/>
  <c r="G191" i="19"/>
  <c r="G204" i="19"/>
  <c r="G73" i="19"/>
  <c r="G117" i="19"/>
  <c r="G66" i="19"/>
  <c r="G165" i="19"/>
  <c r="E119" i="19"/>
  <c r="G114" i="19"/>
  <c r="G166" i="19"/>
  <c r="G65" i="19"/>
  <c r="G45" i="19"/>
  <c r="G49" i="19"/>
  <c r="G220" i="19"/>
  <c r="E228" i="19"/>
  <c r="G224" i="19"/>
  <c r="G233" i="19"/>
  <c r="E235" i="19"/>
  <c r="G137" i="19"/>
  <c r="G46" i="19"/>
  <c r="G203" i="19"/>
  <c r="G110" i="19"/>
  <c r="E111" i="19"/>
  <c r="G98" i="19"/>
  <c r="G97" i="19"/>
  <c r="G69" i="19"/>
  <c r="G27" i="19"/>
  <c r="G146" i="19"/>
  <c r="G151" i="19"/>
  <c r="G37" i="19"/>
  <c r="G176" i="19"/>
  <c r="G48" i="19"/>
  <c r="G169" i="19"/>
  <c r="G167" i="19"/>
  <c r="G26" i="19"/>
  <c r="G227" i="19"/>
  <c r="G177" i="19"/>
  <c r="G58" i="19"/>
  <c r="G14" i="19"/>
  <c r="G87" i="19"/>
  <c r="G76" i="19"/>
  <c r="G196" i="19"/>
  <c r="G127" i="19"/>
  <c r="G25" i="19"/>
  <c r="G130" i="19"/>
  <c r="G77" i="19"/>
  <c r="G84" i="19"/>
  <c r="G52" i="19"/>
  <c r="G143" i="19"/>
  <c r="G90" i="19"/>
  <c r="G221" i="19"/>
  <c r="G91" i="19"/>
  <c r="G55" i="19"/>
  <c r="G34" i="19"/>
  <c r="G178" i="19"/>
  <c r="G18" i="19"/>
  <c r="G148" i="19"/>
  <c r="G30" i="19"/>
  <c r="G138" i="19"/>
  <c r="G38" i="19"/>
  <c r="G86" i="28"/>
  <c r="G99" i="149"/>
  <c r="G193" i="149"/>
  <c r="G58" i="149"/>
  <c r="G124" i="149"/>
  <c r="G203" i="149"/>
  <c r="E206" i="149"/>
  <c r="G227" i="149"/>
  <c r="G233" i="149"/>
  <c r="E235" i="149"/>
  <c r="G116" i="149"/>
  <c r="G17" i="149"/>
  <c r="G70" i="27"/>
  <c r="G133" i="27"/>
  <c r="E61" i="62"/>
  <c r="G123" i="62"/>
  <c r="F215" i="177"/>
  <c r="G57" i="177"/>
  <c r="G159" i="177"/>
  <c r="G142" i="177"/>
  <c r="G11" i="177"/>
  <c r="G196" i="177"/>
  <c r="G188" i="145"/>
  <c r="G190" i="145"/>
  <c r="G85" i="145"/>
  <c r="G98" i="145"/>
  <c r="G70" i="145"/>
  <c r="G131" i="145"/>
  <c r="G141" i="145"/>
  <c r="G78" i="145"/>
  <c r="G165" i="145"/>
  <c r="G126" i="145"/>
  <c r="G170" i="145"/>
  <c r="G87" i="145"/>
  <c r="G68" i="145"/>
  <c r="G147" i="145"/>
  <c r="G153" i="145"/>
  <c r="G118" i="145"/>
  <c r="G13" i="145"/>
  <c r="G31" i="145"/>
  <c r="G186" i="145"/>
  <c r="G54" i="145"/>
  <c r="G196" i="145"/>
  <c r="G89" i="145"/>
  <c r="G194" i="145"/>
  <c r="G36" i="145"/>
  <c r="E235" i="145"/>
  <c r="G231" i="145"/>
  <c r="G183" i="145"/>
  <c r="G181" i="145"/>
  <c r="G202" i="145"/>
  <c r="G66" i="145"/>
  <c r="G175" i="145"/>
  <c r="G167" i="145"/>
  <c r="G65" i="145"/>
  <c r="G43" i="145"/>
  <c r="E119" i="145"/>
  <c r="G79" i="167"/>
  <c r="G119" i="167"/>
  <c r="G61" i="167"/>
  <c r="G206" i="167"/>
  <c r="G16" i="14"/>
  <c r="E21" i="14"/>
  <c r="G33" i="47"/>
  <c r="G37" i="46"/>
  <c r="G13" i="62"/>
  <c r="E119" i="157"/>
  <c r="G117" i="157"/>
  <c r="G116" i="25"/>
  <c r="E21" i="65"/>
  <c r="G19" i="65"/>
  <c r="G151" i="176"/>
  <c r="G99" i="55"/>
  <c r="G165" i="165"/>
  <c r="E197" i="165"/>
  <c r="G50" i="64"/>
  <c r="G86" i="79"/>
  <c r="G87" i="37"/>
  <c r="G117" i="104"/>
  <c r="G205" i="120"/>
  <c r="G109" i="71"/>
  <c r="G182" i="175"/>
  <c r="E93" i="175"/>
  <c r="G85" i="175"/>
  <c r="G203" i="176"/>
  <c r="G101" i="28"/>
  <c r="E102" i="28"/>
  <c r="G160" i="32"/>
  <c r="E228" i="141"/>
  <c r="G224" i="141"/>
  <c r="G110" i="79"/>
  <c r="G29" i="79"/>
  <c r="G106" i="79"/>
  <c r="E111" i="79"/>
  <c r="G131" i="104"/>
  <c r="G29" i="55"/>
  <c r="G146" i="39"/>
  <c r="G184" i="102"/>
  <c r="G25" i="39"/>
  <c r="G181" i="83"/>
  <c r="G179" i="58"/>
  <c r="G84" i="47"/>
  <c r="G129" i="37"/>
  <c r="G16" i="104"/>
  <c r="G53" i="63"/>
  <c r="G43" i="58"/>
  <c r="G225" i="15"/>
  <c r="G156" i="145"/>
  <c r="G46" i="63"/>
  <c r="G160" i="60"/>
  <c r="G124" i="16"/>
  <c r="G101" i="119"/>
  <c r="G69" i="119"/>
  <c r="G58" i="65"/>
  <c r="G188" i="28"/>
  <c r="G98" i="37"/>
  <c r="E102" i="37"/>
  <c r="G54" i="62"/>
  <c r="G168" i="19"/>
  <c r="G45" i="145"/>
  <c r="G173" i="172"/>
  <c r="G115" i="85"/>
  <c r="E119" i="85"/>
  <c r="G177" i="79"/>
  <c r="G74" i="24"/>
  <c r="G149" i="37"/>
  <c r="G30" i="120"/>
  <c r="G165" i="152"/>
  <c r="G92" i="152"/>
  <c r="G220" i="104"/>
  <c r="G74" i="104"/>
  <c r="G87" i="62"/>
  <c r="G49" i="120"/>
  <c r="G56" i="39"/>
  <c r="G88" i="43"/>
  <c r="G219" i="104"/>
  <c r="E228" i="104"/>
  <c r="G52" i="106"/>
  <c r="G74" i="47"/>
  <c r="G187" i="89"/>
  <c r="G143" i="87"/>
  <c r="G115" i="28"/>
  <c r="E119" i="28"/>
  <c r="G28" i="32"/>
  <c r="G150" i="141"/>
  <c r="G109" i="141"/>
  <c r="E111" i="141"/>
  <c r="G164" i="24"/>
  <c r="G56" i="24"/>
  <c r="G78" i="90"/>
  <c r="G53" i="90"/>
  <c r="G42" i="90"/>
  <c r="G155" i="133"/>
  <c r="G195" i="175"/>
  <c r="G155" i="79"/>
  <c r="E61" i="104"/>
  <c r="G17" i="10"/>
  <c r="G142" i="72"/>
  <c r="E161" i="72"/>
  <c r="G15" i="64"/>
  <c r="G114" i="39"/>
  <c r="G68" i="102"/>
  <c r="G13" i="10"/>
  <c r="E21" i="10"/>
  <c r="G156" i="71"/>
  <c r="G152" i="106"/>
  <c r="G153" i="83"/>
  <c r="G151" i="106"/>
  <c r="G175" i="58"/>
  <c r="G175" i="53"/>
  <c r="G18" i="63"/>
  <c r="E93" i="39"/>
  <c r="G85" i="39"/>
  <c r="G18" i="103"/>
  <c r="E21" i="103"/>
  <c r="G12" i="104"/>
  <c r="G36" i="66"/>
  <c r="E102" i="46"/>
  <c r="G97" i="46"/>
  <c r="G180" i="63"/>
  <c r="G148" i="62"/>
  <c r="G172" i="63"/>
  <c r="G222" i="68"/>
  <c r="E228" i="68"/>
  <c r="G60" i="63"/>
  <c r="G225" i="54"/>
  <c r="G155" i="156"/>
  <c r="G171" i="178"/>
  <c r="G47" i="158"/>
  <c r="G110" i="157"/>
  <c r="G67" i="157"/>
  <c r="G189" i="42"/>
  <c r="G146" i="156"/>
  <c r="G54" i="65"/>
  <c r="G132" i="37"/>
  <c r="G12" i="120"/>
  <c r="G221" i="66"/>
  <c r="G166" i="66"/>
  <c r="E197" i="66"/>
  <c r="G157" i="19"/>
  <c r="G147" i="176"/>
  <c r="G183" i="55"/>
  <c r="G171" i="55"/>
  <c r="G187" i="165"/>
  <c r="G176" i="165"/>
  <c r="G153" i="165"/>
  <c r="G126" i="165"/>
  <c r="E161" i="165"/>
  <c r="G135" i="64"/>
  <c r="G42" i="64"/>
  <c r="G100" i="79"/>
  <c r="G177" i="90"/>
  <c r="E206" i="37"/>
  <c r="G202" i="37"/>
  <c r="G165" i="37"/>
  <c r="E21" i="120"/>
  <c r="G11" i="120"/>
  <c r="G171" i="104"/>
  <c r="G149" i="104"/>
  <c r="E111" i="104"/>
  <c r="G110" i="104"/>
  <c r="G96" i="104"/>
  <c r="G168" i="49"/>
  <c r="G137" i="66"/>
  <c r="G65" i="66"/>
  <c r="G48" i="66"/>
  <c r="G38" i="68"/>
  <c r="G14" i="37"/>
  <c r="E21" i="37"/>
  <c r="G96" i="120"/>
  <c r="G66" i="120"/>
  <c r="G71" i="71"/>
  <c r="G192" i="175"/>
  <c r="G178" i="175"/>
  <c r="G138" i="175"/>
  <c r="E206" i="104"/>
  <c r="G203" i="104"/>
  <c r="G65" i="106"/>
  <c r="G158" i="102"/>
  <c r="G137" i="102"/>
  <c r="G189" i="15"/>
  <c r="G51" i="69"/>
  <c r="G32" i="69"/>
  <c r="G183" i="89"/>
  <c r="G171" i="89"/>
  <c r="G192" i="86"/>
  <c r="G156" i="87"/>
  <c r="G138" i="87"/>
  <c r="G185" i="143"/>
  <c r="E197" i="143"/>
  <c r="G76" i="143"/>
  <c r="G51" i="28"/>
  <c r="G181" i="72"/>
  <c r="G115" i="32"/>
  <c r="G205" i="141"/>
  <c r="G169" i="141"/>
  <c r="G123" i="141"/>
  <c r="G50" i="90"/>
  <c r="G38" i="90"/>
  <c r="G25" i="37"/>
  <c r="G150" i="133"/>
  <c r="G190" i="84"/>
  <c r="G176" i="84"/>
  <c r="G133" i="84"/>
  <c r="G49" i="84"/>
  <c r="G34" i="84"/>
  <c r="G225" i="43"/>
  <c r="G167" i="43"/>
  <c r="G73" i="43"/>
  <c r="G135" i="54"/>
  <c r="G126" i="54"/>
  <c r="G130" i="60"/>
  <c r="G105" i="60"/>
  <c r="E111" i="60"/>
  <c r="G60" i="60"/>
  <c r="G167" i="178"/>
  <c r="G89" i="79"/>
  <c r="G186" i="32"/>
  <c r="G53" i="32"/>
  <c r="G169" i="79"/>
  <c r="G167" i="24"/>
  <c r="G125" i="14"/>
  <c r="G179" i="104"/>
  <c r="G13" i="66"/>
  <c r="G36" i="158"/>
  <c r="G38" i="37"/>
  <c r="G100" i="63"/>
  <c r="E102" i="63"/>
  <c r="G190" i="64"/>
  <c r="G159" i="90"/>
  <c r="G175" i="104"/>
  <c r="G173" i="68"/>
  <c r="G53" i="120"/>
  <c r="G142" i="71"/>
  <c r="G41" i="71"/>
  <c r="G65" i="69"/>
  <c r="G86" i="143"/>
  <c r="G131" i="28"/>
  <c r="E111" i="90"/>
  <c r="G105" i="90"/>
  <c r="G59" i="43"/>
  <c r="G49" i="60"/>
  <c r="G155" i="155"/>
  <c r="G150" i="25"/>
  <c r="G35" i="155"/>
  <c r="G105" i="98"/>
  <c r="G82" i="104"/>
  <c r="E93" i="104"/>
  <c r="G170" i="71"/>
  <c r="G158" i="71"/>
  <c r="G56" i="63"/>
  <c r="G169" i="145"/>
  <c r="G12" i="63"/>
  <c r="E206" i="89"/>
  <c r="G202" i="89"/>
  <c r="G73" i="83"/>
  <c r="G40" i="63"/>
  <c r="G34" i="106"/>
  <c r="G82" i="102"/>
  <c r="G17" i="145"/>
  <c r="G20" i="16"/>
  <c r="E21" i="16"/>
  <c r="G56" i="157"/>
  <c r="G123" i="119"/>
  <c r="G55" i="119"/>
  <c r="G35" i="65"/>
  <c r="E79" i="152"/>
  <c r="G203" i="63"/>
  <c r="E206" i="63"/>
  <c r="G183" i="66"/>
  <c r="G38" i="145"/>
  <c r="G190" i="176"/>
  <c r="G176" i="176"/>
  <c r="G189" i="172"/>
  <c r="G156" i="79"/>
  <c r="G30" i="79"/>
  <c r="G48" i="24"/>
  <c r="G181" i="90"/>
  <c r="G124" i="152"/>
  <c r="G85" i="102"/>
  <c r="G172" i="83"/>
  <c r="G158" i="49"/>
  <c r="G194" i="68"/>
  <c r="G166" i="15"/>
  <c r="G127" i="145"/>
  <c r="G57" i="133"/>
  <c r="G41" i="39"/>
  <c r="G75" i="71"/>
  <c r="G110" i="175"/>
  <c r="G44" i="43"/>
  <c r="G124" i="106"/>
  <c r="G40" i="106"/>
  <c r="G129" i="102"/>
  <c r="G11" i="47"/>
  <c r="G27" i="83"/>
  <c r="G196" i="49"/>
  <c r="K14" i="98"/>
  <c r="E79" i="143"/>
  <c r="G64" i="143"/>
  <c r="G109" i="24"/>
  <c r="G109" i="84"/>
  <c r="G142" i="175"/>
  <c r="G142" i="43"/>
  <c r="G35" i="43"/>
  <c r="G28" i="43"/>
  <c r="G40" i="68"/>
  <c r="E206" i="15"/>
  <c r="G203" i="15"/>
  <c r="G12" i="60"/>
  <c r="E21" i="60"/>
  <c r="G202" i="118"/>
  <c r="G227" i="103"/>
  <c r="G132" i="79"/>
  <c r="E197" i="178"/>
  <c r="D208" i="68"/>
  <c r="E228" i="15"/>
  <c r="E21" i="62"/>
  <c r="G64" i="152"/>
  <c r="E61" i="55"/>
  <c r="E61" i="32"/>
  <c r="E61" i="120"/>
  <c r="E93" i="143"/>
  <c r="G85" i="14"/>
  <c r="G172" i="178"/>
  <c r="G25" i="87"/>
  <c r="E61" i="87"/>
  <c r="G40" i="14"/>
  <c r="G34" i="14"/>
  <c r="E61" i="14"/>
  <c r="G11" i="64"/>
  <c r="G130" i="71"/>
  <c r="G126" i="46"/>
  <c r="G151" i="71"/>
  <c r="G135" i="174"/>
  <c r="G98" i="106"/>
  <c r="G75" i="58"/>
  <c r="G137" i="53"/>
  <c r="G116" i="68"/>
  <c r="E119" i="68"/>
  <c r="G145" i="71"/>
  <c r="G68" i="32"/>
  <c r="E79" i="32"/>
  <c r="G13" i="106"/>
  <c r="G12" i="15"/>
  <c r="E21" i="15"/>
  <c r="G26" i="46"/>
  <c r="G171" i="157"/>
  <c r="G157" i="66"/>
  <c r="G60" i="145"/>
  <c r="G173" i="83"/>
  <c r="G27" i="102"/>
  <c r="G75" i="102"/>
  <c r="G71" i="19"/>
  <c r="G147" i="60"/>
  <c r="G36" i="19"/>
  <c r="E161" i="119"/>
  <c r="G115" i="158"/>
  <c r="E119" i="158"/>
  <c r="G133" i="157"/>
  <c r="G109" i="25"/>
  <c r="G169" i="119"/>
  <c r="G27" i="120"/>
  <c r="G87" i="133"/>
  <c r="G193" i="63"/>
  <c r="G201" i="66"/>
  <c r="G176" i="66"/>
  <c r="G54" i="37"/>
  <c r="G183" i="176"/>
  <c r="G173" i="165"/>
  <c r="G174" i="79"/>
  <c r="G152" i="79"/>
  <c r="G60" i="24"/>
  <c r="G131" i="37"/>
  <c r="G83" i="37"/>
  <c r="G141" i="120"/>
  <c r="G19" i="120"/>
  <c r="G146" i="152"/>
  <c r="G106" i="152"/>
  <c r="E111" i="152"/>
  <c r="G31" i="71"/>
  <c r="G127" i="104"/>
  <c r="G151" i="102"/>
  <c r="G148" i="46"/>
  <c r="G191" i="62"/>
  <c r="G181" i="62"/>
  <c r="G84" i="63"/>
  <c r="E93" i="63"/>
  <c r="G32" i="66"/>
  <c r="G226" i="68"/>
  <c r="G177" i="68"/>
  <c r="G159" i="15"/>
  <c r="G180" i="145"/>
  <c r="G64" i="145"/>
  <c r="G114" i="120"/>
  <c r="G45" i="120"/>
  <c r="G52" i="39"/>
  <c r="G105" i="71"/>
  <c r="G106" i="175"/>
  <c r="E111" i="175"/>
  <c r="G133" i="43"/>
  <c r="G117" i="43"/>
  <c r="G116" i="106"/>
  <c r="G48" i="106"/>
  <c r="G155" i="102"/>
  <c r="G166" i="46"/>
  <c r="G19" i="83"/>
  <c r="G58" i="69"/>
  <c r="G97" i="143"/>
  <c r="E102" i="143"/>
  <c r="G57" i="143"/>
  <c r="E235" i="176"/>
  <c r="G231" i="176"/>
  <c r="G146" i="28"/>
  <c r="G126" i="28"/>
  <c r="G17" i="28"/>
  <c r="G223" i="64"/>
  <c r="G148" i="32"/>
  <c r="G17" i="141"/>
  <c r="G157" i="24"/>
  <c r="E111" i="24"/>
  <c r="G106" i="24"/>
  <c r="G132" i="90"/>
  <c r="G115" i="90"/>
  <c r="E119" i="90"/>
  <c r="G31" i="84"/>
  <c r="G19" i="84"/>
  <c r="G159" i="175"/>
  <c r="G137" i="175"/>
  <c r="G137" i="43"/>
  <c r="G69" i="43"/>
  <c r="G37" i="68"/>
  <c r="G192" i="15"/>
  <c r="G227" i="118"/>
  <c r="G37" i="118"/>
  <c r="G36" i="103"/>
  <c r="G151" i="79"/>
  <c r="G183" i="178"/>
  <c r="G159" i="79"/>
  <c r="E119" i="79"/>
  <c r="G116" i="79"/>
  <c r="G85" i="79"/>
  <c r="G16" i="178"/>
  <c r="G68" i="133"/>
  <c r="G37" i="43"/>
  <c r="G177" i="71"/>
  <c r="G169" i="71"/>
  <c r="G44" i="19"/>
  <c r="K14" i="20"/>
  <c r="G51" i="158"/>
  <c r="G188" i="157"/>
  <c r="G136" i="37"/>
  <c r="G190" i="104"/>
  <c r="G188" i="149"/>
  <c r="E197" i="149"/>
  <c r="G175" i="55"/>
  <c r="G131" i="165"/>
  <c r="G58" i="79"/>
  <c r="G187" i="37"/>
  <c r="G91" i="62"/>
  <c r="G118" i="120"/>
  <c r="G130" i="43"/>
  <c r="E161" i="43"/>
  <c r="G141" i="102"/>
  <c r="G137" i="133"/>
  <c r="G180" i="84"/>
  <c r="G138" i="84"/>
  <c r="G27" i="84"/>
  <c r="G171" i="43"/>
  <c r="G118" i="103"/>
  <c r="E119" i="103"/>
  <c r="E197" i="68"/>
  <c r="G159" i="178"/>
  <c r="G42" i="178"/>
  <c r="G106" i="10"/>
  <c r="G68" i="24"/>
  <c r="G125" i="71"/>
  <c r="G33" i="106"/>
  <c r="G179" i="71"/>
  <c r="G83" i="60"/>
  <c r="G30" i="83"/>
  <c r="G220" i="54"/>
  <c r="G52" i="104"/>
  <c r="G179" i="178"/>
  <c r="G59" i="16"/>
  <c r="E111" i="25"/>
  <c r="G105" i="25"/>
  <c r="G115" i="119"/>
  <c r="G43" i="65"/>
  <c r="G92" i="55"/>
  <c r="G135" i="165"/>
  <c r="G201" i="64"/>
  <c r="G58" i="64"/>
  <c r="G39" i="64"/>
  <c r="G54" i="79"/>
  <c r="G150" i="90"/>
  <c r="G186" i="104"/>
  <c r="G167" i="104"/>
  <c r="G70" i="104"/>
  <c r="G88" i="102"/>
  <c r="G99" i="43"/>
  <c r="G13" i="43"/>
  <c r="G220" i="49"/>
  <c r="G40" i="69"/>
  <c r="G151" i="87"/>
  <c r="G72" i="143"/>
  <c r="G20" i="32"/>
  <c r="G146" i="141"/>
  <c r="G99" i="90"/>
  <c r="G29" i="63"/>
  <c r="G43" i="103"/>
  <c r="E102" i="178"/>
  <c r="E61" i="90"/>
  <c r="E61" i="46"/>
  <c r="G137" i="141"/>
  <c r="E197" i="58"/>
  <c r="G175" i="10"/>
  <c r="G193" i="85"/>
  <c r="G191" i="72"/>
  <c r="G37" i="20"/>
  <c r="G98" i="120"/>
  <c r="G91" i="43"/>
  <c r="G54" i="47"/>
  <c r="G72" i="37"/>
  <c r="G100" i="71"/>
  <c r="G149" i="102"/>
  <c r="G53" i="133"/>
  <c r="G117" i="102"/>
  <c r="E119" i="102"/>
  <c r="G85" i="43"/>
  <c r="G26" i="103"/>
  <c r="G125" i="62"/>
  <c r="G115" i="46"/>
  <c r="E119" i="46"/>
  <c r="G101" i="19"/>
  <c r="G174" i="71"/>
  <c r="G172" i="66"/>
  <c r="G47" i="39"/>
  <c r="G145" i="83"/>
  <c r="G67" i="102"/>
  <c r="G32" i="19"/>
  <c r="E61" i="19"/>
  <c r="E119" i="25"/>
  <c r="E119" i="104"/>
  <c r="G31" i="65"/>
  <c r="G40" i="158"/>
  <c r="G192" i="157"/>
  <c r="G106" i="157"/>
  <c r="G165" i="156"/>
  <c r="E111" i="156"/>
  <c r="G109" i="156"/>
  <c r="G219" i="119"/>
  <c r="E228" i="119"/>
  <c r="G165" i="119"/>
  <c r="E93" i="119"/>
  <c r="G82" i="119"/>
  <c r="G51" i="119"/>
  <c r="G181" i="28"/>
  <c r="G77" i="37"/>
  <c r="G20" i="120"/>
  <c r="G71" i="152"/>
  <c r="G57" i="63"/>
  <c r="G200" i="176"/>
  <c r="G179" i="176"/>
  <c r="G179" i="55"/>
  <c r="G88" i="55"/>
  <c r="G169" i="165"/>
  <c r="G157" i="64"/>
  <c r="G167" i="79"/>
  <c r="G138" i="79"/>
  <c r="G97" i="79"/>
  <c r="G50" i="79"/>
  <c r="G52" i="24"/>
  <c r="G91" i="37"/>
  <c r="G173" i="152"/>
  <c r="G142" i="152"/>
  <c r="G124" i="104"/>
  <c r="G147" i="102"/>
  <c r="G179" i="83"/>
  <c r="G188" i="62"/>
  <c r="G200" i="68"/>
  <c r="G27" i="68"/>
  <c r="G186" i="15"/>
  <c r="G187" i="145"/>
  <c r="G159" i="145"/>
  <c r="G74" i="120"/>
  <c r="E102" i="71"/>
  <c r="G88" i="175"/>
  <c r="G77" i="43"/>
  <c r="G44" i="106"/>
  <c r="G54" i="69"/>
  <c r="G18" i="69"/>
  <c r="E21" i="69"/>
  <c r="G179" i="89"/>
  <c r="G133" i="87"/>
  <c r="G53" i="143"/>
  <c r="E111" i="28"/>
  <c r="G108" i="28"/>
  <c r="G105" i="32"/>
  <c r="E111" i="32"/>
  <c r="G165" i="141"/>
  <c r="G91" i="141"/>
  <c r="G92" i="24"/>
  <c r="G108" i="90"/>
  <c r="G64" i="90"/>
  <c r="G146" i="133"/>
  <c r="G142" i="84"/>
  <c r="G130" i="84"/>
  <c r="G156" i="175"/>
  <c r="G132" i="175"/>
  <c r="G178" i="43"/>
  <c r="G160" i="43"/>
  <c r="G116" i="43"/>
  <c r="G33" i="68"/>
  <c r="G125" i="60"/>
  <c r="G115" i="60"/>
  <c r="G16" i="118"/>
  <c r="G125" i="103"/>
  <c r="G137" i="79"/>
  <c r="G88" i="32"/>
  <c r="G30" i="64"/>
  <c r="G147" i="79"/>
  <c r="G37" i="79"/>
  <c r="G175" i="32"/>
  <c r="G33" i="62"/>
  <c r="E61" i="79"/>
  <c r="G148" i="178"/>
  <c r="G110" i="178"/>
  <c r="G188" i="178"/>
  <c r="G108" i="71"/>
  <c r="G49" i="143"/>
  <c r="G51" i="106"/>
  <c r="G146" i="58"/>
  <c r="G89" i="43"/>
  <c r="G56" i="104"/>
  <c r="G19" i="15"/>
  <c r="G58" i="102"/>
  <c r="G126" i="15"/>
  <c r="G73" i="60"/>
  <c r="G133" i="16"/>
  <c r="G60" i="157"/>
  <c r="E102" i="119"/>
  <c r="G97" i="119"/>
  <c r="G65" i="119"/>
  <c r="E79" i="119"/>
  <c r="G27" i="65"/>
  <c r="G75" i="152"/>
  <c r="G84" i="133"/>
  <c r="G60" i="62"/>
  <c r="G44" i="62"/>
  <c r="G15" i="15"/>
  <c r="G152" i="19"/>
  <c r="G181" i="172"/>
  <c r="G169" i="172"/>
  <c r="E197" i="172"/>
  <c r="G165" i="85"/>
  <c r="G110" i="55"/>
  <c r="G68" i="79"/>
  <c r="G226" i="90"/>
  <c r="G195" i="37"/>
  <c r="G180" i="37"/>
  <c r="G180" i="152"/>
  <c r="G136" i="104"/>
  <c r="G34" i="68"/>
  <c r="G137" i="71"/>
  <c r="G67" i="71"/>
  <c r="G175" i="175"/>
  <c r="G27" i="60"/>
  <c r="G195" i="118"/>
  <c r="G171" i="32"/>
  <c r="G51" i="178"/>
  <c r="E79" i="47"/>
  <c r="E119" i="120"/>
  <c r="G48" i="104"/>
  <c r="E161" i="16"/>
  <c r="E93" i="152"/>
  <c r="E161" i="120"/>
  <c r="E61" i="158"/>
  <c r="E93" i="37"/>
  <c r="E206" i="120"/>
  <c r="E93" i="43"/>
  <c r="E161" i="90"/>
  <c r="E197" i="24"/>
  <c r="E197" i="55"/>
  <c r="G157" i="10"/>
  <c r="G225" i="176"/>
  <c r="G187" i="72"/>
  <c r="G83" i="90"/>
  <c r="G129" i="133"/>
  <c r="G19" i="47"/>
  <c r="G68" i="37"/>
  <c r="G147" i="43"/>
  <c r="G77" i="102"/>
  <c r="G187" i="39"/>
  <c r="G110" i="102"/>
  <c r="G55" i="39"/>
  <c r="G18" i="102"/>
  <c r="G165" i="102"/>
  <c r="G118" i="71"/>
  <c r="G164" i="63"/>
  <c r="E197" i="63"/>
  <c r="G157" i="43"/>
  <c r="G173" i="49"/>
  <c r="G12" i="19"/>
  <c r="E21" i="19"/>
  <c r="G123" i="54"/>
  <c r="G64" i="68"/>
  <c r="G20" i="164"/>
  <c r="G108" i="58"/>
  <c r="E111" i="58"/>
  <c r="G41" i="62"/>
  <c r="G101" i="118"/>
  <c r="G20" i="54"/>
  <c r="G83" i="164"/>
  <c r="E93" i="164"/>
  <c r="G235" i="87"/>
  <c r="K14" i="87"/>
  <c r="E79" i="24"/>
  <c r="E102" i="90"/>
  <c r="E102" i="19"/>
  <c r="G69" i="158"/>
  <c r="G129" i="157"/>
  <c r="G196" i="119"/>
  <c r="G90" i="119"/>
  <c r="G105" i="37"/>
  <c r="G69" i="37"/>
  <c r="G33" i="152"/>
  <c r="E61" i="152"/>
  <c r="G40" i="62"/>
  <c r="G227" i="66"/>
  <c r="G187" i="66"/>
  <c r="G152" i="15"/>
  <c r="G179" i="19"/>
  <c r="G164" i="19"/>
  <c r="E197" i="19"/>
  <c r="G140" i="19"/>
  <c r="E161" i="19"/>
  <c r="G42" i="145"/>
  <c r="G15" i="176"/>
  <c r="G123" i="85"/>
  <c r="G190" i="55"/>
  <c r="G106" i="55"/>
  <c r="G180" i="165"/>
  <c r="G54" i="64"/>
  <c r="G184" i="79"/>
  <c r="G90" i="79"/>
  <c r="G64" i="79"/>
  <c r="E79" i="79"/>
  <c r="G78" i="24"/>
  <c r="G202" i="90"/>
  <c r="G166" i="90"/>
  <c r="G191" i="37"/>
  <c r="G153" i="37"/>
  <c r="G76" i="37"/>
  <c r="G38" i="120"/>
  <c r="G15" i="120"/>
  <c r="G182" i="104"/>
  <c r="G77" i="62"/>
  <c r="G132" i="66"/>
  <c r="G51" i="66"/>
  <c r="G57" i="145"/>
  <c r="E228" i="120"/>
  <c r="G225" i="120"/>
  <c r="G131" i="120"/>
  <c r="G107" i="120"/>
  <c r="G70" i="120"/>
  <c r="G56" i="120"/>
  <c r="G41" i="120"/>
  <c r="G49" i="39"/>
  <c r="G147" i="71"/>
  <c r="G115" i="71"/>
  <c r="E119" i="71"/>
  <c r="G171" i="175"/>
  <c r="G110" i="43"/>
  <c r="G227" i="104"/>
  <c r="G88" i="106"/>
  <c r="G55" i="106"/>
  <c r="G150" i="102"/>
  <c r="G133" i="102"/>
  <c r="G182" i="83"/>
  <c r="G193" i="49"/>
  <c r="K14" i="177"/>
  <c r="G235" i="177"/>
  <c r="G36" i="69"/>
  <c r="G196" i="86"/>
  <c r="G167" i="87"/>
  <c r="G147" i="87"/>
  <c r="G90" i="143"/>
  <c r="G68" i="143"/>
  <c r="G136" i="28"/>
  <c r="G118" i="28"/>
  <c r="G39" i="28"/>
  <c r="G167" i="32"/>
  <c r="G13" i="141"/>
  <c r="G152" i="24"/>
  <c r="G127" i="90"/>
  <c r="G46" i="90"/>
  <c r="G11" i="90"/>
  <c r="G159" i="133"/>
  <c r="G67" i="84"/>
  <c r="E79" i="84"/>
  <c r="G42" i="84"/>
  <c r="G175" i="43"/>
  <c r="G47" i="43"/>
  <c r="G130" i="54"/>
  <c r="G40" i="103"/>
  <c r="G41" i="79"/>
  <c r="G50" i="32"/>
  <c r="G75" i="32"/>
  <c r="G168" i="87"/>
  <c r="G26" i="178"/>
  <c r="G36" i="14"/>
  <c r="G15" i="27"/>
  <c r="G174" i="39"/>
  <c r="G15" i="53"/>
  <c r="G20" i="94"/>
  <c r="G71" i="60"/>
  <c r="G158" i="156"/>
  <c r="G173" i="119"/>
  <c r="G16" i="120"/>
  <c r="G73" i="133"/>
  <c r="G193" i="176"/>
  <c r="G187" i="55"/>
  <c r="G84" i="55"/>
  <c r="G195" i="62"/>
  <c r="G100" i="120"/>
  <c r="G45" i="39"/>
  <c r="G160" i="87"/>
  <c r="G196" i="72"/>
  <c r="G153" i="141"/>
  <c r="G219" i="118"/>
  <c r="E197" i="72"/>
  <c r="E79" i="69"/>
  <c r="G205" i="178"/>
  <c r="G143" i="178"/>
  <c r="G107" i="27"/>
  <c r="E111" i="27"/>
  <c r="G135" i="47"/>
  <c r="G129" i="49"/>
  <c r="G175" i="19"/>
  <c r="G16" i="66"/>
  <c r="G129" i="63"/>
  <c r="G111" i="72"/>
  <c r="G184" i="28"/>
  <c r="G155" i="176"/>
  <c r="G183" i="165"/>
  <c r="G182" i="64"/>
  <c r="E197" i="64"/>
  <c r="G78" i="102"/>
  <c r="G166" i="83"/>
  <c r="G153" i="49"/>
  <c r="G178" i="62"/>
  <c r="G70" i="63"/>
  <c r="G55" i="66"/>
  <c r="G59" i="120"/>
  <c r="G38" i="39"/>
  <c r="G133" i="175"/>
  <c r="G224" i="83"/>
  <c r="G202" i="86"/>
  <c r="E206" i="86"/>
  <c r="G141" i="28"/>
  <c r="G177" i="72"/>
  <c r="G166" i="133"/>
  <c r="E111" i="84"/>
  <c r="G106" i="84"/>
  <c r="G51" i="43"/>
  <c r="G32" i="43"/>
  <c r="G138" i="60"/>
  <c r="G66" i="118"/>
  <c r="E79" i="118"/>
  <c r="G175" i="178"/>
  <c r="E61" i="119"/>
  <c r="E61" i="157"/>
  <c r="E197" i="145"/>
  <c r="E161" i="176"/>
  <c r="E197" i="90"/>
  <c r="E161" i="84"/>
  <c r="G18" i="50"/>
  <c r="E21" i="50"/>
  <c r="G92" i="89"/>
  <c r="G96" i="10"/>
  <c r="G196" i="178"/>
  <c r="G137" i="14"/>
  <c r="G177" i="32"/>
  <c r="G26" i="10"/>
  <c r="G76" i="133"/>
  <c r="G68" i="106"/>
  <c r="G130" i="83"/>
  <c r="G29" i="120"/>
  <c r="G76" i="43"/>
  <c r="G45" i="102"/>
  <c r="G136" i="39"/>
  <c r="G19" i="102"/>
  <c r="G190" i="71"/>
  <c r="G127" i="46"/>
  <c r="G13" i="58"/>
  <c r="G14" i="63"/>
  <c r="G50" i="66"/>
  <c r="G74" i="43"/>
  <c r="G82" i="54"/>
  <c r="E93" i="54"/>
  <c r="G78" i="71"/>
  <c r="G77" i="83"/>
  <c r="G14" i="102"/>
  <c r="G28" i="145"/>
  <c r="E161" i="47"/>
  <c r="E79" i="19"/>
  <c r="E119" i="119"/>
  <c r="E197" i="62"/>
  <c r="E93" i="79"/>
  <c r="E197" i="89"/>
  <c r="G132" i="178"/>
  <c r="G129" i="16"/>
  <c r="G32" i="16"/>
  <c r="E102" i="157"/>
  <c r="G99" i="157"/>
  <c r="G127" i="119"/>
  <c r="G108" i="119"/>
  <c r="G76" i="119"/>
  <c r="G58" i="119"/>
  <c r="G65" i="65"/>
  <c r="G67" i="152"/>
  <c r="G77" i="133"/>
  <c r="G57" i="62"/>
  <c r="G169" i="66"/>
  <c r="G177" i="172"/>
  <c r="G152" i="64"/>
  <c r="G160" i="79"/>
  <c r="G46" i="79"/>
  <c r="G141" i="90"/>
  <c r="G169" i="152"/>
  <c r="G99" i="152"/>
  <c r="G164" i="104"/>
  <c r="G78" i="104"/>
  <c r="G151" i="46"/>
  <c r="G172" i="49"/>
  <c r="G226" i="62"/>
  <c r="G185" i="62"/>
  <c r="G131" i="63"/>
  <c r="E79" i="63"/>
  <c r="G66" i="63"/>
  <c r="G69" i="66"/>
  <c r="G11" i="66"/>
  <c r="G19" i="68"/>
  <c r="G184" i="145"/>
  <c r="G132" i="145"/>
  <c r="G158" i="120"/>
  <c r="G60" i="39"/>
  <c r="G185" i="175"/>
  <c r="G129" i="175"/>
  <c r="E111" i="43"/>
  <c r="G106" i="43"/>
  <c r="G55" i="43"/>
  <c r="G137" i="106"/>
  <c r="G109" i="106"/>
  <c r="G78" i="47"/>
  <c r="G26" i="47"/>
  <c r="G203" i="49"/>
  <c r="E206" i="49"/>
  <c r="G48" i="68"/>
  <c r="G191" i="89"/>
  <c r="G175" i="89"/>
  <c r="G189" i="143"/>
  <c r="G101" i="143"/>
  <c r="E228" i="176"/>
  <c r="G221" i="176"/>
  <c r="G35" i="28"/>
  <c r="E206" i="72"/>
  <c r="G203" i="72"/>
  <c r="G173" i="72"/>
  <c r="G118" i="32"/>
  <c r="G194" i="141"/>
  <c r="E119" i="141"/>
  <c r="G115" i="141"/>
  <c r="G123" i="90"/>
  <c r="G92" i="90"/>
  <c r="G57" i="90"/>
  <c r="G126" i="84"/>
  <c r="G38" i="84"/>
  <c r="G12" i="84"/>
  <c r="G147" i="175"/>
  <c r="G151" i="43"/>
  <c r="G65" i="43"/>
  <c r="G133" i="60"/>
  <c r="G118" i="60"/>
  <c r="G109" i="60"/>
  <c r="G67" i="60"/>
  <c r="G192" i="118"/>
  <c r="G59" i="118"/>
  <c r="G34" i="64"/>
  <c r="G60" i="32"/>
  <c r="G26" i="64"/>
  <c r="G142" i="79"/>
  <c r="F215" i="55"/>
  <c r="G65" i="68"/>
  <c r="E79" i="68"/>
  <c r="G77" i="103"/>
  <c r="G117" i="38"/>
  <c r="E119" i="38"/>
  <c r="G116" i="55"/>
  <c r="E119" i="55"/>
  <c r="G124" i="63"/>
  <c r="G117" i="63"/>
  <c r="E119" i="63"/>
  <c r="K14" i="167"/>
  <c r="G235" i="167"/>
  <c r="G141" i="103"/>
  <c r="G175" i="155"/>
  <c r="G142" i="155"/>
  <c r="G85" i="178"/>
  <c r="G129" i="178"/>
  <c r="G40" i="178"/>
  <c r="G115" i="178"/>
  <c r="G137" i="178"/>
  <c r="E119" i="178"/>
  <c r="G82" i="178"/>
  <c r="E93" i="178"/>
  <c r="G181" i="178"/>
  <c r="G126" i="178"/>
  <c r="G88" i="89"/>
  <c r="E93" i="89"/>
  <c r="G168" i="178"/>
  <c r="G37" i="178"/>
  <c r="G34" i="85"/>
  <c r="E61" i="85"/>
  <c r="G125" i="10"/>
  <c r="E161" i="10"/>
  <c r="G188" i="10"/>
  <c r="G130" i="32"/>
  <c r="E161" i="32"/>
  <c r="G186" i="155"/>
  <c r="G68" i="120"/>
  <c r="E79" i="120"/>
  <c r="G110" i="71"/>
  <c r="E111" i="71"/>
  <c r="G48" i="39"/>
  <c r="G140" i="102"/>
  <c r="E93" i="102"/>
  <c r="G83" i="102"/>
  <c r="G145" i="63"/>
  <c r="G52" i="54"/>
  <c r="G56" i="71"/>
  <c r="G133" i="63"/>
  <c r="G223" i="49"/>
  <c r="E228" i="49"/>
  <c r="E21" i="145"/>
  <c r="G16" i="145"/>
  <c r="G44" i="15"/>
  <c r="G56" i="118"/>
  <c r="E61" i="118"/>
  <c r="G39" i="15"/>
  <c r="G100" i="102"/>
  <c r="G73" i="98"/>
  <c r="G222" i="63"/>
  <c r="E228" i="63"/>
  <c r="G16" i="94"/>
  <c r="G29" i="60"/>
  <c r="G106" i="102"/>
  <c r="C208" i="68"/>
  <c r="G152" i="94"/>
  <c r="G141" i="53"/>
  <c r="E237" i="167"/>
  <c r="E236" i="167"/>
  <c r="G87" i="103"/>
  <c r="G151" i="103"/>
  <c r="G146" i="103"/>
  <c r="G133" i="103"/>
  <c r="G87" i="98"/>
  <c r="G188" i="71"/>
  <c r="G231" i="43"/>
  <c r="E235" i="43"/>
  <c r="G64" i="178"/>
  <c r="E79" i="178"/>
  <c r="G129" i="89"/>
  <c r="E161" i="89"/>
  <c r="G192" i="37"/>
  <c r="G27" i="71"/>
  <c r="E61" i="71"/>
  <c r="G55" i="15"/>
  <c r="G46" i="43"/>
  <c r="E61" i="43"/>
  <c r="G178" i="15"/>
  <c r="G18" i="20"/>
  <c r="E21" i="20"/>
  <c r="G143" i="58"/>
  <c r="G145" i="53"/>
  <c r="E61" i="49"/>
  <c r="G29" i="49"/>
  <c r="G129" i="66"/>
  <c r="E161" i="66"/>
  <c r="G71" i="98"/>
  <c r="G86" i="133"/>
  <c r="G232" i="178"/>
  <c r="G90" i="178"/>
  <c r="G66" i="156"/>
  <c r="E79" i="156"/>
  <c r="G28" i="54"/>
  <c r="E61" i="54"/>
  <c r="G46" i="68"/>
  <c r="G147" i="98"/>
  <c r="G176" i="60"/>
  <c r="G158" i="98"/>
  <c r="G155" i="106"/>
  <c r="E79" i="66"/>
  <c r="G72" i="66"/>
  <c r="G123" i="98"/>
  <c r="E161" i="98"/>
  <c r="G123" i="178"/>
  <c r="E161" i="178"/>
  <c r="G204" i="178"/>
  <c r="G69" i="178"/>
  <c r="G101" i="178"/>
  <c r="G155" i="178"/>
  <c r="G84" i="178"/>
  <c r="G227" i="178"/>
  <c r="E79" i="87"/>
  <c r="G76" i="87"/>
  <c r="G180" i="10"/>
  <c r="G53" i="37"/>
  <c r="G159" i="25"/>
  <c r="G182" i="176"/>
  <c r="E197" i="176"/>
  <c r="G42" i="71"/>
  <c r="G97" i="39"/>
  <c r="E102" i="39"/>
  <c r="G13" i="55"/>
  <c r="E21" i="55"/>
  <c r="G47" i="156"/>
  <c r="G98" i="133"/>
  <c r="E102" i="133"/>
  <c r="G137" i="63"/>
  <c r="G36" i="63"/>
  <c r="G101" i="145"/>
  <c r="E102" i="145"/>
  <c r="G183" i="104"/>
  <c r="E197" i="104"/>
  <c r="G193" i="83"/>
  <c r="G127" i="62"/>
  <c r="E161" i="62"/>
  <c r="G173" i="71"/>
  <c r="E197" i="71"/>
  <c r="G99" i="102"/>
  <c r="E102" i="102"/>
  <c r="G189" i="49"/>
  <c r="E197" i="49"/>
  <c r="G123" i="63"/>
  <c r="E161" i="63"/>
  <c r="G32" i="54"/>
  <c r="G131" i="58"/>
  <c r="E161" i="58"/>
  <c r="G12" i="58"/>
  <c r="G101" i="54"/>
  <c r="E102" i="54"/>
  <c r="G13" i="46"/>
  <c r="G32" i="145"/>
  <c r="E61" i="145"/>
  <c r="E111" i="98"/>
  <c r="G106" i="98"/>
  <c r="G84" i="62"/>
  <c r="E93" i="62"/>
  <c r="G105" i="68"/>
  <c r="E111" i="68"/>
  <c r="G222" i="58"/>
  <c r="G133" i="53"/>
  <c r="G135" i="103"/>
  <c r="E93" i="118"/>
  <c r="G89" i="118"/>
  <c r="G12" i="118"/>
  <c r="E21" i="118"/>
  <c r="G190" i="14"/>
  <c r="G231" i="155"/>
  <c r="E235" i="155"/>
  <c r="G167" i="28"/>
  <c r="E197" i="28"/>
  <c r="G47" i="64"/>
  <c r="G149" i="155"/>
  <c r="G45" i="25"/>
  <c r="E61" i="25"/>
  <c r="G15" i="71"/>
  <c r="G43" i="47"/>
  <c r="G14" i="49"/>
  <c r="E21" i="49"/>
  <c r="G138" i="98"/>
  <c r="G135" i="98"/>
  <c r="G54" i="178"/>
  <c r="G140" i="85"/>
  <c r="E161" i="85"/>
  <c r="G60" i="15"/>
  <c r="G168" i="37"/>
  <c r="E197" i="37"/>
  <c r="G110" i="68"/>
  <c r="G194" i="178"/>
  <c r="G178" i="178"/>
  <c r="G148" i="42"/>
  <c r="E161" i="42"/>
  <c r="G57" i="10"/>
  <c r="G164" i="10"/>
  <c r="E197" i="10"/>
  <c r="G43" i="102"/>
  <c r="G35" i="102"/>
  <c r="G25" i="63"/>
  <c r="E61" i="63"/>
  <c r="G224" i="178"/>
  <c r="G13" i="178"/>
  <c r="G86" i="178"/>
  <c r="G14" i="178"/>
  <c r="G52" i="178"/>
  <c r="G99" i="178"/>
  <c r="G91" i="178"/>
  <c r="G72" i="178"/>
  <c r="G221" i="178"/>
  <c r="G41" i="178"/>
  <c r="G76" i="178"/>
  <c r="G38" i="178"/>
  <c r="G184" i="178"/>
  <c r="G53" i="178"/>
  <c r="G37" i="10"/>
  <c r="E61" i="10"/>
  <c r="G202" i="178"/>
  <c r="G13" i="32"/>
  <c r="E21" i="32"/>
  <c r="G142" i="14"/>
  <c r="E161" i="14"/>
  <c r="G118" i="155"/>
  <c r="E119" i="155"/>
  <c r="G190" i="25"/>
  <c r="E197" i="25"/>
  <c r="G178" i="39"/>
  <c r="G123" i="15"/>
  <c r="E161" i="15"/>
  <c r="G29" i="37"/>
  <c r="E61" i="37"/>
  <c r="G37" i="63"/>
  <c r="G68" i="68"/>
  <c r="G156" i="60"/>
  <c r="G118" i="39"/>
  <c r="G115" i="58"/>
  <c r="E119" i="58"/>
  <c r="G30" i="68"/>
  <c r="E61" i="68"/>
  <c r="G28" i="102"/>
  <c r="E61" i="102"/>
  <c r="G71" i="145"/>
  <c r="E79" i="145"/>
  <c r="G17" i="63"/>
  <c r="G85" i="15"/>
  <c r="G46" i="102"/>
  <c r="G78" i="106"/>
  <c r="G74" i="62"/>
  <c r="G91" i="66"/>
  <c r="G172" i="60"/>
  <c r="E197" i="60"/>
  <c r="G138" i="118"/>
  <c r="G86" i="98"/>
  <c r="G127" i="102"/>
  <c r="E161" i="102"/>
  <c r="G45" i="94"/>
  <c r="G129" i="174"/>
  <c r="E161" i="174"/>
  <c r="G84" i="66"/>
  <c r="E93" i="66"/>
  <c r="G67" i="98"/>
  <c r="E79" i="98"/>
  <c r="E79" i="103"/>
  <c r="G74" i="103"/>
  <c r="G147" i="103"/>
  <c r="E93" i="103"/>
  <c r="G86" i="103"/>
  <c r="E161" i="118"/>
  <c r="G127" i="118"/>
  <c r="E208" i="167"/>
  <c r="E197" i="15"/>
  <c r="G67" i="156"/>
  <c r="G67" i="133"/>
  <c r="E79" i="133"/>
  <c r="G48" i="84"/>
  <c r="G165" i="98"/>
  <c r="E197" i="98"/>
  <c r="G155" i="98"/>
  <c r="G184" i="20"/>
  <c r="G186" i="28"/>
  <c r="G204" i="133"/>
  <c r="E206" i="133"/>
  <c r="G41" i="83"/>
  <c r="G147" i="178"/>
  <c r="G133" i="178"/>
  <c r="E102" i="55"/>
  <c r="G98" i="55"/>
  <c r="G12" i="72"/>
  <c r="E21" i="72"/>
  <c r="G105" i="102"/>
  <c r="E111" i="102"/>
  <c r="G38" i="83"/>
  <c r="E61" i="83"/>
  <c r="G227" i="54"/>
  <c r="G130" i="103"/>
  <c r="G192" i="152"/>
  <c r="G48" i="178"/>
  <c r="G146" i="178"/>
  <c r="G65" i="178"/>
  <c r="G45" i="178"/>
  <c r="G50" i="83"/>
  <c r="G41" i="24"/>
  <c r="E61" i="24"/>
  <c r="G101" i="58"/>
  <c r="G60" i="98"/>
  <c r="G25" i="60"/>
  <c r="E61" i="60"/>
  <c r="E21" i="46"/>
  <c r="G11" i="46"/>
  <c r="G142" i="178"/>
  <c r="G78" i="178"/>
  <c r="G27" i="178"/>
  <c r="G28" i="178"/>
  <c r="G125" i="178"/>
  <c r="G165" i="178"/>
  <c r="G73" i="178"/>
  <c r="E21" i="178"/>
  <c r="G11" i="178"/>
  <c r="G149" i="178"/>
  <c r="E79" i="10"/>
  <c r="G65" i="10"/>
  <c r="G133" i="133"/>
  <c r="G39" i="155"/>
  <c r="E61" i="155"/>
  <c r="G89" i="176"/>
  <c r="E93" i="176"/>
  <c r="G92" i="71"/>
  <c r="G100" i="39"/>
  <c r="G60" i="64"/>
  <c r="G108" i="39"/>
  <c r="E111" i="39"/>
  <c r="G65" i="71"/>
  <c r="E79" i="71"/>
  <c r="G33" i="133"/>
  <c r="G52" i="143"/>
  <c r="E61" i="143"/>
  <c r="G86" i="145"/>
  <c r="E93" i="145"/>
  <c r="G72" i="47"/>
  <c r="G71" i="15"/>
  <c r="E79" i="15"/>
  <c r="G165" i="83"/>
  <c r="E197" i="83"/>
  <c r="G12" i="164"/>
  <c r="E21" i="164"/>
  <c r="G84" i="46"/>
  <c r="E93" i="46"/>
  <c r="G50" i="63"/>
  <c r="G127" i="60"/>
  <c r="E161" i="60"/>
  <c r="G56" i="145"/>
  <c r="G219" i="66"/>
  <c r="E228" i="66"/>
  <c r="G97" i="58"/>
  <c r="E102" i="58"/>
  <c r="E21" i="66"/>
  <c r="G18" i="66"/>
  <c r="E79" i="106"/>
  <c r="G75" i="106"/>
  <c r="G97" i="98"/>
  <c r="E102" i="98"/>
  <c r="G109" i="102"/>
  <c r="G53" i="66"/>
  <c r="G55" i="68"/>
  <c r="E119" i="174"/>
  <c r="G116" i="174"/>
  <c r="G151" i="58"/>
  <c r="G27" i="63"/>
  <c r="G44" i="98"/>
  <c r="E61" i="98"/>
  <c r="E228" i="58"/>
  <c r="G228" i="37"/>
  <c r="G137" i="103"/>
  <c r="E21" i="94"/>
  <c r="G202" i="14"/>
  <c r="G153" i="14"/>
  <c r="G171" i="27"/>
  <c r="E197" i="27"/>
  <c r="G51" i="20"/>
  <c r="G33" i="20"/>
  <c r="G181" i="27"/>
  <c r="G145" i="27"/>
  <c r="E161" i="27"/>
  <c r="G116" i="133"/>
  <c r="E119" i="133"/>
  <c r="E79" i="62"/>
  <c r="G64" i="83"/>
  <c r="E79" i="83"/>
  <c r="G160" i="178"/>
  <c r="G68" i="178"/>
  <c r="G219" i="178"/>
  <c r="E228" i="178"/>
  <c r="E237" i="178"/>
  <c r="G105" i="10"/>
  <c r="E111" i="10"/>
  <c r="G44" i="71"/>
  <c r="G52" i="60"/>
  <c r="G177" i="83"/>
  <c r="G18" i="178"/>
  <c r="G30" i="178"/>
  <c r="G100" i="178"/>
  <c r="G68" i="10"/>
  <c r="G149" i="71"/>
  <c r="G177" i="85"/>
  <c r="E197" i="85"/>
  <c r="G28" i="60"/>
  <c r="G12" i="178"/>
  <c r="G107" i="178"/>
  <c r="G32" i="178"/>
  <c r="G74" i="178"/>
  <c r="G60" i="178"/>
  <c r="G25" i="178"/>
  <c r="E61" i="178"/>
  <c r="G49" i="178"/>
  <c r="G46" i="178"/>
  <c r="G92" i="178"/>
  <c r="G192" i="178"/>
  <c r="G29" i="178"/>
  <c r="E206" i="178"/>
  <c r="G146" i="25"/>
  <c r="E161" i="25"/>
  <c r="G110" i="85"/>
  <c r="E111" i="85"/>
  <c r="G52" i="71"/>
  <c r="G189" i="71"/>
  <c r="G17" i="133"/>
  <c r="G60" i="43"/>
  <c r="G55" i="71"/>
  <c r="G143" i="102"/>
  <c r="G189" i="102"/>
  <c r="E197" i="102"/>
  <c r="G42" i="47"/>
  <c r="G88" i="47"/>
  <c r="G33" i="63"/>
  <c r="G135" i="68"/>
  <c r="E161" i="68"/>
  <c r="G52" i="103"/>
  <c r="E61" i="103"/>
  <c r="E93" i="47"/>
  <c r="G47" i="15"/>
  <c r="G13" i="63"/>
  <c r="E21" i="63"/>
  <c r="G82" i="15"/>
  <c r="E93" i="15"/>
  <c r="G202" i="58"/>
  <c r="E206" i="58"/>
  <c r="G48" i="145"/>
  <c r="E161" i="106"/>
  <c r="G127" i="106"/>
  <c r="G77" i="98"/>
  <c r="G149" i="53"/>
  <c r="G87" i="66"/>
  <c r="E93" i="49"/>
  <c r="G83" i="49"/>
  <c r="G20" i="98"/>
  <c r="E21" i="98"/>
  <c r="G38" i="94"/>
  <c r="G52" i="68"/>
  <c r="G175" i="94"/>
  <c r="E197" i="94"/>
  <c r="G54" i="98"/>
  <c r="G129" i="53"/>
  <c r="G66" i="164"/>
  <c r="E79" i="164"/>
  <c r="G123" i="103"/>
  <c r="E161" i="103"/>
  <c r="G150" i="103"/>
  <c r="E93" i="71"/>
  <c r="G192" i="14"/>
  <c r="G181" i="14"/>
  <c r="G86" i="20"/>
  <c r="E93" i="20"/>
  <c r="G44" i="178"/>
  <c r="G136" i="178"/>
  <c r="G14" i="38"/>
  <c r="E21" i="38"/>
  <c r="G180" i="39"/>
  <c r="G88" i="83"/>
  <c r="E93" i="83"/>
  <c r="G97" i="49"/>
  <c r="E102" i="49"/>
  <c r="G39" i="102"/>
  <c r="G34" i="63"/>
  <c r="E93" i="106"/>
  <c r="G85" i="106"/>
  <c r="G192" i="53"/>
  <c r="E197" i="53"/>
  <c r="G226" i="54"/>
  <c r="E228" i="54"/>
  <c r="G132" i="174"/>
  <c r="G41" i="64"/>
  <c r="E61" i="64"/>
  <c r="G191" i="79"/>
  <c r="E197" i="79"/>
  <c r="G125" i="152"/>
  <c r="E161" i="152"/>
  <c r="G156" i="178"/>
  <c r="G189" i="178"/>
  <c r="G176" i="178"/>
  <c r="E61" i="69"/>
  <c r="G46" i="69"/>
  <c r="G166" i="39"/>
  <c r="E197" i="39"/>
  <c r="G11" i="58"/>
  <c r="E21" i="58"/>
  <c r="G11" i="53"/>
  <c r="E21" i="53"/>
  <c r="G16" i="63"/>
  <c r="G31" i="15"/>
  <c r="G47" i="28"/>
  <c r="E61" i="28"/>
  <c r="G20" i="178"/>
  <c r="G106" i="178"/>
  <c r="G116" i="178"/>
  <c r="G151" i="178"/>
  <c r="G124" i="178"/>
  <c r="G36" i="178"/>
  <c r="G17" i="178"/>
  <c r="G173" i="178"/>
  <c r="G83" i="178"/>
  <c r="G57" i="178"/>
  <c r="G42" i="92"/>
  <c r="E61" i="92"/>
  <c r="G19" i="178"/>
  <c r="G158" i="178"/>
  <c r="G133" i="37"/>
  <c r="E161" i="37"/>
  <c r="G18" i="85"/>
  <c r="G135" i="71"/>
  <c r="E161" i="71"/>
  <c r="G155" i="39"/>
  <c r="G147" i="104"/>
  <c r="E161" i="104"/>
  <c r="G101" i="43"/>
  <c r="G27" i="58"/>
  <c r="E61" i="58"/>
  <c r="G203" i="68"/>
  <c r="G101" i="94"/>
  <c r="E102" i="94"/>
  <c r="G32" i="47"/>
  <c r="G137" i="145"/>
  <c r="E161" i="145"/>
  <c r="G30" i="63"/>
  <c r="G48" i="94"/>
  <c r="G232" i="83"/>
  <c r="G138" i="63"/>
  <c r="G152" i="102"/>
  <c r="G50" i="47"/>
  <c r="G91" i="58"/>
  <c r="G20" i="145"/>
  <c r="G106" i="103"/>
  <c r="E111" i="103"/>
  <c r="K14" i="39"/>
  <c r="G235" i="39"/>
  <c r="E61" i="15"/>
  <c r="G28" i="15"/>
  <c r="G232" i="66"/>
  <c r="G87" i="58"/>
  <c r="E93" i="58"/>
  <c r="E235" i="63"/>
  <c r="G231" i="63"/>
  <c r="G86" i="60"/>
  <c r="E93" i="60"/>
  <c r="G188" i="46"/>
  <c r="E197" i="46"/>
  <c r="G75" i="66"/>
  <c r="E61" i="66"/>
  <c r="G40" i="66"/>
  <c r="E161" i="53"/>
  <c r="G124" i="53"/>
  <c r="E61" i="174"/>
  <c r="G27" i="174"/>
  <c r="G147" i="58"/>
  <c r="G59" i="164"/>
  <c r="E61" i="164"/>
  <c r="G228" i="167"/>
  <c r="G74" i="98"/>
  <c r="G138" i="103"/>
  <c r="G149" i="94"/>
  <c r="E161" i="94"/>
  <c r="G46" i="175"/>
  <c r="G91" i="98"/>
  <c r="G57" i="71"/>
  <c r="G50" i="71"/>
  <c r="G151" i="175"/>
  <c r="E161" i="175"/>
  <c r="G193" i="14"/>
  <c r="G175" i="14"/>
  <c r="G13" i="156"/>
  <c r="E21" i="156"/>
  <c r="E206" i="155"/>
  <c r="G204" i="155"/>
  <c r="G232" i="64"/>
  <c r="E206" i="64"/>
  <c r="G202" i="64"/>
  <c r="G83" i="64"/>
  <c r="E93" i="64"/>
  <c r="G19" i="133"/>
  <c r="G58" i="175"/>
  <c r="G109" i="98"/>
  <c r="G77" i="165"/>
  <c r="G89" i="20"/>
  <c r="G127" i="133"/>
  <c r="G109" i="133"/>
  <c r="G51" i="84"/>
  <c r="G77" i="175"/>
  <c r="G143" i="98"/>
  <c r="G201" i="14"/>
  <c r="E206" i="14"/>
  <c r="G87" i="165"/>
  <c r="G141" i="27"/>
  <c r="G92" i="156"/>
  <c r="G127" i="98"/>
  <c r="G46" i="71"/>
  <c r="G93" i="167"/>
  <c r="G59" i="175"/>
  <c r="G42" i="175"/>
  <c r="E61" i="175"/>
  <c r="G146" i="14"/>
  <c r="G30" i="20"/>
  <c r="G180" i="155"/>
  <c r="G137" i="155"/>
  <c r="E161" i="155"/>
  <c r="E102" i="155"/>
  <c r="G96" i="155"/>
  <c r="G188" i="119"/>
  <c r="G148" i="79"/>
  <c r="G131" i="79"/>
  <c r="E197" i="152"/>
  <c r="G164" i="152"/>
  <c r="G114" i="152"/>
  <c r="E119" i="152"/>
  <c r="E197" i="175"/>
  <c r="G165" i="175"/>
  <c r="G201" i="43"/>
  <c r="E206" i="43"/>
  <c r="G161" i="167"/>
  <c r="G150" i="14"/>
  <c r="E79" i="165"/>
  <c r="G69" i="165"/>
  <c r="G47" i="20"/>
  <c r="G192" i="119"/>
  <c r="G30" i="133"/>
  <c r="G49" i="47"/>
  <c r="G37" i="47"/>
  <c r="G29" i="47"/>
  <c r="E61" i="47"/>
  <c r="G108" i="165"/>
  <c r="E111" i="165"/>
  <c r="G97" i="165"/>
  <c r="E102" i="165"/>
  <c r="G83" i="165"/>
  <c r="E93" i="165"/>
  <c r="E93" i="156"/>
  <c r="G89" i="156"/>
  <c r="G92" i="133"/>
  <c r="G135" i="83"/>
  <c r="E161" i="83"/>
  <c r="G169" i="175"/>
  <c r="G19" i="156"/>
  <c r="E197" i="155"/>
  <c r="G167" i="155"/>
  <c r="G205" i="64"/>
  <c r="G116" i="64"/>
  <c r="E119" i="64"/>
  <c r="G14" i="64"/>
  <c r="E21" i="64"/>
  <c r="G29" i="39"/>
  <c r="G71" i="175"/>
  <c r="G29" i="20"/>
  <c r="G167" i="152"/>
  <c r="G124" i="133"/>
  <c r="E161" i="133"/>
  <c r="G89" i="133"/>
  <c r="G55" i="84"/>
  <c r="G172" i="175"/>
  <c r="G178" i="27"/>
  <c r="G177" i="28"/>
  <c r="G60" i="71"/>
  <c r="G57" i="83"/>
  <c r="G47" i="83"/>
  <c r="G37" i="83"/>
  <c r="G56" i="175"/>
  <c r="G83" i="98"/>
  <c r="E93" i="98"/>
  <c r="G102" i="167"/>
  <c r="G48" i="20"/>
  <c r="G26" i="20"/>
  <c r="E61" i="20"/>
  <c r="G70" i="155"/>
  <c r="E79" i="155"/>
  <c r="G149" i="28"/>
  <c r="E161" i="28"/>
  <c r="G36" i="72"/>
  <c r="G33" i="64"/>
  <c r="G185" i="152"/>
  <c r="G153" i="152"/>
  <c r="G82" i="133"/>
  <c r="E93" i="133"/>
  <c r="G27" i="133"/>
  <c r="E61" i="133"/>
  <c r="G12" i="133"/>
  <c r="E21" i="133"/>
  <c r="G171" i="39"/>
  <c r="G65" i="175"/>
  <c r="E79" i="175"/>
  <c r="G116" i="98"/>
  <c r="E119" i="98"/>
  <c r="G187" i="14"/>
  <c r="G174" i="14"/>
  <c r="E197" i="14"/>
  <c r="G96" i="20"/>
  <c r="E102" i="20"/>
  <c r="G44" i="20"/>
  <c r="G26" i="156"/>
  <c r="E61" i="156"/>
  <c r="G40" i="84"/>
  <c r="G151" i="98"/>
  <c r="G91" i="165"/>
  <c r="G39" i="156"/>
  <c r="E111" i="133"/>
  <c r="G105" i="133"/>
  <c r="G70" i="83"/>
  <c r="G131" i="98"/>
  <c r="G15" i="118"/>
  <c r="G195" i="14"/>
  <c r="G222" i="155"/>
  <c r="E228" i="155"/>
  <c r="G178" i="155"/>
  <c r="G146" i="155"/>
  <c r="G99" i="155"/>
  <c r="G45" i="155"/>
  <c r="G171" i="28"/>
  <c r="G44" i="64"/>
  <c r="G201" i="79"/>
  <c r="E206" i="79"/>
  <c r="G140" i="79"/>
  <c r="G123" i="79"/>
  <c r="E161" i="79"/>
  <c r="G178" i="152"/>
  <c r="G106" i="133"/>
  <c r="E61" i="39"/>
  <c r="G26" i="39"/>
  <c r="G185" i="71"/>
  <c r="G155" i="175"/>
  <c r="G197" i="167"/>
  <c r="G182" i="27"/>
  <c r="G53" i="25"/>
  <c r="G173" i="28"/>
  <c r="G75" i="133"/>
  <c r="G34" i="133"/>
  <c r="G168" i="175"/>
  <c r="G46" i="47"/>
  <c r="G18" i="49"/>
  <c r="G159" i="98"/>
  <c r="G101" i="165"/>
  <c r="G185" i="27"/>
  <c r="G175" i="27"/>
  <c r="E197" i="20"/>
  <c r="G169" i="20"/>
  <c r="G131" i="133"/>
  <c r="G34" i="20"/>
  <c r="G73" i="155"/>
  <c r="G18" i="64"/>
  <c r="G71" i="133"/>
  <c r="E161" i="39"/>
  <c r="G125" i="39"/>
  <c r="G12" i="71"/>
  <c r="E21" i="71"/>
  <c r="G204" i="43"/>
  <c r="G184" i="14"/>
  <c r="G72" i="20"/>
  <c r="G41" i="20"/>
  <c r="G177" i="155"/>
  <c r="G53" i="71"/>
  <c r="E61" i="84"/>
  <c r="G33" i="84"/>
  <c r="G29" i="156"/>
  <c r="G38" i="133"/>
  <c r="G71" i="113"/>
  <c r="G65" i="113"/>
  <c r="G188" i="113"/>
  <c r="G87" i="113"/>
  <c r="G166" i="113"/>
  <c r="E197" i="113"/>
  <c r="G150" i="113"/>
  <c r="G145" i="113"/>
  <c r="G231" i="113"/>
  <c r="E235" i="113"/>
  <c r="G200" i="113"/>
  <c r="E206" i="113"/>
  <c r="G177" i="113"/>
  <c r="E21" i="113"/>
  <c r="G14" i="113"/>
  <c r="G54" i="113"/>
  <c r="G52" i="113"/>
  <c r="G101" i="113"/>
  <c r="G99" i="113"/>
  <c r="G27" i="113"/>
  <c r="G170" i="113"/>
  <c r="G153" i="113"/>
  <c r="G39" i="113"/>
  <c r="G34" i="113"/>
  <c r="G183" i="113"/>
  <c r="G86" i="113"/>
  <c r="G77" i="113"/>
  <c r="G67" i="113"/>
  <c r="G46" i="113"/>
  <c r="G25" i="113"/>
  <c r="G19" i="113"/>
  <c r="G184" i="113"/>
  <c r="G159" i="113"/>
  <c r="G156" i="113"/>
  <c r="G135" i="113"/>
  <c r="G30" i="113"/>
  <c r="G225" i="113"/>
  <c r="E228" i="113"/>
  <c r="G202" i="113"/>
  <c r="G16" i="113"/>
  <c r="G181" i="113"/>
  <c r="G82" i="113"/>
  <c r="G64" i="113"/>
  <c r="G50" i="113"/>
  <c r="G17" i="113"/>
  <c r="G186" i="113"/>
  <c r="G107" i="113"/>
  <c r="G29" i="113"/>
  <c r="G196" i="113"/>
  <c r="G174" i="113"/>
  <c r="G147" i="113"/>
  <c r="G137" i="113"/>
  <c r="G118" i="113"/>
  <c r="E119" i="113"/>
  <c r="G41" i="113"/>
  <c r="G36" i="113"/>
  <c r="G43" i="113"/>
  <c r="G146" i="113"/>
  <c r="E161" i="113"/>
  <c r="F215" i="84"/>
  <c r="K15" i="33" l="1"/>
  <c r="K15" i="111"/>
  <c r="H11" i="33"/>
  <c r="G236" i="159"/>
  <c r="G238" i="159" s="1"/>
  <c r="H12" i="33"/>
  <c r="G237" i="57"/>
  <c r="H13" i="159"/>
  <c r="H15" i="159"/>
  <c r="H12" i="159"/>
  <c r="H18" i="159"/>
  <c r="G235" i="98"/>
  <c r="G237" i="98" s="1"/>
  <c r="K14" i="84"/>
  <c r="H21" i="159"/>
  <c r="H14" i="159"/>
  <c r="H220" i="111"/>
  <c r="H224" i="135"/>
  <c r="H11" i="159"/>
  <c r="K11" i="159"/>
  <c r="H17" i="159"/>
  <c r="H16" i="159"/>
  <c r="H19" i="159"/>
  <c r="F205" i="97"/>
  <c r="F204" i="97"/>
  <c r="G202" i="155"/>
  <c r="F203" i="97"/>
  <c r="F206" i="155"/>
  <c r="F209" i="97" s="1"/>
  <c r="H224" i="111"/>
  <c r="H221" i="111"/>
  <c r="H221" i="159"/>
  <c r="G236" i="111"/>
  <c r="H222" i="111"/>
  <c r="H226" i="111"/>
  <c r="H219" i="111"/>
  <c r="H225" i="111"/>
  <c r="K13" i="111"/>
  <c r="H227" i="111"/>
  <c r="H228" i="159"/>
  <c r="H228" i="111"/>
  <c r="H223" i="111"/>
  <c r="H224" i="21"/>
  <c r="H220" i="21"/>
  <c r="H223" i="21"/>
  <c r="H227" i="21"/>
  <c r="H219" i="21"/>
  <c r="H226" i="21"/>
  <c r="H225" i="21"/>
  <c r="H222" i="21"/>
  <c r="H228" i="21"/>
  <c r="G236" i="21"/>
  <c r="G237" i="21"/>
  <c r="H226" i="33"/>
  <c r="H224" i="33"/>
  <c r="H20" i="33"/>
  <c r="H17" i="33"/>
  <c r="K11" i="33"/>
  <c r="K15" i="135"/>
  <c r="G236" i="33"/>
  <c r="H223" i="33"/>
  <c r="K13" i="135"/>
  <c r="H227" i="159"/>
  <c r="H221" i="33"/>
  <c r="H226" i="135"/>
  <c r="H222" i="159"/>
  <c r="H225" i="33"/>
  <c r="H222" i="135"/>
  <c r="H227" i="33"/>
  <c r="H228" i="33"/>
  <c r="K13" i="21"/>
  <c r="H221" i="21"/>
  <c r="G208" i="57"/>
  <c r="H56" i="57" s="1"/>
  <c r="G208" i="136"/>
  <c r="H116" i="136" s="1"/>
  <c r="H15" i="33"/>
  <c r="H21" i="33"/>
  <c r="H16" i="33"/>
  <c r="H14" i="33"/>
  <c r="H19" i="33"/>
  <c r="H18" i="33"/>
  <c r="H13" i="33"/>
  <c r="H225" i="159"/>
  <c r="H220" i="159"/>
  <c r="H224" i="159"/>
  <c r="K13" i="159"/>
  <c r="H219" i="159"/>
  <c r="H226" i="159"/>
  <c r="H223" i="159"/>
  <c r="G235" i="84"/>
  <c r="K15" i="84" s="1"/>
  <c r="H227" i="135"/>
  <c r="G236" i="135"/>
  <c r="G238" i="135" s="1"/>
  <c r="H219" i="135"/>
  <c r="H221" i="135"/>
  <c r="H225" i="135"/>
  <c r="H223" i="135"/>
  <c r="H220" i="135"/>
  <c r="K15" i="136"/>
  <c r="G235" i="65"/>
  <c r="G237" i="65" s="1"/>
  <c r="G235" i="16"/>
  <c r="G237" i="16" s="1"/>
  <c r="E238" i="159"/>
  <c r="H220" i="33"/>
  <c r="E238" i="135"/>
  <c r="H219" i="33"/>
  <c r="H222" i="33"/>
  <c r="K13" i="33"/>
  <c r="E215" i="33"/>
  <c r="E215" i="111"/>
  <c r="G208" i="33"/>
  <c r="G215" i="33" s="1"/>
  <c r="E215" i="135"/>
  <c r="E215" i="136"/>
  <c r="E215" i="57"/>
  <c r="E215" i="159"/>
  <c r="E237" i="50"/>
  <c r="G169" i="97"/>
  <c r="E237" i="58"/>
  <c r="E96" i="97"/>
  <c r="E237" i="142"/>
  <c r="G121" i="97"/>
  <c r="G235" i="10"/>
  <c r="E82" i="97"/>
  <c r="G37" i="97"/>
  <c r="G42" i="97"/>
  <c r="G88" i="97"/>
  <c r="G153" i="97"/>
  <c r="G43" i="97"/>
  <c r="G39" i="97"/>
  <c r="G168" i="97"/>
  <c r="G130" i="97"/>
  <c r="O130" i="97" s="1"/>
  <c r="G113" i="97"/>
  <c r="G160" i="97"/>
  <c r="G151" i="97"/>
  <c r="O151" i="97" s="1"/>
  <c r="G154" i="97"/>
  <c r="G185" i="97"/>
  <c r="G74" i="97"/>
  <c r="G47" i="97"/>
  <c r="J47" i="97" s="1"/>
  <c r="G86" i="97"/>
  <c r="G73" i="97"/>
  <c r="G93" i="97"/>
  <c r="G197" i="97"/>
  <c r="G118" i="97"/>
  <c r="G80" i="97"/>
  <c r="G207" i="97"/>
  <c r="G111" i="97"/>
  <c r="E200" i="97"/>
  <c r="G71" i="97"/>
  <c r="G15" i="97"/>
  <c r="G145" i="97"/>
  <c r="G229" i="97"/>
  <c r="G99" i="97"/>
  <c r="O99" i="97" s="1"/>
  <c r="G56" i="97"/>
  <c r="G120" i="97"/>
  <c r="G189" i="97"/>
  <c r="G49" i="97"/>
  <c r="G52" i="97"/>
  <c r="G180" i="97"/>
  <c r="G226" i="97"/>
  <c r="G138" i="97"/>
  <c r="G81" i="97"/>
  <c r="G30" i="97"/>
  <c r="G91" i="97"/>
  <c r="G182" i="97"/>
  <c r="J182" i="97" s="1"/>
  <c r="G208" i="97"/>
  <c r="G119" i="97"/>
  <c r="G194" i="97"/>
  <c r="G224" i="97"/>
  <c r="G150" i="97"/>
  <c r="G46" i="97"/>
  <c r="J46" i="97" s="1"/>
  <c r="G230" i="97"/>
  <c r="G108" i="97"/>
  <c r="O108" i="97" s="1"/>
  <c r="G50" i="97"/>
  <c r="G78" i="97"/>
  <c r="G69" i="97"/>
  <c r="G222" i="97"/>
  <c r="G191" i="97"/>
  <c r="G146" i="97"/>
  <c r="G140" i="97"/>
  <c r="G128" i="97"/>
  <c r="O128" i="97" s="1"/>
  <c r="G29" i="97"/>
  <c r="O29" i="97" s="1"/>
  <c r="E24" i="97"/>
  <c r="G181" i="97"/>
  <c r="G87" i="97"/>
  <c r="G67" i="97"/>
  <c r="G68" i="97"/>
  <c r="G75" i="97"/>
  <c r="G18" i="97"/>
  <c r="G79" i="97"/>
  <c r="G127" i="97"/>
  <c r="O127" i="97" s="1"/>
  <c r="G161" i="97"/>
  <c r="G102" i="97"/>
  <c r="G70" i="97"/>
  <c r="G187" i="97"/>
  <c r="E238" i="97"/>
  <c r="E240" i="97" s="1"/>
  <c r="G135" i="97"/>
  <c r="G104" i="97"/>
  <c r="G235" i="97"/>
  <c r="G198" i="97"/>
  <c r="G132" i="97"/>
  <c r="G139" i="97"/>
  <c r="O139" i="97" s="1"/>
  <c r="G53" i="97"/>
  <c r="J53" i="97" s="1"/>
  <c r="G35" i="97"/>
  <c r="G20" i="97"/>
  <c r="G155" i="97"/>
  <c r="G184" i="97"/>
  <c r="G129" i="97"/>
  <c r="O129" i="97" s="1"/>
  <c r="E164" i="97"/>
  <c r="G16" i="97"/>
  <c r="G223" i="97"/>
  <c r="G17" i="97"/>
  <c r="G101" i="97"/>
  <c r="G136" i="97"/>
  <c r="G162" i="97"/>
  <c r="D211" i="97"/>
  <c r="G76" i="97"/>
  <c r="G40" i="97"/>
  <c r="G100" i="97"/>
  <c r="G171" i="97"/>
  <c r="O171" i="97" s="1"/>
  <c r="G32" i="97"/>
  <c r="G158" i="97"/>
  <c r="G227" i="97"/>
  <c r="G57" i="97"/>
  <c r="C211" i="97"/>
  <c r="G149" i="97"/>
  <c r="G33" i="97"/>
  <c r="G14" i="97"/>
  <c r="G94" i="97"/>
  <c r="G19" i="97"/>
  <c r="G143" i="97"/>
  <c r="G59" i="97"/>
  <c r="G134" i="97"/>
  <c r="G85" i="97"/>
  <c r="G90" i="97"/>
  <c r="G144" i="97"/>
  <c r="G177" i="97"/>
  <c r="G23" i="97"/>
  <c r="G112" i="97"/>
  <c r="G174" i="97"/>
  <c r="G188" i="97"/>
  <c r="G176" i="97"/>
  <c r="G60" i="97"/>
  <c r="G234" i="97"/>
  <c r="M17" i="97" s="1"/>
  <c r="G95" i="97"/>
  <c r="G36" i="97"/>
  <c r="G62" i="97"/>
  <c r="G179" i="97"/>
  <c r="J179" i="97" s="1"/>
  <c r="G38" i="97"/>
  <c r="G117" i="97"/>
  <c r="O117" i="97" s="1"/>
  <c r="G186" i="97"/>
  <c r="G199" i="97"/>
  <c r="G72" i="97"/>
  <c r="G58" i="97"/>
  <c r="G31" i="97"/>
  <c r="G148" i="97"/>
  <c r="G126" i="97"/>
  <c r="O126" i="97" s="1"/>
  <c r="G133" i="97"/>
  <c r="E114" i="97"/>
  <c r="E64" i="97"/>
  <c r="G21" i="97"/>
  <c r="G196" i="97"/>
  <c r="E231" i="97"/>
  <c r="G34" i="97"/>
  <c r="G170" i="97"/>
  <c r="G54" i="97"/>
  <c r="O54" i="97" s="1"/>
  <c r="G152" i="97"/>
  <c r="O152" i="97" s="1"/>
  <c r="G225" i="97"/>
  <c r="G51" i="97"/>
  <c r="J51" i="97" s="1"/>
  <c r="G103" i="97"/>
  <c r="G28" i="97"/>
  <c r="G206" i="97"/>
  <c r="G44" i="97"/>
  <c r="G167" i="97"/>
  <c r="G204" i="97"/>
  <c r="G163" i="97"/>
  <c r="G183" i="97"/>
  <c r="G141" i="97"/>
  <c r="O141" i="97" s="1"/>
  <c r="G109" i="97"/>
  <c r="G55" i="97"/>
  <c r="G89" i="97"/>
  <c r="G77" i="97"/>
  <c r="E122" i="97"/>
  <c r="G41" i="97"/>
  <c r="G45" i="97"/>
  <c r="G61" i="97"/>
  <c r="G178" i="97"/>
  <c r="J178" i="97" s="1"/>
  <c r="E105" i="97"/>
  <c r="G159" i="97"/>
  <c r="G190" i="97"/>
  <c r="G228" i="97"/>
  <c r="G192" i="97"/>
  <c r="G173" i="97"/>
  <c r="G92" i="97"/>
  <c r="G195" i="97"/>
  <c r="G175" i="97"/>
  <c r="O175" i="97" s="1"/>
  <c r="E209" i="97"/>
  <c r="G156" i="97"/>
  <c r="G22" i="97"/>
  <c r="G110" i="97"/>
  <c r="G172" i="97"/>
  <c r="G203" i="97"/>
  <c r="G48" i="97"/>
  <c r="J48" i="97" s="1"/>
  <c r="G193" i="97"/>
  <c r="G235" i="164"/>
  <c r="G237" i="164" s="1"/>
  <c r="K14" i="24"/>
  <c r="G235" i="172"/>
  <c r="K15" i="172" s="1"/>
  <c r="G119" i="176"/>
  <c r="K14" i="172"/>
  <c r="E237" i="172"/>
  <c r="E236" i="118"/>
  <c r="K14" i="32"/>
  <c r="K14" i="60"/>
  <c r="G235" i="32"/>
  <c r="K15" i="32" s="1"/>
  <c r="E236" i="174"/>
  <c r="G228" i="79"/>
  <c r="E237" i="46"/>
  <c r="E236" i="165"/>
  <c r="E237" i="39"/>
  <c r="K14" i="10"/>
  <c r="E237" i="65"/>
  <c r="E237" i="118"/>
  <c r="K14" i="83"/>
  <c r="G235" i="69"/>
  <c r="E237" i="174"/>
  <c r="G235" i="47"/>
  <c r="G237" i="47" s="1"/>
  <c r="K14" i="62"/>
  <c r="G235" i="142"/>
  <c r="G237" i="142" s="1"/>
  <c r="G208" i="135"/>
  <c r="E236" i="106"/>
  <c r="E236" i="158"/>
  <c r="K14" i="106"/>
  <c r="E237" i="1"/>
  <c r="E237" i="83"/>
  <c r="E237" i="47"/>
  <c r="E236" i="83"/>
  <c r="E237" i="60"/>
  <c r="G235" i="60"/>
  <c r="E237" i="106"/>
  <c r="E237" i="165"/>
  <c r="G235" i="174"/>
  <c r="G237" i="174" s="1"/>
  <c r="K14" i="150"/>
  <c r="K14" i="119"/>
  <c r="E236" i="103"/>
  <c r="K14" i="164"/>
  <c r="G235" i="158"/>
  <c r="K15" i="158" s="1"/>
  <c r="K14" i="54"/>
  <c r="K15" i="58"/>
  <c r="E237" i="150"/>
  <c r="K14" i="47"/>
  <c r="E237" i="87"/>
  <c r="E237" i="158"/>
  <c r="G235" i="54"/>
  <c r="K15" i="54" s="1"/>
  <c r="K14" i="69"/>
  <c r="K14" i="58"/>
  <c r="G235" i="50"/>
  <c r="G237" i="50" s="1"/>
  <c r="K14" i="50"/>
  <c r="G235" i="55"/>
  <c r="E236" i="55"/>
  <c r="E238" i="55" s="1"/>
  <c r="G111" i="143"/>
  <c r="E237" i="95"/>
  <c r="G102" i="32"/>
  <c r="G235" i="95"/>
  <c r="G237" i="95" s="1"/>
  <c r="K14" i="95"/>
  <c r="K14" i="86"/>
  <c r="G111" i="92"/>
  <c r="K14" i="120"/>
  <c r="E237" i="16"/>
  <c r="E237" i="31"/>
  <c r="E237" i="84"/>
  <c r="G111" i="176"/>
  <c r="G102" i="176"/>
  <c r="E236" i="164"/>
  <c r="E236" i="94"/>
  <c r="K15" i="156"/>
  <c r="K14" i="68"/>
  <c r="G206" i="24"/>
  <c r="G206" i="95"/>
  <c r="G119" i="65"/>
  <c r="G111" i="165"/>
  <c r="E237" i="62"/>
  <c r="G102" i="27"/>
  <c r="G119" i="16"/>
  <c r="G228" i="32"/>
  <c r="G235" i="152"/>
  <c r="E237" i="54"/>
  <c r="G111" i="172"/>
  <c r="G235" i="45"/>
  <c r="G237" i="45" s="1"/>
  <c r="K14" i="45"/>
  <c r="K14" i="152"/>
  <c r="G228" i="14"/>
  <c r="E236" i="90"/>
  <c r="K14" i="31"/>
  <c r="G235" i="31"/>
  <c r="G237" i="31" s="1"/>
  <c r="G228" i="174"/>
  <c r="G102" i="104"/>
  <c r="G79" i="164"/>
  <c r="G93" i="172"/>
  <c r="K14" i="49"/>
  <c r="G235" i="49"/>
  <c r="K15" i="49" s="1"/>
  <c r="E236" i="50"/>
  <c r="E236" i="133"/>
  <c r="G228" i="94"/>
  <c r="G237" i="133"/>
  <c r="G102" i="175"/>
  <c r="G228" i="53"/>
  <c r="E237" i="141"/>
  <c r="E236" i="145"/>
  <c r="G235" i="42"/>
  <c r="G237" i="46"/>
  <c r="E237" i="104"/>
  <c r="E236" i="69"/>
  <c r="G21" i="174"/>
  <c r="H19" i="174" s="1"/>
  <c r="G228" i="87"/>
  <c r="E237" i="133"/>
  <c r="G206" i="156"/>
  <c r="E237" i="28"/>
  <c r="E237" i="15"/>
  <c r="E237" i="32"/>
  <c r="E236" i="60"/>
  <c r="E236" i="24"/>
  <c r="G119" i="150"/>
  <c r="G228" i="24"/>
  <c r="G21" i="172"/>
  <c r="G206" i="60"/>
  <c r="G237" i="1"/>
  <c r="K14" i="103"/>
  <c r="G235" i="103"/>
  <c r="K15" i="133"/>
  <c r="E236" i="87"/>
  <c r="G111" i="15"/>
  <c r="G119" i="54"/>
  <c r="E236" i="1"/>
  <c r="E237" i="119"/>
  <c r="E236" i="42"/>
  <c r="G206" i="85"/>
  <c r="E236" i="32"/>
  <c r="E237" i="66"/>
  <c r="G102" i="25"/>
  <c r="G119" i="164"/>
  <c r="E236" i="62"/>
  <c r="G235" i="25"/>
  <c r="K15" i="25" s="1"/>
  <c r="E237" i="103"/>
  <c r="G111" i="16"/>
  <c r="E236" i="15"/>
  <c r="E236" i="142"/>
  <c r="E236" i="175"/>
  <c r="H12" i="167"/>
  <c r="G119" i="89"/>
  <c r="G235" i="119"/>
  <c r="G237" i="119" s="1"/>
  <c r="G93" i="155"/>
  <c r="H11" i="167"/>
  <c r="G235" i="141"/>
  <c r="K14" i="141"/>
  <c r="K14" i="65"/>
  <c r="G111" i="158"/>
  <c r="H19" i="167"/>
  <c r="G102" i="15"/>
  <c r="E237" i="71"/>
  <c r="G21" i="142"/>
  <c r="H12" i="142" s="1"/>
  <c r="G197" i="174"/>
  <c r="H18" i="167"/>
  <c r="E237" i="175"/>
  <c r="G237" i="157"/>
  <c r="G228" i="10"/>
  <c r="K14" i="71"/>
  <c r="G235" i="71"/>
  <c r="G93" i="104"/>
  <c r="G206" i="94"/>
  <c r="G119" i="50"/>
  <c r="E237" i="49"/>
  <c r="G93" i="174"/>
  <c r="G228" i="25"/>
  <c r="G237" i="64"/>
  <c r="G237" i="143"/>
  <c r="H14" i="167"/>
  <c r="G102" i="152"/>
  <c r="G206" i="54"/>
  <c r="G119" i="42"/>
  <c r="G111" i="86"/>
  <c r="K15" i="175"/>
  <c r="G21" i="175"/>
  <c r="H13" i="175" s="1"/>
  <c r="G111" i="49"/>
  <c r="G111" i="174"/>
  <c r="E237" i="25"/>
  <c r="G111" i="69"/>
  <c r="G228" i="42"/>
  <c r="G102" i="103"/>
  <c r="G79" i="172"/>
  <c r="E236" i="39"/>
  <c r="G228" i="98"/>
  <c r="E236" i="89"/>
  <c r="G228" i="158"/>
  <c r="H227" i="158" s="1"/>
  <c r="K15" i="24"/>
  <c r="G237" i="24"/>
  <c r="G102" i="174"/>
  <c r="G102" i="172"/>
  <c r="G119" i="84"/>
  <c r="G228" i="38"/>
  <c r="E236" i="157"/>
  <c r="E236" i="177"/>
  <c r="G119" i="53"/>
  <c r="G228" i="50"/>
  <c r="G111" i="42"/>
  <c r="G228" i="89"/>
  <c r="G93" i="141"/>
  <c r="E236" i="95"/>
  <c r="G21" i="68"/>
  <c r="H11" i="68" s="1"/>
  <c r="G21" i="87"/>
  <c r="H18" i="87" s="1"/>
  <c r="G102" i="14"/>
  <c r="E236" i="14"/>
  <c r="G21" i="42"/>
  <c r="K14" i="104"/>
  <c r="G111" i="149"/>
  <c r="G228" i="60"/>
  <c r="H220" i="60" s="1"/>
  <c r="G61" i="152"/>
  <c r="G235" i="104"/>
  <c r="G93" i="149"/>
  <c r="G119" i="24"/>
  <c r="E236" i="84"/>
  <c r="G206" i="157"/>
  <c r="G228" i="47"/>
  <c r="G237" i="156"/>
  <c r="G228" i="150"/>
  <c r="G197" i="164"/>
  <c r="G61" i="86"/>
  <c r="G111" i="66"/>
  <c r="G206" i="90"/>
  <c r="G228" i="106"/>
  <c r="E237" i="157"/>
  <c r="G119" i="27"/>
  <c r="G235" i="66"/>
  <c r="G237" i="66" s="1"/>
  <c r="K14" i="66"/>
  <c r="E236" i="65"/>
  <c r="G93" i="10"/>
  <c r="G228" i="63"/>
  <c r="G206" i="83"/>
  <c r="G93" i="32"/>
  <c r="G206" i="16"/>
  <c r="G119" i="69"/>
  <c r="G111" i="54"/>
  <c r="G228" i="86"/>
  <c r="G235" i="90"/>
  <c r="K14" i="90"/>
  <c r="G228" i="145"/>
  <c r="E208" i="149"/>
  <c r="E236" i="25"/>
  <c r="G21" i="155"/>
  <c r="K11" i="155" s="1"/>
  <c r="G206" i="164"/>
  <c r="E237" i="90"/>
  <c r="G79" i="42"/>
  <c r="G21" i="152"/>
  <c r="H18" i="152" s="1"/>
  <c r="G119" i="15"/>
  <c r="G93" i="89"/>
  <c r="G119" i="66"/>
  <c r="G21" i="157"/>
  <c r="H12" i="157" s="1"/>
  <c r="G237" i="165"/>
  <c r="K15" i="1"/>
  <c r="G79" i="55"/>
  <c r="G206" i="38"/>
  <c r="G79" i="25"/>
  <c r="G228" i="133"/>
  <c r="G93" i="65"/>
  <c r="E236" i="152"/>
  <c r="G21" i="60"/>
  <c r="H14" i="60" s="1"/>
  <c r="G161" i="42"/>
  <c r="G102" i="164"/>
  <c r="G228" i="28"/>
  <c r="G228" i="39"/>
  <c r="E208" i="113"/>
  <c r="G161" i="69"/>
  <c r="G119" i="92"/>
  <c r="G206" i="84"/>
  <c r="G102" i="141"/>
  <c r="G102" i="87"/>
  <c r="G21" i="86"/>
  <c r="K11" i="86" s="1"/>
  <c r="G206" i="165"/>
  <c r="G21" i="158"/>
  <c r="H13" i="158" s="1"/>
  <c r="E236" i="16"/>
  <c r="G93" i="27"/>
  <c r="E236" i="102"/>
  <c r="G93" i="94"/>
  <c r="K14" i="64"/>
  <c r="E208" i="177"/>
  <c r="G228" i="103"/>
  <c r="G228" i="157"/>
  <c r="G79" i="28"/>
  <c r="G228" i="83"/>
  <c r="G206" i="174"/>
  <c r="G206" i="177"/>
  <c r="G93" i="25"/>
  <c r="G102" i="64"/>
  <c r="E237" i="64"/>
  <c r="G228" i="120"/>
  <c r="E236" i="28"/>
  <c r="G61" i="113"/>
  <c r="G93" i="85"/>
  <c r="G228" i="165"/>
  <c r="E236" i="46"/>
  <c r="D215" i="68"/>
  <c r="G111" i="94"/>
  <c r="K15" i="150"/>
  <c r="G102" i="53"/>
  <c r="G228" i="69"/>
  <c r="G102" i="158"/>
  <c r="G102" i="65"/>
  <c r="G197" i="47"/>
  <c r="G228" i="16"/>
  <c r="G102" i="92"/>
  <c r="G21" i="69"/>
  <c r="G228" i="142"/>
  <c r="G111" i="65"/>
  <c r="G206" i="87"/>
  <c r="G119" i="113"/>
  <c r="G161" i="113"/>
  <c r="G206" i="113"/>
  <c r="G102" i="113"/>
  <c r="G197" i="113"/>
  <c r="G93" i="113"/>
  <c r="G79" i="113"/>
  <c r="G102" i="24"/>
  <c r="K15" i="159"/>
  <c r="G235" i="94"/>
  <c r="K14" i="94"/>
  <c r="K13" i="57"/>
  <c r="H219" i="57"/>
  <c r="G236" i="57"/>
  <c r="H220" i="57"/>
  <c r="H227" i="57"/>
  <c r="H224" i="57"/>
  <c r="H225" i="57"/>
  <c r="H226" i="57"/>
  <c r="H228" i="57"/>
  <c r="H221" i="57"/>
  <c r="H222" i="57"/>
  <c r="H223" i="57"/>
  <c r="G93" i="28"/>
  <c r="G161" i="55"/>
  <c r="G119" i="83"/>
  <c r="G102" i="60"/>
  <c r="G93" i="16"/>
  <c r="G93" i="120"/>
  <c r="G102" i="66"/>
  <c r="E236" i="64"/>
  <c r="G79" i="174"/>
  <c r="G79" i="94"/>
  <c r="G111" i="63"/>
  <c r="G119" i="94"/>
  <c r="G228" i="156"/>
  <c r="H227" i="156" s="1"/>
  <c r="E208" i="172"/>
  <c r="E236" i="43"/>
  <c r="E208" i="16"/>
  <c r="E215" i="16" s="1"/>
  <c r="G111" i="45"/>
  <c r="H12" i="135"/>
  <c r="H11" i="135"/>
  <c r="H20" i="135"/>
  <c r="H15" i="135"/>
  <c r="H17" i="135"/>
  <c r="K11" i="135"/>
  <c r="H16" i="135"/>
  <c r="H21" i="135"/>
  <c r="H14" i="135"/>
  <c r="H19" i="135"/>
  <c r="H13" i="135"/>
  <c r="H18" i="135"/>
  <c r="E237" i="94"/>
  <c r="G206" i="45"/>
  <c r="G197" i="45"/>
  <c r="H17" i="111"/>
  <c r="H16" i="111"/>
  <c r="H15" i="111"/>
  <c r="H21" i="111"/>
  <c r="H13" i="111"/>
  <c r="H20" i="111"/>
  <c r="H19" i="111"/>
  <c r="H18" i="111"/>
  <c r="H12" i="111"/>
  <c r="H11" i="111"/>
  <c r="K11" i="111"/>
  <c r="H14" i="111"/>
  <c r="G111" i="155"/>
  <c r="G21" i="45"/>
  <c r="F215" i="87"/>
  <c r="G161" i="47"/>
  <c r="G61" i="53"/>
  <c r="G235" i="118"/>
  <c r="G237" i="118" s="1"/>
  <c r="E208" i="53"/>
  <c r="K15" i="143"/>
  <c r="K15" i="68"/>
  <c r="G237" i="68"/>
  <c r="G119" i="62"/>
  <c r="E208" i="15"/>
  <c r="G102" i="42"/>
  <c r="G197" i="106"/>
  <c r="G79" i="53"/>
  <c r="G206" i="98"/>
  <c r="K14" i="53"/>
  <c r="G235" i="53"/>
  <c r="G61" i="45"/>
  <c r="G208" i="21"/>
  <c r="G206" i="152"/>
  <c r="G228" i="45"/>
  <c r="G206" i="119"/>
  <c r="G21" i="95"/>
  <c r="H21" i="95" s="1"/>
  <c r="G161" i="92"/>
  <c r="G206" i="46"/>
  <c r="E236" i="45"/>
  <c r="G79" i="89"/>
  <c r="G21" i="24"/>
  <c r="H15" i="24" s="1"/>
  <c r="G206" i="150"/>
  <c r="G102" i="38"/>
  <c r="G119" i="49"/>
  <c r="G93" i="69"/>
  <c r="G21" i="141"/>
  <c r="H21" i="141" s="1"/>
  <c r="G161" i="164"/>
  <c r="G206" i="158"/>
  <c r="G119" i="95"/>
  <c r="G119" i="118"/>
  <c r="E237" i="53"/>
  <c r="E238" i="111"/>
  <c r="E238" i="57"/>
  <c r="G79" i="45"/>
  <c r="G161" i="45"/>
  <c r="E236" i="53"/>
  <c r="H224" i="136"/>
  <c r="G236" i="136"/>
  <c r="H228" i="136"/>
  <c r="H219" i="136"/>
  <c r="H222" i="136"/>
  <c r="H227" i="136"/>
  <c r="H225" i="136"/>
  <c r="K13" i="136"/>
  <c r="H226" i="136"/>
  <c r="H220" i="136"/>
  <c r="H223" i="136"/>
  <c r="H221" i="136"/>
  <c r="E208" i="45"/>
  <c r="H16" i="136"/>
  <c r="H15" i="136"/>
  <c r="H18" i="136"/>
  <c r="K11" i="136"/>
  <c r="H19" i="136"/>
  <c r="H11" i="136"/>
  <c r="H14" i="136"/>
  <c r="H12" i="136"/>
  <c r="H17" i="136"/>
  <c r="H20" i="136"/>
  <c r="H13" i="136"/>
  <c r="H21" i="136"/>
  <c r="E238" i="21"/>
  <c r="G206" i="55"/>
  <c r="G197" i="94"/>
  <c r="G197" i="65"/>
  <c r="G235" i="28"/>
  <c r="G206" i="65"/>
  <c r="G93" i="158"/>
  <c r="E208" i="65"/>
  <c r="E215" i="65" s="1"/>
  <c r="G79" i="46"/>
  <c r="G228" i="152"/>
  <c r="G237" i="150"/>
  <c r="K15" i="64"/>
  <c r="H13" i="57"/>
  <c r="H14" i="57"/>
  <c r="H17" i="57"/>
  <c r="H11" i="57"/>
  <c r="K11" i="57"/>
  <c r="H12" i="57"/>
  <c r="H20" i="57"/>
  <c r="H21" i="57"/>
  <c r="H18" i="57"/>
  <c r="H16" i="57"/>
  <c r="H15" i="57"/>
  <c r="H19" i="57"/>
  <c r="G208" i="159"/>
  <c r="G119" i="45"/>
  <c r="G93" i="45"/>
  <c r="G102" i="45"/>
  <c r="G102" i="69"/>
  <c r="G102" i="16"/>
  <c r="G111" i="164"/>
  <c r="G206" i="47"/>
  <c r="G111" i="120"/>
  <c r="G79" i="65"/>
  <c r="G93" i="177"/>
  <c r="G102" i="86"/>
  <c r="E208" i="157"/>
  <c r="E237" i="120"/>
  <c r="E238" i="33"/>
  <c r="E215" i="21"/>
  <c r="E238" i="136"/>
  <c r="H12" i="21"/>
  <c r="H21" i="21"/>
  <c r="H16" i="21"/>
  <c r="H19" i="21"/>
  <c r="K11" i="21"/>
  <c r="H14" i="21"/>
  <c r="H13" i="21"/>
  <c r="H17" i="21"/>
  <c r="H18" i="21"/>
  <c r="H20" i="21"/>
  <c r="H15" i="21"/>
  <c r="H11" i="21"/>
  <c r="E236" i="20"/>
  <c r="E236" i="150"/>
  <c r="G102" i="95"/>
  <c r="E237" i="89"/>
  <c r="G21" i="90"/>
  <c r="H20" i="90" s="1"/>
  <c r="G79" i="118"/>
  <c r="G119" i="149"/>
  <c r="G61" i="176"/>
  <c r="G93" i="42"/>
  <c r="G161" i="49"/>
  <c r="G61" i="95"/>
  <c r="G21" i="39"/>
  <c r="H16" i="39" s="1"/>
  <c r="G79" i="86"/>
  <c r="G79" i="95"/>
  <c r="G93" i="86"/>
  <c r="G102" i="50"/>
  <c r="G79" i="120"/>
  <c r="G228" i="175"/>
  <c r="G119" i="158"/>
  <c r="G111" i="20"/>
  <c r="G237" i="175"/>
  <c r="G206" i="145"/>
  <c r="G79" i="38"/>
  <c r="H13" i="167"/>
  <c r="K11" i="167"/>
  <c r="G21" i="79"/>
  <c r="H18" i="79" s="1"/>
  <c r="G93" i="92"/>
  <c r="G21" i="31"/>
  <c r="H11" i="31" s="1"/>
  <c r="G119" i="86"/>
  <c r="G206" i="175"/>
  <c r="G61" i="14"/>
  <c r="K15" i="106"/>
  <c r="G161" i="38"/>
  <c r="G61" i="42"/>
  <c r="G197" i="150"/>
  <c r="G161" i="89"/>
  <c r="G197" i="50"/>
  <c r="G197" i="95"/>
  <c r="G111" i="55"/>
  <c r="G197" i="68"/>
  <c r="G206" i="53"/>
  <c r="G93" i="84"/>
  <c r="G111" i="53"/>
  <c r="G111" i="95"/>
  <c r="G79" i="47"/>
  <c r="G111" i="58"/>
  <c r="E208" i="42"/>
  <c r="E215" i="42" s="1"/>
  <c r="E208" i="38"/>
  <c r="G111" i="62"/>
  <c r="G206" i="142"/>
  <c r="G206" i="32"/>
  <c r="G206" i="176"/>
  <c r="G102" i="156"/>
  <c r="H16" i="167"/>
  <c r="H21" i="167"/>
  <c r="G21" i="177"/>
  <c r="E236" i="38"/>
  <c r="E237" i="27"/>
  <c r="K14" i="27"/>
  <c r="G235" i="27"/>
  <c r="G237" i="27" s="1"/>
  <c r="G79" i="16"/>
  <c r="G119" i="31"/>
  <c r="G237" i="58"/>
  <c r="G237" i="106"/>
  <c r="G93" i="14"/>
  <c r="G111" i="38"/>
  <c r="G93" i="157"/>
  <c r="G61" i="119"/>
  <c r="G119" i="175"/>
  <c r="G79" i="149"/>
  <c r="G119" i="145"/>
  <c r="G102" i="145"/>
  <c r="G161" i="72"/>
  <c r="E208" i="87"/>
  <c r="E215" i="87" s="1"/>
  <c r="G119" i="165"/>
  <c r="G102" i="150"/>
  <c r="G93" i="31"/>
  <c r="G102" i="71"/>
  <c r="G21" i="92"/>
  <c r="H21" i="92" s="1"/>
  <c r="G161" i="119"/>
  <c r="H17" i="167"/>
  <c r="G21" i="15"/>
  <c r="H18" i="15" s="1"/>
  <c r="E208" i="50"/>
  <c r="G102" i="89"/>
  <c r="G93" i="38"/>
  <c r="G111" i="46"/>
  <c r="K14" i="15"/>
  <c r="G235" i="15"/>
  <c r="G237" i="15" s="1"/>
  <c r="G206" i="120"/>
  <c r="G61" i="55"/>
  <c r="E236" i="143"/>
  <c r="K14" i="178"/>
  <c r="G102" i="31"/>
  <c r="G206" i="50"/>
  <c r="G102" i="83"/>
  <c r="E236" i="71"/>
  <c r="H20" i="167"/>
  <c r="E208" i="150"/>
  <c r="G119" i="10"/>
  <c r="G119" i="143"/>
  <c r="G111" i="31"/>
  <c r="G206" i="25"/>
  <c r="G228" i="164"/>
  <c r="G206" i="106"/>
  <c r="G228" i="64"/>
  <c r="G119" i="172"/>
  <c r="G228" i="72"/>
  <c r="G21" i="25"/>
  <c r="G197" i="16"/>
  <c r="G21" i="149"/>
  <c r="E208" i="92"/>
  <c r="E215" i="92" s="1"/>
  <c r="G61" i="150"/>
  <c r="G197" i="64"/>
  <c r="G228" i="58"/>
  <c r="G111" i="150"/>
  <c r="E208" i="95"/>
  <c r="G111" i="89"/>
  <c r="G235" i="89"/>
  <c r="K14" i="89"/>
  <c r="G21" i="102"/>
  <c r="H12" i="102" s="1"/>
  <c r="G228" i="102"/>
  <c r="G93" i="37"/>
  <c r="G111" i="37"/>
  <c r="G21" i="37"/>
  <c r="H14" i="37" s="1"/>
  <c r="G79" i="69"/>
  <c r="E208" i="152"/>
  <c r="E215" i="152" s="1"/>
  <c r="G79" i="39"/>
  <c r="G111" i="87"/>
  <c r="G119" i="87"/>
  <c r="G206" i="92"/>
  <c r="G206" i="62"/>
  <c r="G197" i="1"/>
  <c r="G161" i="143"/>
  <c r="G93" i="53"/>
  <c r="G206" i="71"/>
  <c r="G93" i="24"/>
  <c r="G161" i="31"/>
  <c r="E236" i="27"/>
  <c r="G93" i="49"/>
  <c r="G61" i="104"/>
  <c r="G93" i="87"/>
  <c r="G111" i="50"/>
  <c r="G206" i="39"/>
  <c r="G111" i="14"/>
  <c r="K15" i="83"/>
  <c r="G237" i="83"/>
  <c r="G206" i="172"/>
  <c r="G111" i="177"/>
  <c r="G119" i="177"/>
  <c r="G111" i="118"/>
  <c r="E208" i="46"/>
  <c r="E208" i="90"/>
  <c r="G61" i="177"/>
  <c r="G93" i="1"/>
  <c r="G21" i="143"/>
  <c r="H21" i="143" s="1"/>
  <c r="G161" i="86"/>
  <c r="G79" i="50"/>
  <c r="G228" i="62"/>
  <c r="G61" i="143"/>
  <c r="G228" i="46"/>
  <c r="G119" i="32"/>
  <c r="G79" i="60"/>
  <c r="G102" i="68"/>
  <c r="G119" i="60"/>
  <c r="E208" i="32"/>
  <c r="G197" i="141"/>
  <c r="G21" i="104"/>
  <c r="H18" i="104" s="1"/>
  <c r="G206" i="42"/>
  <c r="G197" i="54"/>
  <c r="E236" i="156"/>
  <c r="G61" i="149"/>
  <c r="G79" i="142"/>
  <c r="E208" i="1"/>
  <c r="G61" i="46"/>
  <c r="G197" i="69"/>
  <c r="G21" i="119"/>
  <c r="H17" i="119" s="1"/>
  <c r="G21" i="49"/>
  <c r="K11" i="49" s="1"/>
  <c r="G61" i="141"/>
  <c r="G228" i="71"/>
  <c r="G21" i="72"/>
  <c r="H19" i="72" s="1"/>
  <c r="E208" i="142"/>
  <c r="G79" i="58"/>
  <c r="G61" i="165"/>
  <c r="G61" i="87"/>
  <c r="G93" i="68"/>
  <c r="G228" i="172"/>
  <c r="G197" i="142"/>
  <c r="G21" i="85"/>
  <c r="H13" i="85" s="1"/>
  <c r="G197" i="31"/>
  <c r="G79" i="31"/>
  <c r="G197" i="60"/>
  <c r="G61" i="172"/>
  <c r="G206" i="69"/>
  <c r="G161" i="1"/>
  <c r="G79" i="150"/>
  <c r="G102" i="63"/>
  <c r="E208" i="119"/>
  <c r="G197" i="32"/>
  <c r="G102" i="118"/>
  <c r="G206" i="31"/>
  <c r="G228" i="43"/>
  <c r="G197" i="84"/>
  <c r="G102" i="177"/>
  <c r="G197" i="120"/>
  <c r="G111" i="1"/>
  <c r="G93" i="95"/>
  <c r="E208" i="31"/>
  <c r="E215" i="31" s="1"/>
  <c r="E236" i="172"/>
  <c r="G206" i="10"/>
  <c r="G79" i="85"/>
  <c r="G79" i="158"/>
  <c r="G161" i="142"/>
  <c r="E208" i="58"/>
  <c r="E208" i="69"/>
  <c r="E215" i="69" s="1"/>
  <c r="G111" i="83"/>
  <c r="G111" i="47"/>
  <c r="G79" i="54"/>
  <c r="E208" i="143"/>
  <c r="G197" i="38"/>
  <c r="G79" i="87"/>
  <c r="G228" i="177"/>
  <c r="G197" i="177"/>
  <c r="G79" i="177"/>
  <c r="G228" i="84"/>
  <c r="E236" i="79"/>
  <c r="G93" i="20"/>
  <c r="G21" i="20"/>
  <c r="H19" i="20" s="1"/>
  <c r="G79" i="20"/>
  <c r="G228" i="85"/>
  <c r="G61" i="72"/>
  <c r="G93" i="72"/>
  <c r="G79" i="72"/>
  <c r="G102" i="72"/>
  <c r="E208" i="72"/>
  <c r="G79" i="43"/>
  <c r="K15" i="38"/>
  <c r="G237" i="38"/>
  <c r="E208" i="94"/>
  <c r="E208" i="174"/>
  <c r="K15" i="120"/>
  <c r="G237" i="120"/>
  <c r="G119" i="142"/>
  <c r="E236" i="98"/>
  <c r="G161" i="62"/>
  <c r="E208" i="39"/>
  <c r="G61" i="98"/>
  <c r="G161" i="172"/>
  <c r="G161" i="177"/>
  <c r="G21" i="176"/>
  <c r="H15" i="176" s="1"/>
  <c r="G161" i="54"/>
  <c r="G79" i="64"/>
  <c r="G161" i="65"/>
  <c r="G161" i="50"/>
  <c r="G111" i="64"/>
  <c r="G197" i="103"/>
  <c r="K15" i="86"/>
  <c r="G237" i="86"/>
  <c r="G102" i="142"/>
  <c r="K15" i="14"/>
  <c r="G237" i="14"/>
  <c r="G21" i="150"/>
  <c r="G79" i="14"/>
  <c r="G206" i="143"/>
  <c r="E236" i="47"/>
  <c r="G102" i="84"/>
  <c r="G206" i="27"/>
  <c r="E236" i="92"/>
  <c r="G79" i="27"/>
  <c r="G61" i="1"/>
  <c r="G79" i="1"/>
  <c r="G61" i="103"/>
  <c r="G161" i="90"/>
  <c r="E208" i="64"/>
  <c r="G61" i="142"/>
  <c r="G111" i="157"/>
  <c r="G197" i="86"/>
  <c r="E208" i="10"/>
  <c r="E215" i="10" s="1"/>
  <c r="E208" i="83"/>
  <c r="E215" i="83" s="1"/>
  <c r="G79" i="141"/>
  <c r="E208" i="71"/>
  <c r="G119" i="106"/>
  <c r="G161" i="158"/>
  <c r="G111" i="24"/>
  <c r="E208" i="86"/>
  <c r="E208" i="158"/>
  <c r="G119" i="47"/>
  <c r="G237" i="92"/>
  <c r="K15" i="92"/>
  <c r="G119" i="156"/>
  <c r="E236" i="31"/>
  <c r="G79" i="176"/>
  <c r="G228" i="95"/>
  <c r="G21" i="1"/>
  <c r="G21" i="89"/>
  <c r="G102" i="62"/>
  <c r="K15" i="62"/>
  <c r="G161" i="156"/>
  <c r="G79" i="92"/>
  <c r="G206" i="103"/>
  <c r="G119" i="14"/>
  <c r="G61" i="158"/>
  <c r="G197" i="25"/>
  <c r="G197" i="24"/>
  <c r="G79" i="49"/>
  <c r="G161" i="64"/>
  <c r="G161" i="46"/>
  <c r="G197" i="158"/>
  <c r="G197" i="90"/>
  <c r="G228" i="27"/>
  <c r="G79" i="157"/>
  <c r="G79" i="143"/>
  <c r="E238" i="10"/>
  <c r="G161" i="157"/>
  <c r="E208" i="68"/>
  <c r="G161" i="66"/>
  <c r="G197" i="87"/>
  <c r="G228" i="92"/>
  <c r="G161" i="84"/>
  <c r="G228" i="65"/>
  <c r="G228" i="1"/>
  <c r="E208" i="49"/>
  <c r="G61" i="16"/>
  <c r="G228" i="55"/>
  <c r="G79" i="63"/>
  <c r="E208" i="133"/>
  <c r="G61" i="175"/>
  <c r="G161" i="150"/>
  <c r="G197" i="119"/>
  <c r="G197" i="157"/>
  <c r="G228" i="143"/>
  <c r="G161" i="149"/>
  <c r="G21" i="83"/>
  <c r="G61" i="157"/>
  <c r="E208" i="176"/>
  <c r="G228" i="31"/>
  <c r="G93" i="142"/>
  <c r="G197" i="149"/>
  <c r="E208" i="104"/>
  <c r="G102" i="1"/>
  <c r="G61" i="31"/>
  <c r="G111" i="145"/>
  <c r="G111" i="142"/>
  <c r="G93" i="50"/>
  <c r="G61" i="50"/>
  <c r="G119" i="1"/>
  <c r="E208" i="84"/>
  <c r="G197" i="92"/>
  <c r="G102" i="47"/>
  <c r="G161" i="83"/>
  <c r="E208" i="47"/>
  <c r="E208" i="165"/>
  <c r="G93" i="150"/>
  <c r="E208" i="62"/>
  <c r="G161" i="95"/>
  <c r="G61" i="27"/>
  <c r="G79" i="90"/>
  <c r="G61" i="89"/>
  <c r="E208" i="120"/>
  <c r="G93" i="55"/>
  <c r="E208" i="141"/>
  <c r="E215" i="141" s="1"/>
  <c r="G61" i="38"/>
  <c r="G206" i="28"/>
  <c r="G206" i="1"/>
  <c r="G21" i="165"/>
  <c r="E237" i="72"/>
  <c r="E236" i="72"/>
  <c r="G119" i="72"/>
  <c r="G235" i="72"/>
  <c r="G237" i="72" s="1"/>
  <c r="G235" i="79"/>
  <c r="G79" i="79"/>
  <c r="E237" i="79"/>
  <c r="G235" i="37"/>
  <c r="G236" i="37" s="1"/>
  <c r="K14" i="37"/>
  <c r="E237" i="37"/>
  <c r="E236" i="37"/>
  <c r="G119" i="37"/>
  <c r="G235" i="85"/>
  <c r="K14" i="85"/>
  <c r="C241" i="97"/>
  <c r="G102" i="85"/>
  <c r="E237" i="85"/>
  <c r="E236" i="85"/>
  <c r="G235" i="20"/>
  <c r="G161" i="20"/>
  <c r="G206" i="20"/>
  <c r="G228" i="20"/>
  <c r="K14" i="102"/>
  <c r="G235" i="102"/>
  <c r="E237" i="102"/>
  <c r="G206" i="102"/>
  <c r="G206" i="19"/>
  <c r="G111" i="19"/>
  <c r="G197" i="19"/>
  <c r="G93" i="19"/>
  <c r="G235" i="19"/>
  <c r="G237" i="19" s="1"/>
  <c r="G119" i="19"/>
  <c r="E237" i="19"/>
  <c r="G79" i="19"/>
  <c r="E208" i="19"/>
  <c r="G228" i="19"/>
  <c r="G161" i="19"/>
  <c r="E236" i="19"/>
  <c r="G235" i="149"/>
  <c r="G206" i="149"/>
  <c r="G228" i="149"/>
  <c r="E237" i="149"/>
  <c r="G102" i="149"/>
  <c r="E236" i="149"/>
  <c r="E208" i="27"/>
  <c r="K14" i="145"/>
  <c r="G235" i="145"/>
  <c r="G21" i="145"/>
  <c r="H11" i="145" s="1"/>
  <c r="E237" i="145"/>
  <c r="G61" i="145"/>
  <c r="G161" i="106"/>
  <c r="G197" i="172"/>
  <c r="G161" i="120"/>
  <c r="G21" i="84"/>
  <c r="G119" i="46"/>
  <c r="G119" i="90"/>
  <c r="E236" i="104"/>
  <c r="G21" i="65"/>
  <c r="E208" i="106"/>
  <c r="E215" i="106" s="1"/>
  <c r="E208" i="54"/>
  <c r="G111" i="106"/>
  <c r="G79" i="119"/>
  <c r="G79" i="102"/>
  <c r="G21" i="47"/>
  <c r="G206" i="37"/>
  <c r="G197" i="165"/>
  <c r="E208" i="79"/>
  <c r="E215" i="79" s="1"/>
  <c r="G161" i="141"/>
  <c r="G61" i="106"/>
  <c r="G61" i="83"/>
  <c r="G197" i="55"/>
  <c r="G93" i="143"/>
  <c r="G61" i="90"/>
  <c r="G21" i="16"/>
  <c r="H15" i="16" s="1"/>
  <c r="G102" i="178"/>
  <c r="G119" i="141"/>
  <c r="G206" i="72"/>
  <c r="G228" i="90"/>
  <c r="G61" i="62"/>
  <c r="G206" i="118"/>
  <c r="G111" i="90"/>
  <c r="G61" i="32"/>
  <c r="G102" i="37"/>
  <c r="E208" i="24"/>
  <c r="G119" i="104"/>
  <c r="G61" i="24"/>
  <c r="G79" i="32"/>
  <c r="G119" i="102"/>
  <c r="G161" i="176"/>
  <c r="G197" i="42"/>
  <c r="G102" i="106"/>
  <c r="G93" i="119"/>
  <c r="G93" i="90"/>
  <c r="G161" i="24"/>
  <c r="G197" i="49"/>
  <c r="G61" i="19"/>
  <c r="G197" i="15"/>
  <c r="E208" i="175"/>
  <c r="E215" i="175" s="1"/>
  <c r="G197" i="43"/>
  <c r="G161" i="16"/>
  <c r="G61" i="79"/>
  <c r="E208" i="118"/>
  <c r="E208" i="178"/>
  <c r="E208" i="63"/>
  <c r="G102" i="157"/>
  <c r="G102" i="10"/>
  <c r="G197" i="133"/>
  <c r="G21" i="54"/>
  <c r="G228" i="68"/>
  <c r="G21" i="103"/>
  <c r="G228" i="104"/>
  <c r="G102" i="143"/>
  <c r="E236" i="141"/>
  <c r="G79" i="37"/>
  <c r="G197" i="143"/>
  <c r="G111" i="32"/>
  <c r="G79" i="104"/>
  <c r="G119" i="103"/>
  <c r="G93" i="79"/>
  <c r="G161" i="165"/>
  <c r="G119" i="157"/>
  <c r="E208" i="156"/>
  <c r="E208" i="20"/>
  <c r="G197" i="58"/>
  <c r="G21" i="120"/>
  <c r="H17" i="120" s="1"/>
  <c r="G93" i="152"/>
  <c r="G161" i="27"/>
  <c r="E208" i="103"/>
  <c r="G197" i="62"/>
  <c r="E208" i="14"/>
  <c r="G228" i="15"/>
  <c r="G93" i="54"/>
  <c r="G21" i="27"/>
  <c r="G61" i="65"/>
  <c r="G79" i="24"/>
  <c r="G197" i="89"/>
  <c r="G228" i="119"/>
  <c r="G21" i="10"/>
  <c r="G206" i="86"/>
  <c r="G111" i="25"/>
  <c r="G93" i="39"/>
  <c r="G161" i="155"/>
  <c r="G197" i="176"/>
  <c r="G161" i="87"/>
  <c r="G119" i="79"/>
  <c r="G102" i="19"/>
  <c r="G61" i="118"/>
  <c r="K14" i="176"/>
  <c r="G235" i="176"/>
  <c r="G61" i="120"/>
  <c r="G206" i="141"/>
  <c r="G111" i="104"/>
  <c r="G111" i="141"/>
  <c r="G119" i="28"/>
  <c r="G111" i="79"/>
  <c r="G93" i="43"/>
  <c r="G197" i="66"/>
  <c r="G197" i="85"/>
  <c r="G102" i="120"/>
  <c r="G197" i="145"/>
  <c r="G197" i="156"/>
  <c r="E208" i="55"/>
  <c r="G102" i="79"/>
  <c r="G79" i="152"/>
  <c r="G111" i="119"/>
  <c r="G111" i="84"/>
  <c r="G79" i="84"/>
  <c r="G21" i="19"/>
  <c r="G197" i="63"/>
  <c r="E208" i="37"/>
  <c r="E215" i="37" s="1"/>
  <c r="G21" i="28"/>
  <c r="G161" i="43"/>
  <c r="G111" i="152"/>
  <c r="G206" i="66"/>
  <c r="G93" i="175"/>
  <c r="G21" i="14"/>
  <c r="E208" i="60"/>
  <c r="E215" i="60" s="1"/>
  <c r="E208" i="25"/>
  <c r="E208" i="102"/>
  <c r="E215" i="102" s="1"/>
  <c r="G197" i="72"/>
  <c r="E236" i="176"/>
  <c r="G111" i="27"/>
  <c r="G93" i="164"/>
  <c r="G206" i="89"/>
  <c r="G102" i="46"/>
  <c r="G119" i="85"/>
  <c r="G228" i="141"/>
  <c r="G119" i="25"/>
  <c r="E208" i="66"/>
  <c r="G161" i="145"/>
  <c r="E208" i="155"/>
  <c r="G61" i="94"/>
  <c r="E208" i="43"/>
  <c r="E215" i="43" s="1"/>
  <c r="G206" i="49"/>
  <c r="G197" i="118"/>
  <c r="K15" i="87"/>
  <c r="G237" i="87"/>
  <c r="G111" i="28"/>
  <c r="E236" i="119"/>
  <c r="E237" i="176"/>
  <c r="G111" i="60"/>
  <c r="G206" i="104"/>
  <c r="E208" i="98"/>
  <c r="E208" i="89"/>
  <c r="K15" i="177"/>
  <c r="G237" i="177"/>
  <c r="G102" i="119"/>
  <c r="G111" i="156"/>
  <c r="G21" i="43"/>
  <c r="G119" i="120"/>
  <c r="G93" i="63"/>
  <c r="G21" i="106"/>
  <c r="G119" i="68"/>
  <c r="G206" i="15"/>
  <c r="E208" i="28"/>
  <c r="E215" i="28" s="1"/>
  <c r="E208" i="145"/>
  <c r="G79" i="98"/>
  <c r="E208" i="85"/>
  <c r="G228" i="176"/>
  <c r="G111" i="43"/>
  <c r="G21" i="50"/>
  <c r="G228" i="118"/>
  <c r="G119" i="71"/>
  <c r="E236" i="120"/>
  <c r="G119" i="43"/>
  <c r="G102" i="90"/>
  <c r="G119" i="119"/>
  <c r="G111" i="175"/>
  <c r="G206" i="63"/>
  <c r="E236" i="68"/>
  <c r="G102" i="28"/>
  <c r="G21" i="62"/>
  <c r="G228" i="54"/>
  <c r="G61" i="156"/>
  <c r="G79" i="175"/>
  <c r="G21" i="64"/>
  <c r="G21" i="66"/>
  <c r="G79" i="71"/>
  <c r="G21" i="133"/>
  <c r="G93" i="98"/>
  <c r="G119" i="152"/>
  <c r="G61" i="155"/>
  <c r="G161" i="94"/>
  <c r="E208" i="164"/>
  <c r="G237" i="39"/>
  <c r="K15" i="39"/>
  <c r="G102" i="94"/>
  <c r="G161" i="37"/>
  <c r="G61" i="69"/>
  <c r="G102" i="49"/>
  <c r="G21" i="63"/>
  <c r="G102" i="54"/>
  <c r="G161" i="63"/>
  <c r="G197" i="104"/>
  <c r="G102" i="133"/>
  <c r="C212" i="68"/>
  <c r="C215" i="68"/>
  <c r="G93" i="102"/>
  <c r="G119" i="63"/>
  <c r="G93" i="165"/>
  <c r="G161" i="71"/>
  <c r="E238" i="86"/>
  <c r="G119" i="174"/>
  <c r="G197" i="28"/>
  <c r="G161" i="39"/>
  <c r="G21" i="58"/>
  <c r="G119" i="133"/>
  <c r="G61" i="85"/>
  <c r="G93" i="178"/>
  <c r="G61" i="84"/>
  <c r="G111" i="133"/>
  <c r="G197" i="152"/>
  <c r="G236" i="167"/>
  <c r="H226" i="167"/>
  <c r="H222" i="167"/>
  <c r="H219" i="167"/>
  <c r="H220" i="167"/>
  <c r="H221" i="167"/>
  <c r="H223" i="167"/>
  <c r="H225" i="167"/>
  <c r="H227" i="167"/>
  <c r="H228" i="167"/>
  <c r="H224" i="167"/>
  <c r="K13" i="167"/>
  <c r="G161" i="53"/>
  <c r="G235" i="63"/>
  <c r="K14" i="63"/>
  <c r="G206" i="68"/>
  <c r="G206" i="58"/>
  <c r="G161" i="68"/>
  <c r="G111" i="85"/>
  <c r="G79" i="106"/>
  <c r="G228" i="66"/>
  <c r="G197" i="27"/>
  <c r="G61" i="64"/>
  <c r="G61" i="68"/>
  <c r="G61" i="10"/>
  <c r="E237" i="155"/>
  <c r="E238" i="167"/>
  <c r="G21" i="94"/>
  <c r="G237" i="167"/>
  <c r="K15" i="167"/>
  <c r="G21" i="156"/>
  <c r="G161" i="98"/>
  <c r="G21" i="38"/>
  <c r="G61" i="39"/>
  <c r="G161" i="175"/>
  <c r="G197" i="79"/>
  <c r="G61" i="66"/>
  <c r="E237" i="63"/>
  <c r="G111" i="103"/>
  <c r="G21" i="164"/>
  <c r="G93" i="71"/>
  <c r="G79" i="10"/>
  <c r="G161" i="174"/>
  <c r="G21" i="98"/>
  <c r="G61" i="102"/>
  <c r="G61" i="37"/>
  <c r="G61" i="63"/>
  <c r="G21" i="118"/>
  <c r="G93" i="62"/>
  <c r="K15" i="178"/>
  <c r="G161" i="178"/>
  <c r="G61" i="49"/>
  <c r="G79" i="178"/>
  <c r="G119" i="38"/>
  <c r="G79" i="68"/>
  <c r="G21" i="71"/>
  <c r="G206" i="79"/>
  <c r="G197" i="10"/>
  <c r="G102" i="39"/>
  <c r="G61" i="71"/>
  <c r="G161" i="14"/>
  <c r="G161" i="79"/>
  <c r="G119" i="98"/>
  <c r="G61" i="133"/>
  <c r="G61" i="20"/>
  <c r="G197" i="155"/>
  <c r="G93" i="156"/>
  <c r="G102" i="165"/>
  <c r="G206" i="43"/>
  <c r="G208" i="167"/>
  <c r="G93" i="64"/>
  <c r="G79" i="155"/>
  <c r="G61" i="15"/>
  <c r="G111" i="178"/>
  <c r="G197" i="39"/>
  <c r="G197" i="53"/>
  <c r="G93" i="83"/>
  <c r="G197" i="102"/>
  <c r="E236" i="58"/>
  <c r="G93" i="46"/>
  <c r="G197" i="178"/>
  <c r="G111" i="102"/>
  <c r="G197" i="98"/>
  <c r="E215" i="167"/>
  <c r="G197" i="71"/>
  <c r="G21" i="55"/>
  <c r="E236" i="63"/>
  <c r="G61" i="174"/>
  <c r="G102" i="43"/>
  <c r="E236" i="178"/>
  <c r="G206" i="133"/>
  <c r="G228" i="155"/>
  <c r="G79" i="133"/>
  <c r="G102" i="55"/>
  <c r="G61" i="43"/>
  <c r="G161" i="28"/>
  <c r="G119" i="64"/>
  <c r="G102" i="155"/>
  <c r="G206" i="64"/>
  <c r="G197" i="46"/>
  <c r="G161" i="152"/>
  <c r="G61" i="25"/>
  <c r="G93" i="15"/>
  <c r="G93" i="47"/>
  <c r="G111" i="10"/>
  <c r="G79" i="83"/>
  <c r="H223" i="37"/>
  <c r="H224" i="37"/>
  <c r="H219" i="37"/>
  <c r="H222" i="37"/>
  <c r="H228" i="37"/>
  <c r="H227" i="37"/>
  <c r="H220" i="37"/>
  <c r="H225" i="37"/>
  <c r="K13" i="37"/>
  <c r="H226" i="37"/>
  <c r="H221" i="37"/>
  <c r="G111" i="39"/>
  <c r="G161" i="118"/>
  <c r="G93" i="103"/>
  <c r="G79" i="156"/>
  <c r="G119" i="58"/>
  <c r="G161" i="15"/>
  <c r="G21" i="32"/>
  <c r="G161" i="85"/>
  <c r="K14" i="155"/>
  <c r="G235" i="155"/>
  <c r="G93" i="118"/>
  <c r="G111" i="68"/>
  <c r="G111" i="98"/>
  <c r="G161" i="58"/>
  <c r="G102" i="102"/>
  <c r="G61" i="54"/>
  <c r="E237" i="43"/>
  <c r="E236" i="49"/>
  <c r="E236" i="155"/>
  <c r="G197" i="14"/>
  <c r="G102" i="98"/>
  <c r="G79" i="15"/>
  <c r="G61" i="60"/>
  <c r="G93" i="66"/>
  <c r="G197" i="20"/>
  <c r="G93" i="60"/>
  <c r="G93" i="58"/>
  <c r="G228" i="178"/>
  <c r="G237" i="178"/>
  <c r="E236" i="66"/>
  <c r="G93" i="145"/>
  <c r="G111" i="71"/>
  <c r="G119" i="55"/>
  <c r="G61" i="164"/>
  <c r="G102" i="20"/>
  <c r="G93" i="133"/>
  <c r="G161" i="133"/>
  <c r="G79" i="62"/>
  <c r="G61" i="47"/>
  <c r="G79" i="165"/>
  <c r="G197" i="175"/>
  <c r="G161" i="104"/>
  <c r="G206" i="14"/>
  <c r="G61" i="58"/>
  <c r="G21" i="53"/>
  <c r="G161" i="32"/>
  <c r="E236" i="54"/>
  <c r="G93" i="106"/>
  <c r="G161" i="103"/>
  <c r="G61" i="178"/>
  <c r="G61" i="28"/>
  <c r="G102" i="58"/>
  <c r="G161" i="60"/>
  <c r="G197" i="83"/>
  <c r="G93" i="176"/>
  <c r="G21" i="178"/>
  <c r="G21" i="46"/>
  <c r="G161" i="25"/>
  <c r="G79" i="103"/>
  <c r="G119" i="39"/>
  <c r="G119" i="155"/>
  <c r="G206" i="178"/>
  <c r="G61" i="92"/>
  <c r="G161" i="102"/>
  <c r="G197" i="37"/>
  <c r="G79" i="66"/>
  <c r="G119" i="178"/>
  <c r="G235" i="43"/>
  <c r="K14" i="43"/>
  <c r="G79" i="145"/>
  <c r="G228" i="49"/>
  <c r="G161" i="10"/>
  <c r="G21" i="113"/>
  <c r="K14" i="113"/>
  <c r="G235" i="113"/>
  <c r="G111" i="113"/>
  <c r="E236" i="113"/>
  <c r="G228" i="113"/>
  <c r="E237" i="113"/>
  <c r="H169" i="33" l="1"/>
  <c r="H43" i="33"/>
  <c r="H143" i="136"/>
  <c r="H108" i="136"/>
  <c r="H49" i="136"/>
  <c r="H71" i="136"/>
  <c r="H96" i="136"/>
  <c r="H132" i="136"/>
  <c r="H196" i="136"/>
  <c r="H47" i="136"/>
  <c r="H54" i="136"/>
  <c r="H60" i="136"/>
  <c r="H138" i="136"/>
  <c r="H195" i="136"/>
  <c r="H141" i="136"/>
  <c r="H93" i="136"/>
  <c r="H173" i="136"/>
  <c r="H204" i="136"/>
  <c r="H82" i="136"/>
  <c r="H35" i="33"/>
  <c r="H147" i="136"/>
  <c r="K15" i="98"/>
  <c r="H69" i="33"/>
  <c r="H182" i="136"/>
  <c r="H35" i="136"/>
  <c r="H50" i="136"/>
  <c r="H45" i="33"/>
  <c r="H42" i="33"/>
  <c r="H150" i="136"/>
  <c r="H34" i="136"/>
  <c r="H32" i="136"/>
  <c r="H205" i="136"/>
  <c r="H149" i="33"/>
  <c r="H98" i="33"/>
  <c r="H96" i="33"/>
  <c r="H77" i="136"/>
  <c r="H27" i="136"/>
  <c r="H106" i="136"/>
  <c r="H131" i="136"/>
  <c r="H136" i="136"/>
  <c r="H73" i="136"/>
  <c r="H83" i="136"/>
  <c r="H194" i="136"/>
  <c r="H32" i="33"/>
  <c r="H118" i="136"/>
  <c r="H202" i="136"/>
  <c r="H197" i="33"/>
  <c r="H156" i="33"/>
  <c r="H132" i="33"/>
  <c r="H129" i="136"/>
  <c r="H66" i="136"/>
  <c r="H40" i="136"/>
  <c r="H171" i="136"/>
  <c r="H25" i="136"/>
  <c r="H203" i="136"/>
  <c r="H46" i="136"/>
  <c r="H39" i="136"/>
  <c r="H53" i="33"/>
  <c r="H114" i="136"/>
  <c r="H133" i="33"/>
  <c r="H165" i="33"/>
  <c r="H195" i="33"/>
  <c r="H41" i="136"/>
  <c r="H123" i="136"/>
  <c r="H89" i="136"/>
  <c r="H127" i="136"/>
  <c r="H184" i="136"/>
  <c r="H152" i="136"/>
  <c r="H178" i="136"/>
  <c r="H164" i="136"/>
  <c r="H208" i="33"/>
  <c r="H99" i="33"/>
  <c r="H55" i="136"/>
  <c r="H43" i="136"/>
  <c r="H30" i="136"/>
  <c r="H140" i="136"/>
  <c r="H70" i="136"/>
  <c r="H200" i="136"/>
  <c r="K12" i="136"/>
  <c r="H189" i="136"/>
  <c r="H46" i="33"/>
  <c r="H108" i="33"/>
  <c r="H75" i="33"/>
  <c r="H183" i="33"/>
  <c r="H64" i="33"/>
  <c r="H204" i="33"/>
  <c r="H100" i="33"/>
  <c r="H47" i="33"/>
  <c r="H130" i="33"/>
  <c r="H167" i="33"/>
  <c r="H102" i="33"/>
  <c r="H115" i="33"/>
  <c r="H52" i="33"/>
  <c r="H74" i="33"/>
  <c r="H160" i="33"/>
  <c r="H70" i="33"/>
  <c r="H40" i="33"/>
  <c r="H77" i="33"/>
  <c r="H72" i="33"/>
  <c r="H175" i="33"/>
  <c r="H141" i="33"/>
  <c r="H79" i="33"/>
  <c r="H123" i="33"/>
  <c r="H55" i="33"/>
  <c r="H60" i="33"/>
  <c r="H66" i="33"/>
  <c r="H90" i="33"/>
  <c r="H158" i="33"/>
  <c r="H187" i="33"/>
  <c r="H107" i="33"/>
  <c r="H182" i="33"/>
  <c r="H172" i="136"/>
  <c r="H84" i="136"/>
  <c r="H180" i="136"/>
  <c r="H161" i="136"/>
  <c r="H110" i="136"/>
  <c r="H169" i="136"/>
  <c r="H67" i="136"/>
  <c r="H100" i="136"/>
  <c r="H177" i="136"/>
  <c r="H206" i="136"/>
  <c r="H159" i="136"/>
  <c r="H175" i="136"/>
  <c r="H102" i="136"/>
  <c r="H33" i="136"/>
  <c r="H57" i="136"/>
  <c r="H170" i="136"/>
  <c r="H165" i="136"/>
  <c r="H135" i="136"/>
  <c r="H174" i="136"/>
  <c r="H153" i="136"/>
  <c r="H190" i="136"/>
  <c r="H201" i="136"/>
  <c r="H160" i="136"/>
  <c r="H168" i="136"/>
  <c r="H51" i="136"/>
  <c r="H179" i="136"/>
  <c r="H37" i="136"/>
  <c r="H137" i="136"/>
  <c r="H38" i="136"/>
  <c r="H42" i="136"/>
  <c r="H68" i="136"/>
  <c r="H31" i="136"/>
  <c r="H107" i="136"/>
  <c r="H124" i="136"/>
  <c r="H192" i="136"/>
  <c r="H69" i="136"/>
  <c r="H125" i="136"/>
  <c r="H166" i="136"/>
  <c r="H53" i="136"/>
  <c r="H130" i="136"/>
  <c r="H79" i="136"/>
  <c r="H149" i="136"/>
  <c r="G215" i="136"/>
  <c r="H26" i="136"/>
  <c r="H98" i="136"/>
  <c r="H36" i="136"/>
  <c r="H187" i="136"/>
  <c r="H105" i="136"/>
  <c r="H197" i="136"/>
  <c r="H85" i="136"/>
  <c r="H64" i="136"/>
  <c r="H72" i="136"/>
  <c r="H176" i="136"/>
  <c r="H52" i="136"/>
  <c r="H65" i="136"/>
  <c r="H181" i="136"/>
  <c r="H151" i="136"/>
  <c r="H155" i="136"/>
  <c r="H45" i="136"/>
  <c r="H117" i="136"/>
  <c r="H28" i="136"/>
  <c r="H193" i="136"/>
  <c r="H44" i="136"/>
  <c r="H145" i="136"/>
  <c r="H99" i="136"/>
  <c r="H167" i="136"/>
  <c r="H126" i="136"/>
  <c r="H158" i="136"/>
  <c r="H76" i="136"/>
  <c r="H48" i="136"/>
  <c r="H148" i="136"/>
  <c r="H188" i="136"/>
  <c r="H56" i="136"/>
  <c r="H156" i="136"/>
  <c r="H142" i="136"/>
  <c r="H146" i="136"/>
  <c r="H78" i="136"/>
  <c r="H90" i="136"/>
  <c r="H133" i="136"/>
  <c r="H191" i="136"/>
  <c r="H97" i="136"/>
  <c r="H119" i="136"/>
  <c r="H115" i="136"/>
  <c r="H29" i="136"/>
  <c r="H109" i="136"/>
  <c r="H92" i="136"/>
  <c r="H157" i="136"/>
  <c r="H208" i="136"/>
  <c r="H185" i="136"/>
  <c r="H86" i="136"/>
  <c r="H101" i="136"/>
  <c r="H74" i="136"/>
  <c r="H59" i="136"/>
  <c r="H61" i="136"/>
  <c r="H186" i="136"/>
  <c r="H183" i="136"/>
  <c r="H111" i="136"/>
  <c r="H87" i="136"/>
  <c r="H88" i="136"/>
  <c r="H58" i="136"/>
  <c r="H91" i="136"/>
  <c r="H75" i="136"/>
  <c r="H221" i="47"/>
  <c r="H227" i="47"/>
  <c r="H220" i="47"/>
  <c r="H222" i="47"/>
  <c r="H224" i="47"/>
  <c r="H226" i="47"/>
  <c r="H228" i="47"/>
  <c r="H223" i="47"/>
  <c r="H225" i="47"/>
  <c r="H219" i="47"/>
  <c r="E238" i="50"/>
  <c r="G238" i="21"/>
  <c r="J177" i="97"/>
  <c r="O177" i="97"/>
  <c r="G206" i="155"/>
  <c r="G209" i="97" s="1"/>
  <c r="G205" i="97"/>
  <c r="F208" i="155"/>
  <c r="G238" i="111"/>
  <c r="K15" i="16"/>
  <c r="G237" i="10"/>
  <c r="G237" i="69"/>
  <c r="G236" i="69"/>
  <c r="G238" i="33"/>
  <c r="H92" i="57"/>
  <c r="H179" i="57"/>
  <c r="H176" i="57"/>
  <c r="H29" i="57"/>
  <c r="H52" i="57"/>
  <c r="H57" i="57"/>
  <c r="H170" i="57"/>
  <c r="H200" i="57"/>
  <c r="H174" i="57"/>
  <c r="H58" i="57"/>
  <c r="H66" i="57"/>
  <c r="H130" i="57"/>
  <c r="H25" i="57"/>
  <c r="H195" i="57"/>
  <c r="H110" i="57"/>
  <c r="H43" i="57"/>
  <c r="H117" i="57"/>
  <c r="H91" i="57"/>
  <c r="H54" i="57"/>
  <c r="H116" i="57"/>
  <c r="H136" i="57"/>
  <c r="H114" i="57"/>
  <c r="H100" i="57"/>
  <c r="H55" i="57"/>
  <c r="H143" i="57"/>
  <c r="H171" i="57"/>
  <c r="H172" i="57"/>
  <c r="H185" i="57"/>
  <c r="H175" i="57"/>
  <c r="H182" i="57"/>
  <c r="H194" i="57"/>
  <c r="H206" i="57"/>
  <c r="H101" i="57"/>
  <c r="H69" i="57"/>
  <c r="H127" i="57"/>
  <c r="H87" i="57"/>
  <c r="H190" i="57"/>
  <c r="H38" i="57"/>
  <c r="H47" i="57"/>
  <c r="H49" i="57"/>
  <c r="H193" i="57"/>
  <c r="H37" i="57"/>
  <c r="H181" i="57"/>
  <c r="H149" i="57"/>
  <c r="H34" i="57"/>
  <c r="H53" i="57"/>
  <c r="H155" i="57"/>
  <c r="H150" i="57"/>
  <c r="H79" i="57"/>
  <c r="H65" i="57"/>
  <c r="H35" i="57"/>
  <c r="H153" i="57"/>
  <c r="H107" i="57"/>
  <c r="H158" i="57"/>
  <c r="H204" i="57"/>
  <c r="H141" i="57"/>
  <c r="H42" i="57"/>
  <c r="H164" i="57"/>
  <c r="H46" i="57"/>
  <c r="H97" i="57"/>
  <c r="H118" i="57"/>
  <c r="H73" i="57"/>
  <c r="H142" i="57"/>
  <c r="H84" i="57"/>
  <c r="H64" i="57"/>
  <c r="H70" i="57"/>
  <c r="H105" i="57"/>
  <c r="G215" i="57"/>
  <c r="H33" i="57"/>
  <c r="H157" i="57"/>
  <c r="H86" i="57"/>
  <c r="H203" i="57"/>
  <c r="H131" i="57"/>
  <c r="H146" i="57"/>
  <c r="H173" i="57"/>
  <c r="H156" i="57"/>
  <c r="H68" i="57"/>
  <c r="H98" i="57"/>
  <c r="H165" i="57"/>
  <c r="H31" i="57"/>
  <c r="H180" i="57"/>
  <c r="H161" i="57"/>
  <c r="H187" i="57"/>
  <c r="H184" i="57"/>
  <c r="H115" i="57"/>
  <c r="H85" i="57"/>
  <c r="H99" i="57"/>
  <c r="H152" i="57"/>
  <c r="H76" i="57"/>
  <c r="H109" i="57"/>
  <c r="H186" i="57"/>
  <c r="H51" i="57"/>
  <c r="H78" i="57"/>
  <c r="H167" i="57"/>
  <c r="H77" i="57"/>
  <c r="H196" i="57"/>
  <c r="H32" i="57"/>
  <c r="H192" i="57"/>
  <c r="H50" i="57"/>
  <c r="H208" i="57"/>
  <c r="H160" i="57"/>
  <c r="H36" i="57"/>
  <c r="H137" i="57"/>
  <c r="H147" i="57"/>
  <c r="H124" i="57"/>
  <c r="H60" i="57"/>
  <c r="K12" i="57"/>
  <c r="H39" i="57"/>
  <c r="H191" i="57"/>
  <c r="H28" i="57"/>
  <c r="H75" i="57"/>
  <c r="H177" i="57"/>
  <c r="H48" i="57"/>
  <c r="H26" i="57"/>
  <c r="H168" i="57"/>
  <c r="H123" i="57"/>
  <c r="H126" i="57"/>
  <c r="H89" i="57"/>
  <c r="H183" i="57"/>
  <c r="H102" i="57"/>
  <c r="H45" i="57"/>
  <c r="H178" i="57"/>
  <c r="H72" i="57"/>
  <c r="H133" i="57"/>
  <c r="H125" i="57"/>
  <c r="H189" i="57"/>
  <c r="H108" i="57"/>
  <c r="H140" i="57"/>
  <c r="H197" i="57"/>
  <c r="H145" i="57"/>
  <c r="H67" i="57"/>
  <c r="H93" i="57"/>
  <c r="H59" i="57"/>
  <c r="H41" i="57"/>
  <c r="H96" i="57"/>
  <c r="H151" i="57"/>
  <c r="H27" i="57"/>
  <c r="H71" i="57"/>
  <c r="H148" i="57"/>
  <c r="H30" i="57"/>
  <c r="H135" i="57"/>
  <c r="H119" i="57"/>
  <c r="H111" i="57"/>
  <c r="H205" i="57"/>
  <c r="H201" i="57"/>
  <c r="H88" i="57"/>
  <c r="H83" i="57"/>
  <c r="H106" i="57"/>
  <c r="H129" i="57"/>
  <c r="H132" i="57"/>
  <c r="H188" i="57"/>
  <c r="H40" i="57"/>
  <c r="H169" i="57"/>
  <c r="H90" i="57"/>
  <c r="H159" i="57"/>
  <c r="H166" i="57"/>
  <c r="H44" i="57"/>
  <c r="H61" i="57"/>
  <c r="H74" i="57"/>
  <c r="H82" i="57"/>
  <c r="H202" i="57"/>
  <c r="H138" i="57"/>
  <c r="G237" i="84"/>
  <c r="K15" i="65"/>
  <c r="H78" i="33"/>
  <c r="H177" i="33"/>
  <c r="H205" i="33"/>
  <c r="H48" i="33"/>
  <c r="H88" i="33"/>
  <c r="H49" i="33"/>
  <c r="H190" i="33"/>
  <c r="H44" i="33"/>
  <c r="H26" i="33"/>
  <c r="H192" i="33"/>
  <c r="H143" i="33"/>
  <c r="H140" i="33"/>
  <c r="H172" i="33"/>
  <c r="H142" i="33"/>
  <c r="H157" i="33"/>
  <c r="H191" i="33"/>
  <c r="H29" i="33"/>
  <c r="H92" i="33"/>
  <c r="H110" i="33"/>
  <c r="H57" i="33"/>
  <c r="H126" i="33"/>
  <c r="H152" i="33"/>
  <c r="H150" i="33"/>
  <c r="K12" i="33"/>
  <c r="H176" i="33"/>
  <c r="H200" i="33"/>
  <c r="H129" i="33"/>
  <c r="H93" i="33"/>
  <c r="H159" i="33"/>
  <c r="H180" i="33"/>
  <c r="H73" i="33"/>
  <c r="H106" i="33"/>
  <c r="H179" i="33"/>
  <c r="H109" i="33"/>
  <c r="H168" i="33"/>
  <c r="H38" i="33"/>
  <c r="H188" i="33"/>
  <c r="H147" i="33"/>
  <c r="H170" i="33"/>
  <c r="H137" i="33"/>
  <c r="H161" i="33"/>
  <c r="H54" i="33"/>
  <c r="H189" i="33"/>
  <c r="H51" i="33"/>
  <c r="H174" i="33"/>
  <c r="H28" i="33"/>
  <c r="H86" i="33"/>
  <c r="H65" i="33"/>
  <c r="H117" i="33"/>
  <c r="H105" i="33"/>
  <c r="H125" i="33"/>
  <c r="H101" i="33"/>
  <c r="H173" i="33"/>
  <c r="H33" i="33"/>
  <c r="H201" i="33"/>
  <c r="H30" i="33"/>
  <c r="H116" i="33"/>
  <c r="H136" i="33"/>
  <c r="H155" i="33"/>
  <c r="H83" i="33"/>
  <c r="H193" i="33"/>
  <c r="H91" i="33"/>
  <c r="H27" i="33"/>
  <c r="H39" i="33"/>
  <c r="H151" i="33"/>
  <c r="H181" i="33"/>
  <c r="H84" i="33"/>
  <c r="H97" i="33"/>
  <c r="H171" i="33"/>
  <c r="H61" i="33"/>
  <c r="H87" i="33"/>
  <c r="H127" i="33"/>
  <c r="H166" i="33"/>
  <c r="H185" i="33"/>
  <c r="H145" i="33"/>
  <c r="H196" i="33"/>
  <c r="H184" i="33"/>
  <c r="H68" i="33"/>
  <c r="H85" i="33"/>
  <c r="H118" i="33"/>
  <c r="H71" i="33"/>
  <c r="H186" i="33"/>
  <c r="H82" i="33"/>
  <c r="H194" i="33"/>
  <c r="H206" i="33"/>
  <c r="H131" i="33"/>
  <c r="H146" i="33"/>
  <c r="H59" i="33"/>
  <c r="H153" i="33"/>
  <c r="H164" i="33"/>
  <c r="H25" i="33"/>
  <c r="H50" i="33"/>
  <c r="H67" i="33"/>
  <c r="H41" i="33"/>
  <c r="H119" i="33"/>
  <c r="H178" i="33"/>
  <c r="H111" i="33"/>
  <c r="H203" i="33"/>
  <c r="H34" i="33"/>
  <c r="H58" i="33"/>
  <c r="H138" i="33"/>
  <c r="H114" i="33"/>
  <c r="H148" i="33"/>
  <c r="H124" i="33"/>
  <c r="H76" i="33"/>
  <c r="H37" i="33"/>
  <c r="H202" i="33"/>
  <c r="H135" i="33"/>
  <c r="H36" i="33"/>
  <c r="H31" i="33"/>
  <c r="H56" i="33"/>
  <c r="H89" i="33"/>
  <c r="H180" i="135"/>
  <c r="H168" i="135"/>
  <c r="H64" i="135"/>
  <c r="H129" i="135"/>
  <c r="K15" i="164"/>
  <c r="K15" i="10"/>
  <c r="E238" i="84"/>
  <c r="H75" i="135"/>
  <c r="H126" i="135"/>
  <c r="H51" i="135"/>
  <c r="H41" i="135"/>
  <c r="H92" i="135"/>
  <c r="H125" i="135"/>
  <c r="H150" i="135"/>
  <c r="H185" i="135"/>
  <c r="H179" i="135"/>
  <c r="H73" i="135"/>
  <c r="H67" i="135"/>
  <c r="H78" i="135"/>
  <c r="H50" i="135"/>
  <c r="H56" i="135"/>
  <c r="H164" i="135"/>
  <c r="H153" i="135"/>
  <c r="H132" i="135"/>
  <c r="H117" i="135"/>
  <c r="H83" i="135"/>
  <c r="H123" i="135"/>
  <c r="H186" i="135"/>
  <c r="H59" i="135"/>
  <c r="H34" i="135"/>
  <c r="H79" i="135"/>
  <c r="H76" i="135"/>
  <c r="H88" i="135"/>
  <c r="H124" i="135"/>
  <c r="H71" i="135"/>
  <c r="H37" i="135"/>
  <c r="H143" i="135"/>
  <c r="H181" i="135"/>
  <c r="H115" i="135"/>
  <c r="H178" i="135"/>
  <c r="H195" i="135"/>
  <c r="H39" i="135"/>
  <c r="H33" i="135"/>
  <c r="H31" i="135"/>
  <c r="H97" i="135"/>
  <c r="H66" i="135"/>
  <c r="H108" i="135"/>
  <c r="H48" i="135"/>
  <c r="H127" i="135"/>
  <c r="H98" i="135"/>
  <c r="H142" i="135"/>
  <c r="H105" i="135"/>
  <c r="H90" i="135"/>
  <c r="H30" i="135"/>
  <c r="H183" i="135"/>
  <c r="H85" i="135"/>
  <c r="H157" i="135"/>
  <c r="H58" i="135"/>
  <c r="H165" i="135"/>
  <c r="H61" i="135"/>
  <c r="H167" i="135"/>
  <c r="H208" i="135"/>
  <c r="H148" i="135"/>
  <c r="H100" i="135"/>
  <c r="H166" i="135"/>
  <c r="H161" i="135"/>
  <c r="H46" i="135"/>
  <c r="H172" i="135"/>
  <c r="H77" i="135"/>
  <c r="H29" i="135"/>
  <c r="H119" i="135"/>
  <c r="H184" i="135"/>
  <c r="H82" i="135"/>
  <c r="H145" i="135"/>
  <c r="H182" i="135"/>
  <c r="H204" i="135"/>
  <c r="H28" i="135"/>
  <c r="H49" i="135"/>
  <c r="H102" i="135"/>
  <c r="H146" i="135"/>
  <c r="H169" i="135"/>
  <c r="H44" i="135"/>
  <c r="H68" i="135"/>
  <c r="H40" i="135"/>
  <c r="H52" i="135"/>
  <c r="H135" i="135"/>
  <c r="H197" i="135"/>
  <c r="H203" i="135"/>
  <c r="H191" i="135"/>
  <c r="H190" i="135"/>
  <c r="H137" i="135"/>
  <c r="H45" i="135"/>
  <c r="H131" i="135"/>
  <c r="H192" i="135"/>
  <c r="H114" i="135"/>
  <c r="H140" i="135"/>
  <c r="H141" i="135"/>
  <c r="H173" i="135"/>
  <c r="H201" i="135"/>
  <c r="H72" i="135"/>
  <c r="H99" i="135"/>
  <c r="H159" i="135"/>
  <c r="H189" i="135"/>
  <c r="H32" i="135"/>
  <c r="G215" i="135"/>
  <c r="H170" i="135"/>
  <c r="H200" i="135"/>
  <c r="H174" i="135"/>
  <c r="H118" i="135"/>
  <c r="H133" i="135"/>
  <c r="H110" i="135"/>
  <c r="H149" i="135"/>
  <c r="H91" i="135"/>
  <c r="H196" i="135"/>
  <c r="H86" i="135"/>
  <c r="H151" i="135"/>
  <c r="H188" i="135"/>
  <c r="H25" i="135"/>
  <c r="H26" i="135"/>
  <c r="H55" i="135"/>
  <c r="H84" i="135"/>
  <c r="H152" i="135"/>
  <c r="H175" i="135"/>
  <c r="H42" i="135"/>
  <c r="H74" i="135"/>
  <c r="H101" i="135"/>
  <c r="K12" i="135"/>
  <c r="H27" i="135"/>
  <c r="H193" i="135"/>
  <c r="H47" i="135"/>
  <c r="H43" i="135"/>
  <c r="H107" i="135"/>
  <c r="H54" i="135"/>
  <c r="H156" i="135"/>
  <c r="H53" i="135"/>
  <c r="H35" i="135"/>
  <c r="H69" i="135"/>
  <c r="H96" i="135"/>
  <c r="H93" i="135"/>
  <c r="H136" i="135"/>
  <c r="H160" i="135"/>
  <c r="H36" i="135"/>
  <c r="H57" i="135"/>
  <c r="H111" i="135"/>
  <c r="H155" i="135"/>
  <c r="H177" i="135"/>
  <c r="H130" i="135"/>
  <c r="H60" i="135"/>
  <c r="H89" i="135"/>
  <c r="H87" i="135"/>
  <c r="H158" i="135"/>
  <c r="H194" i="135"/>
  <c r="H65" i="135"/>
  <c r="H202" i="135"/>
  <c r="H116" i="135"/>
  <c r="H205" i="135"/>
  <c r="H109" i="135"/>
  <c r="H147" i="135"/>
  <c r="H176" i="135"/>
  <c r="H171" i="135"/>
  <c r="H206" i="135"/>
  <c r="H70" i="135"/>
  <c r="H106" i="135"/>
  <c r="H138" i="135"/>
  <c r="H187" i="135"/>
  <c r="H38" i="135"/>
  <c r="K15" i="142"/>
  <c r="G24" i="97"/>
  <c r="C218" i="97"/>
  <c r="G96" i="97"/>
  <c r="G82" i="97"/>
  <c r="G122" i="97"/>
  <c r="G238" i="97"/>
  <c r="G164" i="97"/>
  <c r="H227" i="79"/>
  <c r="G114" i="97"/>
  <c r="C215" i="97"/>
  <c r="G200" i="97"/>
  <c r="D218" i="97"/>
  <c r="G105" i="97"/>
  <c r="G231" i="97"/>
  <c r="J67" i="97" s="1"/>
  <c r="E215" i="103"/>
  <c r="E211" i="97"/>
  <c r="H220" i="79"/>
  <c r="G237" i="32"/>
  <c r="H223" i="79"/>
  <c r="G237" i="172"/>
  <c r="H223" i="94"/>
  <c r="H222" i="94"/>
  <c r="G236" i="79"/>
  <c r="H222" i="79"/>
  <c r="H225" i="79"/>
  <c r="H220" i="10"/>
  <c r="H228" i="79"/>
  <c r="H226" i="79"/>
  <c r="H219" i="79"/>
  <c r="H225" i="94"/>
  <c r="H224" i="79"/>
  <c r="H221" i="79"/>
  <c r="K13" i="79"/>
  <c r="K13" i="64"/>
  <c r="H220" i="14"/>
  <c r="H220" i="24"/>
  <c r="H221" i="102"/>
  <c r="H222" i="165"/>
  <c r="E238" i="83"/>
  <c r="E238" i="118"/>
  <c r="H226" i="94"/>
  <c r="G236" i="94"/>
  <c r="E238" i="142"/>
  <c r="H221" i="94"/>
  <c r="H228" i="10"/>
  <c r="H11" i="158"/>
  <c r="K15" i="47"/>
  <c r="H220" i="158"/>
  <c r="K15" i="69"/>
  <c r="K11" i="24"/>
  <c r="E238" i="174"/>
  <c r="G237" i="54"/>
  <c r="E238" i="106"/>
  <c r="H227" i="102"/>
  <c r="H221" i="32"/>
  <c r="K15" i="174"/>
  <c r="H226" i="64"/>
  <c r="H222" i="102"/>
  <c r="H226" i="157"/>
  <c r="K15" i="60"/>
  <c r="H221" i="62"/>
  <c r="G237" i="158"/>
  <c r="G237" i="60"/>
  <c r="H223" i="157"/>
  <c r="K13" i="157"/>
  <c r="H228" i="172"/>
  <c r="H219" i="157"/>
  <c r="H219" i="94"/>
  <c r="H224" i="94"/>
  <c r="H227" i="94"/>
  <c r="K13" i="94"/>
  <c r="G236" i="157"/>
  <c r="H222" i="62"/>
  <c r="H225" i="103"/>
  <c r="H222" i="157"/>
  <c r="H220" i="94"/>
  <c r="H223" i="28"/>
  <c r="H226" i="150"/>
  <c r="H228" i="157"/>
  <c r="E238" i="165"/>
  <c r="H223" i="50"/>
  <c r="H228" i="94"/>
  <c r="H228" i="62"/>
  <c r="H13" i="152"/>
  <c r="H226" i="24"/>
  <c r="H224" i="42"/>
  <c r="H222" i="14"/>
  <c r="H225" i="14"/>
  <c r="H226" i="14"/>
  <c r="K13" i="14"/>
  <c r="G236" i="14"/>
  <c r="H223" i="14"/>
  <c r="G237" i="152"/>
  <c r="K15" i="152"/>
  <c r="E238" i="87"/>
  <c r="H227" i="14"/>
  <c r="H221" i="14"/>
  <c r="E238" i="158"/>
  <c r="H228" i="14"/>
  <c r="H219" i="14"/>
  <c r="H224" i="14"/>
  <c r="K11" i="152"/>
  <c r="K13" i="98"/>
  <c r="H224" i="133"/>
  <c r="H226" i="165"/>
  <c r="H225" i="157"/>
  <c r="H224" i="157"/>
  <c r="H220" i="157"/>
  <c r="K13" i="28"/>
  <c r="H21" i="152"/>
  <c r="H227" i="157"/>
  <c r="H221" i="157"/>
  <c r="K15" i="50"/>
  <c r="K15" i="55"/>
  <c r="G237" i="55"/>
  <c r="H227" i="120"/>
  <c r="H226" i="142"/>
  <c r="H227" i="142"/>
  <c r="K11" i="149"/>
  <c r="H13" i="149"/>
  <c r="H222" i="42"/>
  <c r="H221" i="42"/>
  <c r="H223" i="42"/>
  <c r="K13" i="42"/>
  <c r="K11" i="142"/>
  <c r="H17" i="142"/>
  <c r="H18" i="142"/>
  <c r="H228" i="120"/>
  <c r="H14" i="172"/>
  <c r="H223" i="32"/>
  <c r="H220" i="32"/>
  <c r="H227" i="32"/>
  <c r="H226" i="32"/>
  <c r="H224" i="32"/>
  <c r="H222" i="32"/>
  <c r="H225" i="32"/>
  <c r="H228" i="32"/>
  <c r="H219" i="32"/>
  <c r="G236" i="32"/>
  <c r="K13" i="32"/>
  <c r="K13" i="158"/>
  <c r="H226" i="158"/>
  <c r="H223" i="158"/>
  <c r="H219" i="158"/>
  <c r="K15" i="95"/>
  <c r="G237" i="49"/>
  <c r="H223" i="62"/>
  <c r="H19" i="68"/>
  <c r="H228" i="150"/>
  <c r="H225" i="64"/>
  <c r="E238" i="16"/>
  <c r="H221" i="150"/>
  <c r="H227" i="174"/>
  <c r="H227" i="106"/>
  <c r="H19" i="175"/>
  <c r="H226" i="39"/>
  <c r="H223" i="87"/>
  <c r="H227" i="62"/>
  <c r="E238" i="60"/>
  <c r="H21" i="142"/>
  <c r="H224" i="150"/>
  <c r="K13" i="106"/>
  <c r="H222" i="64"/>
  <c r="H227" i="64"/>
  <c r="H225" i="39"/>
  <c r="H226" i="62"/>
  <c r="H13" i="142"/>
  <c r="H225" i="150"/>
  <c r="H220" i="87"/>
  <c r="E238" i="164"/>
  <c r="K15" i="119"/>
  <c r="H14" i="142"/>
  <c r="H21" i="174"/>
  <c r="H223" i="106"/>
  <c r="H224" i="106"/>
  <c r="H225" i="53"/>
  <c r="H18" i="85"/>
  <c r="E238" i="62"/>
  <c r="H11" i="174"/>
  <c r="H16" i="42"/>
  <c r="H21" i="158"/>
  <c r="G237" i="42"/>
  <c r="G236" i="58"/>
  <c r="H21" i="102"/>
  <c r="H17" i="174"/>
  <c r="H223" i="53"/>
  <c r="H17" i="158"/>
  <c r="H14" i="158"/>
  <c r="K11" i="37"/>
  <c r="H228" i="174"/>
  <c r="K13" i="174"/>
  <c r="H16" i="174"/>
  <c r="K13" i="53"/>
  <c r="H19" i="158"/>
  <c r="H16" i="37"/>
  <c r="H21" i="172"/>
  <c r="H17" i="172"/>
  <c r="H228" i="58"/>
  <c r="H17" i="102"/>
  <c r="H14" i="102"/>
  <c r="H222" i="50"/>
  <c r="H18" i="174"/>
  <c r="H20" i="174"/>
  <c r="H12" i="174"/>
  <c r="H222" i="53"/>
  <c r="H220" i="53"/>
  <c r="H20" i="87"/>
  <c r="H225" i="156"/>
  <c r="E238" i="69"/>
  <c r="G236" i="53"/>
  <c r="E215" i="113"/>
  <c r="H11" i="37"/>
  <c r="K11" i="172"/>
  <c r="H220" i="174"/>
  <c r="H219" i="174"/>
  <c r="H222" i="174"/>
  <c r="H224" i="174"/>
  <c r="H225" i="174"/>
  <c r="H221" i="58"/>
  <c r="H20" i="102"/>
  <c r="H223" i="172"/>
  <c r="H219" i="50"/>
  <c r="H14" i="174"/>
  <c r="H15" i="174"/>
  <c r="H228" i="53"/>
  <c r="H221" i="53"/>
  <c r="H219" i="53"/>
  <c r="H220" i="165"/>
  <c r="K15" i="42"/>
  <c r="E238" i="24"/>
  <c r="H15" i="37"/>
  <c r="H19" i="37"/>
  <c r="H12" i="172"/>
  <c r="H226" i="174"/>
  <c r="H223" i="174"/>
  <c r="H221" i="174"/>
  <c r="G236" i="174"/>
  <c r="G238" i="174" s="1"/>
  <c r="H225" i="58"/>
  <c r="H16" i="102"/>
  <c r="H220" i="172"/>
  <c r="H221" i="50"/>
  <c r="H226" i="50"/>
  <c r="H13" i="174"/>
  <c r="K11" i="174"/>
  <c r="H228" i="145"/>
  <c r="H224" i="53"/>
  <c r="H226" i="53"/>
  <c r="H227" i="53"/>
  <c r="H15" i="87"/>
  <c r="H220" i="156"/>
  <c r="G237" i="25"/>
  <c r="K15" i="31"/>
  <c r="K15" i="45"/>
  <c r="H227" i="103"/>
  <c r="H221" i="103"/>
  <c r="K13" i="150"/>
  <c r="K13" i="165"/>
  <c r="H219" i="165"/>
  <c r="H227" i="87"/>
  <c r="H20" i="149"/>
  <c r="K13" i="102"/>
  <c r="G236" i="39"/>
  <c r="E238" i="133"/>
  <c r="H14" i="92"/>
  <c r="H222" i="39"/>
  <c r="H228" i="39"/>
  <c r="H227" i="39"/>
  <c r="E238" i="14"/>
  <c r="H224" i="103"/>
  <c r="K13" i="103"/>
  <c r="H226" i="106"/>
  <c r="H16" i="79"/>
  <c r="H17" i="104"/>
  <c r="H221" i="165"/>
  <c r="H225" i="165"/>
  <c r="G236" i="165"/>
  <c r="G238" i="165" s="1"/>
  <c r="H227" i="165"/>
  <c r="H224" i="87"/>
  <c r="G236" i="87"/>
  <c r="G238" i="87" s="1"/>
  <c r="H228" i="87"/>
  <c r="H16" i="149"/>
  <c r="K13" i="38"/>
  <c r="H219" i="102"/>
  <c r="H223" i="39"/>
  <c r="H16" i="119"/>
  <c r="H222" i="103"/>
  <c r="H219" i="106"/>
  <c r="H228" i="83"/>
  <c r="H228" i="165"/>
  <c r="H224" i="165"/>
  <c r="H223" i="165"/>
  <c r="K13" i="87"/>
  <c r="H225" i="87"/>
  <c r="H219" i="87"/>
  <c r="H226" i="87"/>
  <c r="H222" i="87"/>
  <c r="H221" i="87"/>
  <c r="H18" i="149"/>
  <c r="H225" i="102"/>
  <c r="G236" i="102"/>
  <c r="E238" i="64"/>
  <c r="E238" i="32"/>
  <c r="H12" i="42"/>
  <c r="K13" i="10"/>
  <c r="H18" i="24"/>
  <c r="H11" i="102"/>
  <c r="H19" i="102"/>
  <c r="H13" i="176"/>
  <c r="H11" i="95"/>
  <c r="H12" i="60"/>
  <c r="H20" i="86"/>
  <c r="E238" i="90"/>
  <c r="H221" i="10"/>
  <c r="E238" i="38"/>
  <c r="H17" i="60"/>
  <c r="H223" i="10"/>
  <c r="H223" i="24"/>
  <c r="K13" i="24"/>
  <c r="H227" i="24"/>
  <c r="H18" i="172"/>
  <c r="H20" i="172"/>
  <c r="K11" i="102"/>
  <c r="K11" i="176"/>
  <c r="H20" i="95"/>
  <c r="H12" i="95"/>
  <c r="E238" i="103"/>
  <c r="H18" i="60"/>
  <c r="E238" i="98"/>
  <c r="K11" i="175"/>
  <c r="E238" i="42"/>
  <c r="H13" i="95"/>
  <c r="H17" i="95"/>
  <c r="H219" i="10"/>
  <c r="H227" i="10"/>
  <c r="H12" i="39"/>
  <c r="H228" i="24"/>
  <c r="H13" i="172"/>
  <c r="H11" i="172"/>
  <c r="H224" i="25"/>
  <c r="H18" i="102"/>
  <c r="H16" i="176"/>
  <c r="H15" i="95"/>
  <c r="H16" i="95"/>
  <c r="H13" i="60"/>
  <c r="H11" i="175"/>
  <c r="G236" i="10"/>
  <c r="H224" i="10"/>
  <c r="E238" i="15"/>
  <c r="H225" i="24"/>
  <c r="H224" i="24"/>
  <c r="E215" i="133"/>
  <c r="H16" i="172"/>
  <c r="H15" i="172"/>
  <c r="H13" i="102"/>
  <c r="H15" i="102"/>
  <c r="H19" i="176"/>
  <c r="H14" i="95"/>
  <c r="H19" i="95"/>
  <c r="H21" i="175"/>
  <c r="H222" i="10"/>
  <c r="H16" i="24"/>
  <c r="G236" i="24"/>
  <c r="H221" i="24"/>
  <c r="K11" i="95"/>
  <c r="H11" i="60"/>
  <c r="H225" i="10"/>
  <c r="H17" i="24"/>
  <c r="H222" i="24"/>
  <c r="H219" i="24"/>
  <c r="H19" i="172"/>
  <c r="H228" i="25"/>
  <c r="H20" i="176"/>
  <c r="H18" i="95"/>
  <c r="H226" i="10"/>
  <c r="H20" i="79"/>
  <c r="K11" i="79"/>
  <c r="H220" i="72"/>
  <c r="H223" i="72"/>
  <c r="H222" i="72"/>
  <c r="H221" i="72"/>
  <c r="H228" i="72"/>
  <c r="G236" i="120"/>
  <c r="G238" i="120" s="1"/>
  <c r="H226" i="120"/>
  <c r="H13" i="119"/>
  <c r="H219" i="142"/>
  <c r="H221" i="142"/>
  <c r="H13" i="68"/>
  <c r="H219" i="25"/>
  <c r="H220" i="25"/>
  <c r="K13" i="25"/>
  <c r="H227" i="25"/>
  <c r="H12" i="85"/>
  <c r="H21" i="20"/>
  <c r="E238" i="1"/>
  <c r="G208" i="113"/>
  <c r="K15" i="103"/>
  <c r="G237" i="103"/>
  <c r="H223" i="120"/>
  <c r="H221" i="120"/>
  <c r="H219" i="120"/>
  <c r="H225" i="120"/>
  <c r="H14" i="119"/>
  <c r="G236" i="25"/>
  <c r="H221" i="25"/>
  <c r="H223" i="25"/>
  <c r="H225" i="25"/>
  <c r="H227" i="16"/>
  <c r="H12" i="104"/>
  <c r="H14" i="85"/>
  <c r="H222" i="120"/>
  <c r="H220" i="120"/>
  <c r="H224" i="120"/>
  <c r="K13" i="120"/>
  <c r="H21" i="68"/>
  <c r="H226" i="25"/>
  <c r="H222" i="25"/>
  <c r="H19" i="85"/>
  <c r="E215" i="27"/>
  <c r="H228" i="133"/>
  <c r="H227" i="86"/>
  <c r="K13" i="86"/>
  <c r="H221" i="86"/>
  <c r="H14" i="87"/>
  <c r="H16" i="87"/>
  <c r="H225" i="28"/>
  <c r="H220" i="28"/>
  <c r="H14" i="152"/>
  <c r="H224" i="98"/>
  <c r="H226" i="98"/>
  <c r="H220" i="98"/>
  <c r="K11" i="68"/>
  <c r="H228" i="50"/>
  <c r="H15" i="142"/>
  <c r="H21" i="104"/>
  <c r="H15" i="60"/>
  <c r="H19" i="87"/>
  <c r="K11" i="87"/>
  <c r="G236" i="158"/>
  <c r="K11" i="158"/>
  <c r="H18" i="158"/>
  <c r="H219" i="28"/>
  <c r="H16" i="69"/>
  <c r="H18" i="175"/>
  <c r="H221" i="31"/>
  <c r="K15" i="71"/>
  <c r="G237" i="71"/>
  <c r="H20" i="152"/>
  <c r="H222" i="98"/>
  <c r="H223" i="98"/>
  <c r="H220" i="103"/>
  <c r="H223" i="103"/>
  <c r="H14" i="157"/>
  <c r="H14" i="68"/>
  <c r="H16" i="68"/>
  <c r="H224" i="50"/>
  <c r="H225" i="50"/>
  <c r="H219" i="133"/>
  <c r="H16" i="142"/>
  <c r="H228" i="106"/>
  <c r="H20" i="60"/>
  <c r="H12" i="87"/>
  <c r="H226" i="42"/>
  <c r="H15" i="158"/>
  <c r="H20" i="158"/>
  <c r="H227" i="28"/>
  <c r="H221" i="28"/>
  <c r="H20" i="69"/>
  <c r="H17" i="175"/>
  <c r="K13" i="31"/>
  <c r="E215" i="1"/>
  <c r="H221" i="133"/>
  <c r="H222" i="133"/>
  <c r="H225" i="133"/>
  <c r="H11" i="142"/>
  <c r="H20" i="142"/>
  <c r="G236" i="106"/>
  <c r="G238" i="106" s="1"/>
  <c r="H220" i="106"/>
  <c r="H15" i="104"/>
  <c r="H16" i="60"/>
  <c r="H18" i="72"/>
  <c r="H17" i="87"/>
  <c r="H15" i="86"/>
  <c r="H220" i="42"/>
  <c r="G236" i="42"/>
  <c r="H221" i="158"/>
  <c r="H224" i="158"/>
  <c r="H222" i="158"/>
  <c r="H16" i="158"/>
  <c r="H228" i="28"/>
  <c r="H15" i="175"/>
  <c r="H16" i="175"/>
  <c r="H227" i="31"/>
  <c r="H21" i="157"/>
  <c r="H223" i="133"/>
  <c r="H226" i="133"/>
  <c r="K13" i="133"/>
  <c r="E238" i="175"/>
  <c r="H221" i="98"/>
  <c r="H225" i="98"/>
  <c r="H20" i="68"/>
  <c r="H17" i="68"/>
  <c r="H226" i="72"/>
  <c r="H15" i="145"/>
  <c r="E238" i="143"/>
  <c r="H228" i="98"/>
  <c r="G236" i="98"/>
  <c r="H219" i="103"/>
  <c r="G236" i="103"/>
  <c r="H226" i="103"/>
  <c r="H15" i="68"/>
  <c r="H18" i="68"/>
  <c r="G236" i="50"/>
  <c r="H227" i="50"/>
  <c r="H220" i="50"/>
  <c r="H220" i="133"/>
  <c r="G236" i="133"/>
  <c r="H19" i="142"/>
  <c r="H221" i="106"/>
  <c r="H225" i="106"/>
  <c r="H222" i="106"/>
  <c r="H13" i="104"/>
  <c r="K11" i="60"/>
  <c r="H19" i="60"/>
  <c r="H11" i="87"/>
  <c r="H15" i="143"/>
  <c r="H18" i="86"/>
  <c r="H228" i="42"/>
  <c r="H228" i="158"/>
  <c r="H222" i="28"/>
  <c r="H14" i="175"/>
  <c r="H12" i="175"/>
  <c r="H21" i="87"/>
  <c r="H11" i="152"/>
  <c r="H227" i="98"/>
  <c r="H219" i="98"/>
  <c r="H228" i="103"/>
  <c r="H12" i="68"/>
  <c r="K13" i="50"/>
  <c r="H227" i="133"/>
  <c r="H21" i="60"/>
  <c r="H13" i="87"/>
  <c r="H13" i="86"/>
  <c r="H225" i="42"/>
  <c r="H219" i="42"/>
  <c r="H227" i="42"/>
  <c r="H225" i="158"/>
  <c r="E238" i="71"/>
  <c r="H12" i="158"/>
  <c r="H224" i="28"/>
  <c r="H226" i="28"/>
  <c r="H20" i="175"/>
  <c r="K15" i="141"/>
  <c r="G237" i="141"/>
  <c r="H21" i="149"/>
  <c r="H19" i="149"/>
  <c r="H15" i="149"/>
  <c r="H14" i="149"/>
  <c r="H17" i="149"/>
  <c r="H12" i="149"/>
  <c r="E215" i="149"/>
  <c r="H11" i="149"/>
  <c r="E238" i="177"/>
  <c r="H11" i="155"/>
  <c r="H20" i="155"/>
  <c r="H15" i="155"/>
  <c r="H16" i="155"/>
  <c r="H12" i="155"/>
  <c r="H19" i="155"/>
  <c r="H13" i="155"/>
  <c r="H21" i="155"/>
  <c r="K15" i="104"/>
  <c r="E238" i="95"/>
  <c r="H21" i="42"/>
  <c r="H221" i="145"/>
  <c r="H222" i="89"/>
  <c r="H18" i="155"/>
  <c r="H21" i="24"/>
  <c r="H20" i="37"/>
  <c r="H224" i="145"/>
  <c r="K13" i="145"/>
  <c r="H222" i="16"/>
  <c r="H227" i="89"/>
  <c r="H224" i="156"/>
  <c r="H17" i="155"/>
  <c r="H19" i="24"/>
  <c r="H20" i="24"/>
  <c r="H18" i="37"/>
  <c r="H17" i="37"/>
  <c r="H225" i="142"/>
  <c r="H220" i="150"/>
  <c r="H18" i="42"/>
  <c r="H15" i="42"/>
  <c r="H222" i="83"/>
  <c r="H222" i="145"/>
  <c r="H227" i="38"/>
  <c r="H219" i="145"/>
  <c r="H223" i="145"/>
  <c r="H220" i="145"/>
  <c r="H228" i="63"/>
  <c r="H227" i="63"/>
  <c r="H220" i="63"/>
  <c r="K13" i="63"/>
  <c r="H219" i="63"/>
  <c r="H223" i="63"/>
  <c r="H224" i="63"/>
  <c r="H225" i="89"/>
  <c r="K13" i="89"/>
  <c r="H226" i="89"/>
  <c r="H228" i="89"/>
  <c r="H219" i="89"/>
  <c r="H220" i="89"/>
  <c r="H221" i="89"/>
  <c r="E238" i="65"/>
  <c r="G236" i="60"/>
  <c r="H227" i="60"/>
  <c r="H224" i="60"/>
  <c r="H228" i="60"/>
  <c r="H221" i="60"/>
  <c r="H225" i="60"/>
  <c r="H219" i="60"/>
  <c r="H223" i="60"/>
  <c r="H222" i="60"/>
  <c r="H226" i="60"/>
  <c r="H226" i="38"/>
  <c r="H222" i="38"/>
  <c r="H228" i="38"/>
  <c r="H223" i="38"/>
  <c r="H221" i="38"/>
  <c r="H220" i="38"/>
  <c r="H224" i="38"/>
  <c r="H225" i="38"/>
  <c r="G236" i="38"/>
  <c r="E215" i="71"/>
  <c r="H12" i="24"/>
  <c r="H11" i="24"/>
  <c r="H12" i="37"/>
  <c r="H224" i="142"/>
  <c r="H19" i="42"/>
  <c r="H14" i="42"/>
  <c r="H225" i="145"/>
  <c r="H219" i="38"/>
  <c r="H224" i="89"/>
  <c r="H225" i="63"/>
  <c r="G236" i="47"/>
  <c r="H226" i="156"/>
  <c r="H222" i="15"/>
  <c r="H227" i="15"/>
  <c r="H223" i="15"/>
  <c r="H220" i="15"/>
  <c r="H219" i="15"/>
  <c r="G237" i="104"/>
  <c r="E215" i="157"/>
  <c r="H228" i="143"/>
  <c r="E238" i="39"/>
  <c r="H17" i="42"/>
  <c r="H13" i="42"/>
  <c r="G236" i="63"/>
  <c r="K13" i="156"/>
  <c r="H223" i="156"/>
  <c r="H222" i="156"/>
  <c r="H219" i="156"/>
  <c r="H228" i="156"/>
  <c r="G236" i="156"/>
  <c r="G238" i="156" s="1"/>
  <c r="H224" i="16"/>
  <c r="H223" i="16"/>
  <c r="H228" i="16"/>
  <c r="H221" i="16"/>
  <c r="H14" i="24"/>
  <c r="H13" i="24"/>
  <c r="H21" i="37"/>
  <c r="K13" i="142"/>
  <c r="H222" i="142"/>
  <c r="E238" i="157"/>
  <c r="H227" i="150"/>
  <c r="H223" i="150"/>
  <c r="G236" i="150"/>
  <c r="G238" i="150" s="1"/>
  <c r="K11" i="42"/>
  <c r="H20" i="42"/>
  <c r="H223" i="83"/>
  <c r="H227" i="145"/>
  <c r="H226" i="63"/>
  <c r="H222" i="63"/>
  <c r="K13" i="60"/>
  <c r="H15" i="20"/>
  <c r="H16" i="20"/>
  <c r="H17" i="20"/>
  <c r="K11" i="20"/>
  <c r="H18" i="20"/>
  <c r="H14" i="155"/>
  <c r="H15" i="72"/>
  <c r="K11" i="72"/>
  <c r="H14" i="72"/>
  <c r="H13" i="37"/>
  <c r="H223" i="142"/>
  <c r="H228" i="142"/>
  <c r="H220" i="142"/>
  <c r="G236" i="142"/>
  <c r="G238" i="142" s="1"/>
  <c r="H222" i="150"/>
  <c r="H219" i="150"/>
  <c r="H11" i="42"/>
  <c r="H219" i="83"/>
  <c r="H226" i="145"/>
  <c r="H223" i="89"/>
  <c r="E238" i="152"/>
  <c r="H221" i="63"/>
  <c r="K13" i="47"/>
  <c r="H224" i="143"/>
  <c r="H221" i="156"/>
  <c r="G236" i="145"/>
  <c r="G208" i="16"/>
  <c r="H127" i="16" s="1"/>
  <c r="H17" i="92"/>
  <c r="H16" i="92"/>
  <c r="H17" i="39"/>
  <c r="H15" i="119"/>
  <c r="H220" i="46"/>
  <c r="H228" i="86"/>
  <c r="H18" i="39"/>
  <c r="H16" i="152"/>
  <c r="H15" i="152"/>
  <c r="E215" i="156"/>
  <c r="E215" i="20"/>
  <c r="K11" i="119"/>
  <c r="E215" i="53"/>
  <c r="H18" i="157"/>
  <c r="H13" i="157"/>
  <c r="H219" i="172"/>
  <c r="H225" i="172"/>
  <c r="H21" i="79"/>
  <c r="H14" i="79"/>
  <c r="H224" i="83"/>
  <c r="H225" i="83"/>
  <c r="H219" i="86"/>
  <c r="G236" i="86"/>
  <c r="G238" i="86" s="1"/>
  <c r="H220" i="86"/>
  <c r="H12" i="86"/>
  <c r="H13" i="20"/>
  <c r="K11" i="69"/>
  <c r="H13" i="92"/>
  <c r="H224" i="92"/>
  <c r="E215" i="176"/>
  <c r="K11" i="31"/>
  <c r="H19" i="39"/>
  <c r="K11" i="157"/>
  <c r="H19" i="92"/>
  <c r="H21" i="39"/>
  <c r="H12" i="152"/>
  <c r="H19" i="119"/>
  <c r="H17" i="157"/>
  <c r="K13" i="172"/>
  <c r="H224" i="172"/>
  <c r="H227" i="172"/>
  <c r="H12" i="79"/>
  <c r="H19" i="79"/>
  <c r="K13" i="83"/>
  <c r="H220" i="83"/>
  <c r="H226" i="83"/>
  <c r="H226" i="86"/>
  <c r="H17" i="86"/>
  <c r="H16" i="86"/>
  <c r="H225" i="143"/>
  <c r="H18" i="69"/>
  <c r="E215" i="143"/>
  <c r="H12" i="92"/>
  <c r="H11" i="92"/>
  <c r="K15" i="90"/>
  <c r="G237" i="90"/>
  <c r="K15" i="66"/>
  <c r="H20" i="39"/>
  <c r="H19" i="152"/>
  <c r="H20" i="119"/>
  <c r="H18" i="119"/>
  <c r="H11" i="157"/>
  <c r="H19" i="157"/>
  <c r="G236" i="172"/>
  <c r="H226" i="172"/>
  <c r="H15" i="79"/>
  <c r="H11" i="79"/>
  <c r="H222" i="86"/>
  <c r="H225" i="86"/>
  <c r="H21" i="86"/>
  <c r="H223" i="143"/>
  <c r="H12" i="20"/>
  <c r="H19" i="69"/>
  <c r="K11" i="92"/>
  <c r="H20" i="92"/>
  <c r="H226" i="92"/>
  <c r="G208" i="45"/>
  <c r="H53" i="45" s="1"/>
  <c r="H17" i="152"/>
  <c r="E238" i="28"/>
  <c r="H11" i="119"/>
  <c r="H21" i="119"/>
  <c r="H15" i="157"/>
  <c r="H20" i="157"/>
  <c r="H222" i="172"/>
  <c r="H17" i="79"/>
  <c r="H13" i="79"/>
  <c r="H223" i="86"/>
  <c r="E215" i="38"/>
  <c r="H11" i="86"/>
  <c r="H19" i="86"/>
  <c r="H20" i="20"/>
  <c r="H11" i="20"/>
  <c r="H18" i="92"/>
  <c r="H220" i="92"/>
  <c r="E238" i="25"/>
  <c r="H16" i="157"/>
  <c r="H221" i="92"/>
  <c r="E238" i="145"/>
  <c r="H12" i="119"/>
  <c r="H221" i="172"/>
  <c r="H224" i="86"/>
  <c r="H14" i="86"/>
  <c r="H14" i="20"/>
  <c r="H15" i="92"/>
  <c r="H228" i="92"/>
  <c r="H18" i="145"/>
  <c r="K11" i="145"/>
  <c r="H224" i="31"/>
  <c r="H225" i="31"/>
  <c r="G236" i="31"/>
  <c r="H223" i="31"/>
  <c r="H220" i="31"/>
  <c r="H222" i="31"/>
  <c r="H228" i="31"/>
  <c r="H17" i="145"/>
  <c r="H14" i="141"/>
  <c r="E215" i="54"/>
  <c r="H11" i="90"/>
  <c r="H21" i="90"/>
  <c r="H17" i="90"/>
  <c r="G236" i="152"/>
  <c r="H228" i="152"/>
  <c r="H12" i="145"/>
  <c r="H13" i="141"/>
  <c r="K15" i="118"/>
  <c r="H219" i="152"/>
  <c r="H220" i="27"/>
  <c r="H227" i="27"/>
  <c r="E238" i="94"/>
  <c r="E215" i="142"/>
  <c r="E215" i="177"/>
  <c r="H19" i="145"/>
  <c r="H227" i="43"/>
  <c r="H20" i="141"/>
  <c r="E238" i="20"/>
  <c r="K13" i="143"/>
  <c r="H16" i="72"/>
  <c r="H13" i="72"/>
  <c r="H17" i="72"/>
  <c r="H21" i="72"/>
  <c r="H11" i="72"/>
  <c r="H20" i="72"/>
  <c r="H12" i="72"/>
  <c r="H224" i="64"/>
  <c r="H228" i="64"/>
  <c r="H220" i="64"/>
  <c r="H223" i="64"/>
  <c r="H219" i="64"/>
  <c r="H221" i="64"/>
  <c r="G236" i="64"/>
  <c r="H14" i="145"/>
  <c r="H220" i="43"/>
  <c r="E215" i="25"/>
  <c r="H219" i="31"/>
  <c r="H12" i="143"/>
  <c r="H13" i="143"/>
  <c r="E215" i="95"/>
  <c r="G208" i="150"/>
  <c r="H79" i="150" s="1"/>
  <c r="K13" i="16"/>
  <c r="H225" i="16"/>
  <c r="H226" i="16"/>
  <c r="H220" i="16"/>
  <c r="G236" i="16"/>
  <c r="G238" i="16" s="1"/>
  <c r="H219" i="16"/>
  <c r="E215" i="89"/>
  <c r="K11" i="141"/>
  <c r="H11" i="141"/>
  <c r="H16" i="141"/>
  <c r="H18" i="141"/>
  <c r="H12" i="141"/>
  <c r="H17" i="141"/>
  <c r="H15" i="141"/>
  <c r="E215" i="19"/>
  <c r="H19" i="141"/>
  <c r="K13" i="15"/>
  <c r="H224" i="15"/>
  <c r="H226" i="31"/>
  <c r="H225" i="152"/>
  <c r="E215" i="46"/>
  <c r="H223" i="175"/>
  <c r="H11" i="69"/>
  <c r="H12" i="69"/>
  <c r="H219" i="39"/>
  <c r="H220" i="39"/>
  <c r="H227" i="83"/>
  <c r="H15" i="69"/>
  <c r="H17" i="69"/>
  <c r="H221" i="83"/>
  <c r="H14" i="69"/>
  <c r="H13" i="69"/>
  <c r="H221" i="39"/>
  <c r="G236" i="83"/>
  <c r="E238" i="46"/>
  <c r="H21" i="69"/>
  <c r="K13" i="39"/>
  <c r="H224" i="39"/>
  <c r="H222" i="69"/>
  <c r="H225" i="69"/>
  <c r="H228" i="69"/>
  <c r="H219" i="69"/>
  <c r="H224" i="69"/>
  <c r="K13" i="69"/>
  <c r="H220" i="69"/>
  <c r="H227" i="69"/>
  <c r="H223" i="69"/>
  <c r="H226" i="69"/>
  <c r="H221" i="69"/>
  <c r="H227" i="19"/>
  <c r="H222" i="19"/>
  <c r="H223" i="19"/>
  <c r="E215" i="104"/>
  <c r="H130" i="21"/>
  <c r="H84" i="21"/>
  <c r="H107" i="21"/>
  <c r="H109" i="21"/>
  <c r="H111" i="21"/>
  <c r="H200" i="21"/>
  <c r="H153" i="21"/>
  <c r="H124" i="21"/>
  <c r="H166" i="21"/>
  <c r="H155" i="21"/>
  <c r="H85" i="21"/>
  <c r="H145" i="21"/>
  <c r="H31" i="21"/>
  <c r="H60" i="21"/>
  <c r="H72" i="21"/>
  <c r="H148" i="21"/>
  <c r="H102" i="21"/>
  <c r="H90" i="21"/>
  <c r="H47" i="21"/>
  <c r="H190" i="21"/>
  <c r="H75" i="21"/>
  <c r="H110" i="21"/>
  <c r="H132" i="21"/>
  <c r="H69" i="21"/>
  <c r="H133" i="21"/>
  <c r="H48" i="21"/>
  <c r="H66" i="21"/>
  <c r="H142" i="21"/>
  <c r="H89" i="21"/>
  <c r="H25" i="21"/>
  <c r="H59" i="21"/>
  <c r="H36" i="21"/>
  <c r="H116" i="21"/>
  <c r="H138" i="21"/>
  <c r="H100" i="21"/>
  <c r="H131" i="21"/>
  <c r="H50" i="21"/>
  <c r="H46" i="21"/>
  <c r="H74" i="21"/>
  <c r="H117" i="21"/>
  <c r="H76" i="21"/>
  <c r="H28" i="21"/>
  <c r="H34" i="21"/>
  <c r="H51" i="21"/>
  <c r="H157" i="21"/>
  <c r="H27" i="21"/>
  <c r="H174" i="21"/>
  <c r="H170" i="21"/>
  <c r="H86" i="21"/>
  <c r="H197" i="21"/>
  <c r="H186" i="21"/>
  <c r="H26" i="21"/>
  <c r="H114" i="21"/>
  <c r="H205" i="21"/>
  <c r="H73" i="21"/>
  <c r="H40" i="21"/>
  <c r="H53" i="21"/>
  <c r="H192" i="21"/>
  <c r="H82" i="21"/>
  <c r="H129" i="21"/>
  <c r="H188" i="21"/>
  <c r="H123" i="21"/>
  <c r="H87" i="21"/>
  <c r="H77" i="21"/>
  <c r="H57" i="21"/>
  <c r="H136" i="21"/>
  <c r="H165" i="21"/>
  <c r="H141" i="21"/>
  <c r="H106" i="21"/>
  <c r="H176" i="21"/>
  <c r="H202" i="21"/>
  <c r="H175" i="21"/>
  <c r="H172" i="21"/>
  <c r="H108" i="21"/>
  <c r="H181" i="21"/>
  <c r="H127" i="21"/>
  <c r="H147" i="21"/>
  <c r="H168" i="21"/>
  <c r="H135" i="21"/>
  <c r="H43" i="21"/>
  <c r="H193" i="21"/>
  <c r="H125" i="21"/>
  <c r="H68" i="21"/>
  <c r="H105" i="21"/>
  <c r="H156" i="21"/>
  <c r="H191" i="21"/>
  <c r="H54" i="21"/>
  <c r="H55" i="21"/>
  <c r="H204" i="21"/>
  <c r="H194" i="21"/>
  <c r="H49" i="21"/>
  <c r="H83" i="21"/>
  <c r="H208" i="21"/>
  <c r="H167" i="21"/>
  <c r="H64" i="21"/>
  <c r="H93" i="21"/>
  <c r="H196" i="21"/>
  <c r="H206" i="21"/>
  <c r="H179" i="21"/>
  <c r="H189" i="21"/>
  <c r="H171" i="21"/>
  <c r="H99" i="21"/>
  <c r="H164" i="21"/>
  <c r="H98" i="21"/>
  <c r="H33" i="21"/>
  <c r="H32" i="21"/>
  <c r="H118" i="21"/>
  <c r="H96" i="21"/>
  <c r="H67" i="21"/>
  <c r="H78" i="21"/>
  <c r="H42" i="21"/>
  <c r="H161" i="21"/>
  <c r="H158" i="21"/>
  <c r="H149" i="21"/>
  <c r="H183" i="21"/>
  <c r="H97" i="21"/>
  <c r="H152" i="21"/>
  <c r="H185" i="21"/>
  <c r="H201" i="21"/>
  <c r="H38" i="21"/>
  <c r="H45" i="21"/>
  <c r="H126" i="21"/>
  <c r="H184" i="21"/>
  <c r="H160" i="21"/>
  <c r="H180" i="21"/>
  <c r="H92" i="21"/>
  <c r="H195" i="21"/>
  <c r="H177" i="21"/>
  <c r="H178" i="21"/>
  <c r="H169" i="21"/>
  <c r="H101" i="21"/>
  <c r="H70" i="21"/>
  <c r="H65" i="21"/>
  <c r="H41" i="21"/>
  <c r="H44" i="21"/>
  <c r="H88" i="21"/>
  <c r="H39" i="21"/>
  <c r="H150" i="21"/>
  <c r="K12" i="21"/>
  <c r="H137" i="21"/>
  <c r="H79" i="21"/>
  <c r="H56" i="21"/>
  <c r="H58" i="21"/>
  <c r="H91" i="21"/>
  <c r="H203" i="21"/>
  <c r="H37" i="21"/>
  <c r="H119" i="21"/>
  <c r="H52" i="21"/>
  <c r="H187" i="21"/>
  <c r="H115" i="21"/>
  <c r="H35" i="21"/>
  <c r="H146" i="21"/>
  <c r="H140" i="21"/>
  <c r="H159" i="21"/>
  <c r="H143" i="21"/>
  <c r="H71" i="21"/>
  <c r="H173" i="21"/>
  <c r="H151" i="21"/>
  <c r="H61" i="21"/>
  <c r="H182" i="21"/>
  <c r="H29" i="21"/>
  <c r="H30" i="21"/>
  <c r="G215" i="21"/>
  <c r="E215" i="72"/>
  <c r="E215" i="66"/>
  <c r="H16" i="145"/>
  <c r="H13" i="145"/>
  <c r="H21" i="145"/>
  <c r="H20" i="145"/>
  <c r="E215" i="49"/>
  <c r="E215" i="94"/>
  <c r="H226" i="43"/>
  <c r="H223" i="43"/>
  <c r="H228" i="43"/>
  <c r="K13" i="43"/>
  <c r="H222" i="43"/>
  <c r="E215" i="119"/>
  <c r="K13" i="62"/>
  <c r="H224" i="62"/>
  <c r="H220" i="62"/>
  <c r="H225" i="62"/>
  <c r="H219" i="62"/>
  <c r="G236" i="62"/>
  <c r="G238" i="62" s="1"/>
  <c r="H14" i="143"/>
  <c r="K11" i="143"/>
  <c r="H19" i="143"/>
  <c r="H11" i="143"/>
  <c r="H18" i="143"/>
  <c r="H17" i="143"/>
  <c r="H16" i="143"/>
  <c r="H20" i="143"/>
  <c r="E238" i="27"/>
  <c r="H220" i="58"/>
  <c r="H226" i="58"/>
  <c r="H223" i="58"/>
  <c r="H224" i="58"/>
  <c r="H219" i="58"/>
  <c r="H222" i="58"/>
  <c r="K13" i="58"/>
  <c r="H227" i="58"/>
  <c r="H219" i="72"/>
  <c r="H227" i="72"/>
  <c r="H225" i="72"/>
  <c r="H224" i="72"/>
  <c r="K13" i="72"/>
  <c r="E215" i="50"/>
  <c r="H20" i="31"/>
  <c r="H16" i="31"/>
  <c r="H18" i="31"/>
  <c r="H15" i="31"/>
  <c r="H21" i="31"/>
  <c r="H12" i="31"/>
  <c r="H17" i="31"/>
  <c r="H19" i="31"/>
  <c r="H15" i="39"/>
  <c r="H14" i="39"/>
  <c r="H13" i="39"/>
  <c r="K11" i="39"/>
  <c r="H11" i="39"/>
  <c r="H16" i="45"/>
  <c r="K11" i="45"/>
  <c r="H14" i="45"/>
  <c r="H11" i="45"/>
  <c r="H20" i="45"/>
  <c r="H21" i="45"/>
  <c r="H18" i="45"/>
  <c r="H15" i="45"/>
  <c r="H17" i="45"/>
  <c r="H12" i="45"/>
  <c r="H13" i="45"/>
  <c r="H19" i="45"/>
  <c r="H224" i="46"/>
  <c r="K13" i="46"/>
  <c r="H226" i="46"/>
  <c r="H228" i="46"/>
  <c r="H17" i="49"/>
  <c r="H14" i="31"/>
  <c r="E215" i="120"/>
  <c r="H20" i="83"/>
  <c r="H12" i="83"/>
  <c r="H21" i="83"/>
  <c r="H15" i="49"/>
  <c r="E215" i="172"/>
  <c r="H11" i="83"/>
  <c r="H16" i="83"/>
  <c r="H12" i="49"/>
  <c r="H13" i="31"/>
  <c r="G238" i="57"/>
  <c r="E215" i="165"/>
  <c r="H19" i="15"/>
  <c r="H11" i="15"/>
  <c r="H15" i="15"/>
  <c r="K15" i="94"/>
  <c r="G237" i="94"/>
  <c r="E215" i="39"/>
  <c r="G236" i="46"/>
  <c r="G238" i="46" s="1"/>
  <c r="E215" i="15"/>
  <c r="G236" i="19"/>
  <c r="G236" i="92"/>
  <c r="H223" i="92"/>
  <c r="G236" i="28"/>
  <c r="G237" i="28"/>
  <c r="K15" i="28"/>
  <c r="G238" i="136"/>
  <c r="H11" i="49"/>
  <c r="H18" i="49"/>
  <c r="H16" i="49"/>
  <c r="H21" i="49"/>
  <c r="H19" i="49"/>
  <c r="H13" i="49"/>
  <c r="H20" i="49"/>
  <c r="H14" i="49"/>
  <c r="H227" i="46"/>
  <c r="H223" i="46"/>
  <c r="H225" i="46"/>
  <c r="H222" i="46"/>
  <c r="H219" i="46"/>
  <c r="H221" i="46"/>
  <c r="H220" i="175"/>
  <c r="H228" i="175"/>
  <c r="H219" i="175"/>
  <c r="G236" i="65"/>
  <c r="H225" i="15"/>
  <c r="H221" i="15"/>
  <c r="G236" i="15"/>
  <c r="G238" i="15" s="1"/>
  <c r="H226" i="15"/>
  <c r="H228" i="15"/>
  <c r="H227" i="92"/>
  <c r="K13" i="92"/>
  <c r="H222" i="92"/>
  <c r="H219" i="92"/>
  <c r="H225" i="92"/>
  <c r="H226" i="71"/>
  <c r="E215" i="150"/>
  <c r="H21" i="177"/>
  <c r="H18" i="177"/>
  <c r="H15" i="177"/>
  <c r="H14" i="177"/>
  <c r="G208" i="86"/>
  <c r="H100" i="86" s="1"/>
  <c r="K12" i="159"/>
  <c r="H97" i="159"/>
  <c r="H118" i="159"/>
  <c r="H82" i="159"/>
  <c r="H119" i="159"/>
  <c r="H174" i="159"/>
  <c r="H45" i="159"/>
  <c r="H49" i="159"/>
  <c r="H129" i="159"/>
  <c r="H48" i="159"/>
  <c r="H203" i="159"/>
  <c r="H202" i="159"/>
  <c r="H114" i="159"/>
  <c r="H204" i="159"/>
  <c r="H159" i="159"/>
  <c r="H39" i="159"/>
  <c r="H164" i="159"/>
  <c r="H143" i="159"/>
  <c r="H46" i="159"/>
  <c r="H187" i="159"/>
  <c r="H142" i="159"/>
  <c r="H151" i="159"/>
  <c r="H75" i="159"/>
  <c r="H27" i="159"/>
  <c r="H137" i="159"/>
  <c r="H44" i="159"/>
  <c r="H55" i="159"/>
  <c r="H78" i="159"/>
  <c r="H131" i="159"/>
  <c r="H98" i="159"/>
  <c r="H169" i="159"/>
  <c r="H43" i="159"/>
  <c r="H25" i="159"/>
  <c r="H133" i="159"/>
  <c r="H141" i="159"/>
  <c r="H157" i="159"/>
  <c r="H138" i="159"/>
  <c r="H29" i="159"/>
  <c r="H135" i="159"/>
  <c r="H173" i="159"/>
  <c r="H152" i="159"/>
  <c r="H69" i="159"/>
  <c r="H36" i="159"/>
  <c r="H51" i="159"/>
  <c r="H178" i="159"/>
  <c r="H106" i="159"/>
  <c r="H33" i="159"/>
  <c r="H155" i="159"/>
  <c r="H99" i="159"/>
  <c r="H66" i="159"/>
  <c r="H140" i="159"/>
  <c r="H208" i="159"/>
  <c r="H196" i="159"/>
  <c r="H64" i="159"/>
  <c r="H35" i="159"/>
  <c r="H176" i="159"/>
  <c r="H182" i="159"/>
  <c r="H146" i="159"/>
  <c r="H205" i="159"/>
  <c r="H60" i="159"/>
  <c r="H171" i="159"/>
  <c r="H177" i="159"/>
  <c r="H47" i="159"/>
  <c r="H34" i="159"/>
  <c r="H86" i="159"/>
  <c r="H165" i="159"/>
  <c r="H188" i="159"/>
  <c r="H191" i="159"/>
  <c r="H167" i="159"/>
  <c r="H65" i="159"/>
  <c r="H105" i="159"/>
  <c r="H116" i="159"/>
  <c r="H52" i="159"/>
  <c r="H147" i="159"/>
  <c r="H61" i="159"/>
  <c r="H193" i="159"/>
  <c r="H166" i="159"/>
  <c r="H184" i="159"/>
  <c r="H59" i="159"/>
  <c r="H87" i="159"/>
  <c r="H200" i="159"/>
  <c r="H58" i="159"/>
  <c r="H79" i="159"/>
  <c r="H57" i="159"/>
  <c r="H107" i="159"/>
  <c r="H89" i="159"/>
  <c r="H77" i="159"/>
  <c r="H96" i="159"/>
  <c r="H53" i="159"/>
  <c r="H111" i="159"/>
  <c r="H179" i="159"/>
  <c r="H136" i="159"/>
  <c r="H145" i="159"/>
  <c r="H56" i="159"/>
  <c r="H175" i="159"/>
  <c r="H189" i="159"/>
  <c r="H168" i="159"/>
  <c r="H148" i="159"/>
  <c r="H100" i="159"/>
  <c r="H124" i="159"/>
  <c r="H132" i="159"/>
  <c r="H101" i="159"/>
  <c r="H170" i="159"/>
  <c r="H186" i="159"/>
  <c r="H201" i="159"/>
  <c r="H150" i="159"/>
  <c r="H38" i="159"/>
  <c r="H194" i="159"/>
  <c r="H180" i="159"/>
  <c r="H115" i="159"/>
  <c r="H127" i="159"/>
  <c r="H92" i="159"/>
  <c r="H206" i="159"/>
  <c r="H28" i="159"/>
  <c r="H85" i="159"/>
  <c r="H108" i="159"/>
  <c r="H93" i="159"/>
  <c r="H160" i="159"/>
  <c r="H67" i="159"/>
  <c r="H185" i="159"/>
  <c r="H123" i="159"/>
  <c r="H172" i="159"/>
  <c r="H76" i="159"/>
  <c r="H192" i="159"/>
  <c r="H110" i="159"/>
  <c r="H26" i="159"/>
  <c r="H91" i="159"/>
  <c r="H72" i="159"/>
  <c r="H68" i="159"/>
  <c r="H32" i="159"/>
  <c r="H125" i="159"/>
  <c r="H197" i="159"/>
  <c r="H161" i="159"/>
  <c r="H84" i="159"/>
  <c r="H41" i="159"/>
  <c r="H88" i="159"/>
  <c r="H156" i="159"/>
  <c r="H40" i="159"/>
  <c r="H74" i="159"/>
  <c r="H195" i="159"/>
  <c r="H158" i="159"/>
  <c r="H102" i="159"/>
  <c r="H149" i="159"/>
  <c r="H153" i="159"/>
  <c r="H73" i="159"/>
  <c r="H54" i="159"/>
  <c r="H90" i="159"/>
  <c r="H37" i="159"/>
  <c r="H117" i="159"/>
  <c r="H30" i="159"/>
  <c r="H190" i="159"/>
  <c r="H31" i="159"/>
  <c r="H183" i="159"/>
  <c r="H50" i="159"/>
  <c r="H126" i="159"/>
  <c r="H181" i="159"/>
  <c r="H42" i="159"/>
  <c r="H130" i="159"/>
  <c r="H71" i="159"/>
  <c r="H70" i="159"/>
  <c r="H83" i="159"/>
  <c r="H109" i="159"/>
  <c r="G215" i="159"/>
  <c r="E238" i="53"/>
  <c r="H222" i="45"/>
  <c r="H221" i="45"/>
  <c r="H227" i="45"/>
  <c r="H223" i="45"/>
  <c r="H224" i="45"/>
  <c r="H219" i="45"/>
  <c r="H228" i="45"/>
  <c r="H225" i="45"/>
  <c r="K13" i="45"/>
  <c r="H226" i="45"/>
  <c r="H220" i="45"/>
  <c r="G236" i="45"/>
  <c r="G238" i="45" s="1"/>
  <c r="K15" i="53"/>
  <c r="G237" i="53"/>
  <c r="E238" i="45"/>
  <c r="E215" i="45"/>
  <c r="H227" i="152"/>
  <c r="K13" i="152"/>
  <c r="H220" i="152"/>
  <c r="H226" i="152"/>
  <c r="H223" i="152"/>
  <c r="H222" i="152"/>
  <c r="H221" i="152"/>
  <c r="H224" i="152"/>
  <c r="J18" i="97"/>
  <c r="G237" i="89"/>
  <c r="K15" i="89"/>
  <c r="H12" i="90"/>
  <c r="H13" i="90"/>
  <c r="H17" i="15"/>
  <c r="H221" i="19"/>
  <c r="H222" i="175"/>
  <c r="H20" i="177"/>
  <c r="K15" i="27"/>
  <c r="H223" i="164"/>
  <c r="H228" i="164"/>
  <c r="H227" i="164"/>
  <c r="H219" i="164"/>
  <c r="H224" i="164"/>
  <c r="H225" i="164"/>
  <c r="H220" i="164"/>
  <c r="H222" i="164"/>
  <c r="H226" i="164"/>
  <c r="H221" i="164"/>
  <c r="K13" i="164"/>
  <c r="H14" i="90"/>
  <c r="H12" i="15"/>
  <c r="H21" i="15"/>
  <c r="G236" i="89"/>
  <c r="H223" i="102"/>
  <c r="H224" i="19"/>
  <c r="K13" i="175"/>
  <c r="H227" i="175"/>
  <c r="H221" i="175"/>
  <c r="H226" i="177"/>
  <c r="H11" i="177"/>
  <c r="G208" i="143"/>
  <c r="H127" i="143" s="1"/>
  <c r="E238" i="150"/>
  <c r="H19" i="90"/>
  <c r="H14" i="15"/>
  <c r="K11" i="15"/>
  <c r="K13" i="19"/>
  <c r="H228" i="19"/>
  <c r="H219" i="71"/>
  <c r="H227" i="177"/>
  <c r="H12" i="177"/>
  <c r="G236" i="164"/>
  <c r="G238" i="164" s="1"/>
  <c r="E238" i="89"/>
  <c r="E215" i="158"/>
  <c r="H16" i="90"/>
  <c r="H20" i="15"/>
  <c r="H226" i="102"/>
  <c r="H224" i="102"/>
  <c r="E215" i="85"/>
  <c r="H220" i="19"/>
  <c r="H219" i="19"/>
  <c r="H224" i="175"/>
  <c r="G236" i="175"/>
  <c r="G238" i="175" s="1"/>
  <c r="H228" i="177"/>
  <c r="H17" i="177"/>
  <c r="H19" i="177"/>
  <c r="E215" i="178"/>
  <c r="K11" i="90"/>
  <c r="H18" i="90"/>
  <c r="H16" i="15"/>
  <c r="H13" i="15"/>
  <c r="H220" i="102"/>
  <c r="H225" i="19"/>
  <c r="H225" i="175"/>
  <c r="H222" i="71"/>
  <c r="H16" i="177"/>
  <c r="H13" i="177"/>
  <c r="H12" i="25"/>
  <c r="H14" i="25"/>
  <c r="H16" i="25"/>
  <c r="H21" i="25"/>
  <c r="H20" i="25"/>
  <c r="H18" i="25"/>
  <c r="K11" i="25"/>
  <c r="H15" i="25"/>
  <c r="H13" i="25"/>
  <c r="H11" i="25"/>
  <c r="H19" i="25"/>
  <c r="H17" i="25"/>
  <c r="G208" i="158"/>
  <c r="H53" i="158" s="1"/>
  <c r="H15" i="90"/>
  <c r="H228" i="102"/>
  <c r="E215" i="155"/>
  <c r="H226" i="19"/>
  <c r="H226" i="175"/>
  <c r="G236" i="177"/>
  <c r="H220" i="177"/>
  <c r="H221" i="177"/>
  <c r="K11" i="177"/>
  <c r="G208" i="142"/>
  <c r="H197" i="142" s="1"/>
  <c r="K15" i="15"/>
  <c r="E238" i="104"/>
  <c r="E238" i="156"/>
  <c r="G208" i="31"/>
  <c r="H54" i="31" s="1"/>
  <c r="K11" i="83"/>
  <c r="H14" i="83"/>
  <c r="H221" i="43"/>
  <c r="G208" i="95"/>
  <c r="H69" i="95" s="1"/>
  <c r="H17" i="176"/>
  <c r="H16" i="104"/>
  <c r="H19" i="104"/>
  <c r="E215" i="90"/>
  <c r="H11" i="85"/>
  <c r="H20" i="85"/>
  <c r="H14" i="120"/>
  <c r="G208" i="69"/>
  <c r="H161" i="69" s="1"/>
  <c r="G236" i="143"/>
  <c r="G238" i="143" s="1"/>
  <c r="K15" i="20"/>
  <c r="H225" i="71"/>
  <c r="H220" i="71"/>
  <c r="H221" i="71"/>
  <c r="H224" i="177"/>
  <c r="H219" i="177"/>
  <c r="K13" i="177"/>
  <c r="H222" i="177"/>
  <c r="E215" i="58"/>
  <c r="H20" i="16"/>
  <c r="H17" i="85"/>
  <c r="K11" i="85"/>
  <c r="H13" i="83"/>
  <c r="H19" i="83"/>
  <c r="H219" i="43"/>
  <c r="H224" i="43"/>
  <c r="E215" i="47"/>
  <c r="H18" i="176"/>
  <c r="H21" i="176"/>
  <c r="E215" i="32"/>
  <c r="K11" i="104"/>
  <c r="H21" i="85"/>
  <c r="H16" i="85"/>
  <c r="K11" i="120"/>
  <c r="H220" i="143"/>
  <c r="H222" i="143"/>
  <c r="H228" i="71"/>
  <c r="H227" i="71"/>
  <c r="G208" i="54"/>
  <c r="H183" i="54" s="1"/>
  <c r="H17" i="83"/>
  <c r="H15" i="83"/>
  <c r="G236" i="72"/>
  <c r="H14" i="176"/>
  <c r="H12" i="176"/>
  <c r="E215" i="55"/>
  <c r="H20" i="104"/>
  <c r="H11" i="104"/>
  <c r="H15" i="85"/>
  <c r="E215" i="164"/>
  <c r="H18" i="120"/>
  <c r="H219" i="143"/>
  <c r="H221" i="143"/>
  <c r="E215" i="84"/>
  <c r="E215" i="174"/>
  <c r="E215" i="14"/>
  <c r="G236" i="71"/>
  <c r="H225" i="177"/>
  <c r="G208" i="90"/>
  <c r="H106" i="90" s="1"/>
  <c r="G208" i="50"/>
  <c r="H100" i="50" s="1"/>
  <c r="H224" i="84"/>
  <c r="H227" i="84"/>
  <c r="H220" i="84"/>
  <c r="G236" i="84"/>
  <c r="H219" i="84"/>
  <c r="H223" i="84"/>
  <c r="H225" i="84"/>
  <c r="K13" i="84"/>
  <c r="H222" i="84"/>
  <c r="H221" i="84"/>
  <c r="H226" i="84"/>
  <c r="H228" i="84"/>
  <c r="E238" i="172"/>
  <c r="H13" i="120"/>
  <c r="K13" i="71"/>
  <c r="E238" i="92"/>
  <c r="H18" i="83"/>
  <c r="E215" i="98"/>
  <c r="H225" i="43"/>
  <c r="H11" i="176"/>
  <c r="H14" i="104"/>
  <c r="H12" i="120"/>
  <c r="H227" i="143"/>
  <c r="H226" i="143"/>
  <c r="H223" i="71"/>
  <c r="H224" i="71"/>
  <c r="H223" i="177"/>
  <c r="G208" i="79"/>
  <c r="G215" i="79" s="1"/>
  <c r="E238" i="79"/>
  <c r="G237" i="20"/>
  <c r="G236" i="20"/>
  <c r="H220" i="85"/>
  <c r="K13" i="85"/>
  <c r="H226" i="85"/>
  <c r="H225" i="85"/>
  <c r="H222" i="85"/>
  <c r="H223" i="85"/>
  <c r="H227" i="85"/>
  <c r="H219" i="85"/>
  <c r="H221" i="85"/>
  <c r="H224" i="85"/>
  <c r="H228" i="85"/>
  <c r="J14" i="97"/>
  <c r="G208" i="72"/>
  <c r="H192" i="72" s="1"/>
  <c r="J19" i="97"/>
  <c r="K11" i="16"/>
  <c r="H17" i="16"/>
  <c r="G208" i="172"/>
  <c r="G215" i="172" s="1"/>
  <c r="H221" i="27"/>
  <c r="H225" i="27"/>
  <c r="H225" i="65"/>
  <c r="H228" i="65"/>
  <c r="H226" i="65"/>
  <c r="H220" i="65"/>
  <c r="K13" i="65"/>
  <c r="H221" i="65"/>
  <c r="H219" i="65"/>
  <c r="H222" i="65"/>
  <c r="H227" i="65"/>
  <c r="H223" i="65"/>
  <c r="H224" i="65"/>
  <c r="E215" i="86"/>
  <c r="E215" i="62"/>
  <c r="H12" i="16"/>
  <c r="H21" i="16"/>
  <c r="G208" i="177"/>
  <c r="H47" i="177" s="1"/>
  <c r="G208" i="87"/>
  <c r="H107" i="87" s="1"/>
  <c r="H12" i="1"/>
  <c r="H17" i="1"/>
  <c r="H14" i="1"/>
  <c r="H21" i="1"/>
  <c r="H20" i="1"/>
  <c r="H18" i="1"/>
  <c r="H15" i="1"/>
  <c r="H13" i="1"/>
  <c r="H16" i="1"/>
  <c r="H11" i="1"/>
  <c r="H19" i="1"/>
  <c r="K11" i="1"/>
  <c r="E238" i="47"/>
  <c r="H14" i="16"/>
  <c r="H16" i="89"/>
  <c r="H12" i="89"/>
  <c r="H20" i="89"/>
  <c r="H11" i="89"/>
  <c r="H15" i="89"/>
  <c r="H13" i="89"/>
  <c r="H17" i="89"/>
  <c r="H19" i="89"/>
  <c r="H21" i="89"/>
  <c r="K11" i="89"/>
  <c r="H18" i="89"/>
  <c r="H14" i="89"/>
  <c r="H11" i="16"/>
  <c r="H16" i="16"/>
  <c r="G208" i="65"/>
  <c r="H141" i="65" s="1"/>
  <c r="H226" i="27"/>
  <c r="H222" i="27"/>
  <c r="H228" i="27"/>
  <c r="G208" i="1"/>
  <c r="H107" i="1" s="1"/>
  <c r="E215" i="68"/>
  <c r="G208" i="42"/>
  <c r="H34" i="42" s="1"/>
  <c r="H13" i="16"/>
  <c r="H219" i="27"/>
  <c r="H223" i="27"/>
  <c r="K13" i="27"/>
  <c r="H16" i="165"/>
  <c r="H20" i="165"/>
  <c r="H18" i="165"/>
  <c r="H21" i="165"/>
  <c r="H13" i="165"/>
  <c r="H12" i="165"/>
  <c r="H19" i="165"/>
  <c r="H17" i="165"/>
  <c r="H11" i="165"/>
  <c r="H15" i="165"/>
  <c r="K11" i="165"/>
  <c r="H14" i="165"/>
  <c r="H227" i="95"/>
  <c r="H228" i="95"/>
  <c r="G236" i="95"/>
  <c r="H223" i="95"/>
  <c r="H222" i="95"/>
  <c r="H224" i="95"/>
  <c r="H219" i="95"/>
  <c r="H221" i="95"/>
  <c r="K13" i="95"/>
  <c r="H225" i="95"/>
  <c r="H220" i="95"/>
  <c r="H226" i="95"/>
  <c r="E238" i="31"/>
  <c r="H18" i="16"/>
  <c r="G208" i="24"/>
  <c r="H93" i="24" s="1"/>
  <c r="G208" i="47"/>
  <c r="H19" i="16"/>
  <c r="H224" i="27"/>
  <c r="G208" i="84"/>
  <c r="H123" i="84" s="1"/>
  <c r="K13" i="1"/>
  <c r="H228" i="1"/>
  <c r="H221" i="1"/>
  <c r="H219" i="1"/>
  <c r="H222" i="1"/>
  <c r="H223" i="1"/>
  <c r="H226" i="1"/>
  <c r="H225" i="1"/>
  <c r="H224" i="1"/>
  <c r="H220" i="1"/>
  <c r="G236" i="1"/>
  <c r="H227" i="1"/>
  <c r="E215" i="63"/>
  <c r="E215" i="64"/>
  <c r="G208" i="120"/>
  <c r="H53" i="120" s="1"/>
  <c r="G236" i="27"/>
  <c r="H220" i="55"/>
  <c r="H228" i="55"/>
  <c r="H223" i="55"/>
  <c r="H219" i="55"/>
  <c r="H227" i="55"/>
  <c r="K13" i="55"/>
  <c r="H226" i="55"/>
  <c r="H222" i="55"/>
  <c r="G236" i="55"/>
  <c r="H221" i="55"/>
  <c r="H225" i="55"/>
  <c r="H224" i="55"/>
  <c r="H14" i="150"/>
  <c r="H21" i="150"/>
  <c r="H20" i="150"/>
  <c r="H12" i="150"/>
  <c r="H13" i="150"/>
  <c r="H15" i="150"/>
  <c r="K11" i="150"/>
  <c r="H16" i="150"/>
  <c r="H19" i="150"/>
  <c r="H11" i="150"/>
  <c r="H17" i="150"/>
  <c r="H18" i="150"/>
  <c r="K15" i="72"/>
  <c r="E238" i="72"/>
  <c r="K15" i="79"/>
  <c r="G237" i="79"/>
  <c r="E238" i="37"/>
  <c r="K15" i="37"/>
  <c r="G237" i="37"/>
  <c r="K15" i="85"/>
  <c r="G236" i="85"/>
  <c r="G237" i="85"/>
  <c r="E238" i="85"/>
  <c r="H225" i="20"/>
  <c r="K13" i="20"/>
  <c r="H224" i="20"/>
  <c r="H226" i="20"/>
  <c r="H223" i="20"/>
  <c r="H228" i="20"/>
  <c r="H221" i="20"/>
  <c r="H220" i="20"/>
  <c r="H222" i="20"/>
  <c r="H219" i="20"/>
  <c r="H227" i="20"/>
  <c r="J17" i="97"/>
  <c r="G237" i="102"/>
  <c r="K15" i="102"/>
  <c r="J15" i="97"/>
  <c r="E238" i="102"/>
  <c r="G208" i="19"/>
  <c r="H32" i="19" s="1"/>
  <c r="K15" i="19"/>
  <c r="E238" i="19"/>
  <c r="K13" i="149"/>
  <c r="H221" i="149"/>
  <c r="H228" i="149"/>
  <c r="G236" i="149"/>
  <c r="H223" i="149"/>
  <c r="H220" i="149"/>
  <c r="H227" i="149"/>
  <c r="H222" i="149"/>
  <c r="H226" i="149"/>
  <c r="H219" i="149"/>
  <c r="H225" i="149"/>
  <c r="H224" i="149"/>
  <c r="K15" i="149"/>
  <c r="G237" i="149"/>
  <c r="G208" i="149"/>
  <c r="H130" i="149" s="1"/>
  <c r="E238" i="149"/>
  <c r="K15" i="145"/>
  <c r="G237" i="145"/>
  <c r="H226" i="176"/>
  <c r="H219" i="176"/>
  <c r="H227" i="176"/>
  <c r="H221" i="176"/>
  <c r="H225" i="176"/>
  <c r="G236" i="176"/>
  <c r="H222" i="176"/>
  <c r="H228" i="176"/>
  <c r="K13" i="176"/>
  <c r="H224" i="176"/>
  <c r="H220" i="176"/>
  <c r="H223" i="176"/>
  <c r="H16" i="10"/>
  <c r="K11" i="10"/>
  <c r="H15" i="10"/>
  <c r="H12" i="10"/>
  <c r="H18" i="10"/>
  <c r="H13" i="10"/>
  <c r="H11" i="10"/>
  <c r="H19" i="10"/>
  <c r="H17" i="10"/>
  <c r="H21" i="10"/>
  <c r="H14" i="10"/>
  <c r="H20" i="10"/>
  <c r="H21" i="54"/>
  <c r="H16" i="54"/>
  <c r="H14" i="54"/>
  <c r="K11" i="54"/>
  <c r="H17" i="54"/>
  <c r="H15" i="54"/>
  <c r="H19" i="54"/>
  <c r="H13" i="54"/>
  <c r="H12" i="54"/>
  <c r="H18" i="54"/>
  <c r="H11" i="54"/>
  <c r="H20" i="54"/>
  <c r="H16" i="65"/>
  <c r="H17" i="65"/>
  <c r="H18" i="65"/>
  <c r="H11" i="65"/>
  <c r="H21" i="65"/>
  <c r="H20" i="65"/>
  <c r="K11" i="65"/>
  <c r="H13" i="65"/>
  <c r="H12" i="65"/>
  <c r="H15" i="65"/>
  <c r="H14" i="65"/>
  <c r="H19" i="65"/>
  <c r="G208" i="64"/>
  <c r="H107" i="64" s="1"/>
  <c r="G208" i="15"/>
  <c r="H75" i="15" s="1"/>
  <c r="H16" i="120"/>
  <c r="H21" i="120"/>
  <c r="E215" i="145"/>
  <c r="H15" i="62"/>
  <c r="H20" i="62"/>
  <c r="H13" i="62"/>
  <c r="H12" i="62"/>
  <c r="H17" i="62"/>
  <c r="H14" i="62"/>
  <c r="H21" i="62"/>
  <c r="H11" i="62"/>
  <c r="K11" i="62"/>
  <c r="H19" i="62"/>
  <c r="H16" i="62"/>
  <c r="H18" i="62"/>
  <c r="H14" i="43"/>
  <c r="H11" i="43"/>
  <c r="H21" i="43"/>
  <c r="H19" i="43"/>
  <c r="H20" i="43"/>
  <c r="K11" i="43"/>
  <c r="H15" i="43"/>
  <c r="H17" i="43"/>
  <c r="H13" i="43"/>
  <c r="H18" i="43"/>
  <c r="H16" i="43"/>
  <c r="H12" i="43"/>
  <c r="K15" i="176"/>
  <c r="G237" i="176"/>
  <c r="H220" i="119"/>
  <c r="G236" i="119"/>
  <c r="H221" i="119"/>
  <c r="H226" i="119"/>
  <c r="H225" i="119"/>
  <c r="H227" i="119"/>
  <c r="H224" i="119"/>
  <c r="H219" i="119"/>
  <c r="H228" i="119"/>
  <c r="H223" i="119"/>
  <c r="H222" i="119"/>
  <c r="K13" i="119"/>
  <c r="K11" i="103"/>
  <c r="H18" i="103"/>
  <c r="H21" i="103"/>
  <c r="H13" i="103"/>
  <c r="H17" i="103"/>
  <c r="H16" i="103"/>
  <c r="H14" i="103"/>
  <c r="H20" i="103"/>
  <c r="H19" i="103"/>
  <c r="H11" i="103"/>
  <c r="H12" i="103"/>
  <c r="H15" i="103"/>
  <c r="H18" i="50"/>
  <c r="H13" i="50"/>
  <c r="H21" i="50"/>
  <c r="H20" i="50"/>
  <c r="K11" i="50"/>
  <c r="H19" i="50"/>
  <c r="H15" i="50"/>
  <c r="H17" i="50"/>
  <c r="H14" i="50"/>
  <c r="H11" i="50"/>
  <c r="H16" i="50"/>
  <c r="H12" i="50"/>
  <c r="H16" i="84"/>
  <c r="H19" i="84"/>
  <c r="H17" i="84"/>
  <c r="H18" i="84"/>
  <c r="H21" i="84"/>
  <c r="H14" i="84"/>
  <c r="H12" i="84"/>
  <c r="H11" i="84"/>
  <c r="H13" i="84"/>
  <c r="H20" i="84"/>
  <c r="H15" i="84"/>
  <c r="K11" i="84"/>
  <c r="G208" i="89"/>
  <c r="G215" i="89" s="1"/>
  <c r="G208" i="102"/>
  <c r="H58" i="102" s="1"/>
  <c r="G208" i="141"/>
  <c r="H49" i="141" s="1"/>
  <c r="H20" i="120"/>
  <c r="H222" i="118"/>
  <c r="H227" i="118"/>
  <c r="G236" i="118"/>
  <c r="K13" i="118"/>
  <c r="H220" i="118"/>
  <c r="H224" i="118"/>
  <c r="H226" i="118"/>
  <c r="H223" i="118"/>
  <c r="H228" i="118"/>
  <c r="H225" i="118"/>
  <c r="H219" i="118"/>
  <c r="H221" i="118"/>
  <c r="H222" i="141"/>
  <c r="H220" i="141"/>
  <c r="H221" i="141"/>
  <c r="H223" i="141"/>
  <c r="H224" i="141"/>
  <c r="H225" i="141"/>
  <c r="H226" i="141"/>
  <c r="H228" i="141"/>
  <c r="H219" i="141"/>
  <c r="H227" i="141"/>
  <c r="K13" i="141"/>
  <c r="G236" i="141"/>
  <c r="H20" i="14"/>
  <c r="H13" i="14"/>
  <c r="H12" i="14"/>
  <c r="H18" i="14"/>
  <c r="H19" i="14"/>
  <c r="H11" i="14"/>
  <c r="H21" i="14"/>
  <c r="H14" i="14"/>
  <c r="H15" i="14"/>
  <c r="H17" i="14"/>
  <c r="H16" i="14"/>
  <c r="K11" i="14"/>
  <c r="H13" i="28"/>
  <c r="H17" i="28"/>
  <c r="H18" i="28"/>
  <c r="H19" i="28"/>
  <c r="H14" i="28"/>
  <c r="H15" i="28"/>
  <c r="H11" i="28"/>
  <c r="K11" i="28"/>
  <c r="H12" i="28"/>
  <c r="H21" i="28"/>
  <c r="H20" i="28"/>
  <c r="H16" i="28"/>
  <c r="H220" i="104"/>
  <c r="H221" i="104"/>
  <c r="H222" i="104"/>
  <c r="H219" i="104"/>
  <c r="K13" i="104"/>
  <c r="H224" i="104"/>
  <c r="H223" i="104"/>
  <c r="H228" i="104"/>
  <c r="H226" i="104"/>
  <c r="G236" i="104"/>
  <c r="H227" i="104"/>
  <c r="H225" i="104"/>
  <c r="E215" i="24"/>
  <c r="H11" i="47"/>
  <c r="K11" i="47"/>
  <c r="H13" i="47"/>
  <c r="H17" i="47"/>
  <c r="H12" i="47"/>
  <c r="H14" i="47"/>
  <c r="H18" i="47"/>
  <c r="H16" i="47"/>
  <c r="H19" i="47"/>
  <c r="H15" i="47"/>
  <c r="H21" i="47"/>
  <c r="H20" i="47"/>
  <c r="H14" i="106"/>
  <c r="H17" i="106"/>
  <c r="H21" i="106"/>
  <c r="H19" i="106"/>
  <c r="H12" i="106"/>
  <c r="H16" i="106"/>
  <c r="H20" i="106"/>
  <c r="H18" i="106"/>
  <c r="H13" i="106"/>
  <c r="H11" i="106"/>
  <c r="K11" i="106"/>
  <c r="H15" i="106"/>
  <c r="K11" i="19"/>
  <c r="H18" i="19"/>
  <c r="H15" i="19"/>
  <c r="H16" i="19"/>
  <c r="H12" i="19"/>
  <c r="H21" i="19"/>
  <c r="H11" i="19"/>
  <c r="H14" i="19"/>
  <c r="H17" i="19"/>
  <c r="H19" i="19"/>
  <c r="H20" i="19"/>
  <c r="H13" i="19"/>
  <c r="H15" i="27"/>
  <c r="H11" i="27"/>
  <c r="H20" i="27"/>
  <c r="H21" i="27"/>
  <c r="H17" i="27"/>
  <c r="H14" i="27"/>
  <c r="K11" i="27"/>
  <c r="H16" i="27"/>
  <c r="H13" i="27"/>
  <c r="H19" i="27"/>
  <c r="H12" i="27"/>
  <c r="H18" i="27"/>
  <c r="E238" i="141"/>
  <c r="G208" i="157"/>
  <c r="H200" i="157" s="1"/>
  <c r="G208" i="175"/>
  <c r="H117" i="175" s="1"/>
  <c r="G208" i="119"/>
  <c r="H70" i="119" s="1"/>
  <c r="H15" i="120"/>
  <c r="E238" i="176"/>
  <c r="H221" i="68"/>
  <c r="H228" i="68"/>
  <c r="G236" i="68"/>
  <c r="H224" i="68"/>
  <c r="H222" i="68"/>
  <c r="H223" i="68"/>
  <c r="H219" i="68"/>
  <c r="H225" i="68"/>
  <c r="H227" i="68"/>
  <c r="H220" i="68"/>
  <c r="H226" i="68"/>
  <c r="K13" i="68"/>
  <c r="G208" i="27"/>
  <c r="H76" i="27" s="1"/>
  <c r="G208" i="49"/>
  <c r="H160" i="49" s="1"/>
  <c r="H11" i="120"/>
  <c r="H19" i="120"/>
  <c r="E215" i="118"/>
  <c r="E238" i="68"/>
  <c r="H227" i="90"/>
  <c r="H224" i="90"/>
  <c r="H223" i="90"/>
  <c r="H221" i="90"/>
  <c r="H222" i="90"/>
  <c r="H220" i="90"/>
  <c r="H225" i="90"/>
  <c r="K13" i="90"/>
  <c r="H226" i="90"/>
  <c r="H228" i="90"/>
  <c r="G236" i="90"/>
  <c r="H219" i="90"/>
  <c r="G208" i="104"/>
  <c r="H88" i="104" s="1"/>
  <c r="G208" i="10"/>
  <c r="H71" i="10" s="1"/>
  <c r="E238" i="120"/>
  <c r="E238" i="119"/>
  <c r="J21" i="97"/>
  <c r="H219" i="155"/>
  <c r="H224" i="155"/>
  <c r="H225" i="155"/>
  <c r="H222" i="155"/>
  <c r="K13" i="155"/>
  <c r="H228" i="155"/>
  <c r="H221" i="155"/>
  <c r="H227" i="155"/>
  <c r="H220" i="155"/>
  <c r="G236" i="155"/>
  <c r="H226" i="155"/>
  <c r="H223" i="155"/>
  <c r="H15" i="38"/>
  <c r="H11" i="38"/>
  <c r="H18" i="38"/>
  <c r="H16" i="38"/>
  <c r="H12" i="38"/>
  <c r="H19" i="38"/>
  <c r="K11" i="38"/>
  <c r="H21" i="38"/>
  <c r="H17" i="38"/>
  <c r="H14" i="38"/>
  <c r="H20" i="38"/>
  <c r="H13" i="38"/>
  <c r="H15" i="94"/>
  <c r="H13" i="94"/>
  <c r="H16" i="94"/>
  <c r="H18" i="94"/>
  <c r="H12" i="94"/>
  <c r="H17" i="94"/>
  <c r="H14" i="94"/>
  <c r="H20" i="94"/>
  <c r="H21" i="94"/>
  <c r="H19" i="94"/>
  <c r="H11" i="94"/>
  <c r="K11" i="94"/>
  <c r="G208" i="68"/>
  <c r="G208" i="98"/>
  <c r="G215" i="98" s="1"/>
  <c r="E238" i="49"/>
  <c r="E238" i="43"/>
  <c r="G208" i="133"/>
  <c r="G215" i="133" s="1"/>
  <c r="H12" i="64"/>
  <c r="H16" i="64"/>
  <c r="H14" i="64"/>
  <c r="K11" i="64"/>
  <c r="H17" i="64"/>
  <c r="H20" i="64"/>
  <c r="H19" i="64"/>
  <c r="H15" i="64"/>
  <c r="H13" i="64"/>
  <c r="H11" i="64"/>
  <c r="H21" i="64"/>
  <c r="H18" i="64"/>
  <c r="H225" i="178"/>
  <c r="H223" i="178"/>
  <c r="H227" i="178"/>
  <c r="H226" i="178"/>
  <c r="H222" i="178"/>
  <c r="H228" i="178"/>
  <c r="H219" i="178"/>
  <c r="G236" i="178"/>
  <c r="G238" i="178" s="1"/>
  <c r="H224" i="178"/>
  <c r="K13" i="178"/>
  <c r="H221" i="178"/>
  <c r="H220" i="178"/>
  <c r="G208" i="58"/>
  <c r="G215" i="58" s="1"/>
  <c r="G208" i="165"/>
  <c r="G208" i="28"/>
  <c r="H20" i="55"/>
  <c r="H11" i="55"/>
  <c r="H13" i="55"/>
  <c r="H18" i="55"/>
  <c r="H14" i="55"/>
  <c r="H17" i="55"/>
  <c r="H21" i="55"/>
  <c r="H15" i="55"/>
  <c r="K11" i="55"/>
  <c r="H19" i="55"/>
  <c r="H12" i="55"/>
  <c r="H16" i="55"/>
  <c r="G208" i="92"/>
  <c r="G208" i="63"/>
  <c r="G215" i="63" s="1"/>
  <c r="G208" i="39"/>
  <c r="H13" i="63"/>
  <c r="H11" i="63"/>
  <c r="H21" i="63"/>
  <c r="K11" i="63"/>
  <c r="H15" i="63"/>
  <c r="H20" i="63"/>
  <c r="H16" i="63"/>
  <c r="H19" i="63"/>
  <c r="H18" i="63"/>
  <c r="H14" i="63"/>
  <c r="H17" i="63"/>
  <c r="H12" i="63"/>
  <c r="G208" i="152"/>
  <c r="G208" i="164"/>
  <c r="G215" i="164" s="1"/>
  <c r="G208" i="83"/>
  <c r="K15" i="63"/>
  <c r="G237" i="63"/>
  <c r="G208" i="106"/>
  <c r="J22" i="97"/>
  <c r="G208" i="53"/>
  <c r="G208" i="32"/>
  <c r="H11" i="118"/>
  <c r="H17" i="118"/>
  <c r="H14" i="118"/>
  <c r="H16" i="118"/>
  <c r="H18" i="118"/>
  <c r="H21" i="118"/>
  <c r="H13" i="118"/>
  <c r="H12" i="118"/>
  <c r="H19" i="118"/>
  <c r="H15" i="118"/>
  <c r="K11" i="118"/>
  <c r="H20" i="118"/>
  <c r="G208" i="37"/>
  <c r="H11" i="164"/>
  <c r="K11" i="164"/>
  <c r="H12" i="164"/>
  <c r="H17" i="164"/>
  <c r="H20" i="164"/>
  <c r="H19" i="164"/>
  <c r="H21" i="164"/>
  <c r="H15" i="164"/>
  <c r="H18" i="164"/>
  <c r="H14" i="164"/>
  <c r="H13" i="164"/>
  <c r="H16" i="164"/>
  <c r="E238" i="63"/>
  <c r="G208" i="118"/>
  <c r="G215" i="118" s="1"/>
  <c r="H16" i="58"/>
  <c r="H21" i="58"/>
  <c r="H13" i="58"/>
  <c r="H20" i="58"/>
  <c r="K11" i="58"/>
  <c r="H14" i="58"/>
  <c r="H19" i="58"/>
  <c r="H18" i="58"/>
  <c r="H17" i="58"/>
  <c r="H11" i="58"/>
  <c r="H15" i="58"/>
  <c r="H12" i="58"/>
  <c r="K13" i="54"/>
  <c r="H225" i="54"/>
  <c r="H228" i="54"/>
  <c r="H223" i="54"/>
  <c r="H219" i="54"/>
  <c r="G236" i="54"/>
  <c r="H220" i="54"/>
  <c r="H221" i="54"/>
  <c r="H222" i="54"/>
  <c r="H226" i="54"/>
  <c r="H224" i="54"/>
  <c r="H227" i="54"/>
  <c r="G208" i="176"/>
  <c r="G208" i="178"/>
  <c r="H17" i="53"/>
  <c r="H18" i="53"/>
  <c r="H20" i="53"/>
  <c r="H21" i="53"/>
  <c r="H15" i="53"/>
  <c r="H16" i="53"/>
  <c r="H14" i="53"/>
  <c r="H13" i="53"/>
  <c r="H12" i="53"/>
  <c r="H19" i="53"/>
  <c r="H11" i="53"/>
  <c r="K11" i="53"/>
  <c r="G237" i="155"/>
  <c r="K15" i="155"/>
  <c r="G208" i="14"/>
  <c r="E238" i="58"/>
  <c r="H156" i="167"/>
  <c r="H138" i="167"/>
  <c r="H49" i="167"/>
  <c r="H169" i="167"/>
  <c r="H46" i="167"/>
  <c r="H97" i="167"/>
  <c r="H116" i="167"/>
  <c r="H173" i="167"/>
  <c r="H125" i="167"/>
  <c r="H75" i="167"/>
  <c r="H124" i="167"/>
  <c r="H58" i="167"/>
  <c r="H185" i="167"/>
  <c r="H189" i="167"/>
  <c r="H28" i="167"/>
  <c r="G215" i="167"/>
  <c r="H77" i="167"/>
  <c r="H143" i="167"/>
  <c r="H55" i="167"/>
  <c r="H44" i="167"/>
  <c r="H137" i="167"/>
  <c r="H60" i="167"/>
  <c r="H51" i="167"/>
  <c r="H166" i="167"/>
  <c r="H79" i="167"/>
  <c r="H32" i="167"/>
  <c r="H176" i="167"/>
  <c r="H184" i="167"/>
  <c r="H54" i="167"/>
  <c r="H68" i="167"/>
  <c r="H102" i="167"/>
  <c r="H107" i="167"/>
  <c r="H148" i="167"/>
  <c r="H204" i="167"/>
  <c r="H117" i="167"/>
  <c r="H178" i="167"/>
  <c r="H175" i="167"/>
  <c r="H153" i="167"/>
  <c r="H205" i="167"/>
  <c r="H203" i="167"/>
  <c r="H208" i="167"/>
  <c r="H161" i="167"/>
  <c r="H191" i="167"/>
  <c r="H25" i="167"/>
  <c r="H67" i="167"/>
  <c r="H160" i="167"/>
  <c r="H164" i="167"/>
  <c r="H30" i="167"/>
  <c r="H172" i="167"/>
  <c r="H135" i="167"/>
  <c r="H202" i="167"/>
  <c r="H194" i="167"/>
  <c r="H200" i="167"/>
  <c r="H64" i="167"/>
  <c r="H181" i="167"/>
  <c r="H86" i="167"/>
  <c r="H201" i="167"/>
  <c r="H118" i="167"/>
  <c r="H129" i="167"/>
  <c r="H111" i="167"/>
  <c r="H26" i="167"/>
  <c r="H39" i="167"/>
  <c r="H57" i="167"/>
  <c r="H147" i="167"/>
  <c r="H85" i="167"/>
  <c r="H87" i="167"/>
  <c r="H33" i="167"/>
  <c r="H36" i="167"/>
  <c r="H43" i="167"/>
  <c r="H100" i="167"/>
  <c r="H91" i="167"/>
  <c r="H74" i="167"/>
  <c r="H83" i="167"/>
  <c r="H152" i="167"/>
  <c r="H89" i="167"/>
  <c r="H37" i="167"/>
  <c r="H114" i="167"/>
  <c r="H110" i="167"/>
  <c r="H174" i="167"/>
  <c r="H45" i="167"/>
  <c r="H206" i="167"/>
  <c r="H56" i="167"/>
  <c r="H69" i="167"/>
  <c r="H197" i="167"/>
  <c r="H35" i="167"/>
  <c r="H53" i="167"/>
  <c r="H183" i="167"/>
  <c r="H52" i="167"/>
  <c r="H140" i="167"/>
  <c r="H93" i="167"/>
  <c r="H31" i="167"/>
  <c r="H76" i="167"/>
  <c r="H146" i="167"/>
  <c r="H38" i="167"/>
  <c r="H82" i="167"/>
  <c r="H193" i="167"/>
  <c r="H179" i="167"/>
  <c r="H133" i="167"/>
  <c r="H73" i="167"/>
  <c r="H50" i="167"/>
  <c r="H126" i="167"/>
  <c r="H98" i="167"/>
  <c r="H96" i="167"/>
  <c r="H65" i="167"/>
  <c r="H47" i="167"/>
  <c r="H180" i="167"/>
  <c r="H42" i="167"/>
  <c r="H27" i="167"/>
  <c r="H171" i="167"/>
  <c r="H188" i="167"/>
  <c r="H155" i="167"/>
  <c r="H145" i="167"/>
  <c r="H168" i="167"/>
  <c r="H159" i="167"/>
  <c r="H106" i="167"/>
  <c r="H151" i="167"/>
  <c r="H149" i="167"/>
  <c r="H88" i="167"/>
  <c r="H109" i="167"/>
  <c r="H150" i="167"/>
  <c r="H71" i="167"/>
  <c r="H131" i="167"/>
  <c r="H78" i="167"/>
  <c r="H90" i="167"/>
  <c r="H115" i="167"/>
  <c r="H34" i="167"/>
  <c r="H61" i="167"/>
  <c r="H190" i="167"/>
  <c r="H136" i="167"/>
  <c r="H41" i="167"/>
  <c r="H157" i="167"/>
  <c r="H130" i="167"/>
  <c r="H141" i="167"/>
  <c r="H59" i="167"/>
  <c r="H195" i="167"/>
  <c r="H158" i="167"/>
  <c r="H167" i="167"/>
  <c r="H127" i="167"/>
  <c r="H84" i="167"/>
  <c r="H72" i="167"/>
  <c r="H40" i="167"/>
  <c r="H165" i="167"/>
  <c r="H29" i="167"/>
  <c r="H108" i="167"/>
  <c r="H142" i="167"/>
  <c r="H192" i="167"/>
  <c r="H119" i="167"/>
  <c r="H196" i="167"/>
  <c r="H186" i="167"/>
  <c r="K12" i="167"/>
  <c r="H105" i="167"/>
  <c r="H70" i="167"/>
  <c r="H66" i="167"/>
  <c r="H101" i="167"/>
  <c r="H187" i="167"/>
  <c r="H92" i="167"/>
  <c r="H99" i="167"/>
  <c r="H177" i="167"/>
  <c r="H48" i="167"/>
  <c r="H170" i="167"/>
  <c r="H132" i="167"/>
  <c r="H182" i="167"/>
  <c r="H123" i="167"/>
  <c r="G208" i="20"/>
  <c r="G208" i="71"/>
  <c r="G215" i="71" s="1"/>
  <c r="H21" i="98"/>
  <c r="H19" i="98"/>
  <c r="H18" i="98"/>
  <c r="H14" i="98"/>
  <c r="K11" i="98"/>
  <c r="H13" i="98"/>
  <c r="H12" i="98"/>
  <c r="H16" i="98"/>
  <c r="H20" i="98"/>
  <c r="H17" i="98"/>
  <c r="H11" i="98"/>
  <c r="H15" i="98"/>
  <c r="E238" i="155"/>
  <c r="H221" i="66"/>
  <c r="K13" i="66"/>
  <c r="H227" i="66"/>
  <c r="H220" i="66"/>
  <c r="H222" i="66"/>
  <c r="G236" i="66"/>
  <c r="G238" i="66" s="1"/>
  <c r="H224" i="66"/>
  <c r="H228" i="66"/>
  <c r="H219" i="66"/>
  <c r="H226" i="66"/>
  <c r="H223" i="66"/>
  <c r="H225" i="66"/>
  <c r="G208" i="94"/>
  <c r="G208" i="62"/>
  <c r="H16" i="66"/>
  <c r="H11" i="66"/>
  <c r="H15" i="66"/>
  <c r="H20" i="66"/>
  <c r="H21" i="66"/>
  <c r="H18" i="66"/>
  <c r="K11" i="66"/>
  <c r="H12" i="66"/>
  <c r="H13" i="66"/>
  <c r="H17" i="66"/>
  <c r="H19" i="66"/>
  <c r="H14" i="66"/>
  <c r="H220" i="49"/>
  <c r="H221" i="49"/>
  <c r="H226" i="49"/>
  <c r="H227" i="49"/>
  <c r="H225" i="49"/>
  <c r="H223" i="49"/>
  <c r="G236" i="49"/>
  <c r="H219" i="49"/>
  <c r="K13" i="49"/>
  <c r="H224" i="49"/>
  <c r="H228" i="49"/>
  <c r="H222" i="49"/>
  <c r="K15" i="43"/>
  <c r="G237" i="43"/>
  <c r="E238" i="54"/>
  <c r="G208" i="145"/>
  <c r="G208" i="60"/>
  <c r="E238" i="66"/>
  <c r="G208" i="174"/>
  <c r="H17" i="71"/>
  <c r="H12" i="71"/>
  <c r="H11" i="71"/>
  <c r="H14" i="71"/>
  <c r="H15" i="71"/>
  <c r="H20" i="71"/>
  <c r="H18" i="71"/>
  <c r="H16" i="71"/>
  <c r="H19" i="71"/>
  <c r="H21" i="71"/>
  <c r="K11" i="71"/>
  <c r="H13" i="71"/>
  <c r="G208" i="66"/>
  <c r="G215" i="66" s="1"/>
  <c r="E238" i="178"/>
  <c r="G208" i="156"/>
  <c r="H16" i="46"/>
  <c r="K11" i="46"/>
  <c r="H20" i="46"/>
  <c r="H19" i="46"/>
  <c r="H18" i="46"/>
  <c r="H17" i="46"/>
  <c r="H15" i="46"/>
  <c r="H11" i="46"/>
  <c r="H12" i="46"/>
  <c r="H13" i="46"/>
  <c r="H21" i="46"/>
  <c r="H14" i="46"/>
  <c r="H17" i="32"/>
  <c r="H15" i="32"/>
  <c r="H14" i="32"/>
  <c r="H12" i="32"/>
  <c r="H20" i="32"/>
  <c r="H21" i="32"/>
  <c r="H16" i="32"/>
  <c r="H11" i="32"/>
  <c r="H13" i="32"/>
  <c r="K11" i="32"/>
  <c r="H19" i="32"/>
  <c r="H18" i="32"/>
  <c r="G208" i="55"/>
  <c r="H17" i="133"/>
  <c r="H21" i="133"/>
  <c r="H16" i="133"/>
  <c r="H14" i="133"/>
  <c r="H13" i="133"/>
  <c r="H12" i="133"/>
  <c r="H19" i="133"/>
  <c r="H20" i="133"/>
  <c r="H11" i="133"/>
  <c r="H18" i="133"/>
  <c r="H15" i="133"/>
  <c r="K11" i="133"/>
  <c r="G208" i="103"/>
  <c r="H13" i="178"/>
  <c r="H12" i="178"/>
  <c r="H20" i="178"/>
  <c r="H16" i="178"/>
  <c r="K11" i="178"/>
  <c r="H15" i="178"/>
  <c r="H11" i="178"/>
  <c r="H19" i="178"/>
  <c r="H14" i="178"/>
  <c r="H18" i="178"/>
  <c r="H17" i="178"/>
  <c r="H21" i="178"/>
  <c r="G236" i="43"/>
  <c r="G208" i="43"/>
  <c r="J16" i="97"/>
  <c r="G208" i="38"/>
  <c r="G215" i="38" s="1"/>
  <c r="H15" i="156"/>
  <c r="H18" i="156"/>
  <c r="H12" i="156"/>
  <c r="H13" i="156"/>
  <c r="H20" i="156"/>
  <c r="H17" i="156"/>
  <c r="K11" i="156"/>
  <c r="H16" i="156"/>
  <c r="H11" i="156"/>
  <c r="H14" i="156"/>
  <c r="H19" i="156"/>
  <c r="H21" i="156"/>
  <c r="G238" i="167"/>
  <c r="G208" i="46"/>
  <c r="G215" i="46" s="1"/>
  <c r="G208" i="85"/>
  <c r="G208" i="25"/>
  <c r="E238" i="113"/>
  <c r="O173" i="97"/>
  <c r="O28" i="97"/>
  <c r="O85" i="97"/>
  <c r="H14" i="113"/>
  <c r="H16" i="113"/>
  <c r="H19" i="113"/>
  <c r="H11" i="113"/>
  <c r="H12" i="113"/>
  <c r="H15" i="113"/>
  <c r="K11" i="113"/>
  <c r="H13" i="113"/>
  <c r="H21" i="113"/>
  <c r="H20" i="113"/>
  <c r="H17" i="113"/>
  <c r="H18" i="113"/>
  <c r="J20" i="97"/>
  <c r="O140" i="97"/>
  <c r="O138" i="97"/>
  <c r="O148" i="97"/>
  <c r="O169" i="97"/>
  <c r="H228" i="113"/>
  <c r="H221" i="113"/>
  <c r="K13" i="113"/>
  <c r="H227" i="113"/>
  <c r="G236" i="113"/>
  <c r="H226" i="113"/>
  <c r="H223" i="113"/>
  <c r="H222" i="113"/>
  <c r="H219" i="113"/>
  <c r="H220" i="113"/>
  <c r="H225" i="113"/>
  <c r="H224" i="113"/>
  <c r="O30" i="97"/>
  <c r="O150" i="97"/>
  <c r="O203" i="97"/>
  <c r="E239" i="97"/>
  <c r="E241" i="97" s="1"/>
  <c r="K15" i="113"/>
  <c r="G237" i="113"/>
  <c r="O149" i="97"/>
  <c r="J167" i="97" l="1"/>
  <c r="J196" i="97"/>
  <c r="G208" i="155"/>
  <c r="H195" i="155" s="1"/>
  <c r="H28" i="47"/>
  <c r="H36" i="47"/>
  <c r="H44" i="47"/>
  <c r="H52" i="47"/>
  <c r="H60" i="47"/>
  <c r="H70" i="47"/>
  <c r="H78" i="47"/>
  <c r="H88" i="47"/>
  <c r="H98" i="47"/>
  <c r="H108" i="47"/>
  <c r="H118" i="47"/>
  <c r="H130" i="47"/>
  <c r="H140" i="47"/>
  <c r="H149" i="47"/>
  <c r="H158" i="47"/>
  <c r="H168" i="47"/>
  <c r="H176" i="47"/>
  <c r="H184" i="47"/>
  <c r="H192" i="47"/>
  <c r="H202" i="47"/>
  <c r="H47" i="47"/>
  <c r="H65" i="47"/>
  <c r="H101" i="47"/>
  <c r="H111" i="47"/>
  <c r="H124" i="47"/>
  <c r="H152" i="47"/>
  <c r="H187" i="47"/>
  <c r="H40" i="47"/>
  <c r="H66" i="47"/>
  <c r="H74" i="47"/>
  <c r="H102" i="47"/>
  <c r="H153" i="47"/>
  <c r="H172" i="47"/>
  <c r="H196" i="47"/>
  <c r="H33" i="47"/>
  <c r="H41" i="47"/>
  <c r="H49" i="47"/>
  <c r="H75" i="47"/>
  <c r="H93" i="47"/>
  <c r="H126" i="47"/>
  <c r="H146" i="47"/>
  <c r="H165" i="47"/>
  <c r="H181" i="47"/>
  <c r="H197" i="47"/>
  <c r="H50" i="47"/>
  <c r="H68" i="47"/>
  <c r="H76" i="47"/>
  <c r="H147" i="47"/>
  <c r="H190" i="47"/>
  <c r="H51" i="47"/>
  <c r="H129" i="47"/>
  <c r="H183" i="47"/>
  <c r="H29" i="47"/>
  <c r="H37" i="47"/>
  <c r="H45" i="47"/>
  <c r="H53" i="47"/>
  <c r="H61" i="47"/>
  <c r="H71" i="47"/>
  <c r="H79" i="47"/>
  <c r="H89" i="47"/>
  <c r="H99" i="47"/>
  <c r="H109" i="47"/>
  <c r="H119" i="47"/>
  <c r="H131" i="47"/>
  <c r="H141" i="47"/>
  <c r="H150" i="47"/>
  <c r="H159" i="47"/>
  <c r="H169" i="47"/>
  <c r="H177" i="47"/>
  <c r="H185" i="47"/>
  <c r="H193" i="47"/>
  <c r="H203" i="47"/>
  <c r="H39" i="47"/>
  <c r="H73" i="47"/>
  <c r="H133" i="47"/>
  <c r="H161" i="47"/>
  <c r="H179" i="47"/>
  <c r="H48" i="47"/>
  <c r="H92" i="47"/>
  <c r="H114" i="47"/>
  <c r="H135" i="47"/>
  <c r="H145" i="47"/>
  <c r="H164" i="47"/>
  <c r="H206" i="47"/>
  <c r="H25" i="47"/>
  <c r="H67" i="47"/>
  <c r="H105" i="47"/>
  <c r="H136" i="47"/>
  <c r="H155" i="47"/>
  <c r="H173" i="47"/>
  <c r="H189" i="47"/>
  <c r="H26" i="47"/>
  <c r="H34" i="47"/>
  <c r="H58" i="47"/>
  <c r="H96" i="47"/>
  <c r="H116" i="47"/>
  <c r="H137" i="47"/>
  <c r="H182" i="47"/>
  <c r="H27" i="47"/>
  <c r="H69" i="47"/>
  <c r="H87" i="47"/>
  <c r="H97" i="47"/>
  <c r="H107" i="47"/>
  <c r="H117" i="47"/>
  <c r="H138" i="47"/>
  <c r="H148" i="47"/>
  <c r="H157" i="47"/>
  <c r="H175" i="47"/>
  <c r="H191" i="47"/>
  <c r="H30" i="47"/>
  <c r="H38" i="47"/>
  <c r="H46" i="47"/>
  <c r="H54" i="47"/>
  <c r="H64" i="47"/>
  <c r="H72" i="47"/>
  <c r="H82" i="47"/>
  <c r="H90" i="47"/>
  <c r="H100" i="47"/>
  <c r="H110" i="47"/>
  <c r="H123" i="47"/>
  <c r="H132" i="47"/>
  <c r="H142" i="47"/>
  <c r="H151" i="47"/>
  <c r="H160" i="47"/>
  <c r="H170" i="47"/>
  <c r="H178" i="47"/>
  <c r="H186" i="47"/>
  <c r="H194" i="47"/>
  <c r="H204" i="47"/>
  <c r="H31" i="47"/>
  <c r="H55" i="47"/>
  <c r="H83" i="47"/>
  <c r="H91" i="47"/>
  <c r="H143" i="47"/>
  <c r="H171" i="47"/>
  <c r="H195" i="47"/>
  <c r="H205" i="47"/>
  <c r="H32" i="47"/>
  <c r="H56" i="47"/>
  <c r="H84" i="47"/>
  <c r="H125" i="47"/>
  <c r="H180" i="47"/>
  <c r="H188" i="47"/>
  <c r="H57" i="47"/>
  <c r="H85" i="47"/>
  <c r="H115" i="47"/>
  <c r="H208" i="47"/>
  <c r="H42" i="47"/>
  <c r="H86" i="47"/>
  <c r="H106" i="47"/>
  <c r="H127" i="47"/>
  <c r="H156" i="47"/>
  <c r="H166" i="47"/>
  <c r="H174" i="47"/>
  <c r="H200" i="47"/>
  <c r="H35" i="47"/>
  <c r="H43" i="47"/>
  <c r="H59" i="47"/>
  <c r="H77" i="47"/>
  <c r="H167" i="47"/>
  <c r="H201" i="47"/>
  <c r="F215" i="155"/>
  <c r="G238" i="69"/>
  <c r="G238" i="10"/>
  <c r="G238" i="172"/>
  <c r="E218" i="97"/>
  <c r="H98" i="54"/>
  <c r="H77" i="54"/>
  <c r="H46" i="45"/>
  <c r="H188" i="87"/>
  <c r="H206" i="45"/>
  <c r="H99" i="54"/>
  <c r="H156" i="45"/>
  <c r="H83" i="45"/>
  <c r="H88" i="45"/>
  <c r="H179" i="45"/>
  <c r="H165" i="45"/>
  <c r="H82" i="54"/>
  <c r="H37" i="45"/>
  <c r="G238" i="58"/>
  <c r="H25" i="45"/>
  <c r="H26" i="45"/>
  <c r="H69" i="45"/>
  <c r="H173" i="45"/>
  <c r="H48" i="45"/>
  <c r="H158" i="45"/>
  <c r="H130" i="45"/>
  <c r="H169" i="45"/>
  <c r="H108" i="45"/>
  <c r="H98" i="45"/>
  <c r="H183" i="45"/>
  <c r="H105" i="45"/>
  <c r="H194" i="45"/>
  <c r="H146" i="54"/>
  <c r="H131" i="54"/>
  <c r="H123" i="45"/>
  <c r="H115" i="45"/>
  <c r="H149" i="45"/>
  <c r="H143" i="45"/>
  <c r="H47" i="45"/>
  <c r="H68" i="45"/>
  <c r="H71" i="45"/>
  <c r="H66" i="45"/>
  <c r="H205" i="45"/>
  <c r="H96" i="45"/>
  <c r="H201" i="54"/>
  <c r="H169" i="54"/>
  <c r="H170" i="45"/>
  <c r="H208" i="45"/>
  <c r="H137" i="45"/>
  <c r="H82" i="45"/>
  <c r="H89" i="45"/>
  <c r="H50" i="45"/>
  <c r="H141" i="45"/>
  <c r="H28" i="45"/>
  <c r="H97" i="45"/>
  <c r="H177" i="45"/>
  <c r="H142" i="54"/>
  <c r="H153" i="45"/>
  <c r="H200" i="45"/>
  <c r="H160" i="45"/>
  <c r="H187" i="45"/>
  <c r="H32" i="54"/>
  <c r="H148" i="54"/>
  <c r="H142" i="45"/>
  <c r="H27" i="45"/>
  <c r="H60" i="45"/>
  <c r="H166" i="45"/>
  <c r="H136" i="45"/>
  <c r="H133" i="45"/>
  <c r="H61" i="45"/>
  <c r="H180" i="45"/>
  <c r="H54" i="45"/>
  <c r="H189" i="45"/>
  <c r="H46" i="54"/>
  <c r="G215" i="45"/>
  <c r="H49" i="45"/>
  <c r="H57" i="45"/>
  <c r="H131" i="45"/>
  <c r="H105" i="54"/>
  <c r="H118" i="54"/>
  <c r="H119" i="87"/>
  <c r="G238" i="94"/>
  <c r="H43" i="45"/>
  <c r="H201" i="45"/>
  <c r="H161" i="45"/>
  <c r="H101" i="45"/>
  <c r="H129" i="45"/>
  <c r="H107" i="45"/>
  <c r="H148" i="45"/>
  <c r="H147" i="45"/>
  <c r="H175" i="45"/>
  <c r="H184" i="45"/>
  <c r="H72" i="45"/>
  <c r="H78" i="45"/>
  <c r="H192" i="45"/>
  <c r="H195" i="45"/>
  <c r="H191" i="54"/>
  <c r="H36" i="54"/>
  <c r="H157" i="45"/>
  <c r="H181" i="45"/>
  <c r="H93" i="45"/>
  <c r="H34" i="45"/>
  <c r="H31" i="45"/>
  <c r="H40" i="45"/>
  <c r="H193" i="45"/>
  <c r="H38" i="45"/>
  <c r="H124" i="45"/>
  <c r="H151" i="45"/>
  <c r="G238" i="39"/>
  <c r="H137" i="16"/>
  <c r="G238" i="32"/>
  <c r="H118" i="87"/>
  <c r="H166" i="16"/>
  <c r="H53" i="16"/>
  <c r="G238" i="157"/>
  <c r="J207" i="97"/>
  <c r="J168" i="97"/>
  <c r="H58" i="45"/>
  <c r="H56" i="45"/>
  <c r="H32" i="45"/>
  <c r="H55" i="45"/>
  <c r="H79" i="45"/>
  <c r="H118" i="45"/>
  <c r="H36" i="45"/>
  <c r="H202" i="45"/>
  <c r="H116" i="45"/>
  <c r="H140" i="45"/>
  <c r="H146" i="45"/>
  <c r="H185" i="45"/>
  <c r="H150" i="45"/>
  <c r="H167" i="45"/>
  <c r="H152" i="45"/>
  <c r="H87" i="45"/>
  <c r="H190" i="45"/>
  <c r="H155" i="45"/>
  <c r="H102" i="45"/>
  <c r="H204" i="45"/>
  <c r="H172" i="45"/>
  <c r="H117" i="45"/>
  <c r="H191" i="45"/>
  <c r="H125" i="45"/>
  <c r="H197" i="45"/>
  <c r="H159" i="45"/>
  <c r="H145" i="45"/>
  <c r="H65" i="45"/>
  <c r="H132" i="45"/>
  <c r="H45" i="45"/>
  <c r="H29" i="45"/>
  <c r="H30" i="45"/>
  <c r="H64" i="45"/>
  <c r="H196" i="45"/>
  <c r="H182" i="45"/>
  <c r="H70" i="45"/>
  <c r="H171" i="45"/>
  <c r="H76" i="45"/>
  <c r="H174" i="45"/>
  <c r="H164" i="45"/>
  <c r="H100" i="45"/>
  <c r="H67" i="45"/>
  <c r="H110" i="45"/>
  <c r="H44" i="45"/>
  <c r="H51" i="45"/>
  <c r="H135" i="45"/>
  <c r="H84" i="45"/>
  <c r="H85" i="45"/>
  <c r="H109" i="45"/>
  <c r="H73" i="45"/>
  <c r="H42" i="45"/>
  <c r="H127" i="45"/>
  <c r="H91" i="45"/>
  <c r="H35" i="45"/>
  <c r="H106" i="45"/>
  <c r="H186" i="45"/>
  <c r="H41" i="45"/>
  <c r="H92" i="45"/>
  <c r="H176" i="45"/>
  <c r="H75" i="45"/>
  <c r="H203" i="45"/>
  <c r="H111" i="45"/>
  <c r="H74" i="45"/>
  <c r="H119" i="45"/>
  <c r="H138" i="45"/>
  <c r="K12" i="45"/>
  <c r="H33" i="45"/>
  <c r="H126" i="45"/>
  <c r="H77" i="45"/>
  <c r="H39" i="45"/>
  <c r="H188" i="45"/>
  <c r="H90" i="45"/>
  <c r="H168" i="45"/>
  <c r="H178" i="45"/>
  <c r="H99" i="45"/>
  <c r="H86" i="45"/>
  <c r="H52" i="45"/>
  <c r="H59" i="45"/>
  <c r="H114" i="45"/>
  <c r="H147" i="16"/>
  <c r="H69" i="27"/>
  <c r="H127" i="86"/>
  <c r="H56" i="16"/>
  <c r="H125" i="158"/>
  <c r="H98" i="113"/>
  <c r="H142" i="16"/>
  <c r="H101" i="158"/>
  <c r="G238" i="158"/>
  <c r="G238" i="14"/>
  <c r="H79" i="86"/>
  <c r="G238" i="103"/>
  <c r="H156" i="10"/>
  <c r="H29" i="27"/>
  <c r="H36" i="27"/>
  <c r="H70" i="69"/>
  <c r="H44" i="10"/>
  <c r="H175" i="27"/>
  <c r="H145" i="27"/>
  <c r="H55" i="27"/>
  <c r="H73" i="65"/>
  <c r="H200" i="143"/>
  <c r="H208" i="27"/>
  <c r="H31" i="27"/>
  <c r="H167" i="69"/>
  <c r="H67" i="27"/>
  <c r="H105" i="27"/>
  <c r="H167" i="27"/>
  <c r="H191" i="120"/>
  <c r="H192" i="10"/>
  <c r="H168" i="86"/>
  <c r="H191" i="113"/>
  <c r="H110" i="113"/>
  <c r="H114" i="158"/>
  <c r="G238" i="50"/>
  <c r="H29" i="10"/>
  <c r="H181" i="86"/>
  <c r="H109" i="50"/>
  <c r="H185" i="86"/>
  <c r="G238" i="145"/>
  <c r="H98" i="79"/>
  <c r="H145" i="158"/>
  <c r="H111" i="10"/>
  <c r="H175" i="158"/>
  <c r="H111" i="86"/>
  <c r="H89" i="113"/>
  <c r="H108" i="113"/>
  <c r="H169" i="158"/>
  <c r="H25" i="10"/>
  <c r="H116" i="113"/>
  <c r="H146" i="113"/>
  <c r="H57" i="113"/>
  <c r="H165" i="113"/>
  <c r="H152" i="113"/>
  <c r="H52" i="113"/>
  <c r="H187" i="113"/>
  <c r="H58" i="113"/>
  <c r="H150" i="113"/>
  <c r="H75" i="113"/>
  <c r="H131" i="113"/>
  <c r="H138" i="113"/>
  <c r="H41" i="113"/>
  <c r="H166" i="113"/>
  <c r="H36" i="113"/>
  <c r="H96" i="113"/>
  <c r="H148" i="113"/>
  <c r="H44" i="113"/>
  <c r="H170" i="113"/>
  <c r="H42" i="113"/>
  <c r="H70" i="113"/>
  <c r="H38" i="113"/>
  <c r="H78" i="113"/>
  <c r="H40" i="113"/>
  <c r="H201" i="113"/>
  <c r="H117" i="113"/>
  <c r="H87" i="113"/>
  <c r="H99" i="113"/>
  <c r="H206" i="113"/>
  <c r="H196" i="113"/>
  <c r="H101" i="113"/>
  <c r="H159" i="113"/>
  <c r="H136" i="113"/>
  <c r="H88" i="113"/>
  <c r="H192" i="113"/>
  <c r="H186" i="113"/>
  <c r="H30" i="79"/>
  <c r="H148" i="143"/>
  <c r="H175" i="10"/>
  <c r="H160" i="10"/>
  <c r="H188" i="10"/>
  <c r="H61" i="10"/>
  <c r="H46" i="10"/>
  <c r="H130" i="27"/>
  <c r="H70" i="27"/>
  <c r="H141" i="27"/>
  <c r="H74" i="27"/>
  <c r="H41" i="27"/>
  <c r="H160" i="27"/>
  <c r="H49" i="27"/>
  <c r="H72" i="27"/>
  <c r="H96" i="27"/>
  <c r="H26" i="27"/>
  <c r="H44" i="69"/>
  <c r="H127" i="120"/>
  <c r="H86" i="50"/>
  <c r="H155" i="143"/>
  <c r="H136" i="143"/>
  <c r="H208" i="10"/>
  <c r="H93" i="10"/>
  <c r="H90" i="10"/>
  <c r="H66" i="10"/>
  <c r="K12" i="10"/>
  <c r="H75" i="27"/>
  <c r="H27" i="27"/>
  <c r="H168" i="27"/>
  <c r="H30" i="27"/>
  <c r="H203" i="27"/>
  <c r="H171" i="27"/>
  <c r="H40" i="27"/>
  <c r="H50" i="27"/>
  <c r="H82" i="27"/>
  <c r="H61" i="27"/>
  <c r="H172" i="69"/>
  <c r="H180" i="69"/>
  <c r="H178" i="120"/>
  <c r="H124" i="143"/>
  <c r="H156" i="143"/>
  <c r="H153" i="10"/>
  <c r="H185" i="10"/>
  <c r="H143" i="10"/>
  <c r="H167" i="10"/>
  <c r="H53" i="10"/>
  <c r="H177" i="27"/>
  <c r="H153" i="27"/>
  <c r="H116" i="27"/>
  <c r="H197" i="27"/>
  <c r="H32" i="27"/>
  <c r="H91" i="27"/>
  <c r="H202" i="27"/>
  <c r="H108" i="27"/>
  <c r="H182" i="27"/>
  <c r="H93" i="27"/>
  <c r="G215" i="69"/>
  <c r="H51" i="50"/>
  <c r="H45" i="79"/>
  <c r="H205" i="79"/>
  <c r="H185" i="149"/>
  <c r="H111" i="143"/>
  <c r="H98" i="143"/>
  <c r="H186" i="143"/>
  <c r="H25" i="143"/>
  <c r="H115" i="143"/>
  <c r="H75" i="69"/>
  <c r="H85" i="69"/>
  <c r="H92" i="69"/>
  <c r="H107" i="69"/>
  <c r="H169" i="69"/>
  <c r="G238" i="42"/>
  <c r="H133" i="50"/>
  <c r="H67" i="50"/>
  <c r="H157" i="50"/>
  <c r="H189" i="50"/>
  <c r="H52" i="79"/>
  <c r="H124" i="79"/>
  <c r="H184" i="143"/>
  <c r="H147" i="143"/>
  <c r="H87" i="143"/>
  <c r="H189" i="143"/>
  <c r="H61" i="143"/>
  <c r="H69" i="143"/>
  <c r="H91" i="69"/>
  <c r="H88" i="69"/>
  <c r="H184" i="69"/>
  <c r="H158" i="69"/>
  <c r="H65" i="69"/>
  <c r="H203" i="69"/>
  <c r="K12" i="50"/>
  <c r="H65" i="50"/>
  <c r="H174" i="50"/>
  <c r="H91" i="50"/>
  <c r="H156" i="79"/>
  <c r="H92" i="79"/>
  <c r="K12" i="47"/>
  <c r="H166" i="143"/>
  <c r="H110" i="143"/>
  <c r="H44" i="143"/>
  <c r="H181" i="143"/>
  <c r="H137" i="143"/>
  <c r="H133" i="69"/>
  <c r="H101" i="69"/>
  <c r="H131" i="69"/>
  <c r="H46" i="69"/>
  <c r="H105" i="69"/>
  <c r="H52" i="69"/>
  <c r="H159" i="50"/>
  <c r="H114" i="50"/>
  <c r="H188" i="50"/>
  <c r="H49" i="50"/>
  <c r="H30" i="65"/>
  <c r="H75" i="104"/>
  <c r="H186" i="172"/>
  <c r="G238" i="28"/>
  <c r="H54" i="16"/>
  <c r="H195" i="16"/>
  <c r="H33" i="149"/>
  <c r="H35" i="54"/>
  <c r="H87" i="54"/>
  <c r="H203" i="54"/>
  <c r="H160" i="54"/>
  <c r="H59" i="54"/>
  <c r="H181" i="54"/>
  <c r="H188" i="172"/>
  <c r="H107" i="10"/>
  <c r="H108" i="10"/>
  <c r="H87" i="10"/>
  <c r="H97" i="10"/>
  <c r="H150" i="10"/>
  <c r="H96" i="10"/>
  <c r="H193" i="10"/>
  <c r="H70" i="10"/>
  <c r="H91" i="87"/>
  <c r="H116" i="16"/>
  <c r="H184" i="16"/>
  <c r="H192" i="149"/>
  <c r="H106" i="54"/>
  <c r="H195" i="54"/>
  <c r="H76" i="54"/>
  <c r="H93" i="54"/>
  <c r="H60" i="54"/>
  <c r="H193" i="64"/>
  <c r="H148" i="10"/>
  <c r="H177" i="10"/>
  <c r="H155" i="10"/>
  <c r="H106" i="10"/>
  <c r="H33" i="10"/>
  <c r="H206" i="10"/>
  <c r="H49" i="10"/>
  <c r="H65" i="149"/>
  <c r="H174" i="16"/>
  <c r="H169" i="16"/>
  <c r="H92" i="149"/>
  <c r="H68" i="54"/>
  <c r="H138" i="54"/>
  <c r="H25" i="54"/>
  <c r="H50" i="54"/>
  <c r="H117" i="54"/>
  <c r="H110" i="172"/>
  <c r="H98" i="10"/>
  <c r="H73" i="10"/>
  <c r="H52" i="10"/>
  <c r="H203" i="10"/>
  <c r="H165" i="10"/>
  <c r="H189" i="10"/>
  <c r="H161" i="10"/>
  <c r="G238" i="24"/>
  <c r="G238" i="64"/>
  <c r="H194" i="64"/>
  <c r="H124" i="16"/>
  <c r="H101" i="54"/>
  <c r="H54" i="54"/>
  <c r="H64" i="54"/>
  <c r="H158" i="54"/>
  <c r="H69" i="54"/>
  <c r="H141" i="1"/>
  <c r="H197" i="172"/>
  <c r="H190" i="10"/>
  <c r="H135" i="10"/>
  <c r="H77" i="10"/>
  <c r="H170" i="10"/>
  <c r="H48" i="10"/>
  <c r="H79" i="10"/>
  <c r="H142" i="10"/>
  <c r="H34" i="87"/>
  <c r="H176" i="16"/>
  <c r="H93" i="16"/>
  <c r="H133" i="54"/>
  <c r="H110" i="54"/>
  <c r="H178" i="54"/>
  <c r="H194" i="54"/>
  <c r="H65" i="54"/>
  <c r="H115" i="90"/>
  <c r="H124" i="172"/>
  <c r="H164" i="10"/>
  <c r="H115" i="10"/>
  <c r="H105" i="10"/>
  <c r="H129" i="10"/>
  <c r="H50" i="10"/>
  <c r="H204" i="10"/>
  <c r="H36" i="10"/>
  <c r="H200" i="142"/>
  <c r="H130" i="87"/>
  <c r="H73" i="72"/>
  <c r="H124" i="113"/>
  <c r="H157" i="113"/>
  <c r="H179" i="113"/>
  <c r="H176" i="113"/>
  <c r="H127" i="113"/>
  <c r="H151" i="113"/>
  <c r="H53" i="113"/>
  <c r="H64" i="113"/>
  <c r="H155" i="113"/>
  <c r="H54" i="113"/>
  <c r="G215" i="113"/>
  <c r="H105" i="113"/>
  <c r="H27" i="113"/>
  <c r="H129" i="113"/>
  <c r="H91" i="113"/>
  <c r="H65" i="113"/>
  <c r="H182" i="113"/>
  <c r="H141" i="113"/>
  <c r="H83" i="113"/>
  <c r="H90" i="113"/>
  <c r="H168" i="113"/>
  <c r="H183" i="113"/>
  <c r="H130" i="95"/>
  <c r="H91" i="16"/>
  <c r="H187" i="16"/>
  <c r="H101" i="16"/>
  <c r="H30" i="16"/>
  <c r="H202" i="16"/>
  <c r="H208" i="16"/>
  <c r="H200" i="16"/>
  <c r="H192" i="16"/>
  <c r="H108" i="16"/>
  <c r="H100" i="113"/>
  <c r="H181" i="113"/>
  <c r="H164" i="113"/>
  <c r="H132" i="113"/>
  <c r="H49" i="113"/>
  <c r="H35" i="113"/>
  <c r="H97" i="113"/>
  <c r="H180" i="113"/>
  <c r="H197" i="113"/>
  <c r="H118" i="113"/>
  <c r="H189" i="113"/>
  <c r="H169" i="113"/>
  <c r="H46" i="113"/>
  <c r="H178" i="113"/>
  <c r="H92" i="113"/>
  <c r="H32" i="113"/>
  <c r="H48" i="113"/>
  <c r="H185" i="113"/>
  <c r="H79" i="113"/>
  <c r="H85" i="113"/>
  <c r="H156" i="113"/>
  <c r="H137" i="113"/>
  <c r="H51" i="113"/>
  <c r="H67" i="113"/>
  <c r="H177" i="113"/>
  <c r="H39" i="113"/>
  <c r="H123" i="113"/>
  <c r="H142" i="113"/>
  <c r="H34" i="113"/>
  <c r="H208" i="113"/>
  <c r="H55" i="113"/>
  <c r="H25" i="113"/>
  <c r="H119" i="113"/>
  <c r="H30" i="113"/>
  <c r="H114" i="113"/>
  <c r="H84" i="113"/>
  <c r="H66" i="113"/>
  <c r="H106" i="113"/>
  <c r="H160" i="113"/>
  <c r="H158" i="113"/>
  <c r="H188" i="113"/>
  <c r="H191" i="16"/>
  <c r="H188" i="16"/>
  <c r="H85" i="16"/>
  <c r="H45" i="16"/>
  <c r="H132" i="16"/>
  <c r="H158" i="16"/>
  <c r="H74" i="16"/>
  <c r="H155" i="16"/>
  <c r="H203" i="16"/>
  <c r="H185" i="16"/>
  <c r="H82" i="16"/>
  <c r="H197" i="16"/>
  <c r="H88" i="16"/>
  <c r="H182" i="16"/>
  <c r="H129" i="16"/>
  <c r="H206" i="16"/>
  <c r="H142" i="31"/>
  <c r="H44" i="54"/>
  <c r="H174" i="54"/>
  <c r="H97" i="54"/>
  <c r="H55" i="54"/>
  <c r="H179" i="54"/>
  <c r="H86" i="54"/>
  <c r="H157" i="54"/>
  <c r="H176" i="54"/>
  <c r="H72" i="54"/>
  <c r="H109" i="54"/>
  <c r="H89" i="54"/>
  <c r="H83" i="54"/>
  <c r="H187" i="54"/>
  <c r="H125" i="54"/>
  <c r="H92" i="54"/>
  <c r="H26" i="54"/>
  <c r="H189" i="54"/>
  <c r="H141" i="54"/>
  <c r="H135" i="54"/>
  <c r="H42" i="54"/>
  <c r="H143" i="54"/>
  <c r="H34" i="54"/>
  <c r="H66" i="54"/>
  <c r="H140" i="54"/>
  <c r="H53" i="54"/>
  <c r="H152" i="54"/>
  <c r="H188" i="54"/>
  <c r="H116" i="54"/>
  <c r="H190" i="54"/>
  <c r="H84" i="54"/>
  <c r="H52" i="54"/>
  <c r="H196" i="54"/>
  <c r="H151" i="54"/>
  <c r="H177" i="54"/>
  <c r="H78" i="54"/>
  <c r="H184" i="54"/>
  <c r="H48" i="54"/>
  <c r="H193" i="54"/>
  <c r="H173" i="54"/>
  <c r="H73" i="54"/>
  <c r="H185" i="54"/>
  <c r="H64" i="15"/>
  <c r="G238" i="25"/>
  <c r="H124" i="142"/>
  <c r="H203" i="87"/>
  <c r="H161" i="87"/>
  <c r="H69" i="87"/>
  <c r="H93" i="87"/>
  <c r="H194" i="87"/>
  <c r="H181" i="87"/>
  <c r="H135" i="87"/>
  <c r="H71" i="113"/>
  <c r="H56" i="113"/>
  <c r="H194" i="113"/>
  <c r="H93" i="113"/>
  <c r="H69" i="113"/>
  <c r="H145" i="113"/>
  <c r="H205" i="113"/>
  <c r="H43" i="113"/>
  <c r="H202" i="113"/>
  <c r="H115" i="113"/>
  <c r="H143" i="113"/>
  <c r="H193" i="113"/>
  <c r="H61" i="113"/>
  <c r="H175" i="113"/>
  <c r="H135" i="113"/>
  <c r="H73" i="113"/>
  <c r="H171" i="113"/>
  <c r="H172" i="113"/>
  <c r="H174" i="113"/>
  <c r="H190" i="113"/>
  <c r="H109" i="113"/>
  <c r="H153" i="113"/>
  <c r="H31" i="113"/>
  <c r="H140" i="113"/>
  <c r="H195" i="113"/>
  <c r="H37" i="113"/>
  <c r="H147" i="113"/>
  <c r="H45" i="113"/>
  <c r="H26" i="113"/>
  <c r="H149" i="113"/>
  <c r="H47" i="113"/>
  <c r="H125" i="113"/>
  <c r="H204" i="113"/>
  <c r="H203" i="113"/>
  <c r="H126" i="113"/>
  <c r="H107" i="113"/>
  <c r="H102" i="113"/>
  <c r="H74" i="113"/>
  <c r="H161" i="113"/>
  <c r="H111" i="113"/>
  <c r="H59" i="113"/>
  <c r="H177" i="95"/>
  <c r="H136" i="16"/>
  <c r="H35" i="16"/>
  <c r="H58" i="16"/>
  <c r="H165" i="16"/>
  <c r="H150" i="16"/>
  <c r="H99" i="16"/>
  <c r="H204" i="16"/>
  <c r="H60" i="16"/>
  <c r="H159" i="16"/>
  <c r="H84" i="16"/>
  <c r="H92" i="16"/>
  <c r="H175" i="16"/>
  <c r="H171" i="16"/>
  <c r="H42" i="16"/>
  <c r="H126" i="54"/>
  <c r="H31" i="54"/>
  <c r="H75" i="54"/>
  <c r="H51" i="54"/>
  <c r="H107" i="54"/>
  <c r="H57" i="54"/>
  <c r="H85" i="54"/>
  <c r="H155" i="54"/>
  <c r="H182" i="54"/>
  <c r="H58" i="54"/>
  <c r="H41" i="54"/>
  <c r="H161" i="54"/>
  <c r="H123" i="54"/>
  <c r="H30" i="54"/>
  <c r="H202" i="54"/>
  <c r="H166" i="54"/>
  <c r="H39" i="54"/>
  <c r="H56" i="54"/>
  <c r="H29" i="54"/>
  <c r="H156" i="54"/>
  <c r="H70" i="54"/>
  <c r="H100" i="54"/>
  <c r="H67" i="54"/>
  <c r="H119" i="54"/>
  <c r="H28" i="54"/>
  <c r="H164" i="54"/>
  <c r="H147" i="54"/>
  <c r="H197" i="54"/>
  <c r="H71" i="54"/>
  <c r="H192" i="54"/>
  <c r="H115" i="54"/>
  <c r="H208" i="54"/>
  <c r="H79" i="54"/>
  <c r="H111" i="54"/>
  <c r="H175" i="54"/>
  <c r="H40" i="54"/>
  <c r="H137" i="54"/>
  <c r="H132" i="54"/>
  <c r="H114" i="54"/>
  <c r="H136" i="54"/>
  <c r="H102" i="54"/>
  <c r="H53" i="87"/>
  <c r="H195" i="87"/>
  <c r="H157" i="87"/>
  <c r="H87" i="87"/>
  <c r="H115" i="87"/>
  <c r="H45" i="87"/>
  <c r="H33" i="113"/>
  <c r="H86" i="113"/>
  <c r="H28" i="113"/>
  <c r="H130" i="113"/>
  <c r="H184" i="113"/>
  <c r="H82" i="113"/>
  <c r="H50" i="113"/>
  <c r="H29" i="113"/>
  <c r="H173" i="113"/>
  <c r="H72" i="113"/>
  <c r="H133" i="113"/>
  <c r="H167" i="113"/>
  <c r="H60" i="113"/>
  <c r="K12" i="113"/>
  <c r="H76" i="113"/>
  <c r="H77" i="113"/>
  <c r="H68" i="113"/>
  <c r="H200" i="113"/>
  <c r="H68" i="16"/>
  <c r="H190" i="16"/>
  <c r="H36" i="16"/>
  <c r="H72" i="16"/>
  <c r="H151" i="16"/>
  <c r="H47" i="16"/>
  <c r="H159" i="54"/>
  <c r="H90" i="54"/>
  <c r="H129" i="54"/>
  <c r="H43" i="54"/>
  <c r="H172" i="54"/>
  <c r="H165" i="54"/>
  <c r="H153" i="54"/>
  <c r="H205" i="54"/>
  <c r="H47" i="54"/>
  <c r="H171" i="54"/>
  <c r="H91" i="54"/>
  <c r="H74" i="54"/>
  <c r="H88" i="54"/>
  <c r="G215" i="54"/>
  <c r="H145" i="54"/>
  <c r="H27" i="54"/>
  <c r="H180" i="54"/>
  <c r="H38" i="54"/>
  <c r="H33" i="54"/>
  <c r="H149" i="54"/>
  <c r="H150" i="54"/>
  <c r="H127" i="54"/>
  <c r="H49" i="54"/>
  <c r="H124" i="54"/>
  <c r="H206" i="54"/>
  <c r="H168" i="54"/>
  <c r="H170" i="54"/>
  <c r="H61" i="54"/>
  <c r="H130" i="54"/>
  <c r="H186" i="54"/>
  <c r="H37" i="54"/>
  <c r="H108" i="54"/>
  <c r="K12" i="54"/>
  <c r="H204" i="54"/>
  <c r="H167" i="54"/>
  <c r="H96" i="54"/>
  <c r="H45" i="54"/>
  <c r="H200" i="54"/>
  <c r="H28" i="87"/>
  <c r="H138" i="87"/>
  <c r="H76" i="87"/>
  <c r="H70" i="87"/>
  <c r="H49" i="87"/>
  <c r="H204" i="87"/>
  <c r="H147" i="87"/>
  <c r="H68" i="95"/>
  <c r="H118" i="79"/>
  <c r="H143" i="79"/>
  <c r="H64" i="79"/>
  <c r="H51" i="72"/>
  <c r="H155" i="90"/>
  <c r="H60" i="87"/>
  <c r="H200" i="87"/>
  <c r="H136" i="87"/>
  <c r="H86" i="87"/>
  <c r="H190" i="87"/>
  <c r="H129" i="87"/>
  <c r="H99" i="87"/>
  <c r="H160" i="87"/>
  <c r="H158" i="87"/>
  <c r="H88" i="87"/>
  <c r="H75" i="87"/>
  <c r="H185" i="87"/>
  <c r="H164" i="87"/>
  <c r="H175" i="87"/>
  <c r="H66" i="50"/>
  <c r="H190" i="50"/>
  <c r="H25" i="50"/>
  <c r="H152" i="50"/>
  <c r="H73" i="50"/>
  <c r="H160" i="50"/>
  <c r="H39" i="50"/>
  <c r="H79" i="50"/>
  <c r="H208" i="79"/>
  <c r="H189" i="87"/>
  <c r="H46" i="87"/>
  <c r="H40" i="87"/>
  <c r="H107" i="50"/>
  <c r="H148" i="79"/>
  <c r="H32" i="79"/>
  <c r="H102" i="79"/>
  <c r="H200" i="79"/>
  <c r="H110" i="157"/>
  <c r="G238" i="65"/>
  <c r="H137" i="87"/>
  <c r="H131" i="87"/>
  <c r="H71" i="87"/>
  <c r="H171" i="87"/>
  <c r="H153" i="87"/>
  <c r="H176" i="87"/>
  <c r="H156" i="87"/>
  <c r="H177" i="87"/>
  <c r="H78" i="87"/>
  <c r="H79" i="87"/>
  <c r="H54" i="87"/>
  <c r="H187" i="87"/>
  <c r="H184" i="50"/>
  <c r="H29" i="50"/>
  <c r="H173" i="50"/>
  <c r="H150" i="50"/>
  <c r="H54" i="50"/>
  <c r="H204" i="50"/>
  <c r="H72" i="50"/>
  <c r="H109" i="79"/>
  <c r="H148" i="87"/>
  <c r="H85" i="87"/>
  <c r="H186" i="87"/>
  <c r="H64" i="87"/>
  <c r="H89" i="50"/>
  <c r="H59" i="50"/>
  <c r="H202" i="50"/>
  <c r="H177" i="50"/>
  <c r="H60" i="79"/>
  <c r="H29" i="79"/>
  <c r="H172" i="79"/>
  <c r="H147" i="79"/>
  <c r="H46" i="157"/>
  <c r="H73" i="87"/>
  <c r="H142" i="87"/>
  <c r="H67" i="87"/>
  <c r="H32" i="87"/>
  <c r="H55" i="87"/>
  <c r="H39" i="87"/>
  <c r="H180" i="87"/>
  <c r="H140" i="87"/>
  <c r="K12" i="87"/>
  <c r="H68" i="87"/>
  <c r="H97" i="87"/>
  <c r="H51" i="87"/>
  <c r="H36" i="50"/>
  <c r="H200" i="50"/>
  <c r="H35" i="50"/>
  <c r="H41" i="50"/>
  <c r="H205" i="50"/>
  <c r="H53" i="50"/>
  <c r="H180" i="50"/>
  <c r="H83" i="50"/>
  <c r="H31" i="87"/>
  <c r="H102" i="87"/>
  <c r="H152" i="87"/>
  <c r="H167" i="87"/>
  <c r="H182" i="87"/>
  <c r="H56" i="87"/>
  <c r="H72" i="87"/>
  <c r="H115" i="79"/>
  <c r="H86" i="79"/>
  <c r="H203" i="79"/>
  <c r="H141" i="79"/>
  <c r="H180" i="157"/>
  <c r="G238" i="98"/>
  <c r="H43" i="141"/>
  <c r="H181" i="10"/>
  <c r="H195" i="10"/>
  <c r="G238" i="133"/>
  <c r="H173" i="87"/>
  <c r="H84" i="87"/>
  <c r="H105" i="87"/>
  <c r="H48" i="87"/>
  <c r="H169" i="87"/>
  <c r="H205" i="87"/>
  <c r="H172" i="87"/>
  <c r="H145" i="87"/>
  <c r="H30" i="87"/>
  <c r="H151" i="87"/>
  <c r="H114" i="87"/>
  <c r="H132" i="50"/>
  <c r="H131" i="50"/>
  <c r="H105" i="50"/>
  <c r="H97" i="50"/>
  <c r="H206" i="50"/>
  <c r="H57" i="50"/>
  <c r="H126" i="50"/>
  <c r="H191" i="50"/>
  <c r="H25" i="79"/>
  <c r="H87" i="79"/>
  <c r="H170" i="50"/>
  <c r="H136" i="50"/>
  <c r="H188" i="79"/>
  <c r="H182" i="79"/>
  <c r="H37" i="79"/>
  <c r="H164" i="79"/>
  <c r="H43" i="10"/>
  <c r="H176" i="10"/>
  <c r="H109" i="87"/>
  <c r="H82" i="87"/>
  <c r="H98" i="87"/>
  <c r="H201" i="87"/>
  <c r="H126" i="87"/>
  <c r="H58" i="87"/>
  <c r="H35" i="87"/>
  <c r="H166" i="87"/>
  <c r="H192" i="87"/>
  <c r="H116" i="87"/>
  <c r="H59" i="87"/>
  <c r="H118" i="50"/>
  <c r="H88" i="50"/>
  <c r="H158" i="50"/>
  <c r="H101" i="50"/>
  <c r="H102" i="50"/>
  <c r="H77" i="50"/>
  <c r="H195" i="50"/>
  <c r="H152" i="27"/>
  <c r="H52" i="27"/>
  <c r="H169" i="27"/>
  <c r="H59" i="27"/>
  <c r="H194" i="27"/>
  <c r="H35" i="27"/>
  <c r="H110" i="27"/>
  <c r="H83" i="27"/>
  <c r="H102" i="27"/>
  <c r="H92" i="27"/>
  <c r="H136" i="27"/>
  <c r="H173" i="27"/>
  <c r="H191" i="27"/>
  <c r="H123" i="27"/>
  <c r="H106" i="27"/>
  <c r="H73" i="27"/>
  <c r="H56" i="27"/>
  <c r="H64" i="27"/>
  <c r="H190" i="27"/>
  <c r="H51" i="27"/>
  <c r="H135" i="27"/>
  <c r="H138" i="27"/>
  <c r="H54" i="27"/>
  <c r="H151" i="27"/>
  <c r="H65" i="27"/>
  <c r="H147" i="27"/>
  <c r="H146" i="27"/>
  <c r="H28" i="27"/>
  <c r="H200" i="27"/>
  <c r="H97" i="27"/>
  <c r="H118" i="27"/>
  <c r="H25" i="27"/>
  <c r="H39" i="27"/>
  <c r="H119" i="27"/>
  <c r="H109" i="27"/>
  <c r="H170" i="27"/>
  <c r="H150" i="27"/>
  <c r="H89" i="27"/>
  <c r="H184" i="27"/>
  <c r="H99" i="27"/>
  <c r="H42" i="27"/>
  <c r="H165" i="27"/>
  <c r="H148" i="27"/>
  <c r="H204" i="27"/>
  <c r="H133" i="27"/>
  <c r="H101" i="27"/>
  <c r="H60" i="27"/>
  <c r="H176" i="27"/>
  <c r="H161" i="27"/>
  <c r="H100" i="27"/>
  <c r="H195" i="27"/>
  <c r="H187" i="27"/>
  <c r="H98" i="27"/>
  <c r="H179" i="27"/>
  <c r="H158" i="27"/>
  <c r="H189" i="27"/>
  <c r="H38" i="27"/>
  <c r="H188" i="27"/>
  <c r="H155" i="27"/>
  <c r="H79" i="27"/>
  <c r="H48" i="27"/>
  <c r="H117" i="27"/>
  <c r="H129" i="27"/>
  <c r="H132" i="27"/>
  <c r="H127" i="27"/>
  <c r="H140" i="27"/>
  <c r="G215" i="27"/>
  <c r="H44" i="27"/>
  <c r="H172" i="27"/>
  <c r="H84" i="27"/>
  <c r="H142" i="27"/>
  <c r="H34" i="27"/>
  <c r="H77" i="27"/>
  <c r="H114" i="27"/>
  <c r="H86" i="27"/>
  <c r="H115" i="27"/>
  <c r="H180" i="27"/>
  <c r="H124" i="27"/>
  <c r="H46" i="27"/>
  <c r="H45" i="27"/>
  <c r="H159" i="27"/>
  <c r="H125" i="27"/>
  <c r="H85" i="27"/>
  <c r="H53" i="27"/>
  <c r="H66" i="27"/>
  <c r="H58" i="27"/>
  <c r="H68" i="27"/>
  <c r="H193" i="27"/>
  <c r="H78" i="27"/>
  <c r="H183" i="27"/>
  <c r="H178" i="27"/>
  <c r="H47" i="27"/>
  <c r="H88" i="27"/>
  <c r="H196" i="27"/>
  <c r="H87" i="27"/>
  <c r="H156" i="27"/>
  <c r="H166" i="27"/>
  <c r="H181" i="27"/>
  <c r="H205" i="27"/>
  <c r="H90" i="27"/>
  <c r="H192" i="27"/>
  <c r="H57" i="27"/>
  <c r="H37" i="27"/>
  <c r="H157" i="27"/>
  <c r="H107" i="27"/>
  <c r="H131" i="27"/>
  <c r="H111" i="27"/>
  <c r="H126" i="27"/>
  <c r="H174" i="27"/>
  <c r="H43" i="27"/>
  <c r="H137" i="27"/>
  <c r="K12" i="27"/>
  <c r="H185" i="27"/>
  <c r="H206" i="27"/>
  <c r="H149" i="27"/>
  <c r="H33" i="27"/>
  <c r="H201" i="27"/>
  <c r="H71" i="27"/>
  <c r="H164" i="27"/>
  <c r="H186" i="27"/>
  <c r="H143" i="27"/>
  <c r="H99" i="177"/>
  <c r="H171" i="177"/>
  <c r="H37" i="177"/>
  <c r="H172" i="177"/>
  <c r="H32" i="177"/>
  <c r="H60" i="177"/>
  <c r="H195" i="177"/>
  <c r="H192" i="65"/>
  <c r="H143" i="95"/>
  <c r="H193" i="16"/>
  <c r="H55" i="16"/>
  <c r="H41" i="16"/>
  <c r="H168" i="16"/>
  <c r="H102" i="16"/>
  <c r="H96" i="16"/>
  <c r="H145" i="16"/>
  <c r="H170" i="16"/>
  <c r="H180" i="16"/>
  <c r="H98" i="16"/>
  <c r="H25" i="16"/>
  <c r="H69" i="16"/>
  <c r="H90" i="16"/>
  <c r="H66" i="16"/>
  <c r="H110" i="16"/>
  <c r="H157" i="16"/>
  <c r="H97" i="16"/>
  <c r="H177" i="16"/>
  <c r="H107" i="16"/>
  <c r="H72" i="158"/>
  <c r="H195" i="158"/>
  <c r="H118" i="158"/>
  <c r="H36" i="157"/>
  <c r="H175" i="86"/>
  <c r="H93" i="86"/>
  <c r="H35" i="86"/>
  <c r="H194" i="158"/>
  <c r="H73" i="175"/>
  <c r="G215" i="65"/>
  <c r="H161" i="95"/>
  <c r="H106" i="16"/>
  <c r="H34" i="16"/>
  <c r="H57" i="16"/>
  <c r="H119" i="16"/>
  <c r="H79" i="16"/>
  <c r="H70" i="16"/>
  <c r="H126" i="16"/>
  <c r="H164" i="16"/>
  <c r="H114" i="16"/>
  <c r="H141" i="16"/>
  <c r="H117" i="16"/>
  <c r="H186" i="16"/>
  <c r="H75" i="16"/>
  <c r="H76" i="16"/>
  <c r="H31" i="16"/>
  <c r="H178" i="16"/>
  <c r="H111" i="16"/>
  <c r="H105" i="16"/>
  <c r="H43" i="16"/>
  <c r="H46" i="16"/>
  <c r="H29" i="16"/>
  <c r="H35" i="158"/>
  <c r="H197" i="158"/>
  <c r="H35" i="175"/>
  <c r="H26" i="157"/>
  <c r="G238" i="38"/>
  <c r="H124" i="24"/>
  <c r="H178" i="150"/>
  <c r="H64" i="86"/>
  <c r="H170" i="86"/>
  <c r="H131" i="49"/>
  <c r="G238" i="104"/>
  <c r="G238" i="92"/>
  <c r="H174" i="95"/>
  <c r="H161" i="16"/>
  <c r="H146" i="16"/>
  <c r="H61" i="16"/>
  <c r="H140" i="16"/>
  <c r="H59" i="16"/>
  <c r="H38" i="16"/>
  <c r="H64" i="16"/>
  <c r="H48" i="16"/>
  <c r="H67" i="16"/>
  <c r="H152" i="16"/>
  <c r="H143" i="16"/>
  <c r="H44" i="16"/>
  <c r="H40" i="16"/>
  <c r="H37" i="16"/>
  <c r="H65" i="16"/>
  <c r="H109" i="16"/>
  <c r="H77" i="16"/>
  <c r="H51" i="16"/>
  <c r="H149" i="16"/>
  <c r="H73" i="16"/>
  <c r="H26" i="16"/>
  <c r="H124" i="158"/>
  <c r="H91" i="158"/>
  <c r="G238" i="47"/>
  <c r="H187" i="42"/>
  <c r="H77" i="24"/>
  <c r="H131" i="150"/>
  <c r="H29" i="86"/>
  <c r="H86" i="86"/>
  <c r="H77" i="49"/>
  <c r="H136" i="86"/>
  <c r="H140" i="95"/>
  <c r="H89" i="16"/>
  <c r="H28" i="16"/>
  <c r="H83" i="16"/>
  <c r="H123" i="16"/>
  <c r="H86" i="16"/>
  <c r="H181" i="16"/>
  <c r="H189" i="16"/>
  <c r="H173" i="16"/>
  <c r="H50" i="16"/>
  <c r="H160" i="16"/>
  <c r="K12" i="16"/>
  <c r="H205" i="16"/>
  <c r="H131" i="16"/>
  <c r="H115" i="16"/>
  <c r="H148" i="16"/>
  <c r="H49" i="16"/>
  <c r="H133" i="16"/>
  <c r="H135" i="16"/>
  <c r="H52" i="16"/>
  <c r="H194" i="16"/>
  <c r="H196" i="16"/>
  <c r="H186" i="158"/>
  <c r="H141" i="158"/>
  <c r="H133" i="158"/>
  <c r="H195" i="157"/>
  <c r="H118" i="1"/>
  <c r="H146" i="42"/>
  <c r="H66" i="86"/>
  <c r="H172" i="86"/>
  <c r="H71" i="86"/>
  <c r="G215" i="16"/>
  <c r="H33" i="65"/>
  <c r="H136" i="158"/>
  <c r="H27" i="86"/>
  <c r="G238" i="60"/>
  <c r="H176" i="95"/>
  <c r="H125" i="16"/>
  <c r="H100" i="16"/>
  <c r="H130" i="16"/>
  <c r="H153" i="16"/>
  <c r="H87" i="16"/>
  <c r="H183" i="16"/>
  <c r="H167" i="16"/>
  <c r="H78" i="16"/>
  <c r="H138" i="16"/>
  <c r="H32" i="16"/>
  <c r="H33" i="16"/>
  <c r="H71" i="16"/>
  <c r="H118" i="16"/>
  <c r="H172" i="16"/>
  <c r="H179" i="16"/>
  <c r="H156" i="16"/>
  <c r="H27" i="16"/>
  <c r="H39" i="16"/>
  <c r="H201" i="16"/>
  <c r="H201" i="158"/>
  <c r="H69" i="158"/>
  <c r="H67" i="158"/>
  <c r="H108" i="157"/>
  <c r="H71" i="1"/>
  <c r="H208" i="86"/>
  <c r="H160" i="86"/>
  <c r="H45" i="86"/>
  <c r="H167" i="158"/>
  <c r="H56" i="158"/>
  <c r="H84" i="158"/>
  <c r="H201" i="95"/>
  <c r="H83" i="95"/>
  <c r="G215" i="86"/>
  <c r="H158" i="158"/>
  <c r="H176" i="158"/>
  <c r="H153" i="158"/>
  <c r="H71" i="158"/>
  <c r="H32" i="158"/>
  <c r="H43" i="158"/>
  <c r="H59" i="158"/>
  <c r="H160" i="158"/>
  <c r="H108" i="158"/>
  <c r="H184" i="158"/>
  <c r="H208" i="158"/>
  <c r="H182" i="158"/>
  <c r="H89" i="158"/>
  <c r="H127" i="158"/>
  <c r="H177" i="158"/>
  <c r="H82" i="158"/>
  <c r="H76" i="158"/>
  <c r="H46" i="158"/>
  <c r="H129" i="158"/>
  <c r="H65" i="158"/>
  <c r="H29" i="158"/>
  <c r="H105" i="64"/>
  <c r="H161" i="141"/>
  <c r="H202" i="172"/>
  <c r="H35" i="42"/>
  <c r="H201" i="143"/>
  <c r="H79" i="143"/>
  <c r="H85" i="143"/>
  <c r="H150" i="143"/>
  <c r="H27" i="143"/>
  <c r="H125" i="143"/>
  <c r="H46" i="143"/>
  <c r="H176" i="69"/>
  <c r="H78" i="69"/>
  <c r="H129" i="69"/>
  <c r="H56" i="69"/>
  <c r="H181" i="69"/>
  <c r="H193" i="69"/>
  <c r="H168" i="69"/>
  <c r="H177" i="69"/>
  <c r="H109" i="120"/>
  <c r="H66" i="150"/>
  <c r="H99" i="86"/>
  <c r="H193" i="86"/>
  <c r="H31" i="86"/>
  <c r="H184" i="86"/>
  <c r="H125" i="86"/>
  <c r="H141" i="86"/>
  <c r="H165" i="86"/>
  <c r="H188" i="86"/>
  <c r="H74" i="86"/>
  <c r="H161" i="86"/>
  <c r="H149" i="86"/>
  <c r="H90" i="86"/>
  <c r="H44" i="86"/>
  <c r="H78" i="86"/>
  <c r="H117" i="86"/>
  <c r="H55" i="86"/>
  <c r="H177" i="86"/>
  <c r="H203" i="86"/>
  <c r="H47" i="86"/>
  <c r="H107" i="86"/>
  <c r="H110" i="158"/>
  <c r="H42" i="158"/>
  <c r="H204" i="158"/>
  <c r="H152" i="158"/>
  <c r="H190" i="86"/>
  <c r="H143" i="158"/>
  <c r="H27" i="158"/>
  <c r="H92" i="158"/>
  <c r="H88" i="158"/>
  <c r="H114" i="90"/>
  <c r="H205" i="141"/>
  <c r="H177" i="42"/>
  <c r="K12" i="86"/>
  <c r="H82" i="86"/>
  <c r="H157" i="86"/>
  <c r="H135" i="86"/>
  <c r="H158" i="86"/>
  <c r="G238" i="19"/>
  <c r="H48" i="95"/>
  <c r="H93" i="95"/>
  <c r="H77" i="119"/>
  <c r="H30" i="158"/>
  <c r="H191" i="158"/>
  <c r="H26" i="158"/>
  <c r="H192" i="158"/>
  <c r="H58" i="158"/>
  <c r="H48" i="158"/>
  <c r="H170" i="158"/>
  <c r="H57" i="158"/>
  <c r="H202" i="158"/>
  <c r="H179" i="158"/>
  <c r="H161" i="158"/>
  <c r="H25" i="158"/>
  <c r="H100" i="158"/>
  <c r="H78" i="158"/>
  <c r="H36" i="158"/>
  <c r="H51" i="158"/>
  <c r="H166" i="158"/>
  <c r="H142" i="158"/>
  <c r="H172" i="158"/>
  <c r="H181" i="158"/>
  <c r="H132" i="104"/>
  <c r="H43" i="90"/>
  <c r="H185" i="141"/>
  <c r="H98" i="42"/>
  <c r="H49" i="42"/>
  <c r="H205" i="143"/>
  <c r="H38" i="143"/>
  <c r="H92" i="143"/>
  <c r="H43" i="143"/>
  <c r="H114" i="143"/>
  <c r="H42" i="143"/>
  <c r="H183" i="143"/>
  <c r="H202" i="143"/>
  <c r="H179" i="69"/>
  <c r="H178" i="69"/>
  <c r="H42" i="69"/>
  <c r="H117" i="69"/>
  <c r="H58" i="69"/>
  <c r="H25" i="69"/>
  <c r="H108" i="69"/>
  <c r="H64" i="69"/>
  <c r="H143" i="120"/>
  <c r="H185" i="150"/>
  <c r="H129" i="86"/>
  <c r="H118" i="86"/>
  <c r="H148" i="86"/>
  <c r="H105" i="86"/>
  <c r="H73" i="86"/>
  <c r="H174" i="86"/>
  <c r="H59" i="86"/>
  <c r="H48" i="86"/>
  <c r="H156" i="86"/>
  <c r="H126" i="86"/>
  <c r="H67" i="86"/>
  <c r="H32" i="86"/>
  <c r="H53" i="86"/>
  <c r="H65" i="86"/>
  <c r="H58" i="86"/>
  <c r="H171" i="86"/>
  <c r="H132" i="86"/>
  <c r="H116" i="86"/>
  <c r="H38" i="86"/>
  <c r="H147" i="86"/>
  <c r="H66" i="158"/>
  <c r="H38" i="158"/>
  <c r="H205" i="158"/>
  <c r="H87" i="158"/>
  <c r="K12" i="42"/>
  <c r="H131" i="86"/>
  <c r="H51" i="86"/>
  <c r="H138" i="86"/>
  <c r="H119" i="86"/>
  <c r="H152" i="86"/>
  <c r="H49" i="86"/>
  <c r="H98" i="86"/>
  <c r="H76" i="86"/>
  <c r="H143" i="86"/>
  <c r="H191" i="86"/>
  <c r="G238" i="152"/>
  <c r="H105" i="158"/>
  <c r="H75" i="158"/>
  <c r="H115" i="158"/>
  <c r="H37" i="158"/>
  <c r="H108" i="42"/>
  <c r="H155" i="86"/>
  <c r="H169" i="86"/>
  <c r="H189" i="86"/>
  <c r="H142" i="86"/>
  <c r="H201" i="86"/>
  <c r="H187" i="86"/>
  <c r="H61" i="95"/>
  <c r="H90" i="95"/>
  <c r="H84" i="119"/>
  <c r="H40" i="158"/>
  <c r="H165" i="158"/>
  <c r="H55" i="158"/>
  <c r="H31" i="158"/>
  <c r="H123" i="158"/>
  <c r="H79" i="158"/>
  <c r="H86" i="158"/>
  <c r="H156" i="158"/>
  <c r="H140" i="158"/>
  <c r="H117" i="158"/>
  <c r="H131" i="158"/>
  <c r="H147" i="158"/>
  <c r="G215" i="158"/>
  <c r="H188" i="158"/>
  <c r="H126" i="158"/>
  <c r="H70" i="158"/>
  <c r="H33" i="158"/>
  <c r="H109" i="158"/>
  <c r="H47" i="158"/>
  <c r="H44" i="158"/>
  <c r="H148" i="104"/>
  <c r="H44" i="90"/>
  <c r="H184" i="141"/>
  <c r="H84" i="172"/>
  <c r="H191" i="42"/>
  <c r="H135" i="42"/>
  <c r="H151" i="143"/>
  <c r="K12" i="143"/>
  <c r="H88" i="143"/>
  <c r="H123" i="143"/>
  <c r="H100" i="143"/>
  <c r="H31" i="143"/>
  <c r="H192" i="143"/>
  <c r="H158" i="143"/>
  <c r="H132" i="69"/>
  <c r="H57" i="69"/>
  <c r="H204" i="69"/>
  <c r="H170" i="69"/>
  <c r="H118" i="69"/>
  <c r="H49" i="69"/>
  <c r="H208" i="69"/>
  <c r="H123" i="69"/>
  <c r="H100" i="120"/>
  <c r="H91" i="120"/>
  <c r="H89" i="150"/>
  <c r="H83" i="86"/>
  <c r="H46" i="86"/>
  <c r="H146" i="86"/>
  <c r="H183" i="86"/>
  <c r="H37" i="86"/>
  <c r="H61" i="86"/>
  <c r="H114" i="86"/>
  <c r="H56" i="86"/>
  <c r="H88" i="86"/>
  <c r="H36" i="86"/>
  <c r="H200" i="86"/>
  <c r="H186" i="86"/>
  <c r="H52" i="86"/>
  <c r="H178" i="86"/>
  <c r="H43" i="86"/>
  <c r="H96" i="86"/>
  <c r="H140" i="86"/>
  <c r="H108" i="86"/>
  <c r="H68" i="86"/>
  <c r="H197" i="86"/>
  <c r="H149" i="158"/>
  <c r="H187" i="158"/>
  <c r="H64" i="158"/>
  <c r="H54" i="158"/>
  <c r="H157" i="158"/>
  <c r="H195" i="86"/>
  <c r="H180" i="86"/>
  <c r="H145" i="86"/>
  <c r="H69" i="86"/>
  <c r="H54" i="86"/>
  <c r="H41" i="158"/>
  <c r="H132" i="158"/>
  <c r="H77" i="158"/>
  <c r="H196" i="158"/>
  <c r="H28" i="86"/>
  <c r="H110" i="86"/>
  <c r="H205" i="86"/>
  <c r="H39" i="86"/>
  <c r="H173" i="86"/>
  <c r="H99" i="95"/>
  <c r="H135" i="95"/>
  <c r="H130" i="119"/>
  <c r="H180" i="158"/>
  <c r="H189" i="158"/>
  <c r="H137" i="158"/>
  <c r="H34" i="158"/>
  <c r="H98" i="158"/>
  <c r="H183" i="158"/>
  <c r="H28" i="158"/>
  <c r="K12" i="158"/>
  <c r="H206" i="158"/>
  <c r="H174" i="158"/>
  <c r="H148" i="158"/>
  <c r="H130" i="158"/>
  <c r="H173" i="158"/>
  <c r="H193" i="158"/>
  <c r="H52" i="158"/>
  <c r="H178" i="158"/>
  <c r="H99" i="158"/>
  <c r="H106" i="158"/>
  <c r="H61" i="158"/>
  <c r="H111" i="158"/>
  <c r="H138" i="158"/>
  <c r="H116" i="104"/>
  <c r="H42" i="90"/>
  <c r="H27" i="172"/>
  <c r="H160" i="42"/>
  <c r="H88" i="42"/>
  <c r="H130" i="143"/>
  <c r="H203" i="143"/>
  <c r="H73" i="143"/>
  <c r="H59" i="143"/>
  <c r="H47" i="143"/>
  <c r="H178" i="143"/>
  <c r="H33" i="143"/>
  <c r="H66" i="143"/>
  <c r="H97" i="69"/>
  <c r="H109" i="69"/>
  <c r="H43" i="69"/>
  <c r="H69" i="69"/>
  <c r="H148" i="69"/>
  <c r="H86" i="69"/>
  <c r="H171" i="69"/>
  <c r="H106" i="120"/>
  <c r="H45" i="120"/>
  <c r="H180" i="150"/>
  <c r="H75" i="86"/>
  <c r="H192" i="86"/>
  <c r="H167" i="86"/>
  <c r="H50" i="86"/>
  <c r="H109" i="86"/>
  <c r="H182" i="86"/>
  <c r="H102" i="86"/>
  <c r="H26" i="86"/>
  <c r="H87" i="86"/>
  <c r="H196" i="86"/>
  <c r="H41" i="86"/>
  <c r="H206" i="86"/>
  <c r="H60" i="86"/>
  <c r="H34" i="86"/>
  <c r="H159" i="86"/>
  <c r="H40" i="86"/>
  <c r="H101" i="86"/>
  <c r="H204" i="86"/>
  <c r="H130" i="86"/>
  <c r="H89" i="86"/>
  <c r="H97" i="158"/>
  <c r="H39" i="158"/>
  <c r="H50" i="158"/>
  <c r="H203" i="158"/>
  <c r="H124" i="42"/>
  <c r="H30" i="86"/>
  <c r="H166" i="86"/>
  <c r="H91" i="86"/>
  <c r="H77" i="86"/>
  <c r="H150" i="86"/>
  <c r="H164" i="158"/>
  <c r="H150" i="158"/>
  <c r="H151" i="158"/>
  <c r="H185" i="158"/>
  <c r="H159" i="158"/>
  <c r="H171" i="158"/>
  <c r="H90" i="158"/>
  <c r="H41" i="104"/>
  <c r="H133" i="86"/>
  <c r="H123" i="86"/>
  <c r="H92" i="86"/>
  <c r="H84" i="86"/>
  <c r="H75" i="95"/>
  <c r="H88" i="95"/>
  <c r="H123" i="119"/>
  <c r="H102" i="158"/>
  <c r="H49" i="158"/>
  <c r="H85" i="158"/>
  <c r="H168" i="158"/>
  <c r="H190" i="158"/>
  <c r="H73" i="158"/>
  <c r="H107" i="158"/>
  <c r="H200" i="158"/>
  <c r="H146" i="158"/>
  <c r="H45" i="158"/>
  <c r="H116" i="158"/>
  <c r="H83" i="158"/>
  <c r="H74" i="158"/>
  <c r="H135" i="158"/>
  <c r="H60" i="158"/>
  <c r="H96" i="158"/>
  <c r="H93" i="158"/>
  <c r="H119" i="158"/>
  <c r="H155" i="158"/>
  <c r="H68" i="158"/>
  <c r="H182" i="104"/>
  <c r="H92" i="72"/>
  <c r="H171" i="172"/>
  <c r="H140" i="42"/>
  <c r="H42" i="42"/>
  <c r="H159" i="89"/>
  <c r="H109" i="143"/>
  <c r="H116" i="143"/>
  <c r="H52" i="143"/>
  <c r="H179" i="143"/>
  <c r="H190" i="143"/>
  <c r="H117" i="143"/>
  <c r="H119" i="69"/>
  <c r="H160" i="69"/>
  <c r="H165" i="69"/>
  <c r="H202" i="69"/>
  <c r="H71" i="69"/>
  <c r="H156" i="69"/>
  <c r="H153" i="69"/>
  <c r="H96" i="69"/>
  <c r="H30" i="120"/>
  <c r="H68" i="150"/>
  <c r="H151" i="86"/>
  <c r="H57" i="86"/>
  <c r="H137" i="86"/>
  <c r="H85" i="86"/>
  <c r="H202" i="86"/>
  <c r="H179" i="86"/>
  <c r="H97" i="86"/>
  <c r="H106" i="86"/>
  <c r="H72" i="86"/>
  <c r="H153" i="86"/>
  <c r="H194" i="86"/>
  <c r="H176" i="86"/>
  <c r="H70" i="86"/>
  <c r="H25" i="86"/>
  <c r="H33" i="86"/>
  <c r="H42" i="86"/>
  <c r="H124" i="86"/>
  <c r="H164" i="86"/>
  <c r="H115" i="86"/>
  <c r="G215" i="90"/>
  <c r="K12" i="90"/>
  <c r="H205" i="90"/>
  <c r="H168" i="90"/>
  <c r="H140" i="90"/>
  <c r="H147" i="90"/>
  <c r="H99" i="90"/>
  <c r="H74" i="90"/>
  <c r="H76" i="90"/>
  <c r="H170" i="90"/>
  <c r="H29" i="90"/>
  <c r="H161" i="90"/>
  <c r="H138" i="90"/>
  <c r="H196" i="90"/>
  <c r="H136" i="90"/>
  <c r="H73" i="90"/>
  <c r="H182" i="90"/>
  <c r="H160" i="90"/>
  <c r="H116" i="90"/>
  <c r="H193" i="90"/>
  <c r="H45" i="90"/>
  <c r="H137" i="90"/>
  <c r="H56" i="90"/>
  <c r="H191" i="90"/>
  <c r="H39" i="90"/>
  <c r="H82" i="90"/>
  <c r="H184" i="90"/>
  <c r="H100" i="90"/>
  <c r="H190" i="90"/>
  <c r="H70" i="90"/>
  <c r="H181" i="90"/>
  <c r="H145" i="90"/>
  <c r="H64" i="90"/>
  <c r="H119" i="90"/>
  <c r="H102" i="90"/>
  <c r="H141" i="90"/>
  <c r="H124" i="90"/>
  <c r="H203" i="90"/>
  <c r="H188" i="90"/>
  <c r="H183" i="90"/>
  <c r="H61" i="90"/>
  <c r="H72" i="90"/>
  <c r="H58" i="90"/>
  <c r="H117" i="90"/>
  <c r="H197" i="90"/>
  <c r="H195" i="90"/>
  <c r="H37" i="90"/>
  <c r="H178" i="90"/>
  <c r="H66" i="90"/>
  <c r="H89" i="90"/>
  <c r="H40" i="90"/>
  <c r="H118" i="90"/>
  <c r="H71" i="90"/>
  <c r="H34" i="90"/>
  <c r="H151" i="90"/>
  <c r="H127" i="90"/>
  <c r="H172" i="90"/>
  <c r="H27" i="90"/>
  <c r="H171" i="90"/>
  <c r="H110" i="90"/>
  <c r="H173" i="90"/>
  <c r="H98" i="90"/>
  <c r="H194" i="90"/>
  <c r="H177" i="90"/>
  <c r="H123" i="90"/>
  <c r="H55" i="90"/>
  <c r="H174" i="90"/>
  <c r="H129" i="90"/>
  <c r="H125" i="90"/>
  <c r="H57" i="90"/>
  <c r="H157" i="90"/>
  <c r="H78" i="90"/>
  <c r="H25" i="90"/>
  <c r="H201" i="90"/>
  <c r="H126" i="90"/>
  <c r="H186" i="90"/>
  <c r="H31" i="90"/>
  <c r="H33" i="90"/>
  <c r="H169" i="90"/>
  <c r="H38" i="90"/>
  <c r="H111" i="90"/>
  <c r="H30" i="90"/>
  <c r="H51" i="90"/>
  <c r="H41" i="90"/>
  <c r="H200" i="90"/>
  <c r="H152" i="90"/>
  <c r="H83" i="90"/>
  <c r="H206" i="90"/>
  <c r="H107" i="90"/>
  <c r="H87" i="90"/>
  <c r="H75" i="90"/>
  <c r="H202" i="90"/>
  <c r="H90" i="90"/>
  <c r="H28" i="90"/>
  <c r="H68" i="90"/>
  <c r="H130" i="90"/>
  <c r="H204" i="90"/>
  <c r="H79" i="90"/>
  <c r="H69" i="90"/>
  <c r="H36" i="90"/>
  <c r="H97" i="90"/>
  <c r="H88" i="90"/>
  <c r="H208" i="95"/>
  <c r="H206" i="95"/>
  <c r="H34" i="95"/>
  <c r="H50" i="95"/>
  <c r="H200" i="95"/>
  <c r="H36" i="95"/>
  <c r="H196" i="95"/>
  <c r="H107" i="95"/>
  <c r="H70" i="175"/>
  <c r="H109" i="72"/>
  <c r="H56" i="72"/>
  <c r="H158" i="90"/>
  <c r="H91" i="90"/>
  <c r="H179" i="90"/>
  <c r="H47" i="90"/>
  <c r="H165" i="90"/>
  <c r="H176" i="150"/>
  <c r="H54" i="150"/>
  <c r="H164" i="150"/>
  <c r="H184" i="177"/>
  <c r="H44" i="177"/>
  <c r="H90" i="177"/>
  <c r="H88" i="177"/>
  <c r="K12" i="177"/>
  <c r="H146" i="177"/>
  <c r="H50" i="177"/>
  <c r="H127" i="177"/>
  <c r="H49" i="177"/>
  <c r="H187" i="177"/>
  <c r="H159" i="177"/>
  <c r="H165" i="177"/>
  <c r="H190" i="177"/>
  <c r="H202" i="177"/>
  <c r="H56" i="177"/>
  <c r="H157" i="177"/>
  <c r="H138" i="177"/>
  <c r="H208" i="177"/>
  <c r="H48" i="177"/>
  <c r="H131" i="177"/>
  <c r="H191" i="177"/>
  <c r="H174" i="177"/>
  <c r="H72" i="177"/>
  <c r="H173" i="177"/>
  <c r="H39" i="177"/>
  <c r="H52" i="177"/>
  <c r="H148" i="177"/>
  <c r="H123" i="177"/>
  <c r="H133" i="177"/>
  <c r="H68" i="177"/>
  <c r="H185" i="177"/>
  <c r="H108" i="177"/>
  <c r="H86" i="177"/>
  <c r="H105" i="177"/>
  <c r="H58" i="177"/>
  <c r="H140" i="177"/>
  <c r="H116" i="177"/>
  <c r="G215" i="177"/>
  <c r="H36" i="177"/>
  <c r="H70" i="177"/>
  <c r="G238" i="31"/>
  <c r="H119" i="95"/>
  <c r="H150" i="95"/>
  <c r="H138" i="95"/>
  <c r="H77" i="95"/>
  <c r="H25" i="95"/>
  <c r="H92" i="95"/>
  <c r="H33" i="95"/>
  <c r="H106" i="95"/>
  <c r="H116" i="95"/>
  <c r="H188" i="95"/>
  <c r="H191" i="95"/>
  <c r="H157" i="95"/>
  <c r="H127" i="95"/>
  <c r="H158" i="95"/>
  <c r="H146" i="95"/>
  <c r="H54" i="95"/>
  <c r="H132" i="95"/>
  <c r="H98" i="95"/>
  <c r="H124" i="95"/>
  <c r="H124" i="119"/>
  <c r="H65" i="177"/>
  <c r="H34" i="177"/>
  <c r="H183" i="177"/>
  <c r="H118" i="149"/>
  <c r="H114" i="175"/>
  <c r="H142" i="175"/>
  <c r="H136" i="1"/>
  <c r="H129" i="72"/>
  <c r="H137" i="72"/>
  <c r="H183" i="72"/>
  <c r="H132" i="90"/>
  <c r="H159" i="90"/>
  <c r="H101" i="90"/>
  <c r="H131" i="90"/>
  <c r="H85" i="90"/>
  <c r="H167" i="90"/>
  <c r="H156" i="90"/>
  <c r="H133" i="90"/>
  <c r="H37" i="150"/>
  <c r="H159" i="150"/>
  <c r="H183" i="150"/>
  <c r="H148" i="150"/>
  <c r="H168" i="150"/>
  <c r="H48" i="150"/>
  <c r="H197" i="150"/>
  <c r="H143" i="150"/>
  <c r="H133" i="95"/>
  <c r="H184" i="95"/>
  <c r="H109" i="95"/>
  <c r="H86" i="95"/>
  <c r="H166" i="95"/>
  <c r="H190" i="95"/>
  <c r="H152" i="95"/>
  <c r="H165" i="95"/>
  <c r="H53" i="95"/>
  <c r="H125" i="175"/>
  <c r="H150" i="72"/>
  <c r="H46" i="90"/>
  <c r="H109" i="90"/>
  <c r="H67" i="90"/>
  <c r="H205" i="150"/>
  <c r="H187" i="150"/>
  <c r="H158" i="150"/>
  <c r="H109" i="150"/>
  <c r="G215" i="149"/>
  <c r="H79" i="149"/>
  <c r="H108" i="149"/>
  <c r="H58" i="149"/>
  <c r="H74" i="149"/>
  <c r="H180" i="149"/>
  <c r="H147" i="149"/>
  <c r="H137" i="149"/>
  <c r="H164" i="149"/>
  <c r="H143" i="149"/>
  <c r="H42" i="149"/>
  <c r="H102" i="149"/>
  <c r="H160" i="149"/>
  <c r="H116" i="149"/>
  <c r="H27" i="149"/>
  <c r="H195" i="149"/>
  <c r="H51" i="149"/>
  <c r="H61" i="149"/>
  <c r="H150" i="149"/>
  <c r="H135" i="149"/>
  <c r="H45" i="149"/>
  <c r="G238" i="89"/>
  <c r="H110" i="95"/>
  <c r="H181" i="95"/>
  <c r="H117" i="95"/>
  <c r="H182" i="95"/>
  <c r="H193" i="95"/>
  <c r="H129" i="95"/>
  <c r="H203" i="95"/>
  <c r="H180" i="95"/>
  <c r="H91" i="95"/>
  <c r="H67" i="95"/>
  <c r="H187" i="95"/>
  <c r="H175" i="95"/>
  <c r="K12" i="95"/>
  <c r="H194" i="95"/>
  <c r="H160" i="95"/>
  <c r="H31" i="95"/>
  <c r="H72" i="95"/>
  <c r="H42" i="95"/>
  <c r="H141" i="95"/>
  <c r="H40" i="177"/>
  <c r="H151" i="177"/>
  <c r="H78" i="177"/>
  <c r="H114" i="149"/>
  <c r="H176" i="175"/>
  <c r="H67" i="175"/>
  <c r="H176" i="1"/>
  <c r="H72" i="1"/>
  <c r="H135" i="72"/>
  <c r="H60" i="72"/>
  <c r="H189" i="90"/>
  <c r="H166" i="90"/>
  <c r="H146" i="90"/>
  <c r="H35" i="90"/>
  <c r="H93" i="90"/>
  <c r="H65" i="90"/>
  <c r="H150" i="90"/>
  <c r="H77" i="90"/>
  <c r="H44" i="150"/>
  <c r="H165" i="150"/>
  <c r="H93" i="150"/>
  <c r="H110" i="150"/>
  <c r="H151" i="150"/>
  <c r="H127" i="150"/>
  <c r="H59" i="150"/>
  <c r="H70" i="150"/>
  <c r="G215" i="72"/>
  <c r="H169" i="72"/>
  <c r="H188" i="72"/>
  <c r="H28" i="72"/>
  <c r="H102" i="72"/>
  <c r="H100" i="72"/>
  <c r="H126" i="72"/>
  <c r="H54" i="72"/>
  <c r="H41" i="72"/>
  <c r="H131" i="72"/>
  <c r="H151" i="72"/>
  <c r="H76" i="72"/>
  <c r="H101" i="72"/>
  <c r="H66" i="72"/>
  <c r="H138" i="72"/>
  <c r="H83" i="72"/>
  <c r="H116" i="72"/>
  <c r="H191" i="72"/>
  <c r="H105" i="72"/>
  <c r="H205" i="72"/>
  <c r="H59" i="72"/>
  <c r="H106" i="72"/>
  <c r="H36" i="72"/>
  <c r="H164" i="72"/>
  <c r="H75" i="72"/>
  <c r="H180" i="72"/>
  <c r="H31" i="72"/>
  <c r="H186" i="72"/>
  <c r="H201" i="72"/>
  <c r="K12" i="72"/>
  <c r="H65" i="72"/>
  <c r="H57" i="72"/>
  <c r="H119" i="72"/>
  <c r="H38" i="72"/>
  <c r="H153" i="72"/>
  <c r="H208" i="72"/>
  <c r="H30" i="72"/>
  <c r="H58" i="72"/>
  <c r="H78" i="95"/>
  <c r="H202" i="95"/>
  <c r="H156" i="95"/>
  <c r="H118" i="95"/>
  <c r="H70" i="95"/>
  <c r="H32" i="95"/>
  <c r="H125" i="95"/>
  <c r="H115" i="95"/>
  <c r="H179" i="95"/>
  <c r="H73" i="95"/>
  <c r="H26" i="95"/>
  <c r="H44" i="95"/>
  <c r="H76" i="95"/>
  <c r="H28" i="95"/>
  <c r="H189" i="175"/>
  <c r="H157" i="175"/>
  <c r="H55" i="72"/>
  <c r="H42" i="72"/>
  <c r="H86" i="90"/>
  <c r="H26" i="90"/>
  <c r="H108" i="90"/>
  <c r="H142" i="90"/>
  <c r="H60" i="90"/>
  <c r="H49" i="90"/>
  <c r="H176" i="90"/>
  <c r="H88" i="119"/>
  <c r="H203" i="119"/>
  <c r="H175" i="119"/>
  <c r="H72" i="119"/>
  <c r="H76" i="119"/>
  <c r="H45" i="119"/>
  <c r="H173" i="119"/>
  <c r="H51" i="119"/>
  <c r="H202" i="119"/>
  <c r="H193" i="119"/>
  <c r="H86" i="119"/>
  <c r="H67" i="119"/>
  <c r="H170" i="89"/>
  <c r="H89" i="89"/>
  <c r="H105" i="89"/>
  <c r="H52" i="89"/>
  <c r="H119" i="89"/>
  <c r="K12" i="89"/>
  <c r="H40" i="89"/>
  <c r="H68" i="89"/>
  <c r="H56" i="24"/>
  <c r="H183" i="24"/>
  <c r="H179" i="24"/>
  <c r="H127" i="24"/>
  <c r="H52" i="24"/>
  <c r="H48" i="24"/>
  <c r="H119" i="24"/>
  <c r="H38" i="24"/>
  <c r="G215" i="142"/>
  <c r="H132" i="142"/>
  <c r="H61" i="142"/>
  <c r="H27" i="142"/>
  <c r="H188" i="142"/>
  <c r="H75" i="142"/>
  <c r="H130" i="142"/>
  <c r="H187" i="142"/>
  <c r="H49" i="95"/>
  <c r="H59" i="95"/>
  <c r="H126" i="95"/>
  <c r="H101" i="95"/>
  <c r="H85" i="95"/>
  <c r="H45" i="95"/>
  <c r="H131" i="95"/>
  <c r="H41" i="95"/>
  <c r="H64" i="95"/>
  <c r="H55" i="95"/>
  <c r="H52" i="95"/>
  <c r="H147" i="95"/>
  <c r="H114" i="95"/>
  <c r="H39" i="95"/>
  <c r="H142" i="95"/>
  <c r="H167" i="95"/>
  <c r="H100" i="95"/>
  <c r="H168" i="95"/>
  <c r="H201" i="119"/>
  <c r="H66" i="177"/>
  <c r="H98" i="177"/>
  <c r="H184" i="149"/>
  <c r="H191" i="175"/>
  <c r="H73" i="19"/>
  <c r="H197" i="72"/>
  <c r="H167" i="72"/>
  <c r="H74" i="72"/>
  <c r="H192" i="90"/>
  <c r="H185" i="90"/>
  <c r="H54" i="90"/>
  <c r="H92" i="90"/>
  <c r="H105" i="90"/>
  <c r="H50" i="90"/>
  <c r="H180" i="90"/>
  <c r="H164" i="90"/>
  <c r="H87" i="89"/>
  <c r="H208" i="150"/>
  <c r="H126" i="150"/>
  <c r="H82" i="150"/>
  <c r="H123" i="150"/>
  <c r="H170" i="150"/>
  <c r="H42" i="150"/>
  <c r="H194" i="150"/>
  <c r="H152" i="150"/>
  <c r="G238" i="83"/>
  <c r="H25" i="84"/>
  <c r="H183" i="175"/>
  <c r="H111" i="175"/>
  <c r="H83" i="175"/>
  <c r="H179" i="175"/>
  <c r="H106" i="175"/>
  <c r="H156" i="175"/>
  <c r="H143" i="175"/>
  <c r="H90" i="175"/>
  <c r="H32" i="175"/>
  <c r="H148" i="175"/>
  <c r="H140" i="175"/>
  <c r="H54" i="175"/>
  <c r="H105" i="175"/>
  <c r="H68" i="175"/>
  <c r="H98" i="175"/>
  <c r="H190" i="175"/>
  <c r="H171" i="175"/>
  <c r="H86" i="175"/>
  <c r="H43" i="175"/>
  <c r="H108" i="175"/>
  <c r="H65" i="175"/>
  <c r="H50" i="175"/>
  <c r="H155" i="175"/>
  <c r="H177" i="175"/>
  <c r="H84" i="175"/>
  <c r="H56" i="175"/>
  <c r="G215" i="95"/>
  <c r="H159" i="95"/>
  <c r="H65" i="95"/>
  <c r="H79" i="95"/>
  <c r="H171" i="95"/>
  <c r="H197" i="95"/>
  <c r="H97" i="95"/>
  <c r="H148" i="95"/>
  <c r="H56" i="95"/>
  <c r="H60" i="95"/>
  <c r="H137" i="95"/>
  <c r="H204" i="95"/>
  <c r="H71" i="95"/>
  <c r="H37" i="95"/>
  <c r="H123" i="95"/>
  <c r="H30" i="95"/>
  <c r="H172" i="95"/>
  <c r="H108" i="95"/>
  <c r="H141" i="150"/>
  <c r="H55" i="150"/>
  <c r="H155" i="150"/>
  <c r="H58" i="1"/>
  <c r="H146" i="1"/>
  <c r="H166" i="1"/>
  <c r="H173" i="1"/>
  <c r="H40" i="1"/>
  <c r="H39" i="1"/>
  <c r="H92" i="1"/>
  <c r="H90" i="1"/>
  <c r="H203" i="1"/>
  <c r="H28" i="1"/>
  <c r="H34" i="1"/>
  <c r="H78" i="1"/>
  <c r="H153" i="1"/>
  <c r="K12" i="1"/>
  <c r="H193" i="1"/>
  <c r="H124" i="1"/>
  <c r="H107" i="31"/>
  <c r="H101" i="31"/>
  <c r="H125" i="31"/>
  <c r="H52" i="31"/>
  <c r="H193" i="31"/>
  <c r="H177" i="31"/>
  <c r="H189" i="31"/>
  <c r="H32" i="31"/>
  <c r="H114" i="31"/>
  <c r="H64" i="31"/>
  <c r="H174" i="31"/>
  <c r="H51" i="95"/>
  <c r="H151" i="95"/>
  <c r="H195" i="95"/>
  <c r="H173" i="95"/>
  <c r="H38" i="95"/>
  <c r="H43" i="95"/>
  <c r="H153" i="95"/>
  <c r="H96" i="95"/>
  <c r="H27" i="95"/>
  <c r="H169" i="95"/>
  <c r="H170" i="95"/>
  <c r="H136" i="95"/>
  <c r="H192" i="95"/>
  <c r="H111" i="95"/>
  <c r="H186" i="95"/>
  <c r="H57" i="95"/>
  <c r="H66" i="95"/>
  <c r="H89" i="95"/>
  <c r="H108" i="119"/>
  <c r="H156" i="177"/>
  <c r="H196" i="177"/>
  <c r="H126" i="177"/>
  <c r="H205" i="31"/>
  <c r="H60" i="149"/>
  <c r="H52" i="175"/>
  <c r="H145" i="1"/>
  <c r="H181" i="72"/>
  <c r="H99" i="72"/>
  <c r="H171" i="72"/>
  <c r="H208" i="90"/>
  <c r="H59" i="90"/>
  <c r="H149" i="90"/>
  <c r="H84" i="90"/>
  <c r="H96" i="90"/>
  <c r="H32" i="90"/>
  <c r="H52" i="90"/>
  <c r="H166" i="89"/>
  <c r="H31" i="150"/>
  <c r="H69" i="150"/>
  <c r="H204" i="150"/>
  <c r="H108" i="150"/>
  <c r="H60" i="150"/>
  <c r="H30" i="150"/>
  <c r="H160" i="150"/>
  <c r="H196" i="150"/>
  <c r="H105" i="150"/>
  <c r="H145" i="150"/>
  <c r="H84" i="150"/>
  <c r="H88" i="150"/>
  <c r="H61" i="150"/>
  <c r="H52" i="150"/>
  <c r="H181" i="150"/>
  <c r="H200" i="150"/>
  <c r="H36" i="150"/>
  <c r="H45" i="150"/>
  <c r="H167" i="150"/>
  <c r="H58" i="150"/>
  <c r="H133" i="150"/>
  <c r="H29" i="150"/>
  <c r="H51" i="150"/>
  <c r="H129" i="150"/>
  <c r="H147" i="150"/>
  <c r="H132" i="150"/>
  <c r="H191" i="150"/>
  <c r="H39" i="150"/>
  <c r="H97" i="150"/>
  <c r="H136" i="150"/>
  <c r="H153" i="150"/>
  <c r="H98" i="150"/>
  <c r="K12" i="150"/>
  <c r="H72" i="150"/>
  <c r="H172" i="150"/>
  <c r="H188" i="150"/>
  <c r="H65" i="150"/>
  <c r="H166" i="150"/>
  <c r="H87" i="150"/>
  <c r="H201" i="150"/>
  <c r="H118" i="150"/>
  <c r="H41" i="150"/>
  <c r="H182" i="150"/>
  <c r="H206" i="150"/>
  <c r="H67" i="150"/>
  <c r="H117" i="150"/>
  <c r="H125" i="150"/>
  <c r="H74" i="150"/>
  <c r="H26" i="150"/>
  <c r="H32" i="150"/>
  <c r="H78" i="150"/>
  <c r="H111" i="150"/>
  <c r="H177" i="150"/>
  <c r="H115" i="150"/>
  <c r="H49" i="150"/>
  <c r="H184" i="150"/>
  <c r="H142" i="150"/>
  <c r="H25" i="150"/>
  <c r="H34" i="150"/>
  <c r="H190" i="150"/>
  <c r="H114" i="150"/>
  <c r="H106" i="150"/>
  <c r="H102" i="150"/>
  <c r="H119" i="150"/>
  <c r="H149" i="150"/>
  <c r="H150" i="150"/>
  <c r="H193" i="150"/>
  <c r="H186" i="150"/>
  <c r="H92" i="150"/>
  <c r="H28" i="150"/>
  <c r="H140" i="150"/>
  <c r="H189" i="150"/>
  <c r="H43" i="150"/>
  <c r="H56" i="150"/>
  <c r="H173" i="150"/>
  <c r="H35" i="150"/>
  <c r="H50" i="150"/>
  <c r="H96" i="150"/>
  <c r="H85" i="150"/>
  <c r="H91" i="150"/>
  <c r="H90" i="150"/>
  <c r="H135" i="150"/>
  <c r="H116" i="150"/>
  <c r="H203" i="150"/>
  <c r="H192" i="150"/>
  <c r="H171" i="150"/>
  <c r="H40" i="150"/>
  <c r="H86" i="150"/>
  <c r="H71" i="150"/>
  <c r="G215" i="150"/>
  <c r="H101" i="150"/>
  <c r="H202" i="150"/>
  <c r="H157" i="150"/>
  <c r="H100" i="150"/>
  <c r="H77" i="150"/>
  <c r="H73" i="150"/>
  <c r="H64" i="150"/>
  <c r="H38" i="150"/>
  <c r="H107" i="150"/>
  <c r="H195" i="150"/>
  <c r="H33" i="150"/>
  <c r="H57" i="150"/>
  <c r="H99" i="150"/>
  <c r="H75" i="150"/>
  <c r="H83" i="150"/>
  <c r="H146" i="150"/>
  <c r="H47" i="150"/>
  <c r="H137" i="150"/>
  <c r="H53" i="150"/>
  <c r="H46" i="95"/>
  <c r="H102" i="95"/>
  <c r="H35" i="95"/>
  <c r="H25" i="72"/>
  <c r="H135" i="90"/>
  <c r="H161" i="150"/>
  <c r="H175" i="150"/>
  <c r="H169" i="150"/>
  <c r="H76" i="150"/>
  <c r="H179" i="150"/>
  <c r="H164" i="19"/>
  <c r="H125" i="19"/>
  <c r="H130" i="19"/>
  <c r="H31" i="19"/>
  <c r="H183" i="19"/>
  <c r="H49" i="19"/>
  <c r="H161" i="19"/>
  <c r="H107" i="19"/>
  <c r="H189" i="95"/>
  <c r="H155" i="95"/>
  <c r="H84" i="95"/>
  <c r="H74" i="95"/>
  <c r="H40" i="95"/>
  <c r="H149" i="95"/>
  <c r="H185" i="95"/>
  <c r="H58" i="95"/>
  <c r="H205" i="95"/>
  <c r="H87" i="95"/>
  <c r="H178" i="95"/>
  <c r="H105" i="95"/>
  <c r="H183" i="95"/>
  <c r="H82" i="95"/>
  <c r="H29" i="95"/>
  <c r="H164" i="95"/>
  <c r="H47" i="95"/>
  <c r="H145" i="95"/>
  <c r="H83" i="119"/>
  <c r="H150" i="177"/>
  <c r="H177" i="177"/>
  <c r="H75" i="177"/>
  <c r="H60" i="31"/>
  <c r="H43" i="149"/>
  <c r="H52" i="149"/>
  <c r="H205" i="175"/>
  <c r="H60" i="175"/>
  <c r="H50" i="1"/>
  <c r="H171" i="19"/>
  <c r="H203" i="72"/>
  <c r="H142" i="72"/>
  <c r="H48" i="90"/>
  <c r="H153" i="90"/>
  <c r="H53" i="90"/>
  <c r="H187" i="90"/>
  <c r="H175" i="90"/>
  <c r="H143" i="90"/>
  <c r="H148" i="90"/>
  <c r="H31" i="24"/>
  <c r="H174" i="150"/>
  <c r="H27" i="150"/>
  <c r="H46" i="150"/>
  <c r="H124" i="150"/>
  <c r="H130" i="150"/>
  <c r="H138" i="150"/>
  <c r="H156" i="150"/>
  <c r="H133" i="79"/>
  <c r="H91" i="79"/>
  <c r="H151" i="79"/>
  <c r="H71" i="79"/>
  <c r="H166" i="79"/>
  <c r="H42" i="79"/>
  <c r="H146" i="79"/>
  <c r="H106" i="79"/>
  <c r="H137" i="79"/>
  <c r="H34" i="79"/>
  <c r="H50" i="119"/>
  <c r="H25" i="119"/>
  <c r="H52" i="119"/>
  <c r="H200" i="119"/>
  <c r="H38" i="119"/>
  <c r="H33" i="119"/>
  <c r="H155" i="119"/>
  <c r="H64" i="119"/>
  <c r="H208" i="119"/>
  <c r="H44" i="119"/>
  <c r="H67" i="31"/>
  <c r="H27" i="31"/>
  <c r="H96" i="31"/>
  <c r="H43" i="31"/>
  <c r="H76" i="31"/>
  <c r="H51" i="31"/>
  <c r="H70" i="31"/>
  <c r="H145" i="31"/>
  <c r="H150" i="64"/>
  <c r="H85" i="104"/>
  <c r="H142" i="104"/>
  <c r="H100" i="157"/>
  <c r="H161" i="172"/>
  <c r="H34" i="172"/>
  <c r="H192" i="172"/>
  <c r="H111" i="172"/>
  <c r="H203" i="172"/>
  <c r="H183" i="89"/>
  <c r="H54" i="89"/>
  <c r="H135" i="89"/>
  <c r="H33" i="89"/>
  <c r="H55" i="143"/>
  <c r="H86" i="143"/>
  <c r="H34" i="143"/>
  <c r="H30" i="143"/>
  <c r="H191" i="143"/>
  <c r="H40" i="143"/>
  <c r="H133" i="143"/>
  <c r="H106" i="143"/>
  <c r="H74" i="143"/>
  <c r="H72" i="143"/>
  <c r="H56" i="143"/>
  <c r="H161" i="143"/>
  <c r="H35" i="143"/>
  <c r="H108" i="143"/>
  <c r="H29" i="143"/>
  <c r="H41" i="143"/>
  <c r="H76" i="143"/>
  <c r="H54" i="143"/>
  <c r="H167" i="143"/>
  <c r="H185" i="143"/>
  <c r="H64" i="143"/>
  <c r="H48" i="69"/>
  <c r="H197" i="69"/>
  <c r="H206" i="69"/>
  <c r="H155" i="69"/>
  <c r="H54" i="69"/>
  <c r="H28" i="69"/>
  <c r="H55" i="69"/>
  <c r="H149" i="69"/>
  <c r="H110" i="69"/>
  <c r="H127" i="69"/>
  <c r="H140" i="69"/>
  <c r="H90" i="69"/>
  <c r="H83" i="69"/>
  <c r="H27" i="69"/>
  <c r="H74" i="69"/>
  <c r="H36" i="69"/>
  <c r="H72" i="69"/>
  <c r="H186" i="69"/>
  <c r="H145" i="69"/>
  <c r="H152" i="69"/>
  <c r="H190" i="69"/>
  <c r="H48" i="120"/>
  <c r="H151" i="120"/>
  <c r="H92" i="120"/>
  <c r="H98" i="120"/>
  <c r="H141" i="120"/>
  <c r="H135" i="142"/>
  <c r="H175" i="142"/>
  <c r="H90" i="142"/>
  <c r="H100" i="142"/>
  <c r="H53" i="142"/>
  <c r="H73" i="49"/>
  <c r="H40" i="50"/>
  <c r="H208" i="50"/>
  <c r="H140" i="50"/>
  <c r="H124" i="50"/>
  <c r="H155" i="50"/>
  <c r="H32" i="50"/>
  <c r="H203" i="50"/>
  <c r="H84" i="50"/>
  <c r="H98" i="50"/>
  <c r="H129" i="50"/>
  <c r="H172" i="50"/>
  <c r="H92" i="50"/>
  <c r="H106" i="50"/>
  <c r="H44" i="50"/>
  <c r="H69" i="50"/>
  <c r="H127" i="50"/>
  <c r="H42" i="50"/>
  <c r="H82" i="50"/>
  <c r="H149" i="50"/>
  <c r="H96" i="50"/>
  <c r="H182" i="119"/>
  <c r="H66" i="31"/>
  <c r="H208" i="15"/>
  <c r="H155" i="172"/>
  <c r="H101" i="172"/>
  <c r="H41" i="120"/>
  <c r="H131" i="79"/>
  <c r="H56" i="79"/>
  <c r="H168" i="79"/>
  <c r="H173" i="79"/>
  <c r="H202" i="79"/>
  <c r="H175" i="79"/>
  <c r="H179" i="79"/>
  <c r="H159" i="79"/>
  <c r="H189" i="79"/>
  <c r="H84" i="79"/>
  <c r="H136" i="79"/>
  <c r="H132" i="119"/>
  <c r="H143" i="119"/>
  <c r="H41" i="119"/>
  <c r="H159" i="119"/>
  <c r="H204" i="119"/>
  <c r="H197" i="119"/>
  <c r="H28" i="119"/>
  <c r="H206" i="119"/>
  <c r="H176" i="119"/>
  <c r="H172" i="119"/>
  <c r="H141" i="119"/>
  <c r="H98" i="31"/>
  <c r="H183" i="31"/>
  <c r="H160" i="31"/>
  <c r="H92" i="31"/>
  <c r="H130" i="31"/>
  <c r="H88" i="31"/>
  <c r="H82" i="31"/>
  <c r="H138" i="31"/>
  <c r="G215" i="120"/>
  <c r="H166" i="64"/>
  <c r="H155" i="104"/>
  <c r="H169" i="104"/>
  <c r="H87" i="157"/>
  <c r="H30" i="157"/>
  <c r="H145" i="15"/>
  <c r="H48" i="172"/>
  <c r="H72" i="172"/>
  <c r="H157" i="172"/>
  <c r="H131" i="172"/>
  <c r="H42" i="172"/>
  <c r="H37" i="89"/>
  <c r="H93" i="89"/>
  <c r="H72" i="89"/>
  <c r="H41" i="89"/>
  <c r="H91" i="143"/>
  <c r="H141" i="143"/>
  <c r="H50" i="143"/>
  <c r="H187" i="143"/>
  <c r="H168" i="143"/>
  <c r="H126" i="143"/>
  <c r="H101" i="143"/>
  <c r="H140" i="143"/>
  <c r="H142" i="143"/>
  <c r="H26" i="143"/>
  <c r="H107" i="143"/>
  <c r="H28" i="143"/>
  <c r="H93" i="143"/>
  <c r="H129" i="143"/>
  <c r="H193" i="143"/>
  <c r="H99" i="143"/>
  <c r="H65" i="143"/>
  <c r="H138" i="143"/>
  <c r="H51" i="143"/>
  <c r="H70" i="143"/>
  <c r="H76" i="69"/>
  <c r="H166" i="69"/>
  <c r="H173" i="69"/>
  <c r="H195" i="69"/>
  <c r="H41" i="69"/>
  <c r="H201" i="69"/>
  <c r="H100" i="69"/>
  <c r="H159" i="69"/>
  <c r="H135" i="69"/>
  <c r="H66" i="69"/>
  <c r="H26" i="69"/>
  <c r="H89" i="69"/>
  <c r="H126" i="69"/>
  <c r="H68" i="69"/>
  <c r="H102" i="69"/>
  <c r="H111" i="69"/>
  <c r="H29" i="69"/>
  <c r="H87" i="69"/>
  <c r="K12" i="69"/>
  <c r="H59" i="69"/>
  <c r="G238" i="53"/>
  <c r="H97" i="120"/>
  <c r="H118" i="120"/>
  <c r="H36" i="120"/>
  <c r="H168" i="120"/>
  <c r="H69" i="120"/>
  <c r="H67" i="142"/>
  <c r="H204" i="142"/>
  <c r="H206" i="142"/>
  <c r="H133" i="142"/>
  <c r="H146" i="142"/>
  <c r="H142" i="50"/>
  <c r="H178" i="50"/>
  <c r="H27" i="50"/>
  <c r="H31" i="50"/>
  <c r="H93" i="50"/>
  <c r="H71" i="50"/>
  <c r="H145" i="50"/>
  <c r="H161" i="50"/>
  <c r="H30" i="50"/>
  <c r="H108" i="50"/>
  <c r="H64" i="50"/>
  <c r="H85" i="50"/>
  <c r="H167" i="50"/>
  <c r="H75" i="50"/>
  <c r="H115" i="50"/>
  <c r="H99" i="50"/>
  <c r="H116" i="50"/>
  <c r="H76" i="50"/>
  <c r="H78" i="50"/>
  <c r="H58" i="50"/>
  <c r="H168" i="50"/>
  <c r="H46" i="119"/>
  <c r="H180" i="119"/>
  <c r="H202" i="31"/>
  <c r="H166" i="31"/>
  <c r="H108" i="31"/>
  <c r="H71" i="120"/>
  <c r="H149" i="142"/>
  <c r="H55" i="142"/>
  <c r="H100" i="79"/>
  <c r="H132" i="79"/>
  <c r="H42" i="119"/>
  <c r="H32" i="119"/>
  <c r="H196" i="119"/>
  <c r="H194" i="31"/>
  <c r="H151" i="31"/>
  <c r="H89" i="31"/>
  <c r="H115" i="64"/>
  <c r="H91" i="172"/>
  <c r="H174" i="143"/>
  <c r="H176" i="143"/>
  <c r="H177" i="143"/>
  <c r="H67" i="143"/>
  <c r="H49" i="143"/>
  <c r="H142" i="69"/>
  <c r="H37" i="69"/>
  <c r="H67" i="69"/>
  <c r="H116" i="69"/>
  <c r="H124" i="69"/>
  <c r="H157" i="69"/>
  <c r="H164" i="69"/>
  <c r="H147" i="69"/>
  <c r="H146" i="69"/>
  <c r="H175" i="69"/>
  <c r="H137" i="69"/>
  <c r="H196" i="69"/>
  <c r="H143" i="69"/>
  <c r="H136" i="69"/>
  <c r="H187" i="69"/>
  <c r="H47" i="69"/>
  <c r="H205" i="69"/>
  <c r="H189" i="69"/>
  <c r="H166" i="120"/>
  <c r="H201" i="120"/>
  <c r="H34" i="120"/>
  <c r="H61" i="120"/>
  <c r="H188" i="120"/>
  <c r="H119" i="142"/>
  <c r="H126" i="142"/>
  <c r="H34" i="142"/>
  <c r="H73" i="142"/>
  <c r="H108" i="142"/>
  <c r="G215" i="50"/>
  <c r="H125" i="50"/>
  <c r="H47" i="50"/>
  <c r="H37" i="50"/>
  <c r="H55" i="50"/>
  <c r="H26" i="50"/>
  <c r="H43" i="50"/>
  <c r="H182" i="50"/>
  <c r="H164" i="50"/>
  <c r="H111" i="50"/>
  <c r="H186" i="50"/>
  <c r="H183" i="50"/>
  <c r="H197" i="50"/>
  <c r="H60" i="50"/>
  <c r="H187" i="50"/>
  <c r="H194" i="50"/>
  <c r="H196" i="50"/>
  <c r="H48" i="50"/>
  <c r="H28" i="50"/>
  <c r="H201" i="50"/>
  <c r="H87" i="50"/>
  <c r="H56" i="50"/>
  <c r="H192" i="119"/>
  <c r="H29" i="119"/>
  <c r="H92" i="119"/>
  <c r="H138" i="119"/>
  <c r="H107" i="119"/>
  <c r="H69" i="31"/>
  <c r="H98" i="172"/>
  <c r="H82" i="172"/>
  <c r="H153" i="172"/>
  <c r="H44" i="120"/>
  <c r="H189" i="120"/>
  <c r="H151" i="142"/>
  <c r="H187" i="79"/>
  <c r="H75" i="79"/>
  <c r="H78" i="119"/>
  <c r="H98" i="119"/>
  <c r="H181" i="119"/>
  <c r="H179" i="119"/>
  <c r="H169" i="31"/>
  <c r="H133" i="31"/>
  <c r="H27" i="104"/>
  <c r="H176" i="104"/>
  <c r="H153" i="15"/>
  <c r="H57" i="172"/>
  <c r="H28" i="172"/>
  <c r="H143" i="172"/>
  <c r="H152" i="89"/>
  <c r="H105" i="143"/>
  <c r="H48" i="143"/>
  <c r="H204" i="143"/>
  <c r="H188" i="143"/>
  <c r="H97" i="143"/>
  <c r="H143" i="143"/>
  <c r="H82" i="143"/>
  <c r="H83" i="143"/>
  <c r="H135" i="143"/>
  <c r="H175" i="143"/>
  <c r="H170" i="143"/>
  <c r="H169" i="143"/>
  <c r="H153" i="143"/>
  <c r="H192" i="69"/>
  <c r="H26" i="79"/>
  <c r="H123" i="79"/>
  <c r="H89" i="79"/>
  <c r="H48" i="79"/>
  <c r="H150" i="79"/>
  <c r="H190" i="79"/>
  <c r="H31" i="79"/>
  <c r="H68" i="79"/>
  <c r="H183" i="79"/>
  <c r="H28" i="79"/>
  <c r="H205" i="119"/>
  <c r="H85" i="119"/>
  <c r="K12" i="119"/>
  <c r="H194" i="119"/>
  <c r="H27" i="119"/>
  <c r="H82" i="119"/>
  <c r="H102" i="119"/>
  <c r="H54" i="119"/>
  <c r="H133" i="119"/>
  <c r="H195" i="119"/>
  <c r="H79" i="31"/>
  <c r="H115" i="31"/>
  <c r="H147" i="31"/>
  <c r="H74" i="31"/>
  <c r="H185" i="31"/>
  <c r="H68" i="31"/>
  <c r="H184" i="31"/>
  <c r="H149" i="31"/>
  <c r="H156" i="64"/>
  <c r="H119" i="64"/>
  <c r="H64" i="104"/>
  <c r="H91" i="104"/>
  <c r="H92" i="104"/>
  <c r="H150" i="157"/>
  <c r="H105" i="172"/>
  <c r="H158" i="172"/>
  <c r="H99" i="172"/>
  <c r="H65" i="172"/>
  <c r="H35" i="172"/>
  <c r="H69" i="89"/>
  <c r="H115" i="89"/>
  <c r="H84" i="89"/>
  <c r="H131" i="89"/>
  <c r="H102" i="143"/>
  <c r="H32" i="143"/>
  <c r="H77" i="143"/>
  <c r="H173" i="143"/>
  <c r="H89" i="143"/>
  <c r="H172" i="143"/>
  <c r="H57" i="143"/>
  <c r="H208" i="143"/>
  <c r="H195" i="143"/>
  <c r="H118" i="143"/>
  <c r="H171" i="143"/>
  <c r="H96" i="143"/>
  <c r="H68" i="143"/>
  <c r="H45" i="143"/>
  <c r="H90" i="143"/>
  <c r="H145" i="143"/>
  <c r="H149" i="143"/>
  <c r="H36" i="143"/>
  <c r="H180" i="143"/>
  <c r="H165" i="143"/>
  <c r="H159" i="143"/>
  <c r="H174" i="69"/>
  <c r="H150" i="69"/>
  <c r="H141" i="69"/>
  <c r="H98" i="69"/>
  <c r="H40" i="69"/>
  <c r="H185" i="69"/>
  <c r="H39" i="69"/>
  <c r="H35" i="69"/>
  <c r="H60" i="69"/>
  <c r="H183" i="69"/>
  <c r="H115" i="69"/>
  <c r="H191" i="69"/>
  <c r="H30" i="69"/>
  <c r="H82" i="69"/>
  <c r="H61" i="69"/>
  <c r="H33" i="69"/>
  <c r="H77" i="69"/>
  <c r="H79" i="69"/>
  <c r="H45" i="69"/>
  <c r="H125" i="69"/>
  <c r="H161" i="120"/>
  <c r="H82" i="120"/>
  <c r="H66" i="120"/>
  <c r="H108" i="120"/>
  <c r="H126" i="120"/>
  <c r="H195" i="142"/>
  <c r="H99" i="142"/>
  <c r="H157" i="142"/>
  <c r="H117" i="142"/>
  <c r="H202" i="142"/>
  <c r="H153" i="50"/>
  <c r="H193" i="50"/>
  <c r="H117" i="50"/>
  <c r="H110" i="50"/>
  <c r="H165" i="50"/>
  <c r="H70" i="50"/>
  <c r="H176" i="50"/>
  <c r="H151" i="50"/>
  <c r="H52" i="50"/>
  <c r="H147" i="50"/>
  <c r="H169" i="50"/>
  <c r="H135" i="50"/>
  <c r="H130" i="50"/>
  <c r="H123" i="50"/>
  <c r="H38" i="50"/>
  <c r="H34" i="50"/>
  <c r="H138" i="50"/>
  <c r="H181" i="50"/>
  <c r="H90" i="50"/>
  <c r="H171" i="50"/>
  <c r="H142" i="119"/>
  <c r="H117" i="119"/>
  <c r="H169" i="119"/>
  <c r="H31" i="31"/>
  <c r="G215" i="31"/>
  <c r="H83" i="31"/>
  <c r="H192" i="120"/>
  <c r="H172" i="142"/>
  <c r="H79" i="142"/>
  <c r="K12" i="79"/>
  <c r="H55" i="79"/>
  <c r="H78" i="79"/>
  <c r="H35" i="79"/>
  <c r="H193" i="79"/>
  <c r="H155" i="79"/>
  <c r="H111" i="119"/>
  <c r="H99" i="119"/>
  <c r="H158" i="31"/>
  <c r="H191" i="31"/>
  <c r="H42" i="31"/>
  <c r="G215" i="143"/>
  <c r="H158" i="64"/>
  <c r="H45" i="172"/>
  <c r="H167" i="172"/>
  <c r="H151" i="89"/>
  <c r="H179" i="89"/>
  <c r="H196" i="143"/>
  <c r="H194" i="143"/>
  <c r="H106" i="69"/>
  <c r="H57" i="79"/>
  <c r="H117" i="79"/>
  <c r="H140" i="79"/>
  <c r="H39" i="79"/>
  <c r="H127" i="79"/>
  <c r="H142" i="79"/>
  <c r="H153" i="79"/>
  <c r="H125" i="79"/>
  <c r="H176" i="79"/>
  <c r="H197" i="79"/>
  <c r="H31" i="119"/>
  <c r="H74" i="119"/>
  <c r="H118" i="119"/>
  <c r="H125" i="119"/>
  <c r="H151" i="119"/>
  <c r="H161" i="119"/>
  <c r="H129" i="119"/>
  <c r="H178" i="119"/>
  <c r="H171" i="119"/>
  <c r="H135" i="31"/>
  <c r="H110" i="31"/>
  <c r="H196" i="31"/>
  <c r="H78" i="31"/>
  <c r="H161" i="31"/>
  <c r="H85" i="31"/>
  <c r="K12" i="31"/>
  <c r="H88" i="64"/>
  <c r="H191" i="64"/>
  <c r="G215" i="47"/>
  <c r="H160" i="104"/>
  <c r="H191" i="104"/>
  <c r="H34" i="157"/>
  <c r="H196" i="172"/>
  <c r="H92" i="172"/>
  <c r="H181" i="172"/>
  <c r="H173" i="172"/>
  <c r="H183" i="172"/>
  <c r="H130" i="89"/>
  <c r="H82" i="89"/>
  <c r="H195" i="89"/>
  <c r="H70" i="89"/>
  <c r="H157" i="143"/>
  <c r="H37" i="143"/>
  <c r="H53" i="143"/>
  <c r="H152" i="143"/>
  <c r="H131" i="143"/>
  <c r="H132" i="143"/>
  <c r="H78" i="143"/>
  <c r="H58" i="143"/>
  <c r="H206" i="143"/>
  <c r="H84" i="143"/>
  <c r="H164" i="143"/>
  <c r="H75" i="143"/>
  <c r="H182" i="143"/>
  <c r="H60" i="143"/>
  <c r="H146" i="143"/>
  <c r="H160" i="143"/>
  <c r="H71" i="143"/>
  <c r="H197" i="143"/>
  <c r="H39" i="143"/>
  <c r="H119" i="143"/>
  <c r="H188" i="69"/>
  <c r="H53" i="69"/>
  <c r="H99" i="69"/>
  <c r="H31" i="69"/>
  <c r="H38" i="69"/>
  <c r="H34" i="69"/>
  <c r="H93" i="69"/>
  <c r="H84" i="69"/>
  <c r="H151" i="69"/>
  <c r="H50" i="69"/>
  <c r="H200" i="69"/>
  <c r="H138" i="69"/>
  <c r="H130" i="69"/>
  <c r="H73" i="69"/>
  <c r="H51" i="69"/>
  <c r="H114" i="69"/>
  <c r="H32" i="69"/>
  <c r="H194" i="69"/>
  <c r="H182" i="69"/>
  <c r="H114" i="120"/>
  <c r="H78" i="120"/>
  <c r="H26" i="120"/>
  <c r="H60" i="120"/>
  <c r="H157" i="120"/>
  <c r="H52" i="142"/>
  <c r="H33" i="142"/>
  <c r="H58" i="142"/>
  <c r="H176" i="142"/>
  <c r="H85" i="142"/>
  <c r="H151" i="49"/>
  <c r="H146" i="50"/>
  <c r="H175" i="50"/>
  <c r="H45" i="50"/>
  <c r="H68" i="50"/>
  <c r="H148" i="50"/>
  <c r="H137" i="50"/>
  <c r="H192" i="50"/>
  <c r="H61" i="50"/>
  <c r="H166" i="50"/>
  <c r="H156" i="50"/>
  <c r="H46" i="50"/>
  <c r="H185" i="50"/>
  <c r="H74" i="50"/>
  <c r="H141" i="50"/>
  <c r="H179" i="50"/>
  <c r="H33" i="50"/>
  <c r="H50" i="50"/>
  <c r="H119" i="50"/>
  <c r="H143" i="50"/>
  <c r="G238" i="20"/>
  <c r="H76" i="79"/>
  <c r="H108" i="79"/>
  <c r="H51" i="79"/>
  <c r="H138" i="79"/>
  <c r="H180" i="79"/>
  <c r="H158" i="79"/>
  <c r="H54" i="79"/>
  <c r="H149" i="79"/>
  <c r="H93" i="79"/>
  <c r="H41" i="79"/>
  <c r="H96" i="79"/>
  <c r="H167" i="79"/>
  <c r="H88" i="79"/>
  <c r="H73" i="79"/>
  <c r="H157" i="79"/>
  <c r="H194" i="79"/>
  <c r="H105" i="79"/>
  <c r="H99" i="79"/>
  <c r="H72" i="79"/>
  <c r="H50" i="79"/>
  <c r="H66" i="79"/>
  <c r="H65" i="79"/>
  <c r="H174" i="79"/>
  <c r="H40" i="79"/>
  <c r="H191" i="79"/>
  <c r="H119" i="79"/>
  <c r="H111" i="79"/>
  <c r="H165" i="79"/>
  <c r="H114" i="79"/>
  <c r="H110" i="79"/>
  <c r="H196" i="79"/>
  <c r="H204" i="79"/>
  <c r="H170" i="79"/>
  <c r="H90" i="79"/>
  <c r="H46" i="79"/>
  <c r="H184" i="79"/>
  <c r="H177" i="79"/>
  <c r="H43" i="79"/>
  <c r="H129" i="79"/>
  <c r="H59" i="79"/>
  <c r="H152" i="79"/>
  <c r="H58" i="79"/>
  <c r="H130" i="79"/>
  <c r="H33" i="79"/>
  <c r="H61" i="79"/>
  <c r="H145" i="79"/>
  <c r="H70" i="79"/>
  <c r="H47" i="79"/>
  <c r="H77" i="79"/>
  <c r="H206" i="79"/>
  <c r="H201" i="79"/>
  <c r="H192" i="79"/>
  <c r="H101" i="79"/>
  <c r="H169" i="79"/>
  <c r="H83" i="79"/>
  <c r="H178" i="79"/>
  <c r="H67" i="79"/>
  <c r="H79" i="79"/>
  <c r="H135" i="79"/>
  <c r="H171" i="79"/>
  <c r="H185" i="79"/>
  <c r="H36" i="79"/>
  <c r="H44" i="79"/>
  <c r="H85" i="79"/>
  <c r="H53" i="79"/>
  <c r="H126" i="79"/>
  <c r="H160" i="79"/>
  <c r="H161" i="79"/>
  <c r="H69" i="79"/>
  <c r="H186" i="79"/>
  <c r="H107" i="79"/>
  <c r="H97" i="79"/>
  <c r="H74" i="79"/>
  <c r="H181" i="79"/>
  <c r="H195" i="79"/>
  <c r="H38" i="79"/>
  <c r="H116" i="79"/>
  <c r="H27" i="79"/>
  <c r="H49" i="79"/>
  <c r="H82" i="79"/>
  <c r="J205" i="97"/>
  <c r="G238" i="72"/>
  <c r="H153" i="31"/>
  <c r="H38" i="31"/>
  <c r="H46" i="31"/>
  <c r="H44" i="31"/>
  <c r="H204" i="31"/>
  <c r="H59" i="31"/>
  <c r="H129" i="31"/>
  <c r="H75" i="31"/>
  <c r="H45" i="31"/>
  <c r="H117" i="31"/>
  <c r="H170" i="31"/>
  <c r="H182" i="31"/>
  <c r="H152" i="31"/>
  <c r="H137" i="31"/>
  <c r="H102" i="31"/>
  <c r="H143" i="31"/>
  <c r="H132" i="31"/>
  <c r="H87" i="31"/>
  <c r="H39" i="31"/>
  <c r="H146" i="31"/>
  <c r="H181" i="31"/>
  <c r="H35" i="157"/>
  <c r="H185" i="157"/>
  <c r="H170" i="157"/>
  <c r="H25" i="157"/>
  <c r="H200" i="102"/>
  <c r="H200" i="172"/>
  <c r="H51" i="172"/>
  <c r="H130" i="172"/>
  <c r="H123" i="172"/>
  <c r="H184" i="172"/>
  <c r="H125" i="172"/>
  <c r="H61" i="172"/>
  <c r="H88" i="172"/>
  <c r="H114" i="172"/>
  <c r="H174" i="172"/>
  <c r="H89" i="172"/>
  <c r="H74" i="172"/>
  <c r="H106" i="172"/>
  <c r="H36" i="172"/>
  <c r="H193" i="172"/>
  <c r="H182" i="172"/>
  <c r="H127" i="172"/>
  <c r="H140" i="172"/>
  <c r="H55" i="172"/>
  <c r="H66" i="172"/>
  <c r="H71" i="172"/>
  <c r="H157" i="42"/>
  <c r="H173" i="42"/>
  <c r="H148" i="42"/>
  <c r="H36" i="42"/>
  <c r="H67" i="42"/>
  <c r="H50" i="42"/>
  <c r="H188" i="42"/>
  <c r="H181" i="120"/>
  <c r="H42" i="120"/>
  <c r="H68" i="120"/>
  <c r="H50" i="120"/>
  <c r="H135" i="120"/>
  <c r="H39" i="120"/>
  <c r="H204" i="120"/>
  <c r="H85" i="120"/>
  <c r="H101" i="120"/>
  <c r="H58" i="120"/>
  <c r="H158" i="120"/>
  <c r="H88" i="120"/>
  <c r="H65" i="120"/>
  <c r="H33" i="120"/>
  <c r="H99" i="120"/>
  <c r="H49" i="120"/>
  <c r="H196" i="120"/>
  <c r="H72" i="120"/>
  <c r="H167" i="120"/>
  <c r="H172" i="120"/>
  <c r="H115" i="142"/>
  <c r="H93" i="142"/>
  <c r="H25" i="142"/>
  <c r="H39" i="142"/>
  <c r="H140" i="142"/>
  <c r="H26" i="142"/>
  <c r="H123" i="142"/>
  <c r="H147" i="142"/>
  <c r="H84" i="142"/>
  <c r="H177" i="142"/>
  <c r="H168" i="142"/>
  <c r="H92" i="142"/>
  <c r="H98" i="142"/>
  <c r="K12" i="142"/>
  <c r="H183" i="142"/>
  <c r="H127" i="142"/>
  <c r="H45" i="142"/>
  <c r="H28" i="142"/>
  <c r="H131" i="142"/>
  <c r="H196" i="142"/>
  <c r="G238" i="177"/>
  <c r="H57" i="31"/>
  <c r="H179" i="31"/>
  <c r="H136" i="31"/>
  <c r="H30" i="31"/>
  <c r="H165" i="31"/>
  <c r="H58" i="31"/>
  <c r="H173" i="31"/>
  <c r="H53" i="31"/>
  <c r="H35" i="31"/>
  <c r="H171" i="31"/>
  <c r="H159" i="31"/>
  <c r="H40" i="31"/>
  <c r="H123" i="31"/>
  <c r="H201" i="31"/>
  <c r="H28" i="31"/>
  <c r="H29" i="31"/>
  <c r="H41" i="31"/>
  <c r="H176" i="31"/>
  <c r="H47" i="31"/>
  <c r="H37" i="31"/>
  <c r="K12" i="157"/>
  <c r="H67" i="157"/>
  <c r="H165" i="157"/>
  <c r="H55" i="157"/>
  <c r="H190" i="172"/>
  <c r="H73" i="172"/>
  <c r="H189" i="172"/>
  <c r="H78" i="172"/>
  <c r="H170" i="172"/>
  <c r="H129" i="172"/>
  <c r="H76" i="172"/>
  <c r="H133" i="172"/>
  <c r="H204" i="172"/>
  <c r="H191" i="172"/>
  <c r="H44" i="172"/>
  <c r="H119" i="172"/>
  <c r="H147" i="172"/>
  <c r="H83" i="172"/>
  <c r="H85" i="172"/>
  <c r="H159" i="172"/>
  <c r="H96" i="172"/>
  <c r="H176" i="172"/>
  <c r="H53" i="172"/>
  <c r="H205" i="172"/>
  <c r="H137" i="42"/>
  <c r="H179" i="42"/>
  <c r="H204" i="42"/>
  <c r="H153" i="42"/>
  <c r="H166" i="42"/>
  <c r="H132" i="42"/>
  <c r="H64" i="42"/>
  <c r="K12" i="120"/>
  <c r="H76" i="120"/>
  <c r="H96" i="120"/>
  <c r="H29" i="120"/>
  <c r="H175" i="120"/>
  <c r="H54" i="120"/>
  <c r="H146" i="120"/>
  <c r="H193" i="120"/>
  <c r="H70" i="120"/>
  <c r="H79" i="120"/>
  <c r="H111" i="120"/>
  <c r="H31" i="120"/>
  <c r="H28" i="120"/>
  <c r="H77" i="120"/>
  <c r="H136" i="120"/>
  <c r="H137" i="120"/>
  <c r="H208" i="120"/>
  <c r="H52" i="120"/>
  <c r="H130" i="120"/>
  <c r="H201" i="142"/>
  <c r="H208" i="142"/>
  <c r="H165" i="142"/>
  <c r="H86" i="142"/>
  <c r="H88" i="142"/>
  <c r="H182" i="142"/>
  <c r="H60" i="142"/>
  <c r="H137" i="142"/>
  <c r="H30" i="142"/>
  <c r="H56" i="142"/>
  <c r="H184" i="142"/>
  <c r="H158" i="142"/>
  <c r="H49" i="142"/>
  <c r="H76" i="142"/>
  <c r="H82" i="142"/>
  <c r="H66" i="142"/>
  <c r="H143" i="142"/>
  <c r="H41" i="142"/>
  <c r="H64" i="142"/>
  <c r="H148" i="142"/>
  <c r="H175" i="31"/>
  <c r="H97" i="31"/>
  <c r="H61" i="31"/>
  <c r="H50" i="31"/>
  <c r="H172" i="31"/>
  <c r="H127" i="31"/>
  <c r="H178" i="31"/>
  <c r="H197" i="31"/>
  <c r="H26" i="31"/>
  <c r="H195" i="31"/>
  <c r="H77" i="31"/>
  <c r="H100" i="31"/>
  <c r="H33" i="31"/>
  <c r="H105" i="31"/>
  <c r="H65" i="31"/>
  <c r="H90" i="31"/>
  <c r="H188" i="31"/>
  <c r="H156" i="31"/>
  <c r="H48" i="31"/>
  <c r="H164" i="31"/>
  <c r="H49" i="157"/>
  <c r="H52" i="157"/>
  <c r="H131" i="157"/>
  <c r="H168" i="157"/>
  <c r="H168" i="172"/>
  <c r="H138" i="172"/>
  <c r="H169" i="172"/>
  <c r="H107" i="172"/>
  <c r="H60" i="172"/>
  <c r="H164" i="172"/>
  <c r="H70" i="172"/>
  <c r="H195" i="172"/>
  <c r="H54" i="172"/>
  <c r="H102" i="172"/>
  <c r="H135" i="172"/>
  <c r="H26" i="172"/>
  <c r="H37" i="172"/>
  <c r="H126" i="172"/>
  <c r="H64" i="172"/>
  <c r="H208" i="172"/>
  <c r="H46" i="172"/>
  <c r="H86" i="172"/>
  <c r="H150" i="172"/>
  <c r="H137" i="172"/>
  <c r="H159" i="42"/>
  <c r="H184" i="42"/>
  <c r="H84" i="42"/>
  <c r="H116" i="42"/>
  <c r="H75" i="42"/>
  <c r="H147" i="42"/>
  <c r="H60" i="42"/>
  <c r="H40" i="42"/>
  <c r="H56" i="120"/>
  <c r="H164" i="120"/>
  <c r="H179" i="120"/>
  <c r="H155" i="120"/>
  <c r="H117" i="120"/>
  <c r="H55" i="120"/>
  <c r="H153" i="120"/>
  <c r="H156" i="120"/>
  <c r="H64" i="120"/>
  <c r="H173" i="120"/>
  <c r="H67" i="120"/>
  <c r="H176" i="120"/>
  <c r="H102" i="120"/>
  <c r="H75" i="120"/>
  <c r="H169" i="120"/>
  <c r="H202" i="120"/>
  <c r="H47" i="120"/>
  <c r="H187" i="120"/>
  <c r="H129" i="120"/>
  <c r="H131" i="120"/>
  <c r="H93" i="120"/>
  <c r="H169" i="142"/>
  <c r="H77" i="142"/>
  <c r="H48" i="142"/>
  <c r="H42" i="142"/>
  <c r="H40" i="142"/>
  <c r="H155" i="142"/>
  <c r="H109" i="142"/>
  <c r="H145" i="142"/>
  <c r="H156" i="142"/>
  <c r="H97" i="142"/>
  <c r="H71" i="142"/>
  <c r="H142" i="142"/>
  <c r="H59" i="142"/>
  <c r="H167" i="142"/>
  <c r="H101" i="142"/>
  <c r="H50" i="142"/>
  <c r="H37" i="142"/>
  <c r="H138" i="142"/>
  <c r="H160" i="142"/>
  <c r="H189" i="142"/>
  <c r="H206" i="31"/>
  <c r="H192" i="31"/>
  <c r="H72" i="31"/>
  <c r="H124" i="31"/>
  <c r="H148" i="31"/>
  <c r="H187" i="31"/>
  <c r="H167" i="31"/>
  <c r="H56" i="31"/>
  <c r="H34" i="31"/>
  <c r="H168" i="31"/>
  <c r="H140" i="31"/>
  <c r="H141" i="31"/>
  <c r="H93" i="31"/>
  <c r="H99" i="31"/>
  <c r="H86" i="31"/>
  <c r="H119" i="31"/>
  <c r="H111" i="31"/>
  <c r="H200" i="31"/>
  <c r="H109" i="31"/>
  <c r="H71" i="31"/>
  <c r="H65" i="157"/>
  <c r="H149" i="157"/>
  <c r="H105" i="157"/>
  <c r="H93" i="172"/>
  <c r="K12" i="172"/>
  <c r="H75" i="172"/>
  <c r="H47" i="172"/>
  <c r="H145" i="172"/>
  <c r="H136" i="172"/>
  <c r="H68" i="172"/>
  <c r="H117" i="172"/>
  <c r="H206" i="172"/>
  <c r="H151" i="172"/>
  <c r="H108" i="172"/>
  <c r="H39" i="172"/>
  <c r="H132" i="172"/>
  <c r="H50" i="172"/>
  <c r="H87" i="172"/>
  <c r="H146" i="172"/>
  <c r="H56" i="172"/>
  <c r="H175" i="172"/>
  <c r="H179" i="172"/>
  <c r="H205" i="42"/>
  <c r="H107" i="42"/>
  <c r="H114" i="42"/>
  <c r="H76" i="42"/>
  <c r="H131" i="42"/>
  <c r="H92" i="42"/>
  <c r="H82" i="42"/>
  <c r="H141" i="42"/>
  <c r="H171" i="120"/>
  <c r="H177" i="120"/>
  <c r="H89" i="120"/>
  <c r="H147" i="120"/>
  <c r="H119" i="120"/>
  <c r="H116" i="120"/>
  <c r="H185" i="120"/>
  <c r="H142" i="120"/>
  <c r="H43" i="120"/>
  <c r="H87" i="120"/>
  <c r="H37" i="120"/>
  <c r="H140" i="120"/>
  <c r="H184" i="120"/>
  <c r="H148" i="120"/>
  <c r="H40" i="120"/>
  <c r="H35" i="120"/>
  <c r="H86" i="120"/>
  <c r="H110" i="120"/>
  <c r="H27" i="120"/>
  <c r="H149" i="120"/>
  <c r="H72" i="142"/>
  <c r="H181" i="142"/>
  <c r="H152" i="142"/>
  <c r="H83" i="142"/>
  <c r="H51" i="142"/>
  <c r="H54" i="142"/>
  <c r="H38" i="142"/>
  <c r="H47" i="142"/>
  <c r="H203" i="142"/>
  <c r="H180" i="142"/>
  <c r="H129" i="142"/>
  <c r="H57" i="142"/>
  <c r="H170" i="142"/>
  <c r="H36" i="142"/>
  <c r="H69" i="142"/>
  <c r="H116" i="142"/>
  <c r="H44" i="142"/>
  <c r="H205" i="142"/>
  <c r="H141" i="142"/>
  <c r="H153" i="142"/>
  <c r="H118" i="142"/>
  <c r="H180" i="31"/>
  <c r="H116" i="31"/>
  <c r="H155" i="31"/>
  <c r="H203" i="31"/>
  <c r="H150" i="31"/>
  <c r="H49" i="31"/>
  <c r="H190" i="31"/>
  <c r="H106" i="31"/>
  <c r="H186" i="31"/>
  <c r="H126" i="31"/>
  <c r="H84" i="31"/>
  <c r="H25" i="31"/>
  <c r="H157" i="31"/>
  <c r="H91" i="31"/>
  <c r="H118" i="31"/>
  <c r="H55" i="31"/>
  <c r="H208" i="31"/>
  <c r="H131" i="31"/>
  <c r="H36" i="31"/>
  <c r="H73" i="31"/>
  <c r="H118" i="157"/>
  <c r="H169" i="157"/>
  <c r="H101" i="157"/>
  <c r="H153" i="157"/>
  <c r="H67" i="172"/>
  <c r="H32" i="172"/>
  <c r="H172" i="172"/>
  <c r="H29" i="172"/>
  <c r="H177" i="172"/>
  <c r="H165" i="172"/>
  <c r="H180" i="172"/>
  <c r="H109" i="172"/>
  <c r="H38" i="172"/>
  <c r="H52" i="172"/>
  <c r="H187" i="172"/>
  <c r="H152" i="172"/>
  <c r="H201" i="172"/>
  <c r="H141" i="172"/>
  <c r="H58" i="172"/>
  <c r="H79" i="172"/>
  <c r="H59" i="172"/>
  <c r="H100" i="172"/>
  <c r="H185" i="172"/>
  <c r="H40" i="172"/>
  <c r="H194" i="172"/>
  <c r="H83" i="42"/>
  <c r="H178" i="42"/>
  <c r="H65" i="42"/>
  <c r="H174" i="42"/>
  <c r="H53" i="42"/>
  <c r="H155" i="42"/>
  <c r="H158" i="42"/>
  <c r="H89" i="42"/>
  <c r="H145" i="120"/>
  <c r="H107" i="120"/>
  <c r="H46" i="120"/>
  <c r="H105" i="120"/>
  <c r="H73" i="120"/>
  <c r="H132" i="120"/>
  <c r="H206" i="120"/>
  <c r="H51" i="120"/>
  <c r="H180" i="120"/>
  <c r="H186" i="120"/>
  <c r="H182" i="120"/>
  <c r="H32" i="120"/>
  <c r="H170" i="120"/>
  <c r="H200" i="120"/>
  <c r="H83" i="120"/>
  <c r="H205" i="120"/>
  <c r="H138" i="120"/>
  <c r="H59" i="120"/>
  <c r="H183" i="120"/>
  <c r="H150" i="120"/>
  <c r="H123" i="120"/>
  <c r="H74" i="142"/>
  <c r="H179" i="142"/>
  <c r="H166" i="142"/>
  <c r="H70" i="142"/>
  <c r="H105" i="142"/>
  <c r="H111" i="142"/>
  <c r="H43" i="142"/>
  <c r="H96" i="142"/>
  <c r="H68" i="142"/>
  <c r="H102" i="142"/>
  <c r="H164" i="142"/>
  <c r="H114" i="142"/>
  <c r="H185" i="142"/>
  <c r="H65" i="142"/>
  <c r="H32" i="142"/>
  <c r="H89" i="142"/>
  <c r="H35" i="142"/>
  <c r="H190" i="142"/>
  <c r="H136" i="142"/>
  <c r="H110" i="142"/>
  <c r="H97" i="172"/>
  <c r="H156" i="172"/>
  <c r="H148" i="172"/>
  <c r="H30" i="172"/>
  <c r="H90" i="172"/>
  <c r="H178" i="172"/>
  <c r="H116" i="172"/>
  <c r="H166" i="172"/>
  <c r="H149" i="172"/>
  <c r="H31" i="172"/>
  <c r="H118" i="172"/>
  <c r="H43" i="172"/>
  <c r="H77" i="172"/>
  <c r="H25" i="172"/>
  <c r="H49" i="172"/>
  <c r="H41" i="172"/>
  <c r="H69" i="172"/>
  <c r="H142" i="172"/>
  <c r="H33" i="172"/>
  <c r="H160" i="172"/>
  <c r="H115" i="172"/>
  <c r="H208" i="42"/>
  <c r="H149" i="42"/>
  <c r="H111" i="42"/>
  <c r="H56" i="42"/>
  <c r="H47" i="42"/>
  <c r="H109" i="42"/>
  <c r="H190" i="42"/>
  <c r="H133" i="42"/>
  <c r="H194" i="120"/>
  <c r="H152" i="120"/>
  <c r="H74" i="120"/>
  <c r="H57" i="120"/>
  <c r="H125" i="120"/>
  <c r="H90" i="120"/>
  <c r="H124" i="120"/>
  <c r="H197" i="120"/>
  <c r="H165" i="120"/>
  <c r="H160" i="120"/>
  <c r="H84" i="120"/>
  <c r="H159" i="120"/>
  <c r="H195" i="120"/>
  <c r="H115" i="120"/>
  <c r="H190" i="120"/>
  <c r="H174" i="120"/>
  <c r="H133" i="120"/>
  <c r="H203" i="120"/>
  <c r="H38" i="120"/>
  <c r="H173" i="142"/>
  <c r="H29" i="142"/>
  <c r="H192" i="142"/>
  <c r="H193" i="142"/>
  <c r="H150" i="142"/>
  <c r="H78" i="142"/>
  <c r="H186" i="142"/>
  <c r="H125" i="142"/>
  <c r="H194" i="142"/>
  <c r="H31" i="142"/>
  <c r="H87" i="142"/>
  <c r="H159" i="142"/>
  <c r="H107" i="142"/>
  <c r="H178" i="142"/>
  <c r="H46" i="142"/>
  <c r="H191" i="142"/>
  <c r="H171" i="142"/>
  <c r="H174" i="142"/>
  <c r="H91" i="142"/>
  <c r="H161" i="142"/>
  <c r="H106" i="142"/>
  <c r="J37" i="97"/>
  <c r="H56" i="84"/>
  <c r="H71" i="84"/>
  <c r="H147" i="84"/>
  <c r="H52" i="84"/>
  <c r="H151" i="84"/>
  <c r="H66" i="84"/>
  <c r="H118" i="84"/>
  <c r="H181" i="84"/>
  <c r="H149" i="84"/>
  <c r="H187" i="84"/>
  <c r="H140" i="84"/>
  <c r="H91" i="84"/>
  <c r="H194" i="84"/>
  <c r="H127" i="84"/>
  <c r="H90" i="84"/>
  <c r="H171" i="84"/>
  <c r="H138" i="84"/>
  <c r="H170" i="84"/>
  <c r="H107" i="84"/>
  <c r="H193" i="84"/>
  <c r="H191" i="84"/>
  <c r="H96" i="84"/>
  <c r="H57" i="84"/>
  <c r="H50" i="84"/>
  <c r="H133" i="84"/>
  <c r="H148" i="84"/>
  <c r="H101" i="84"/>
  <c r="H92" i="84"/>
  <c r="H97" i="84"/>
  <c r="H205" i="84"/>
  <c r="H206" i="84"/>
  <c r="H33" i="84"/>
  <c r="H124" i="84"/>
  <c r="H178" i="84"/>
  <c r="H83" i="84"/>
  <c r="H168" i="84"/>
  <c r="H53" i="84"/>
  <c r="H48" i="84"/>
  <c r="H30" i="84"/>
  <c r="H87" i="84"/>
  <c r="H78" i="84"/>
  <c r="H165" i="84"/>
  <c r="H192" i="84"/>
  <c r="H184" i="84"/>
  <c r="H109" i="84"/>
  <c r="H155" i="84"/>
  <c r="H72" i="84"/>
  <c r="H161" i="84"/>
  <c r="H185" i="84"/>
  <c r="H40" i="84"/>
  <c r="H51" i="84"/>
  <c r="H131" i="84"/>
  <c r="H188" i="84"/>
  <c r="K12" i="84"/>
  <c r="H159" i="84"/>
  <c r="H167" i="84"/>
  <c r="H125" i="84"/>
  <c r="H135" i="84"/>
  <c r="H208" i="84"/>
  <c r="H174" i="84"/>
  <c r="H26" i="84"/>
  <c r="H108" i="84"/>
  <c r="H152" i="84"/>
  <c r="H49" i="84"/>
  <c r="H179" i="84"/>
  <c r="H160" i="84"/>
  <c r="H197" i="84"/>
  <c r="H129" i="84"/>
  <c r="H39" i="84"/>
  <c r="H182" i="84"/>
  <c r="H54" i="84"/>
  <c r="H58" i="84"/>
  <c r="H106" i="84"/>
  <c r="H145" i="84"/>
  <c r="H116" i="84"/>
  <c r="H110" i="84"/>
  <c r="G238" i="71"/>
  <c r="H93" i="1"/>
  <c r="H189" i="1"/>
  <c r="H27" i="1"/>
  <c r="H159" i="1"/>
  <c r="H46" i="1"/>
  <c r="H69" i="1"/>
  <c r="H183" i="1"/>
  <c r="H184" i="1"/>
  <c r="H131" i="1"/>
  <c r="H167" i="1"/>
  <c r="H174" i="1"/>
  <c r="H169" i="1"/>
  <c r="H116" i="19"/>
  <c r="H140" i="19"/>
  <c r="H157" i="19"/>
  <c r="H75" i="19"/>
  <c r="G215" i="24"/>
  <c r="H135" i="24"/>
  <c r="H205" i="24"/>
  <c r="H32" i="24"/>
  <c r="H161" i="24"/>
  <c r="H189" i="84"/>
  <c r="H201" i="141"/>
  <c r="H169" i="141"/>
  <c r="H170" i="141"/>
  <c r="H173" i="141"/>
  <c r="H189" i="141"/>
  <c r="H60" i="141"/>
  <c r="H75" i="141"/>
  <c r="H97" i="141"/>
  <c r="H118" i="141"/>
  <c r="H65" i="141"/>
  <c r="H99" i="141"/>
  <c r="H52" i="141"/>
  <c r="H117" i="141"/>
  <c r="H74" i="141"/>
  <c r="H88" i="141"/>
  <c r="H27" i="141"/>
  <c r="H55" i="141"/>
  <c r="H158" i="141"/>
  <c r="H58" i="141"/>
  <c r="H165" i="141"/>
  <c r="H38" i="141"/>
  <c r="H32" i="141"/>
  <c r="H47" i="141"/>
  <c r="H171" i="141"/>
  <c r="H33" i="141"/>
  <c r="H159" i="141"/>
  <c r="H92" i="141"/>
  <c r="H119" i="141"/>
  <c r="H155" i="141"/>
  <c r="H147" i="141"/>
  <c r="H141" i="141"/>
  <c r="H131" i="141"/>
  <c r="H167" i="141"/>
  <c r="H57" i="141"/>
  <c r="H31" i="141"/>
  <c r="H77" i="141"/>
  <c r="H208" i="141"/>
  <c r="H192" i="141"/>
  <c r="H37" i="141"/>
  <c r="H85" i="141"/>
  <c r="H89" i="141"/>
  <c r="H100" i="141"/>
  <c r="H35" i="141"/>
  <c r="H178" i="141"/>
  <c r="H133" i="141"/>
  <c r="H127" i="141"/>
  <c r="H98" i="141"/>
  <c r="H119" i="84"/>
  <c r="H90" i="19"/>
  <c r="H170" i="19"/>
  <c r="H36" i="19"/>
  <c r="H117" i="19"/>
  <c r="H123" i="19"/>
  <c r="H187" i="19"/>
  <c r="H191" i="19"/>
  <c r="H61" i="19"/>
  <c r="H96" i="19"/>
  <c r="H53" i="19"/>
  <c r="H143" i="19"/>
  <c r="H153" i="19"/>
  <c r="H132" i="19"/>
  <c r="H197" i="19"/>
  <c r="H34" i="19"/>
  <c r="H109" i="19"/>
  <c r="H26" i="19"/>
  <c r="H169" i="19"/>
  <c r="H42" i="19"/>
  <c r="H105" i="19"/>
  <c r="H56" i="19"/>
  <c r="H48" i="19"/>
  <c r="H142" i="19"/>
  <c r="H78" i="19"/>
  <c r="H114" i="19"/>
  <c r="H137" i="19"/>
  <c r="H141" i="19"/>
  <c r="H136" i="19"/>
  <c r="H208" i="19"/>
  <c r="H40" i="19"/>
  <c r="H147" i="19"/>
  <c r="H206" i="19"/>
  <c r="H89" i="19"/>
  <c r="H29" i="19"/>
  <c r="H133" i="19"/>
  <c r="H181" i="19"/>
  <c r="H155" i="19"/>
  <c r="H145" i="19"/>
  <c r="H186" i="19"/>
  <c r="H127" i="19"/>
  <c r="H160" i="19"/>
  <c r="H205" i="19"/>
  <c r="H25" i="19"/>
  <c r="H168" i="19"/>
  <c r="H156" i="19"/>
  <c r="H178" i="19"/>
  <c r="H119" i="19"/>
  <c r="H82" i="19"/>
  <c r="H148" i="19"/>
  <c r="H177" i="19"/>
  <c r="H83" i="19"/>
  <c r="H151" i="19"/>
  <c r="H35" i="19"/>
  <c r="H51" i="19"/>
  <c r="H185" i="19"/>
  <c r="H194" i="19"/>
  <c r="H167" i="19"/>
  <c r="H72" i="19"/>
  <c r="H69" i="19"/>
  <c r="H58" i="19"/>
  <c r="H126" i="19"/>
  <c r="H99" i="19"/>
  <c r="H179" i="19"/>
  <c r="H64" i="19"/>
  <c r="H110" i="19"/>
  <c r="H111" i="19"/>
  <c r="H175" i="19"/>
  <c r="H66" i="19"/>
  <c r="H41" i="19"/>
  <c r="H79" i="19"/>
  <c r="H84" i="19"/>
  <c r="H71" i="19"/>
  <c r="H92" i="19"/>
  <c r="H159" i="19"/>
  <c r="H33" i="19"/>
  <c r="H68" i="19"/>
  <c r="H54" i="19"/>
  <c r="H138" i="19"/>
  <c r="H52" i="19"/>
  <c r="H30" i="19"/>
  <c r="H201" i="19"/>
  <c r="H45" i="19"/>
  <c r="H37" i="19"/>
  <c r="H60" i="19"/>
  <c r="H158" i="19"/>
  <c r="H174" i="19"/>
  <c r="H59" i="19"/>
  <c r="H76" i="19"/>
  <c r="H70" i="19"/>
  <c r="H28" i="19"/>
  <c r="H65" i="19"/>
  <c r="H166" i="19"/>
  <c r="H38" i="19"/>
  <c r="H115" i="19"/>
  <c r="H149" i="19"/>
  <c r="H108" i="19"/>
  <c r="H172" i="19"/>
  <c r="H203" i="19"/>
  <c r="H131" i="19"/>
  <c r="H87" i="19"/>
  <c r="H189" i="19"/>
  <c r="H188" i="19"/>
  <c r="H173" i="19"/>
  <c r="H124" i="19"/>
  <c r="H102" i="19"/>
  <c r="H202" i="19"/>
  <c r="H98" i="19"/>
  <c r="H200" i="19"/>
  <c r="H195" i="19"/>
  <c r="H97" i="19"/>
  <c r="H165" i="19"/>
  <c r="H43" i="19"/>
  <c r="H180" i="19"/>
  <c r="K12" i="19"/>
  <c r="H184" i="19"/>
  <c r="H44" i="19"/>
  <c r="H190" i="19"/>
  <c r="H129" i="19"/>
  <c r="H55" i="19"/>
  <c r="H50" i="19"/>
  <c r="H74" i="19"/>
  <c r="H135" i="19"/>
  <c r="H197" i="24"/>
  <c r="H98" i="24"/>
  <c r="H143" i="24"/>
  <c r="H175" i="24"/>
  <c r="H87" i="24"/>
  <c r="H57" i="24"/>
  <c r="H170" i="24"/>
  <c r="H203" i="24"/>
  <c r="H155" i="24"/>
  <c r="H26" i="24"/>
  <c r="H35" i="24"/>
  <c r="H131" i="24"/>
  <c r="H186" i="24"/>
  <c r="H123" i="24"/>
  <c r="H145" i="24"/>
  <c r="H61" i="24"/>
  <c r="H30" i="24"/>
  <c r="H117" i="24"/>
  <c r="H132" i="24"/>
  <c r="H65" i="24"/>
  <c r="H89" i="24"/>
  <c r="H194" i="24"/>
  <c r="H41" i="24"/>
  <c r="H115" i="24"/>
  <c r="H110" i="24"/>
  <c r="H68" i="24"/>
  <c r="H74" i="24"/>
  <c r="H107" i="24"/>
  <c r="H196" i="24"/>
  <c r="H88" i="24"/>
  <c r="H83" i="24"/>
  <c r="H47" i="24"/>
  <c r="H159" i="24"/>
  <c r="H150" i="24"/>
  <c r="H180" i="24"/>
  <c r="H178" i="24"/>
  <c r="H126" i="24"/>
  <c r="H133" i="24"/>
  <c r="H49" i="24"/>
  <c r="H165" i="24"/>
  <c r="H137" i="24"/>
  <c r="H96" i="24"/>
  <c r="H84" i="24"/>
  <c r="H64" i="24"/>
  <c r="H59" i="24"/>
  <c r="H149" i="24"/>
  <c r="H195" i="24"/>
  <c r="H188" i="24"/>
  <c r="H118" i="24"/>
  <c r="H85" i="24"/>
  <c r="H58" i="24"/>
  <c r="H171" i="24"/>
  <c r="H156" i="24"/>
  <c r="H191" i="24"/>
  <c r="H153" i="24"/>
  <c r="H174" i="24"/>
  <c r="H138" i="24"/>
  <c r="H189" i="24"/>
  <c r="H169" i="24"/>
  <c r="H146" i="24"/>
  <c r="H206" i="24"/>
  <c r="H192" i="24"/>
  <c r="H116" i="24"/>
  <c r="H29" i="24"/>
  <c r="H158" i="24"/>
  <c r="H37" i="24"/>
  <c r="H140" i="24"/>
  <c r="H97" i="24"/>
  <c r="H181" i="24"/>
  <c r="H101" i="24"/>
  <c r="H44" i="24"/>
  <c r="H204" i="24"/>
  <c r="K12" i="24"/>
  <c r="H111" i="24"/>
  <c r="H60" i="24"/>
  <c r="H100" i="24"/>
  <c r="H176" i="24"/>
  <c r="H173" i="24"/>
  <c r="H105" i="24"/>
  <c r="H71" i="24"/>
  <c r="H43" i="24"/>
  <c r="H106" i="24"/>
  <c r="H90" i="24"/>
  <c r="H190" i="24"/>
  <c r="H70" i="24"/>
  <c r="H28" i="24"/>
  <c r="H141" i="24"/>
  <c r="H67" i="24"/>
  <c r="H152" i="24"/>
  <c r="H51" i="24"/>
  <c r="H167" i="24"/>
  <c r="H200" i="24"/>
  <c r="H187" i="24"/>
  <c r="H202" i="24"/>
  <c r="H160" i="24"/>
  <c r="H166" i="24"/>
  <c r="H114" i="24"/>
  <c r="H168" i="24"/>
  <c r="H86" i="24"/>
  <c r="H151" i="24"/>
  <c r="H185" i="24"/>
  <c r="H91" i="24"/>
  <c r="H108" i="24"/>
  <c r="H172" i="24"/>
  <c r="H45" i="24"/>
  <c r="H73" i="24"/>
  <c r="H136" i="24"/>
  <c r="H82" i="24"/>
  <c r="H25" i="24"/>
  <c r="H164" i="24"/>
  <c r="H142" i="24"/>
  <c r="H40" i="24"/>
  <c r="H34" i="24"/>
  <c r="H148" i="24"/>
  <c r="H42" i="24"/>
  <c r="H27" i="24"/>
  <c r="H208" i="24"/>
  <c r="H125" i="24"/>
  <c r="H157" i="24"/>
  <c r="H39" i="24"/>
  <c r="H177" i="24"/>
  <c r="H186" i="149"/>
  <c r="H37" i="149"/>
  <c r="H93" i="149"/>
  <c r="H182" i="149"/>
  <c r="H166" i="149"/>
  <c r="H171" i="149"/>
  <c r="H50" i="149"/>
  <c r="H79" i="104"/>
  <c r="H187" i="104"/>
  <c r="H152" i="104"/>
  <c r="H200" i="104"/>
  <c r="H66" i="1"/>
  <c r="H125" i="1"/>
  <c r="H100" i="1"/>
  <c r="H102" i="1"/>
  <c r="H205" i="1"/>
  <c r="H101" i="1"/>
  <c r="H178" i="1"/>
  <c r="H82" i="1"/>
  <c r="H60" i="1"/>
  <c r="H140" i="1"/>
  <c r="H188" i="1"/>
  <c r="H57" i="1"/>
  <c r="H196" i="19"/>
  <c r="H192" i="19"/>
  <c r="H182" i="19"/>
  <c r="H176" i="19"/>
  <c r="H193" i="19"/>
  <c r="H129" i="141"/>
  <c r="H71" i="141"/>
  <c r="H53" i="24"/>
  <c r="H72" i="24"/>
  <c r="H50" i="24"/>
  <c r="H102" i="24"/>
  <c r="H33" i="24"/>
  <c r="H79" i="49"/>
  <c r="H105" i="84"/>
  <c r="H29" i="84"/>
  <c r="H136" i="84"/>
  <c r="H82" i="84"/>
  <c r="H203" i="149"/>
  <c r="H133" i="149"/>
  <c r="H117" i="149"/>
  <c r="H64" i="149"/>
  <c r="H32" i="149"/>
  <c r="H55" i="149"/>
  <c r="H206" i="149"/>
  <c r="H129" i="104"/>
  <c r="H73" i="104"/>
  <c r="H172" i="104"/>
  <c r="H99" i="104"/>
  <c r="H44" i="104"/>
  <c r="H51" i="1"/>
  <c r="H52" i="1"/>
  <c r="H31" i="1"/>
  <c r="H87" i="1"/>
  <c r="H171" i="1"/>
  <c r="H155" i="1"/>
  <c r="H97" i="1"/>
  <c r="H116" i="1"/>
  <c r="H200" i="1"/>
  <c r="H192" i="1"/>
  <c r="H150" i="1"/>
  <c r="H45" i="1"/>
  <c r="H47" i="19"/>
  <c r="H88" i="19"/>
  <c r="H91" i="19"/>
  <c r="H57" i="19"/>
  <c r="H93" i="19"/>
  <c r="H64" i="141"/>
  <c r="H83" i="141"/>
  <c r="H201" i="24"/>
  <c r="H46" i="24"/>
  <c r="H184" i="24"/>
  <c r="H147" i="24"/>
  <c r="H193" i="24"/>
  <c r="H147" i="49"/>
  <c r="H130" i="49"/>
  <c r="H84" i="84"/>
  <c r="H177" i="84"/>
  <c r="H31" i="84"/>
  <c r="H102" i="84"/>
  <c r="H30" i="149"/>
  <c r="H85" i="149"/>
  <c r="H170" i="149"/>
  <c r="H71" i="149"/>
  <c r="H110" i="149"/>
  <c r="H193" i="149"/>
  <c r="H181" i="149"/>
  <c r="H147" i="104"/>
  <c r="H83" i="104"/>
  <c r="H68" i="104"/>
  <c r="H45" i="104"/>
  <c r="H140" i="104"/>
  <c r="H35" i="1"/>
  <c r="H160" i="1"/>
  <c r="H181" i="1"/>
  <c r="H158" i="1"/>
  <c r="H43" i="1"/>
  <c r="H114" i="1"/>
  <c r="H98" i="1"/>
  <c r="H143" i="1"/>
  <c r="H172" i="1"/>
  <c r="H38" i="1"/>
  <c r="H73" i="1"/>
  <c r="H27" i="19"/>
  <c r="H204" i="19"/>
  <c r="H39" i="19"/>
  <c r="H85" i="19"/>
  <c r="H152" i="19"/>
  <c r="H114" i="141"/>
  <c r="H150" i="141"/>
  <c r="H79" i="24"/>
  <c r="H69" i="24"/>
  <c r="H182" i="24"/>
  <c r="H109" i="24"/>
  <c r="H26" i="49"/>
  <c r="H166" i="84"/>
  <c r="H86" i="84"/>
  <c r="H28" i="84"/>
  <c r="H158" i="84"/>
  <c r="H26" i="1"/>
  <c r="H164" i="1"/>
  <c r="H201" i="1"/>
  <c r="H135" i="1"/>
  <c r="H180" i="1"/>
  <c r="H191" i="1"/>
  <c r="G215" i="1"/>
  <c r="H195" i="1"/>
  <c r="H99" i="1"/>
  <c r="H25" i="1"/>
  <c r="H64" i="1"/>
  <c r="H179" i="1"/>
  <c r="H110" i="1"/>
  <c r="H204" i="1"/>
  <c r="H197" i="1"/>
  <c r="H109" i="1"/>
  <c r="H156" i="1"/>
  <c r="H123" i="1"/>
  <c r="H79" i="1"/>
  <c r="H49" i="1"/>
  <c r="H41" i="1"/>
  <c r="H91" i="1"/>
  <c r="H105" i="1"/>
  <c r="H67" i="1"/>
  <c r="H165" i="1"/>
  <c r="H119" i="1"/>
  <c r="H194" i="1"/>
  <c r="H190" i="1"/>
  <c r="H111" i="1"/>
  <c r="H182" i="1"/>
  <c r="H30" i="1"/>
  <c r="H129" i="1"/>
  <c r="H168" i="1"/>
  <c r="H185" i="1"/>
  <c r="H157" i="1"/>
  <c r="H88" i="1"/>
  <c r="H186" i="1"/>
  <c r="H126" i="1"/>
  <c r="H86" i="1"/>
  <c r="H48" i="1"/>
  <c r="H61" i="1"/>
  <c r="H96" i="1"/>
  <c r="H83" i="1"/>
  <c r="H142" i="1"/>
  <c r="H29" i="1"/>
  <c r="H175" i="1"/>
  <c r="H44" i="1"/>
  <c r="H37" i="1"/>
  <c r="H106" i="1"/>
  <c r="H33" i="1"/>
  <c r="H132" i="1"/>
  <c r="H108" i="1"/>
  <c r="H206" i="1"/>
  <c r="H187" i="1"/>
  <c r="H85" i="1"/>
  <c r="H177" i="1"/>
  <c r="H68" i="1"/>
  <c r="H32" i="1"/>
  <c r="H56" i="1"/>
  <c r="H130" i="1"/>
  <c r="H133" i="1"/>
  <c r="H89" i="1"/>
  <c r="H77" i="1"/>
  <c r="H47" i="1"/>
  <c r="H65" i="1"/>
  <c r="H53" i="1"/>
  <c r="H42" i="1"/>
  <c r="H127" i="1"/>
  <c r="H117" i="1"/>
  <c r="H76" i="1"/>
  <c r="H149" i="1"/>
  <c r="H54" i="1"/>
  <c r="H70" i="1"/>
  <c r="H115" i="1"/>
  <c r="H138" i="1"/>
  <c r="H151" i="1"/>
  <c r="H147" i="1"/>
  <c r="H74" i="1"/>
  <c r="H75" i="1"/>
  <c r="H100" i="19"/>
  <c r="H86" i="19"/>
  <c r="H67" i="19"/>
  <c r="H118" i="19"/>
  <c r="G215" i="19"/>
  <c r="H77" i="19"/>
  <c r="H160" i="141"/>
  <c r="H148" i="141"/>
  <c r="H129" i="24"/>
  <c r="H36" i="24"/>
  <c r="H78" i="24"/>
  <c r="H54" i="24"/>
  <c r="H75" i="24"/>
  <c r="H38" i="84"/>
  <c r="H181" i="49"/>
  <c r="H101" i="49"/>
  <c r="H106" i="49"/>
  <c r="H93" i="49"/>
  <c r="H164" i="49"/>
  <c r="H71" i="49"/>
  <c r="H92" i="49"/>
  <c r="H109" i="49"/>
  <c r="H72" i="49"/>
  <c r="H75" i="49"/>
  <c r="H137" i="49"/>
  <c r="H36" i="49"/>
  <c r="H108" i="49"/>
  <c r="H179" i="49"/>
  <c r="H158" i="49"/>
  <c r="H41" i="49"/>
  <c r="H60" i="49"/>
  <c r="H25" i="49"/>
  <c r="H37" i="49"/>
  <c r="H188" i="49"/>
  <c r="H44" i="49"/>
  <c r="H204" i="49"/>
  <c r="H143" i="49"/>
  <c r="H133" i="49"/>
  <c r="H111" i="49"/>
  <c r="H136" i="49"/>
  <c r="H156" i="49"/>
  <c r="H203" i="49"/>
  <c r="H67" i="49"/>
  <c r="H135" i="49"/>
  <c r="H64" i="49"/>
  <c r="H195" i="49"/>
  <c r="H43" i="84"/>
  <c r="H37" i="84"/>
  <c r="H141" i="84"/>
  <c r="G238" i="27"/>
  <c r="H88" i="84"/>
  <c r="H126" i="84"/>
  <c r="H180" i="84"/>
  <c r="H158" i="149"/>
  <c r="H44" i="149"/>
  <c r="H153" i="149"/>
  <c r="H36" i="149"/>
  <c r="H28" i="149"/>
  <c r="H157" i="149"/>
  <c r="H156" i="149"/>
  <c r="H141" i="149"/>
  <c r="H157" i="104"/>
  <c r="H205" i="104"/>
  <c r="H72" i="104"/>
  <c r="H50" i="104"/>
  <c r="H196" i="1"/>
  <c r="H137" i="1"/>
  <c r="H170" i="1"/>
  <c r="H208" i="1"/>
  <c r="H84" i="1"/>
  <c r="H152" i="1"/>
  <c r="H36" i="1"/>
  <c r="H59" i="1"/>
  <c r="H202" i="1"/>
  <c r="H161" i="1"/>
  <c r="H55" i="1"/>
  <c r="H148" i="1"/>
  <c r="H101" i="19"/>
  <c r="H150" i="19"/>
  <c r="H46" i="19"/>
  <c r="H146" i="19"/>
  <c r="H106" i="19"/>
  <c r="H25" i="141"/>
  <c r="H130" i="24"/>
  <c r="H66" i="24"/>
  <c r="H99" i="24"/>
  <c r="H55" i="24"/>
  <c r="H76" i="24"/>
  <c r="H92" i="24"/>
  <c r="H159" i="49"/>
  <c r="H41" i="84"/>
  <c r="H200" i="84"/>
  <c r="G238" i="84"/>
  <c r="H61" i="72"/>
  <c r="H182" i="72"/>
  <c r="H35" i="72"/>
  <c r="H204" i="72"/>
  <c r="H44" i="72"/>
  <c r="H170" i="72"/>
  <c r="H178" i="72"/>
  <c r="H179" i="72"/>
  <c r="H114" i="72"/>
  <c r="H115" i="72"/>
  <c r="H155" i="72"/>
  <c r="H141" i="72"/>
  <c r="H72" i="72"/>
  <c r="H136" i="72"/>
  <c r="H50" i="72"/>
  <c r="H127" i="72"/>
  <c r="H149" i="72"/>
  <c r="H27" i="72"/>
  <c r="H125" i="72"/>
  <c r="H32" i="72"/>
  <c r="H71" i="72"/>
  <c r="H152" i="72"/>
  <c r="H177" i="72"/>
  <c r="H84" i="72"/>
  <c r="H79" i="72"/>
  <c r="H39" i="72"/>
  <c r="H45" i="72"/>
  <c r="H146" i="72"/>
  <c r="H132" i="72"/>
  <c r="H40" i="72"/>
  <c r="H130" i="72"/>
  <c r="H124" i="72"/>
  <c r="H168" i="72"/>
  <c r="H195" i="72"/>
  <c r="H90" i="72"/>
  <c r="H174" i="72"/>
  <c r="H145" i="72"/>
  <c r="H49" i="72"/>
  <c r="H190" i="72"/>
  <c r="H98" i="72"/>
  <c r="H140" i="72"/>
  <c r="H148" i="72"/>
  <c r="H67" i="72"/>
  <c r="H160" i="72"/>
  <c r="H194" i="72"/>
  <c r="H69" i="72"/>
  <c r="H37" i="72"/>
  <c r="H166" i="72"/>
  <c r="H52" i="72"/>
  <c r="H202" i="72"/>
  <c r="H85" i="72"/>
  <c r="H147" i="72"/>
  <c r="H110" i="72"/>
  <c r="H26" i="72"/>
  <c r="H77" i="72"/>
  <c r="H93" i="72"/>
  <c r="H196" i="72"/>
  <c r="H161" i="72"/>
  <c r="H78" i="72"/>
  <c r="H206" i="72"/>
  <c r="H176" i="72"/>
  <c r="H68" i="72"/>
  <c r="H70" i="72"/>
  <c r="H97" i="72"/>
  <c r="H34" i="72"/>
  <c r="H172" i="72"/>
  <c r="H64" i="72"/>
  <c r="H157" i="72"/>
  <c r="H187" i="72"/>
  <c r="H48" i="72"/>
  <c r="H133" i="72"/>
  <c r="H200" i="72"/>
  <c r="H88" i="72"/>
  <c r="H173" i="72"/>
  <c r="H107" i="72"/>
  <c r="H158" i="72"/>
  <c r="H86" i="72"/>
  <c r="H53" i="72"/>
  <c r="H193" i="72"/>
  <c r="H118" i="72"/>
  <c r="H46" i="72"/>
  <c r="H165" i="72"/>
  <c r="H33" i="72"/>
  <c r="H123" i="72"/>
  <c r="H184" i="72"/>
  <c r="H89" i="72"/>
  <c r="H82" i="72"/>
  <c r="H189" i="72"/>
  <c r="H156" i="72"/>
  <c r="H29" i="72"/>
  <c r="H91" i="72"/>
  <c r="H117" i="72"/>
  <c r="H96" i="72"/>
  <c r="H185" i="72"/>
  <c r="H108" i="72"/>
  <c r="H43" i="72"/>
  <c r="H159" i="72"/>
  <c r="H175" i="72"/>
  <c r="H111" i="72"/>
  <c r="H47" i="72"/>
  <c r="H143" i="72"/>
  <c r="H87" i="72"/>
  <c r="H109" i="65"/>
  <c r="H170" i="65"/>
  <c r="H179" i="15"/>
  <c r="H137" i="65"/>
  <c r="H193" i="65"/>
  <c r="H69" i="65"/>
  <c r="H196" i="65"/>
  <c r="H96" i="65"/>
  <c r="H67" i="15"/>
  <c r="H47" i="15"/>
  <c r="H152" i="15"/>
  <c r="H164" i="15"/>
  <c r="G215" i="15"/>
  <c r="H27" i="15"/>
  <c r="H151" i="15"/>
  <c r="H146" i="15"/>
  <c r="H170" i="15"/>
  <c r="H61" i="15"/>
  <c r="H107" i="15"/>
  <c r="H206" i="15"/>
  <c r="H148" i="15"/>
  <c r="H197" i="15"/>
  <c r="H32" i="15"/>
  <c r="H137" i="15"/>
  <c r="H171" i="15"/>
  <c r="H108" i="15"/>
  <c r="H133" i="15"/>
  <c r="H143" i="15"/>
  <c r="H99" i="15"/>
  <c r="H28" i="15"/>
  <c r="H166" i="15"/>
  <c r="H31" i="15"/>
  <c r="H149" i="15"/>
  <c r="H78" i="15"/>
  <c r="K12" i="15"/>
  <c r="H131" i="15"/>
  <c r="H142" i="15"/>
  <c r="H40" i="15"/>
  <c r="H87" i="15"/>
  <c r="H49" i="15"/>
  <c r="H156" i="15"/>
  <c r="H54" i="15"/>
  <c r="H136" i="15"/>
  <c r="H117" i="15"/>
  <c r="H186" i="15"/>
  <c r="H191" i="15"/>
  <c r="H82" i="15"/>
  <c r="H105" i="15"/>
  <c r="H177" i="15"/>
  <c r="H204" i="15"/>
  <c r="H98" i="15"/>
  <c r="H51" i="15"/>
  <c r="H173" i="15"/>
  <c r="H195" i="15"/>
  <c r="H138" i="15"/>
  <c r="H76" i="15"/>
  <c r="H26" i="15"/>
  <c r="H72" i="15"/>
  <c r="H85" i="15"/>
  <c r="H168" i="15"/>
  <c r="H116" i="15"/>
  <c r="H150" i="15"/>
  <c r="H118" i="15"/>
  <c r="H123" i="15"/>
  <c r="H114" i="15"/>
  <c r="H129" i="15"/>
  <c r="H192" i="15"/>
  <c r="H115" i="15"/>
  <c r="H102" i="15"/>
  <c r="H135" i="15"/>
  <c r="H174" i="15"/>
  <c r="H41" i="15"/>
  <c r="H110" i="15"/>
  <c r="H158" i="15"/>
  <c r="H60" i="15"/>
  <c r="H92" i="15"/>
  <c r="H29" i="15"/>
  <c r="H109" i="15"/>
  <c r="H101" i="15"/>
  <c r="H33" i="15"/>
  <c r="H90" i="15"/>
  <c r="H182" i="15"/>
  <c r="H46" i="15"/>
  <c r="H161" i="15"/>
  <c r="H160" i="15"/>
  <c r="H189" i="15"/>
  <c r="H126" i="15"/>
  <c r="H68" i="15"/>
  <c r="H57" i="15"/>
  <c r="H35" i="15"/>
  <c r="H124" i="15"/>
  <c r="H89" i="15"/>
  <c r="H70" i="15"/>
  <c r="H106" i="15"/>
  <c r="H53" i="15"/>
  <c r="H147" i="15"/>
  <c r="H178" i="15"/>
  <c r="H42" i="15"/>
  <c r="H52" i="15"/>
  <c r="H180" i="15"/>
  <c r="H196" i="15"/>
  <c r="H185" i="15"/>
  <c r="H36" i="15"/>
  <c r="H159" i="15"/>
  <c r="H69" i="15"/>
  <c r="H176" i="15"/>
  <c r="H169" i="15"/>
  <c r="H100" i="15"/>
  <c r="H187" i="15"/>
  <c r="H71" i="15"/>
  <c r="H140" i="15"/>
  <c r="H86" i="15"/>
  <c r="H157" i="15"/>
  <c r="H45" i="15"/>
  <c r="H65" i="15"/>
  <c r="H66" i="15"/>
  <c r="H88" i="15"/>
  <c r="H205" i="15"/>
  <c r="H97" i="15"/>
  <c r="H73" i="15"/>
  <c r="H181" i="15"/>
  <c r="H25" i="15"/>
  <c r="H130" i="15"/>
  <c r="H91" i="15"/>
  <c r="H50" i="15"/>
  <c r="H119" i="15"/>
  <c r="H74" i="15"/>
  <c r="H193" i="15"/>
  <c r="H127" i="15"/>
  <c r="H48" i="15"/>
  <c r="H184" i="15"/>
  <c r="H155" i="15"/>
  <c r="H183" i="15"/>
  <c r="H84" i="15"/>
  <c r="H201" i="15"/>
  <c r="H79" i="15"/>
  <c r="H83" i="15"/>
  <c r="H44" i="15"/>
  <c r="H25" i="65"/>
  <c r="H58" i="15"/>
  <c r="H68" i="65"/>
  <c r="H124" i="65"/>
  <c r="H27" i="65"/>
  <c r="H182" i="65"/>
  <c r="H99" i="65"/>
  <c r="H77" i="15"/>
  <c r="H59" i="15"/>
  <c r="H203" i="15"/>
  <c r="H38" i="15"/>
  <c r="H55" i="15"/>
  <c r="H185" i="65"/>
  <c r="H143" i="65"/>
  <c r="H38" i="65"/>
  <c r="H114" i="65"/>
  <c r="H202" i="15"/>
  <c r="H30" i="15"/>
  <c r="H141" i="15"/>
  <c r="H125" i="15"/>
  <c r="H188" i="15"/>
  <c r="H133" i="65"/>
  <c r="H72" i="65"/>
  <c r="H83" i="65"/>
  <c r="H148" i="65"/>
  <c r="H164" i="65"/>
  <c r="H90" i="65"/>
  <c r="H132" i="65"/>
  <c r="H205" i="65"/>
  <c r="H140" i="65"/>
  <c r="H97" i="65"/>
  <c r="H208" i="65"/>
  <c r="H91" i="65"/>
  <c r="H26" i="65"/>
  <c r="H51" i="65"/>
  <c r="H201" i="65"/>
  <c r="H166" i="65"/>
  <c r="H178" i="65"/>
  <c r="H29" i="65"/>
  <c r="H100" i="65"/>
  <c r="H189" i="65"/>
  <c r="H66" i="65"/>
  <c r="H157" i="65"/>
  <c r="H197" i="65"/>
  <c r="H61" i="65"/>
  <c r="K12" i="65"/>
  <c r="H119" i="65"/>
  <c r="H179" i="65"/>
  <c r="H60" i="65"/>
  <c r="H56" i="65"/>
  <c r="H206" i="65"/>
  <c r="H136" i="65"/>
  <c r="H186" i="65"/>
  <c r="H65" i="65"/>
  <c r="H92" i="65"/>
  <c r="H45" i="65"/>
  <c r="H203" i="65"/>
  <c r="H200" i="65"/>
  <c r="H172" i="65"/>
  <c r="H59" i="65"/>
  <c r="H110" i="65"/>
  <c r="H108" i="65"/>
  <c r="H84" i="65"/>
  <c r="H130" i="65"/>
  <c r="H39" i="65"/>
  <c r="H125" i="65"/>
  <c r="H181" i="65"/>
  <c r="H98" i="65"/>
  <c r="H70" i="65"/>
  <c r="H129" i="65"/>
  <c r="H82" i="65"/>
  <c r="H79" i="65"/>
  <c r="H74" i="65"/>
  <c r="H42" i="65"/>
  <c r="H174" i="65"/>
  <c r="H101" i="65"/>
  <c r="H191" i="65"/>
  <c r="H190" i="65"/>
  <c r="H156" i="65"/>
  <c r="H53" i="65"/>
  <c r="H40" i="65"/>
  <c r="H171" i="65"/>
  <c r="H52" i="65"/>
  <c r="H183" i="65"/>
  <c r="H54" i="65"/>
  <c r="H160" i="65"/>
  <c r="H85" i="65"/>
  <c r="H31" i="65"/>
  <c r="H151" i="65"/>
  <c r="H167" i="65"/>
  <c r="H180" i="65"/>
  <c r="H202" i="65"/>
  <c r="H102" i="65"/>
  <c r="H48" i="65"/>
  <c r="H149" i="65"/>
  <c r="H127" i="65"/>
  <c r="H158" i="65"/>
  <c r="H44" i="65"/>
  <c r="H41" i="65"/>
  <c r="H76" i="65"/>
  <c r="H75" i="65"/>
  <c r="H194" i="65"/>
  <c r="H153" i="65"/>
  <c r="H126" i="65"/>
  <c r="H49" i="65"/>
  <c r="H107" i="65"/>
  <c r="H173" i="65"/>
  <c r="H187" i="65"/>
  <c r="H118" i="65"/>
  <c r="H71" i="65"/>
  <c r="H147" i="65"/>
  <c r="H131" i="65"/>
  <c r="H161" i="65"/>
  <c r="H159" i="65"/>
  <c r="H145" i="65"/>
  <c r="H155" i="65"/>
  <c r="H188" i="65"/>
  <c r="H177" i="65"/>
  <c r="H43" i="65"/>
  <c r="H195" i="65"/>
  <c r="H57" i="65"/>
  <c r="H77" i="65"/>
  <c r="H35" i="65"/>
  <c r="H46" i="65"/>
  <c r="H169" i="65"/>
  <c r="H175" i="65"/>
  <c r="H50" i="65"/>
  <c r="H176" i="65"/>
  <c r="H89" i="65"/>
  <c r="H116" i="65"/>
  <c r="H58" i="65"/>
  <c r="H78" i="65"/>
  <c r="H93" i="65"/>
  <c r="H37" i="65"/>
  <c r="H146" i="65"/>
  <c r="H168" i="65"/>
  <c r="H67" i="65"/>
  <c r="H123" i="65"/>
  <c r="H86" i="65"/>
  <c r="H111" i="65"/>
  <c r="H105" i="65"/>
  <c r="H88" i="65"/>
  <c r="H152" i="65"/>
  <c r="H28" i="65"/>
  <c r="H190" i="15"/>
  <c r="H32" i="65"/>
  <c r="H165" i="65"/>
  <c r="H138" i="65"/>
  <c r="H204" i="65"/>
  <c r="H142" i="65"/>
  <c r="H111" i="15"/>
  <c r="H194" i="15"/>
  <c r="H175" i="15"/>
  <c r="H165" i="15"/>
  <c r="H172" i="15"/>
  <c r="H47" i="65"/>
  <c r="H132" i="15"/>
  <c r="H150" i="65"/>
  <c r="H115" i="65"/>
  <c r="H106" i="65"/>
  <c r="H64" i="65"/>
  <c r="H135" i="65"/>
  <c r="H96" i="15"/>
  <c r="H43" i="15"/>
  <c r="H56" i="15"/>
  <c r="H34" i="15"/>
  <c r="H117" i="65"/>
  <c r="H39" i="15"/>
  <c r="H36" i="65"/>
  <c r="H34" i="65"/>
  <c r="H87" i="65"/>
  <c r="H55" i="65"/>
  <c r="H184" i="65"/>
  <c r="H93" i="15"/>
  <c r="H200" i="15"/>
  <c r="H37" i="15"/>
  <c r="H167" i="15"/>
  <c r="G238" i="55"/>
  <c r="G238" i="95"/>
  <c r="H169" i="177"/>
  <c r="H55" i="177"/>
  <c r="H147" i="177"/>
  <c r="H53" i="177"/>
  <c r="H175" i="177"/>
  <c r="H119" i="177"/>
  <c r="H42" i="177"/>
  <c r="H85" i="177"/>
  <c r="H110" i="177"/>
  <c r="H89" i="177"/>
  <c r="H178" i="177"/>
  <c r="H28" i="177"/>
  <c r="H61" i="177"/>
  <c r="H69" i="177"/>
  <c r="H77" i="177"/>
  <c r="H182" i="177"/>
  <c r="H180" i="177"/>
  <c r="H203" i="177"/>
  <c r="H64" i="177"/>
  <c r="H91" i="177"/>
  <c r="H142" i="177"/>
  <c r="H205" i="149"/>
  <c r="H194" i="149"/>
  <c r="H197" i="149"/>
  <c r="H100" i="149"/>
  <c r="H67" i="149"/>
  <c r="H77" i="149"/>
  <c r="H179" i="149"/>
  <c r="H146" i="149"/>
  <c r="H73" i="149"/>
  <c r="H38" i="149"/>
  <c r="H169" i="149"/>
  <c r="H151" i="149"/>
  <c r="H125" i="149"/>
  <c r="H131" i="149"/>
  <c r="H188" i="149"/>
  <c r="H86" i="149"/>
  <c r="H155" i="149"/>
  <c r="H76" i="149"/>
  <c r="H111" i="149"/>
  <c r="H174" i="149"/>
  <c r="H37" i="64"/>
  <c r="H201" i="64"/>
  <c r="H41" i="64"/>
  <c r="H28" i="64"/>
  <c r="H127" i="175"/>
  <c r="H59" i="175"/>
  <c r="H180" i="175"/>
  <c r="H89" i="175"/>
  <c r="H71" i="175"/>
  <c r="H200" i="175"/>
  <c r="H101" i="175"/>
  <c r="H82" i="175"/>
  <c r="H201" i="175"/>
  <c r="H196" i="175"/>
  <c r="H96" i="175"/>
  <c r="H123" i="175"/>
  <c r="H204" i="175"/>
  <c r="H97" i="175"/>
  <c r="H166" i="175"/>
  <c r="H78" i="175"/>
  <c r="H130" i="175"/>
  <c r="G215" i="175"/>
  <c r="H133" i="175"/>
  <c r="H55" i="175"/>
  <c r="H179" i="141"/>
  <c r="H142" i="141"/>
  <c r="H93" i="141"/>
  <c r="H196" i="141"/>
  <c r="H202" i="141"/>
  <c r="H69" i="141"/>
  <c r="H111" i="141"/>
  <c r="H67" i="141"/>
  <c r="H84" i="141"/>
  <c r="H56" i="141"/>
  <c r="H166" i="141"/>
  <c r="H68" i="141"/>
  <c r="H136" i="141"/>
  <c r="K12" i="141"/>
  <c r="H54" i="141"/>
  <c r="H61" i="141"/>
  <c r="H174" i="141"/>
  <c r="H41" i="141"/>
  <c r="H164" i="141"/>
  <c r="H177" i="141"/>
  <c r="H90" i="42"/>
  <c r="H127" i="42"/>
  <c r="H118" i="42"/>
  <c r="H87" i="42"/>
  <c r="H164" i="42"/>
  <c r="H85" i="42"/>
  <c r="H38" i="42"/>
  <c r="H59" i="42"/>
  <c r="H180" i="42"/>
  <c r="H43" i="42"/>
  <c r="H206" i="42"/>
  <c r="H52" i="42"/>
  <c r="H44" i="42"/>
  <c r="H195" i="42"/>
  <c r="H54" i="42"/>
  <c r="H39" i="42"/>
  <c r="H117" i="42"/>
  <c r="H99" i="42"/>
  <c r="H152" i="42"/>
  <c r="H71" i="42"/>
  <c r="H187" i="10"/>
  <c r="H145" i="10"/>
  <c r="H64" i="10"/>
  <c r="H202" i="10"/>
  <c r="H82" i="10"/>
  <c r="H86" i="10"/>
  <c r="H124" i="10"/>
  <c r="H54" i="10"/>
  <c r="H42" i="10"/>
  <c r="H146" i="10"/>
  <c r="H117" i="10"/>
  <c r="H173" i="10"/>
  <c r="H31" i="10"/>
  <c r="H78" i="10"/>
  <c r="H131" i="10"/>
  <c r="H191" i="10"/>
  <c r="H133" i="10"/>
  <c r="H32" i="10"/>
  <c r="H174" i="10"/>
  <c r="H26" i="10"/>
  <c r="H40" i="10"/>
  <c r="H172" i="175"/>
  <c r="H195" i="175"/>
  <c r="H138" i="175"/>
  <c r="H153" i="175"/>
  <c r="H168" i="175"/>
  <c r="H47" i="175"/>
  <c r="H149" i="175"/>
  <c r="H147" i="175"/>
  <c r="G215" i="42"/>
  <c r="H166" i="177"/>
  <c r="H92" i="177"/>
  <c r="H176" i="177"/>
  <c r="H152" i="177"/>
  <c r="H107" i="177"/>
  <c r="H115" i="177"/>
  <c r="H204" i="177"/>
  <c r="H35" i="177"/>
  <c r="H125" i="177"/>
  <c r="H149" i="177"/>
  <c r="H186" i="177"/>
  <c r="H46" i="177"/>
  <c r="H109" i="177"/>
  <c r="H101" i="177"/>
  <c r="H54" i="177"/>
  <c r="H118" i="177"/>
  <c r="H30" i="177"/>
  <c r="H45" i="177"/>
  <c r="H38" i="177"/>
  <c r="H74" i="177"/>
  <c r="H193" i="177"/>
  <c r="H127" i="149"/>
  <c r="H98" i="149"/>
  <c r="H82" i="149"/>
  <c r="H124" i="149"/>
  <c r="H25" i="149"/>
  <c r="H97" i="149"/>
  <c r="H201" i="149"/>
  <c r="H148" i="149"/>
  <c r="H66" i="149"/>
  <c r="H115" i="149"/>
  <c r="H161" i="149"/>
  <c r="H204" i="149"/>
  <c r="H132" i="149"/>
  <c r="H84" i="149"/>
  <c r="H149" i="149"/>
  <c r="H83" i="149"/>
  <c r="H129" i="149"/>
  <c r="H167" i="149"/>
  <c r="H174" i="64"/>
  <c r="H30" i="64"/>
  <c r="H84" i="64"/>
  <c r="H90" i="64"/>
  <c r="H57" i="175"/>
  <c r="H26" i="175"/>
  <c r="H72" i="175"/>
  <c r="H99" i="175"/>
  <c r="H131" i="175"/>
  <c r="H37" i="175"/>
  <c r="H206" i="175"/>
  <c r="H100" i="175"/>
  <c r="H182" i="175"/>
  <c r="H141" i="175"/>
  <c r="H188" i="175"/>
  <c r="H79" i="175"/>
  <c r="H193" i="175"/>
  <c r="H135" i="175"/>
  <c r="H40" i="175"/>
  <c r="H36" i="175"/>
  <c r="H126" i="175"/>
  <c r="H28" i="175"/>
  <c r="H51" i="175"/>
  <c r="H152" i="175"/>
  <c r="H28" i="141"/>
  <c r="H90" i="141"/>
  <c r="H176" i="141"/>
  <c r="H53" i="141"/>
  <c r="H168" i="141"/>
  <c r="H182" i="141"/>
  <c r="H36" i="141"/>
  <c r="H40" i="141"/>
  <c r="H106" i="141"/>
  <c r="H76" i="141"/>
  <c r="H197" i="141"/>
  <c r="H193" i="141"/>
  <c r="H72" i="141"/>
  <c r="H87" i="141"/>
  <c r="H115" i="141"/>
  <c r="H109" i="141"/>
  <c r="H79" i="141"/>
  <c r="H140" i="141"/>
  <c r="H102" i="141"/>
  <c r="H132" i="141"/>
  <c r="H203" i="141"/>
  <c r="H172" i="42"/>
  <c r="H151" i="42"/>
  <c r="H26" i="42"/>
  <c r="H79" i="42"/>
  <c r="H167" i="42"/>
  <c r="H181" i="42"/>
  <c r="H57" i="42"/>
  <c r="H91" i="42"/>
  <c r="H170" i="42"/>
  <c r="H101" i="42"/>
  <c r="H201" i="42"/>
  <c r="H30" i="42"/>
  <c r="H27" i="42"/>
  <c r="H183" i="42"/>
  <c r="H48" i="42"/>
  <c r="H115" i="42"/>
  <c r="H202" i="42"/>
  <c r="H125" i="42"/>
  <c r="H123" i="42"/>
  <c r="H152" i="10"/>
  <c r="H45" i="10"/>
  <c r="H166" i="10"/>
  <c r="H67" i="10"/>
  <c r="H75" i="10"/>
  <c r="H69" i="10"/>
  <c r="H136" i="10"/>
  <c r="H35" i="10"/>
  <c r="H186" i="10"/>
  <c r="H65" i="10"/>
  <c r="H179" i="10"/>
  <c r="H137" i="10"/>
  <c r="H88" i="10"/>
  <c r="H168" i="10"/>
  <c r="H132" i="10"/>
  <c r="H74" i="10"/>
  <c r="H83" i="10"/>
  <c r="H123" i="10"/>
  <c r="H55" i="10"/>
  <c r="H157" i="10"/>
  <c r="H192" i="175"/>
  <c r="H87" i="175"/>
  <c r="H175" i="175"/>
  <c r="H69" i="175"/>
  <c r="H34" i="175"/>
  <c r="H87" i="177"/>
  <c r="H164" i="177"/>
  <c r="H106" i="177"/>
  <c r="H197" i="177"/>
  <c r="H67" i="177"/>
  <c r="H135" i="177"/>
  <c r="H57" i="177"/>
  <c r="H192" i="177"/>
  <c r="H71" i="177"/>
  <c r="H179" i="177"/>
  <c r="H83" i="177"/>
  <c r="H137" i="177"/>
  <c r="H141" i="177"/>
  <c r="H41" i="177"/>
  <c r="H205" i="177"/>
  <c r="H129" i="177"/>
  <c r="H201" i="177"/>
  <c r="H59" i="177"/>
  <c r="H93" i="177"/>
  <c r="H100" i="177"/>
  <c r="H106" i="149"/>
  <c r="H152" i="149"/>
  <c r="H53" i="149"/>
  <c r="H200" i="149"/>
  <c r="H35" i="149"/>
  <c r="H202" i="149"/>
  <c r="H89" i="149"/>
  <c r="H145" i="149"/>
  <c r="H88" i="149"/>
  <c r="H142" i="149"/>
  <c r="K12" i="149"/>
  <c r="H138" i="149"/>
  <c r="H49" i="149"/>
  <c r="H68" i="149"/>
  <c r="H165" i="149"/>
  <c r="H70" i="149"/>
  <c r="H190" i="149"/>
  <c r="H177" i="149"/>
  <c r="H96" i="149"/>
  <c r="H183" i="149"/>
  <c r="H168" i="149"/>
  <c r="H188" i="64"/>
  <c r="H26" i="64"/>
  <c r="H91" i="64"/>
  <c r="H140" i="64"/>
  <c r="K12" i="175"/>
  <c r="H39" i="175"/>
  <c r="H167" i="175"/>
  <c r="H159" i="175"/>
  <c r="H110" i="175"/>
  <c r="H164" i="175"/>
  <c r="H76" i="175"/>
  <c r="H61" i="175"/>
  <c r="H150" i="175"/>
  <c r="H49" i="175"/>
  <c r="H146" i="175"/>
  <c r="H115" i="175"/>
  <c r="H109" i="175"/>
  <c r="H45" i="175"/>
  <c r="H178" i="175"/>
  <c r="H48" i="175"/>
  <c r="H38" i="175"/>
  <c r="H41" i="175"/>
  <c r="H137" i="175"/>
  <c r="H129" i="175"/>
  <c r="H174" i="175"/>
  <c r="G215" i="141"/>
  <c r="H96" i="141"/>
  <c r="H152" i="141"/>
  <c r="H186" i="141"/>
  <c r="H42" i="141"/>
  <c r="H48" i="141"/>
  <c r="H145" i="141"/>
  <c r="H195" i="141"/>
  <c r="H183" i="141"/>
  <c r="H153" i="141"/>
  <c r="H137" i="141"/>
  <c r="H191" i="141"/>
  <c r="H73" i="141"/>
  <c r="H190" i="141"/>
  <c r="H51" i="141"/>
  <c r="H82" i="141"/>
  <c r="H175" i="141"/>
  <c r="H108" i="141"/>
  <c r="H151" i="141"/>
  <c r="H39" i="141"/>
  <c r="H181" i="141"/>
  <c r="H172" i="141"/>
  <c r="H203" i="42"/>
  <c r="H192" i="42"/>
  <c r="H73" i="42"/>
  <c r="H28" i="42"/>
  <c r="H29" i="42"/>
  <c r="H102" i="42"/>
  <c r="H77" i="42"/>
  <c r="H142" i="42"/>
  <c r="H86" i="42"/>
  <c r="H74" i="42"/>
  <c r="H46" i="42"/>
  <c r="H55" i="42"/>
  <c r="H196" i="42"/>
  <c r="H105" i="42"/>
  <c r="H171" i="42"/>
  <c r="H66" i="42"/>
  <c r="H106" i="42"/>
  <c r="H185" i="42"/>
  <c r="H97" i="42"/>
  <c r="H143" i="42"/>
  <c r="H110" i="42"/>
  <c r="H114" i="10"/>
  <c r="H30" i="10"/>
  <c r="H76" i="10"/>
  <c r="H89" i="10"/>
  <c r="H147" i="10"/>
  <c r="H58" i="10"/>
  <c r="H37" i="10"/>
  <c r="H101" i="10"/>
  <c r="H119" i="10"/>
  <c r="H140" i="10"/>
  <c r="H205" i="10"/>
  <c r="H110" i="10"/>
  <c r="H184" i="10"/>
  <c r="H100" i="10"/>
  <c r="H130" i="10"/>
  <c r="H141" i="10"/>
  <c r="H60" i="10"/>
  <c r="H158" i="10"/>
  <c r="H84" i="10"/>
  <c r="H28" i="10"/>
  <c r="H145" i="175"/>
  <c r="H124" i="175"/>
  <c r="H132" i="175"/>
  <c r="H31" i="177"/>
  <c r="H161" i="177"/>
  <c r="H158" i="177"/>
  <c r="H145" i="177"/>
  <c r="H160" i="177"/>
  <c r="H167" i="177"/>
  <c r="H76" i="177"/>
  <c r="H189" i="177"/>
  <c r="H25" i="177"/>
  <c r="H200" i="177"/>
  <c r="H170" i="177"/>
  <c r="H143" i="177"/>
  <c r="H97" i="177"/>
  <c r="H130" i="177"/>
  <c r="H96" i="177"/>
  <c r="H33" i="177"/>
  <c r="H117" i="177"/>
  <c r="H124" i="177"/>
  <c r="H136" i="177"/>
  <c r="H27" i="177"/>
  <c r="H159" i="149"/>
  <c r="H90" i="149"/>
  <c r="H109" i="149"/>
  <c r="H175" i="149"/>
  <c r="H59" i="149"/>
  <c r="H47" i="149"/>
  <c r="H31" i="149"/>
  <c r="H57" i="149"/>
  <c r="H48" i="149"/>
  <c r="H136" i="149"/>
  <c r="H176" i="149"/>
  <c r="H140" i="149"/>
  <c r="H189" i="149"/>
  <c r="H26" i="149"/>
  <c r="H107" i="149"/>
  <c r="H196" i="149"/>
  <c r="H119" i="149"/>
  <c r="H46" i="149"/>
  <c r="H29" i="149"/>
  <c r="H172" i="149"/>
  <c r="H208" i="149"/>
  <c r="H111" i="64"/>
  <c r="H137" i="64"/>
  <c r="H76" i="64"/>
  <c r="H202" i="64"/>
  <c r="H102" i="175"/>
  <c r="H203" i="175"/>
  <c r="H25" i="175"/>
  <c r="H184" i="175"/>
  <c r="H194" i="175"/>
  <c r="H53" i="175"/>
  <c r="H158" i="175"/>
  <c r="H77" i="175"/>
  <c r="H151" i="175"/>
  <c r="H165" i="175"/>
  <c r="H186" i="175"/>
  <c r="H92" i="175"/>
  <c r="H187" i="175"/>
  <c r="H136" i="175"/>
  <c r="H93" i="175"/>
  <c r="H42" i="175"/>
  <c r="H46" i="175"/>
  <c r="H58" i="175"/>
  <c r="H75" i="175"/>
  <c r="H30" i="175"/>
  <c r="H107" i="175"/>
  <c r="H66" i="141"/>
  <c r="H206" i="141"/>
  <c r="H34" i="141"/>
  <c r="H116" i="141"/>
  <c r="H157" i="141"/>
  <c r="H149" i="141"/>
  <c r="H44" i="141"/>
  <c r="H146" i="141"/>
  <c r="H180" i="141"/>
  <c r="H135" i="141"/>
  <c r="H26" i="141"/>
  <c r="H130" i="141"/>
  <c r="H200" i="141"/>
  <c r="H70" i="141"/>
  <c r="H50" i="141"/>
  <c r="H123" i="141"/>
  <c r="H30" i="141"/>
  <c r="H125" i="141"/>
  <c r="H188" i="141"/>
  <c r="H119" i="42"/>
  <c r="H186" i="42"/>
  <c r="H93" i="42"/>
  <c r="H69" i="42"/>
  <c r="H150" i="42"/>
  <c r="H145" i="42"/>
  <c r="H25" i="42"/>
  <c r="H136" i="42"/>
  <c r="H61" i="42"/>
  <c r="H45" i="42"/>
  <c r="H129" i="42"/>
  <c r="H96" i="42"/>
  <c r="H31" i="42"/>
  <c r="H138" i="42"/>
  <c r="H200" i="42"/>
  <c r="H72" i="42"/>
  <c r="H58" i="42"/>
  <c r="H194" i="42"/>
  <c r="H78" i="42"/>
  <c r="H175" i="42"/>
  <c r="H193" i="42"/>
  <c r="H127" i="10"/>
  <c r="H116" i="10"/>
  <c r="H138" i="10"/>
  <c r="H125" i="10"/>
  <c r="H180" i="10"/>
  <c r="H197" i="10"/>
  <c r="H38" i="10"/>
  <c r="H27" i="10"/>
  <c r="H171" i="10"/>
  <c r="H183" i="10"/>
  <c r="H126" i="10"/>
  <c r="H92" i="10"/>
  <c r="H178" i="10"/>
  <c r="H182" i="10"/>
  <c r="H34" i="10"/>
  <c r="H102" i="10"/>
  <c r="H47" i="10"/>
  <c r="H201" i="10"/>
  <c r="H51" i="10"/>
  <c r="H91" i="10"/>
  <c r="G238" i="1"/>
  <c r="G215" i="84"/>
  <c r="H45" i="84"/>
  <c r="H98" i="84"/>
  <c r="H74" i="84"/>
  <c r="H146" i="84"/>
  <c r="H173" i="84"/>
  <c r="H85" i="84"/>
  <c r="H201" i="84"/>
  <c r="H69" i="84"/>
  <c r="H42" i="84"/>
  <c r="H68" i="84"/>
  <c r="H130" i="84"/>
  <c r="H117" i="84"/>
  <c r="H100" i="84"/>
  <c r="H169" i="84"/>
  <c r="H65" i="84"/>
  <c r="H34" i="84"/>
  <c r="H93" i="84"/>
  <c r="H164" i="84"/>
  <c r="H115" i="84"/>
  <c r="H172" i="84"/>
  <c r="H137" i="84"/>
  <c r="H27" i="84"/>
  <c r="H203" i="84"/>
  <c r="H153" i="84"/>
  <c r="H190" i="84"/>
  <c r="H70" i="84"/>
  <c r="H202" i="84"/>
  <c r="H59" i="84"/>
  <c r="H60" i="84"/>
  <c r="H156" i="84"/>
  <c r="H77" i="84"/>
  <c r="H73" i="84"/>
  <c r="H32" i="84"/>
  <c r="H44" i="84"/>
  <c r="H61" i="84"/>
  <c r="H55" i="84"/>
  <c r="H175" i="84"/>
  <c r="H36" i="84"/>
  <c r="H186" i="84"/>
  <c r="H67" i="84"/>
  <c r="H64" i="84"/>
  <c r="H79" i="84"/>
  <c r="H176" i="84"/>
  <c r="H150" i="84"/>
  <c r="H157" i="84"/>
  <c r="H99" i="84"/>
  <c r="H111" i="84"/>
  <c r="H76" i="84"/>
  <c r="H204" i="84"/>
  <c r="H142" i="84"/>
  <c r="H143" i="84"/>
  <c r="H47" i="84"/>
  <c r="H196" i="84"/>
  <c r="H195" i="84"/>
  <c r="H46" i="84"/>
  <c r="H183" i="84"/>
  <c r="H35" i="84"/>
  <c r="H114" i="84"/>
  <c r="H89" i="84"/>
  <c r="H75" i="84"/>
  <c r="H132" i="84"/>
  <c r="H66" i="175"/>
  <c r="H29" i="175"/>
  <c r="H119" i="175"/>
  <c r="H160" i="175"/>
  <c r="H181" i="175"/>
  <c r="H26" i="177"/>
  <c r="H168" i="177"/>
  <c r="H132" i="177"/>
  <c r="H73" i="177"/>
  <c r="H111" i="177"/>
  <c r="H181" i="177"/>
  <c r="H206" i="177"/>
  <c r="H194" i="177"/>
  <c r="H43" i="177"/>
  <c r="H114" i="177"/>
  <c r="H29" i="177"/>
  <c r="H79" i="177"/>
  <c r="H51" i="177"/>
  <c r="H153" i="177"/>
  <c r="H84" i="177"/>
  <c r="H82" i="177"/>
  <c r="H155" i="177"/>
  <c r="H102" i="177"/>
  <c r="H188" i="177"/>
  <c r="H69" i="149"/>
  <c r="H191" i="149"/>
  <c r="H34" i="149"/>
  <c r="H39" i="149"/>
  <c r="H173" i="149"/>
  <c r="H123" i="149"/>
  <c r="H40" i="149"/>
  <c r="H87" i="149"/>
  <c r="H41" i="149"/>
  <c r="H54" i="149"/>
  <c r="H56" i="149"/>
  <c r="H78" i="149"/>
  <c r="H105" i="149"/>
  <c r="H99" i="149"/>
  <c r="H72" i="149"/>
  <c r="H91" i="149"/>
  <c r="H187" i="149"/>
  <c r="H75" i="149"/>
  <c r="H101" i="149"/>
  <c r="H126" i="149"/>
  <c r="H178" i="149"/>
  <c r="H83" i="64"/>
  <c r="H43" i="64"/>
  <c r="H78" i="64"/>
  <c r="H92" i="64"/>
  <c r="H173" i="175"/>
  <c r="H27" i="175"/>
  <c r="H116" i="175"/>
  <c r="H197" i="175"/>
  <c r="H185" i="175"/>
  <c r="H91" i="175"/>
  <c r="H33" i="175"/>
  <c r="H161" i="175"/>
  <c r="H85" i="175"/>
  <c r="H208" i="175"/>
  <c r="H202" i="175"/>
  <c r="H64" i="175"/>
  <c r="H31" i="175"/>
  <c r="H170" i="175"/>
  <c r="H118" i="175"/>
  <c r="H74" i="175"/>
  <c r="H169" i="175"/>
  <c r="H88" i="175"/>
  <c r="H44" i="175"/>
  <c r="H59" i="141"/>
  <c r="H86" i="141"/>
  <c r="H187" i="141"/>
  <c r="H105" i="141"/>
  <c r="H101" i="141"/>
  <c r="H126" i="141"/>
  <c r="H29" i="141"/>
  <c r="H45" i="141"/>
  <c r="H78" i="141"/>
  <c r="H194" i="141"/>
  <c r="H204" i="141"/>
  <c r="H107" i="141"/>
  <c r="H156" i="141"/>
  <c r="H46" i="141"/>
  <c r="H91" i="141"/>
  <c r="H143" i="141"/>
  <c r="H138" i="141"/>
  <c r="H110" i="141"/>
  <c r="H124" i="141"/>
  <c r="H165" i="42"/>
  <c r="H33" i="42"/>
  <c r="H182" i="42"/>
  <c r="H68" i="42"/>
  <c r="H156" i="42"/>
  <c r="H32" i="42"/>
  <c r="H126" i="42"/>
  <c r="H70" i="42"/>
  <c r="H169" i="42"/>
  <c r="H168" i="42"/>
  <c r="H100" i="42"/>
  <c r="H197" i="42"/>
  <c r="H176" i="42"/>
  <c r="H37" i="42"/>
  <c r="H161" i="42"/>
  <c r="H189" i="42"/>
  <c r="H51" i="42"/>
  <c r="H130" i="42"/>
  <c r="H41" i="42"/>
  <c r="H68" i="10"/>
  <c r="H39" i="10"/>
  <c r="H194" i="10"/>
  <c r="H200" i="10"/>
  <c r="H172" i="10"/>
  <c r="H57" i="10"/>
  <c r="H196" i="10"/>
  <c r="H85" i="10"/>
  <c r="H41" i="10"/>
  <c r="H149" i="10"/>
  <c r="H99" i="10"/>
  <c r="H169" i="10"/>
  <c r="H56" i="10"/>
  <c r="H109" i="10"/>
  <c r="H72" i="10"/>
  <c r="H59" i="10"/>
  <c r="H159" i="10"/>
  <c r="H118" i="10"/>
  <c r="H151" i="10"/>
  <c r="G215" i="10"/>
  <c r="H155" i="87"/>
  <c r="H66" i="87"/>
  <c r="H90" i="87"/>
  <c r="H146" i="87"/>
  <c r="H61" i="87"/>
  <c r="H165" i="87"/>
  <c r="H184" i="87"/>
  <c r="H127" i="87"/>
  <c r="H44" i="87"/>
  <c r="H29" i="87"/>
  <c r="H100" i="87"/>
  <c r="H202" i="87"/>
  <c r="H111" i="87"/>
  <c r="H141" i="87"/>
  <c r="H41" i="87"/>
  <c r="H106" i="87"/>
  <c r="H125" i="87"/>
  <c r="H33" i="87"/>
  <c r="H132" i="87"/>
  <c r="H36" i="87"/>
  <c r="H150" i="87"/>
  <c r="H42" i="87"/>
  <c r="H92" i="87"/>
  <c r="H183" i="87"/>
  <c r="H110" i="87"/>
  <c r="H108" i="87"/>
  <c r="H83" i="87"/>
  <c r="H197" i="87"/>
  <c r="H159" i="87"/>
  <c r="H37" i="87"/>
  <c r="H52" i="87"/>
  <c r="H179" i="87"/>
  <c r="H124" i="87"/>
  <c r="H25" i="87"/>
  <c r="H26" i="87"/>
  <c r="H170" i="87"/>
  <c r="H101" i="87"/>
  <c r="H191" i="87"/>
  <c r="H208" i="87"/>
  <c r="H123" i="87"/>
  <c r="H50" i="87"/>
  <c r="H77" i="87"/>
  <c r="H65" i="87"/>
  <c r="H117" i="87"/>
  <c r="H174" i="87"/>
  <c r="H47" i="87"/>
  <c r="H133" i="87"/>
  <c r="G215" i="87"/>
  <c r="H57" i="87"/>
  <c r="H168" i="87"/>
  <c r="H89" i="87"/>
  <c r="H178" i="87"/>
  <c r="H38" i="87"/>
  <c r="H196" i="87"/>
  <c r="H149" i="87"/>
  <c r="H43" i="87"/>
  <c r="H96" i="87"/>
  <c r="H193" i="87"/>
  <c r="H143" i="87"/>
  <c r="H206" i="87"/>
  <c r="H74" i="87"/>
  <c r="H27" i="87"/>
  <c r="G238" i="79"/>
  <c r="G238" i="37"/>
  <c r="G238" i="85"/>
  <c r="K12" i="102"/>
  <c r="H132" i="102"/>
  <c r="H82" i="102"/>
  <c r="H182" i="102"/>
  <c r="H172" i="102"/>
  <c r="H29" i="102"/>
  <c r="H43" i="102"/>
  <c r="H195" i="102"/>
  <c r="H109" i="102"/>
  <c r="H137" i="102"/>
  <c r="H170" i="102"/>
  <c r="H161" i="102"/>
  <c r="H39" i="102"/>
  <c r="H152" i="102"/>
  <c r="H202" i="102"/>
  <c r="H115" i="102"/>
  <c r="H89" i="102"/>
  <c r="H156" i="102"/>
  <c r="H85" i="102"/>
  <c r="H183" i="102"/>
  <c r="H91" i="102"/>
  <c r="H51" i="102"/>
  <c r="G238" i="102"/>
  <c r="H143" i="102"/>
  <c r="H174" i="102"/>
  <c r="H181" i="102"/>
  <c r="H25" i="102"/>
  <c r="H204" i="102"/>
  <c r="H129" i="102"/>
  <c r="H38" i="102"/>
  <c r="H68" i="102"/>
  <c r="J122" i="97"/>
  <c r="H114" i="104"/>
  <c r="H118" i="104"/>
  <c r="H26" i="104"/>
  <c r="H28" i="104"/>
  <c r="H164" i="104"/>
  <c r="H196" i="104"/>
  <c r="H159" i="104"/>
  <c r="H70" i="104"/>
  <c r="H158" i="104"/>
  <c r="H69" i="104"/>
  <c r="H58" i="104"/>
  <c r="H67" i="104"/>
  <c r="H97" i="104"/>
  <c r="H101" i="104"/>
  <c r="H171" i="104"/>
  <c r="H98" i="104"/>
  <c r="H31" i="104"/>
  <c r="K12" i="104"/>
  <c r="H35" i="104"/>
  <c r="H51" i="104"/>
  <c r="H49" i="104"/>
  <c r="H179" i="104"/>
  <c r="H54" i="104"/>
  <c r="H190" i="104"/>
  <c r="H146" i="104"/>
  <c r="H165" i="104"/>
  <c r="H177" i="104"/>
  <c r="H107" i="104"/>
  <c r="H150" i="104"/>
  <c r="H82" i="104"/>
  <c r="H174" i="104"/>
  <c r="H135" i="104"/>
  <c r="H206" i="104"/>
  <c r="H181" i="104"/>
  <c r="H43" i="104"/>
  <c r="G238" i="149"/>
  <c r="J44" i="97"/>
  <c r="J156" i="97"/>
  <c r="H141" i="64"/>
  <c r="H175" i="64"/>
  <c r="H142" i="64"/>
  <c r="H125" i="64"/>
  <c r="H127" i="64"/>
  <c r="K12" i="64"/>
  <c r="H58" i="64"/>
  <c r="H51" i="64"/>
  <c r="H153" i="64"/>
  <c r="H131" i="64"/>
  <c r="H176" i="157"/>
  <c r="H203" i="157"/>
  <c r="H141" i="157"/>
  <c r="H48" i="157"/>
  <c r="H31" i="157"/>
  <c r="H85" i="157"/>
  <c r="H56" i="157"/>
  <c r="H138" i="157"/>
  <c r="H125" i="157"/>
  <c r="H160" i="102"/>
  <c r="H179" i="102"/>
  <c r="H151" i="102"/>
  <c r="H92" i="102"/>
  <c r="H101" i="102"/>
  <c r="H99" i="102"/>
  <c r="H155" i="102"/>
  <c r="H32" i="102"/>
  <c r="H189" i="102"/>
  <c r="H77" i="89"/>
  <c r="H136" i="89"/>
  <c r="H143" i="89"/>
  <c r="H181" i="89"/>
  <c r="H31" i="89"/>
  <c r="H196" i="89"/>
  <c r="H138" i="89"/>
  <c r="H34" i="89"/>
  <c r="H192" i="89"/>
  <c r="H178" i="49"/>
  <c r="H32" i="49"/>
  <c r="H175" i="49"/>
  <c r="H166" i="49"/>
  <c r="H87" i="49"/>
  <c r="H30" i="49"/>
  <c r="H98" i="49"/>
  <c r="H176" i="49"/>
  <c r="H76" i="49"/>
  <c r="H28" i="49"/>
  <c r="G215" i="157"/>
  <c r="H184" i="157"/>
  <c r="H66" i="157"/>
  <c r="H156" i="157"/>
  <c r="H77" i="157"/>
  <c r="H177" i="157"/>
  <c r="H53" i="157"/>
  <c r="H78" i="157"/>
  <c r="H29" i="157"/>
  <c r="H88" i="157"/>
  <c r="H133" i="157"/>
  <c r="H57" i="157"/>
  <c r="H142" i="157"/>
  <c r="H202" i="157"/>
  <c r="H179" i="157"/>
  <c r="H43" i="157"/>
  <c r="H60" i="157"/>
  <c r="H38" i="157"/>
  <c r="H44" i="157"/>
  <c r="H40" i="157"/>
  <c r="H208" i="157"/>
  <c r="H64" i="157"/>
  <c r="H72" i="157"/>
  <c r="H116" i="157"/>
  <c r="H97" i="157"/>
  <c r="H106" i="157"/>
  <c r="H45" i="157"/>
  <c r="H51" i="157"/>
  <c r="H187" i="157"/>
  <c r="H70" i="157"/>
  <c r="H151" i="157"/>
  <c r="H147" i="157"/>
  <c r="H175" i="157"/>
  <c r="H86" i="157"/>
  <c r="H192" i="157"/>
  <c r="H119" i="157"/>
  <c r="H186" i="157"/>
  <c r="H136" i="157"/>
  <c r="H54" i="157"/>
  <c r="H152" i="157"/>
  <c r="H159" i="157"/>
  <c r="H83" i="157"/>
  <c r="H39" i="157"/>
  <c r="H99" i="157"/>
  <c r="H143" i="157"/>
  <c r="H79" i="157"/>
  <c r="H178" i="157"/>
  <c r="H90" i="157"/>
  <c r="H73" i="157"/>
  <c r="H117" i="157"/>
  <c r="H160" i="157"/>
  <c r="H47" i="157"/>
  <c r="H50" i="157"/>
  <c r="H188" i="157"/>
  <c r="H204" i="157"/>
  <c r="H158" i="157"/>
  <c r="H157" i="157"/>
  <c r="H171" i="157"/>
  <c r="H84" i="157"/>
  <c r="H196" i="157"/>
  <c r="H74" i="157"/>
  <c r="H111" i="157"/>
  <c r="H183" i="157"/>
  <c r="H191" i="157"/>
  <c r="H93" i="157"/>
  <c r="H123" i="157"/>
  <c r="H206" i="157"/>
  <c r="H69" i="157"/>
  <c r="H68" i="157"/>
  <c r="H130" i="157"/>
  <c r="H96" i="157"/>
  <c r="H173" i="157"/>
  <c r="H107" i="157"/>
  <c r="H33" i="157"/>
  <c r="H146" i="157"/>
  <c r="H189" i="157"/>
  <c r="H58" i="157"/>
  <c r="H145" i="157"/>
  <c r="H140" i="157"/>
  <c r="H137" i="157"/>
  <c r="H127" i="157"/>
  <c r="H92" i="157"/>
  <c r="H197" i="89"/>
  <c r="H32" i="89"/>
  <c r="H194" i="89"/>
  <c r="H200" i="89"/>
  <c r="H158" i="89"/>
  <c r="H59" i="89"/>
  <c r="H48" i="89"/>
  <c r="H91" i="89"/>
  <c r="H66" i="89"/>
  <c r="H83" i="89"/>
  <c r="H29" i="89"/>
  <c r="H114" i="89"/>
  <c r="H56" i="89"/>
  <c r="H61" i="89"/>
  <c r="H206" i="89"/>
  <c r="H125" i="89"/>
  <c r="H46" i="89"/>
  <c r="H124" i="89"/>
  <c r="H129" i="89"/>
  <c r="H97" i="89"/>
  <c r="H126" i="89"/>
  <c r="H99" i="89"/>
  <c r="H201" i="89"/>
  <c r="H47" i="89"/>
  <c r="H116" i="89"/>
  <c r="H141" i="89"/>
  <c r="H109" i="89"/>
  <c r="H30" i="89"/>
  <c r="H85" i="89"/>
  <c r="H96" i="89"/>
  <c r="H26" i="89"/>
  <c r="H79" i="89"/>
  <c r="H190" i="89"/>
  <c r="H45" i="89"/>
  <c r="H78" i="89"/>
  <c r="H187" i="89"/>
  <c r="H76" i="89"/>
  <c r="H49" i="89"/>
  <c r="H185" i="89"/>
  <c r="H101" i="89"/>
  <c r="H51" i="89"/>
  <c r="H127" i="89"/>
  <c r="H175" i="89"/>
  <c r="H36" i="89"/>
  <c r="H140" i="89"/>
  <c r="H188" i="89"/>
  <c r="H155" i="89"/>
  <c r="H118" i="89"/>
  <c r="H171" i="89"/>
  <c r="H156" i="89"/>
  <c r="H145" i="89"/>
  <c r="H133" i="89"/>
  <c r="H208" i="89"/>
  <c r="H106" i="89"/>
  <c r="H43" i="89"/>
  <c r="H161" i="89"/>
  <c r="H146" i="89"/>
  <c r="H178" i="89"/>
  <c r="H142" i="89"/>
  <c r="H172" i="89"/>
  <c r="H137" i="89"/>
  <c r="H189" i="89"/>
  <c r="H27" i="89"/>
  <c r="H38" i="89"/>
  <c r="H108" i="89"/>
  <c r="H202" i="89"/>
  <c r="H67" i="89"/>
  <c r="H110" i="89"/>
  <c r="H117" i="89"/>
  <c r="H150" i="89"/>
  <c r="H53" i="89"/>
  <c r="H149" i="89"/>
  <c r="H60" i="89"/>
  <c r="H58" i="89"/>
  <c r="H168" i="89"/>
  <c r="H35" i="89"/>
  <c r="H55" i="89"/>
  <c r="H65" i="89"/>
  <c r="H88" i="89"/>
  <c r="H193" i="89"/>
  <c r="H28" i="89"/>
  <c r="G238" i="176"/>
  <c r="G215" i="102"/>
  <c r="H49" i="64"/>
  <c r="H159" i="64"/>
  <c r="H145" i="64"/>
  <c r="H152" i="64"/>
  <c r="H114" i="64"/>
  <c r="H53" i="64"/>
  <c r="H148" i="64"/>
  <c r="H164" i="64"/>
  <c r="H189" i="64"/>
  <c r="H190" i="157"/>
  <c r="H114" i="157"/>
  <c r="H28" i="157"/>
  <c r="H166" i="157"/>
  <c r="H126" i="157"/>
  <c r="H148" i="157"/>
  <c r="H61" i="157"/>
  <c r="H82" i="157"/>
  <c r="H132" i="157"/>
  <c r="H205" i="157"/>
  <c r="H192" i="102"/>
  <c r="H119" i="102"/>
  <c r="H78" i="102"/>
  <c r="H88" i="102"/>
  <c r="H167" i="102"/>
  <c r="H177" i="102"/>
  <c r="H102" i="102"/>
  <c r="H205" i="102"/>
  <c r="H165" i="102"/>
  <c r="H169" i="102"/>
  <c r="H102" i="89"/>
  <c r="H148" i="89"/>
  <c r="H25" i="89"/>
  <c r="H132" i="89"/>
  <c r="H176" i="89"/>
  <c r="H42" i="89"/>
  <c r="H186" i="89"/>
  <c r="H100" i="89"/>
  <c r="H50" i="89"/>
  <c r="H160" i="89"/>
  <c r="H75" i="89"/>
  <c r="H58" i="49"/>
  <c r="H208" i="49"/>
  <c r="H59" i="49"/>
  <c r="H150" i="49"/>
  <c r="H68" i="49"/>
  <c r="H117" i="49"/>
  <c r="H152" i="49"/>
  <c r="H138" i="49"/>
  <c r="H116" i="49"/>
  <c r="G215" i="64"/>
  <c r="H173" i="64"/>
  <c r="H50" i="64"/>
  <c r="H170" i="64"/>
  <c r="H182" i="64"/>
  <c r="H190" i="64"/>
  <c r="H208" i="64"/>
  <c r="H192" i="64"/>
  <c r="H38" i="64"/>
  <c r="H77" i="64"/>
  <c r="H86" i="64"/>
  <c r="H180" i="64"/>
  <c r="H52" i="64"/>
  <c r="H110" i="64"/>
  <c r="H206" i="64"/>
  <c r="H99" i="64"/>
  <c r="H117" i="64"/>
  <c r="H27" i="64"/>
  <c r="H132" i="64"/>
  <c r="H196" i="64"/>
  <c r="H25" i="64"/>
  <c r="H205" i="64"/>
  <c r="H60" i="64"/>
  <c r="H184" i="64"/>
  <c r="H71" i="64"/>
  <c r="H171" i="64"/>
  <c r="H172" i="64"/>
  <c r="H123" i="64"/>
  <c r="H36" i="64"/>
  <c r="H45" i="64"/>
  <c r="H167" i="64"/>
  <c r="H186" i="64"/>
  <c r="H183" i="64"/>
  <c r="H72" i="64"/>
  <c r="H73" i="64"/>
  <c r="H157" i="64"/>
  <c r="H87" i="64"/>
  <c r="H165" i="64"/>
  <c r="H200" i="64"/>
  <c r="H187" i="64"/>
  <c r="H31" i="64"/>
  <c r="H67" i="64"/>
  <c r="H155" i="64"/>
  <c r="H70" i="64"/>
  <c r="H59" i="64"/>
  <c r="H44" i="64"/>
  <c r="H149" i="64"/>
  <c r="H108" i="64"/>
  <c r="H160" i="64"/>
  <c r="H135" i="64"/>
  <c r="H161" i="64"/>
  <c r="H40" i="64"/>
  <c r="H143" i="64"/>
  <c r="H66" i="64"/>
  <c r="H147" i="64"/>
  <c r="H168" i="64"/>
  <c r="H93" i="64"/>
  <c r="H126" i="64"/>
  <c r="H97" i="64"/>
  <c r="H39" i="64"/>
  <c r="H130" i="64"/>
  <c r="H89" i="64"/>
  <c r="H75" i="64"/>
  <c r="H195" i="64"/>
  <c r="H176" i="64"/>
  <c r="H65" i="64"/>
  <c r="H96" i="64"/>
  <c r="H169" i="64"/>
  <c r="H46" i="64"/>
  <c r="H82" i="64"/>
  <c r="H124" i="64"/>
  <c r="H181" i="64"/>
  <c r="H85" i="64"/>
  <c r="H178" i="64"/>
  <c r="H48" i="64"/>
  <c r="H55" i="64"/>
  <c r="H129" i="64"/>
  <c r="H197" i="64"/>
  <c r="H61" i="64"/>
  <c r="H146" i="64"/>
  <c r="H57" i="64"/>
  <c r="H34" i="64"/>
  <c r="H185" i="64"/>
  <c r="H47" i="64"/>
  <c r="H32" i="64"/>
  <c r="H124" i="157"/>
  <c r="H129" i="157"/>
  <c r="H175" i="102"/>
  <c r="H158" i="102"/>
  <c r="H54" i="102"/>
  <c r="H124" i="102"/>
  <c r="H111" i="102"/>
  <c r="H149" i="102"/>
  <c r="H141" i="102"/>
  <c r="H100" i="102"/>
  <c r="H72" i="102"/>
  <c r="H57" i="102"/>
  <c r="H147" i="89"/>
  <c r="H92" i="89"/>
  <c r="H64" i="89"/>
  <c r="H73" i="89"/>
  <c r="H177" i="89"/>
  <c r="H39" i="89"/>
  <c r="H182" i="89"/>
  <c r="H71" i="89"/>
  <c r="H44" i="89"/>
  <c r="H90" i="89"/>
  <c r="H167" i="89"/>
  <c r="G215" i="104"/>
  <c r="H78" i="104"/>
  <c r="H42" i="104"/>
  <c r="H185" i="104"/>
  <c r="H40" i="104"/>
  <c r="H110" i="104"/>
  <c r="H117" i="104"/>
  <c r="H175" i="104"/>
  <c r="H86" i="104"/>
  <c r="H119" i="104"/>
  <c r="H106" i="104"/>
  <c r="H149" i="104"/>
  <c r="H167" i="104"/>
  <c r="H39" i="104"/>
  <c r="H173" i="104"/>
  <c r="H208" i="104"/>
  <c r="H38" i="104"/>
  <c r="H201" i="104"/>
  <c r="H194" i="104"/>
  <c r="H93" i="104"/>
  <c r="H131" i="104"/>
  <c r="H189" i="104"/>
  <c r="H102" i="104"/>
  <c r="H115" i="104"/>
  <c r="H33" i="104"/>
  <c r="H71" i="104"/>
  <c r="H66" i="104"/>
  <c r="H184" i="104"/>
  <c r="H143" i="104"/>
  <c r="H100" i="104"/>
  <c r="H57" i="104"/>
  <c r="H96" i="104"/>
  <c r="H183" i="104"/>
  <c r="H168" i="104"/>
  <c r="H186" i="104"/>
  <c r="H59" i="104"/>
  <c r="H136" i="104"/>
  <c r="H89" i="104"/>
  <c r="H156" i="104"/>
  <c r="H125" i="104"/>
  <c r="H109" i="104"/>
  <c r="H193" i="104"/>
  <c r="H111" i="104"/>
  <c r="H123" i="104"/>
  <c r="H197" i="104"/>
  <c r="H47" i="104"/>
  <c r="H60" i="104"/>
  <c r="H161" i="104"/>
  <c r="H53" i="104"/>
  <c r="H133" i="104"/>
  <c r="H84" i="104"/>
  <c r="H37" i="104"/>
  <c r="H76" i="104"/>
  <c r="H29" i="104"/>
  <c r="H203" i="104"/>
  <c r="H170" i="104"/>
  <c r="H108" i="104"/>
  <c r="H180" i="104"/>
  <c r="H178" i="104"/>
  <c r="H145" i="104"/>
  <c r="H126" i="104"/>
  <c r="H56" i="104"/>
  <c r="H65" i="104"/>
  <c r="H30" i="104"/>
  <c r="H87" i="104"/>
  <c r="H36" i="104"/>
  <c r="H151" i="104"/>
  <c r="H192" i="104"/>
  <c r="H153" i="104"/>
  <c r="H77" i="104"/>
  <c r="H166" i="104"/>
  <c r="H138" i="104"/>
  <c r="H52" i="104"/>
  <c r="H74" i="104"/>
  <c r="H25" i="104"/>
  <c r="H141" i="104"/>
  <c r="H90" i="104"/>
  <c r="H105" i="104"/>
  <c r="H130" i="104"/>
  <c r="H61" i="104"/>
  <c r="H188" i="104"/>
  <c r="H169" i="49"/>
  <c r="H172" i="49"/>
  <c r="H66" i="49"/>
  <c r="H177" i="49"/>
  <c r="H50" i="49"/>
  <c r="H56" i="49"/>
  <c r="H190" i="49"/>
  <c r="H43" i="49"/>
  <c r="H35" i="49"/>
  <c r="H54" i="49"/>
  <c r="H142" i="49"/>
  <c r="H55" i="49"/>
  <c r="H202" i="49"/>
  <c r="H140" i="49"/>
  <c r="H40" i="49"/>
  <c r="H129" i="49"/>
  <c r="H88" i="49"/>
  <c r="H86" i="49"/>
  <c r="H78" i="49"/>
  <c r="H194" i="49"/>
  <c r="H168" i="49"/>
  <c r="H34" i="49"/>
  <c r="H206" i="49"/>
  <c r="H173" i="49"/>
  <c r="H132" i="49"/>
  <c r="H185" i="49"/>
  <c r="H96" i="49"/>
  <c r="H197" i="49"/>
  <c r="H51" i="49"/>
  <c r="H146" i="49"/>
  <c r="H49" i="49"/>
  <c r="H115" i="49"/>
  <c r="H38" i="49"/>
  <c r="H153" i="49"/>
  <c r="H174" i="49"/>
  <c r="H192" i="49"/>
  <c r="H180" i="49"/>
  <c r="H29" i="49"/>
  <c r="H118" i="49"/>
  <c r="H39" i="49"/>
  <c r="H127" i="49"/>
  <c r="H82" i="49"/>
  <c r="H149" i="49"/>
  <c r="H186" i="49"/>
  <c r="H65" i="49"/>
  <c r="H31" i="49"/>
  <c r="H125" i="49"/>
  <c r="H33" i="49"/>
  <c r="H124" i="49"/>
  <c r="H155" i="49"/>
  <c r="H184" i="49"/>
  <c r="H182" i="49"/>
  <c r="H183" i="49"/>
  <c r="H97" i="49"/>
  <c r="H170" i="49"/>
  <c r="H70" i="49"/>
  <c r="H42" i="49"/>
  <c r="H91" i="49"/>
  <c r="H57" i="49"/>
  <c r="H47" i="49"/>
  <c r="H201" i="49"/>
  <c r="H171" i="49"/>
  <c r="H102" i="49"/>
  <c r="H189" i="49"/>
  <c r="H45" i="49"/>
  <c r="H69" i="49"/>
  <c r="H74" i="49"/>
  <c r="H165" i="49"/>
  <c r="H126" i="49"/>
  <c r="H110" i="49"/>
  <c r="H167" i="49"/>
  <c r="H89" i="49"/>
  <c r="H105" i="49"/>
  <c r="H145" i="49"/>
  <c r="H119" i="49"/>
  <c r="H187" i="49"/>
  <c r="H157" i="49"/>
  <c r="H191" i="49"/>
  <c r="H83" i="49"/>
  <c r="H99" i="49"/>
  <c r="H205" i="49"/>
  <c r="G215" i="49"/>
  <c r="H164" i="119"/>
  <c r="H35" i="119"/>
  <c r="H114" i="119"/>
  <c r="H131" i="119"/>
  <c r="H60" i="119"/>
  <c r="H61" i="119"/>
  <c r="H39" i="119"/>
  <c r="H66" i="119"/>
  <c r="H191" i="119"/>
  <c r="H79" i="119"/>
  <c r="H101" i="119"/>
  <c r="H90" i="119"/>
  <c r="H170" i="119"/>
  <c r="H49" i="119"/>
  <c r="H71" i="119"/>
  <c r="H184" i="119"/>
  <c r="H43" i="119"/>
  <c r="H146" i="119"/>
  <c r="H152" i="119"/>
  <c r="H30" i="119"/>
  <c r="H187" i="119"/>
  <c r="H91" i="119"/>
  <c r="H140" i="119"/>
  <c r="H75" i="119"/>
  <c r="H145" i="119"/>
  <c r="H58" i="119"/>
  <c r="H93" i="119"/>
  <c r="H40" i="119"/>
  <c r="H150" i="119"/>
  <c r="H87" i="119"/>
  <c r="H174" i="119"/>
  <c r="H109" i="119"/>
  <c r="H100" i="119"/>
  <c r="H105" i="119"/>
  <c r="H137" i="119"/>
  <c r="H148" i="119"/>
  <c r="H147" i="119"/>
  <c r="H36" i="119"/>
  <c r="H68" i="119"/>
  <c r="H157" i="119"/>
  <c r="H26" i="119"/>
  <c r="H166" i="119"/>
  <c r="H158" i="119"/>
  <c r="H183" i="119"/>
  <c r="H115" i="119"/>
  <c r="H34" i="119"/>
  <c r="H167" i="119"/>
  <c r="H97" i="119"/>
  <c r="H188" i="119"/>
  <c r="H126" i="119"/>
  <c r="H156" i="119"/>
  <c r="H185" i="119"/>
  <c r="H56" i="119"/>
  <c r="H149" i="119"/>
  <c r="H189" i="119"/>
  <c r="H110" i="119"/>
  <c r="H47" i="119"/>
  <c r="H106" i="119"/>
  <c r="H116" i="119"/>
  <c r="H73" i="119"/>
  <c r="G215" i="119"/>
  <c r="H48" i="119"/>
  <c r="H168" i="119"/>
  <c r="H135" i="119"/>
  <c r="H160" i="119"/>
  <c r="H37" i="119"/>
  <c r="H186" i="119"/>
  <c r="H190" i="119"/>
  <c r="H177" i="119"/>
  <c r="H165" i="119"/>
  <c r="H96" i="119"/>
  <c r="H119" i="119"/>
  <c r="H89" i="119"/>
  <c r="H59" i="119"/>
  <c r="H69" i="119"/>
  <c r="H53" i="119"/>
  <c r="H127" i="119"/>
  <c r="H57" i="119"/>
  <c r="H65" i="119"/>
  <c r="H153" i="119"/>
  <c r="H55" i="119"/>
  <c r="H136" i="119"/>
  <c r="G238" i="119"/>
  <c r="H83" i="102"/>
  <c r="H74" i="102"/>
  <c r="H194" i="102"/>
  <c r="H60" i="102"/>
  <c r="H135" i="102"/>
  <c r="H148" i="102"/>
  <c r="H90" i="102"/>
  <c r="H191" i="102"/>
  <c r="H147" i="102"/>
  <c r="H133" i="102"/>
  <c r="H35" i="102"/>
  <c r="H61" i="102"/>
  <c r="H87" i="102"/>
  <c r="H52" i="102"/>
  <c r="H173" i="102"/>
  <c r="H106" i="102"/>
  <c r="H164" i="102"/>
  <c r="H97" i="102"/>
  <c r="H116" i="102"/>
  <c r="H203" i="102"/>
  <c r="H75" i="102"/>
  <c r="H70" i="102"/>
  <c r="H41" i="102"/>
  <c r="H59" i="102"/>
  <c r="H56" i="102"/>
  <c r="H142" i="102"/>
  <c r="H176" i="102"/>
  <c r="H55" i="102"/>
  <c r="H49" i="102"/>
  <c r="H73" i="102"/>
  <c r="H105" i="102"/>
  <c r="H208" i="102"/>
  <c r="H96" i="102"/>
  <c r="H79" i="102"/>
  <c r="H27" i="102"/>
  <c r="H136" i="102"/>
  <c r="H108" i="102"/>
  <c r="H196" i="102"/>
  <c r="H131" i="102"/>
  <c r="H36" i="102"/>
  <c r="H28" i="102"/>
  <c r="H188" i="102"/>
  <c r="H125" i="102"/>
  <c r="H187" i="102"/>
  <c r="H34" i="102"/>
  <c r="H33" i="102"/>
  <c r="H117" i="102"/>
  <c r="H67" i="102"/>
  <c r="H50" i="102"/>
  <c r="H42" i="102"/>
  <c r="H69" i="102"/>
  <c r="H186" i="102"/>
  <c r="H168" i="102"/>
  <c r="H86" i="102"/>
  <c r="H77" i="102"/>
  <c r="H206" i="102"/>
  <c r="H118" i="102"/>
  <c r="H45" i="102"/>
  <c r="H46" i="102"/>
  <c r="H184" i="102"/>
  <c r="H190" i="102"/>
  <c r="H140" i="102"/>
  <c r="H127" i="102"/>
  <c r="H47" i="102"/>
  <c r="H159" i="102"/>
  <c r="H193" i="102"/>
  <c r="H30" i="102"/>
  <c r="H130" i="102"/>
  <c r="H145" i="102"/>
  <c r="H171" i="102"/>
  <c r="H146" i="102"/>
  <c r="H153" i="102"/>
  <c r="H114" i="102"/>
  <c r="H98" i="102"/>
  <c r="H93" i="102"/>
  <c r="H84" i="102"/>
  <c r="H76" i="102"/>
  <c r="H44" i="102"/>
  <c r="H180" i="102"/>
  <c r="H31" i="102"/>
  <c r="H48" i="102"/>
  <c r="H109" i="64"/>
  <c r="H29" i="64"/>
  <c r="H98" i="64"/>
  <c r="H136" i="64"/>
  <c r="H204" i="64"/>
  <c r="H151" i="64"/>
  <c r="H118" i="64"/>
  <c r="H182" i="157"/>
  <c r="H32" i="157"/>
  <c r="H41" i="157"/>
  <c r="H71" i="157"/>
  <c r="H102" i="157"/>
  <c r="H164" i="157"/>
  <c r="H89" i="157"/>
  <c r="H172" i="157"/>
  <c r="H79" i="64"/>
  <c r="H203" i="64"/>
  <c r="H106" i="64"/>
  <c r="H69" i="64"/>
  <c r="H64" i="64"/>
  <c r="H138" i="64"/>
  <c r="H33" i="64"/>
  <c r="H102" i="64"/>
  <c r="H101" i="64"/>
  <c r="H54" i="64"/>
  <c r="H137" i="104"/>
  <c r="H34" i="104"/>
  <c r="H48" i="104"/>
  <c r="H127" i="104"/>
  <c r="H204" i="104"/>
  <c r="H46" i="104"/>
  <c r="H124" i="104"/>
  <c r="H202" i="104"/>
  <c r="H195" i="104"/>
  <c r="H55" i="104"/>
  <c r="H32" i="104"/>
  <c r="H98" i="157"/>
  <c r="H109" i="157"/>
  <c r="H135" i="157"/>
  <c r="H115" i="157"/>
  <c r="H27" i="157"/>
  <c r="H174" i="157"/>
  <c r="H167" i="157"/>
  <c r="H155" i="157"/>
  <c r="H181" i="157"/>
  <c r="H42" i="157"/>
  <c r="H64" i="102"/>
  <c r="H138" i="102"/>
  <c r="H37" i="102"/>
  <c r="H123" i="102"/>
  <c r="H150" i="102"/>
  <c r="H126" i="102"/>
  <c r="H65" i="102"/>
  <c r="H157" i="102"/>
  <c r="H201" i="102"/>
  <c r="H40" i="102"/>
  <c r="H74" i="89"/>
  <c r="H157" i="89"/>
  <c r="H86" i="89"/>
  <c r="H180" i="89"/>
  <c r="H57" i="89"/>
  <c r="H173" i="89"/>
  <c r="H107" i="89"/>
  <c r="H174" i="89"/>
  <c r="H111" i="89"/>
  <c r="H191" i="89"/>
  <c r="H90" i="49"/>
  <c r="H61" i="49"/>
  <c r="H123" i="49"/>
  <c r="H48" i="49"/>
  <c r="H161" i="49"/>
  <c r="H27" i="49"/>
  <c r="H107" i="49"/>
  <c r="H114" i="49"/>
  <c r="K12" i="49"/>
  <c r="H100" i="49"/>
  <c r="H56" i="64"/>
  <c r="H179" i="64"/>
  <c r="H74" i="64"/>
  <c r="H116" i="64"/>
  <c r="H177" i="64"/>
  <c r="H42" i="64"/>
  <c r="H68" i="64"/>
  <c r="H35" i="64"/>
  <c r="H100" i="64"/>
  <c r="H133" i="64"/>
  <c r="H201" i="157"/>
  <c r="H194" i="157"/>
  <c r="H91" i="157"/>
  <c r="H161" i="157"/>
  <c r="H59" i="157"/>
  <c r="H75" i="157"/>
  <c r="H193" i="157"/>
  <c r="H76" i="157"/>
  <c r="H37" i="157"/>
  <c r="H197" i="157"/>
  <c r="H53" i="102"/>
  <c r="H71" i="102"/>
  <c r="H110" i="102"/>
  <c r="H185" i="102"/>
  <c r="H166" i="102"/>
  <c r="H107" i="102"/>
  <c r="H178" i="102"/>
  <c r="H26" i="102"/>
  <c r="H197" i="102"/>
  <c r="H66" i="102"/>
  <c r="H169" i="89"/>
  <c r="H123" i="89"/>
  <c r="H184" i="89"/>
  <c r="H203" i="89"/>
  <c r="H205" i="89"/>
  <c r="H164" i="89"/>
  <c r="H165" i="89"/>
  <c r="H204" i="89"/>
  <c r="H98" i="89"/>
  <c r="H153" i="89"/>
  <c r="H85" i="49"/>
  <c r="H193" i="49"/>
  <c r="H196" i="49"/>
  <c r="H53" i="49"/>
  <c r="H52" i="49"/>
  <c r="H141" i="49"/>
  <c r="H84" i="49"/>
  <c r="H200" i="49"/>
  <c r="H46" i="49"/>
  <c r="H148" i="49"/>
  <c r="G238" i="90"/>
  <c r="G238" i="118"/>
  <c r="G238" i="68"/>
  <c r="G238" i="141"/>
  <c r="J164" i="97"/>
  <c r="J200" i="97"/>
  <c r="H30" i="32"/>
  <c r="H188" i="32"/>
  <c r="H47" i="32"/>
  <c r="H179" i="32"/>
  <c r="H172" i="32"/>
  <c r="H101" i="32"/>
  <c r="H109" i="32"/>
  <c r="H119" i="32"/>
  <c r="H58" i="32"/>
  <c r="H82" i="32"/>
  <c r="H61" i="32"/>
  <c r="H99" i="32"/>
  <c r="H68" i="32"/>
  <c r="H117" i="32"/>
  <c r="H191" i="32"/>
  <c r="H72" i="32"/>
  <c r="H145" i="32"/>
  <c r="H190" i="32"/>
  <c r="H201" i="32"/>
  <c r="H98" i="32"/>
  <c r="H151" i="32"/>
  <c r="H193" i="32"/>
  <c r="H180" i="32"/>
  <c r="H100" i="32"/>
  <c r="H161" i="32"/>
  <c r="H116" i="32"/>
  <c r="H73" i="32"/>
  <c r="H93" i="32"/>
  <c r="H164" i="32"/>
  <c r="H53" i="32"/>
  <c r="H143" i="32"/>
  <c r="H148" i="32"/>
  <c r="H70" i="32"/>
  <c r="H60" i="32"/>
  <c r="H203" i="32"/>
  <c r="H90" i="32"/>
  <c r="H126" i="32"/>
  <c r="H208" i="32"/>
  <c r="H55" i="32"/>
  <c r="H86" i="32"/>
  <c r="H168" i="32"/>
  <c r="H76" i="32"/>
  <c r="H96" i="32"/>
  <c r="H181" i="32"/>
  <c r="H152" i="32"/>
  <c r="H182" i="32"/>
  <c r="H156" i="32"/>
  <c r="H34" i="32"/>
  <c r="H159" i="32"/>
  <c r="H106" i="32"/>
  <c r="H177" i="32"/>
  <c r="H118" i="32"/>
  <c r="H206" i="32"/>
  <c r="H169" i="32"/>
  <c r="H137" i="32"/>
  <c r="H49" i="32"/>
  <c r="H33" i="32"/>
  <c r="H167" i="32"/>
  <c r="H195" i="32"/>
  <c r="H130" i="32"/>
  <c r="H36" i="32"/>
  <c r="H127" i="32"/>
  <c r="H71" i="32"/>
  <c r="H107" i="32"/>
  <c r="H51" i="32"/>
  <c r="H125" i="32"/>
  <c r="K12" i="32"/>
  <c r="H97" i="32"/>
  <c r="H114" i="32"/>
  <c r="H85" i="32"/>
  <c r="H192" i="32"/>
  <c r="H178" i="32"/>
  <c r="H132" i="32"/>
  <c r="H37" i="32"/>
  <c r="H131" i="32"/>
  <c r="H25" i="32"/>
  <c r="H40" i="32"/>
  <c r="H202" i="32"/>
  <c r="H74" i="32"/>
  <c r="H88" i="32"/>
  <c r="H28" i="32"/>
  <c r="H141" i="32"/>
  <c r="H39" i="32"/>
  <c r="H32" i="32"/>
  <c r="H170" i="32"/>
  <c r="H54" i="32"/>
  <c r="H115" i="32"/>
  <c r="H38" i="32"/>
  <c r="H185" i="32"/>
  <c r="H135" i="32"/>
  <c r="H26" i="32"/>
  <c r="H138" i="32"/>
  <c r="H27" i="32"/>
  <c r="H171" i="32"/>
  <c r="H66" i="32"/>
  <c r="H196" i="32"/>
  <c r="H75" i="32"/>
  <c r="H79" i="32"/>
  <c r="H48" i="32"/>
  <c r="H41" i="32"/>
  <c r="H31" i="32"/>
  <c r="H146" i="32"/>
  <c r="H129" i="32"/>
  <c r="H108" i="32"/>
  <c r="H84" i="32"/>
  <c r="H59" i="32"/>
  <c r="H102" i="32"/>
  <c r="H46" i="32"/>
  <c r="H110" i="32"/>
  <c r="H173" i="32"/>
  <c r="H186" i="32"/>
  <c r="H43" i="32"/>
  <c r="H200" i="32"/>
  <c r="H91" i="32"/>
  <c r="H133" i="32"/>
  <c r="H44" i="32"/>
  <c r="H57" i="32"/>
  <c r="H155" i="32"/>
  <c r="H67" i="32"/>
  <c r="H184" i="32"/>
  <c r="H142" i="32"/>
  <c r="H175" i="32"/>
  <c r="H197" i="32"/>
  <c r="H150" i="32"/>
  <c r="H136" i="32"/>
  <c r="H158" i="32"/>
  <c r="H111" i="32"/>
  <c r="H56" i="32"/>
  <c r="H187" i="32"/>
  <c r="H174" i="32"/>
  <c r="H64" i="32"/>
  <c r="H205" i="32"/>
  <c r="H87" i="32"/>
  <c r="H92" i="32"/>
  <c r="H149" i="32"/>
  <c r="H204" i="32"/>
  <c r="H89" i="32"/>
  <c r="H77" i="32"/>
  <c r="H165" i="32"/>
  <c r="H189" i="32"/>
  <c r="H65" i="32"/>
  <c r="H183" i="32"/>
  <c r="H83" i="32"/>
  <c r="H78" i="32"/>
  <c r="H105" i="32"/>
  <c r="H176" i="32"/>
  <c r="H50" i="32"/>
  <c r="H153" i="32"/>
  <c r="H160" i="32"/>
  <c r="H123" i="32"/>
  <c r="H166" i="32"/>
  <c r="H42" i="32"/>
  <c r="H45" i="32"/>
  <c r="H140" i="32"/>
  <c r="H157" i="32"/>
  <c r="H147" i="32"/>
  <c r="H194" i="32"/>
  <c r="H29" i="32"/>
  <c r="H124" i="32"/>
  <c r="H69" i="32"/>
  <c r="H35" i="32"/>
  <c r="H52" i="32"/>
  <c r="J150" i="97"/>
  <c r="H203" i="178"/>
  <c r="H197" i="178"/>
  <c r="H193" i="178"/>
  <c r="H189" i="178"/>
  <c r="H185" i="178"/>
  <c r="H181" i="178"/>
  <c r="H177" i="178"/>
  <c r="H173" i="178"/>
  <c r="H169" i="178"/>
  <c r="H165" i="178"/>
  <c r="H118" i="178"/>
  <c r="H114" i="178"/>
  <c r="H101" i="178"/>
  <c r="H97" i="178"/>
  <c r="H58" i="178"/>
  <c r="H54" i="178"/>
  <c r="H50" i="178"/>
  <c r="H46" i="178"/>
  <c r="H42" i="178"/>
  <c r="H38" i="178"/>
  <c r="H34" i="178"/>
  <c r="H30" i="178"/>
  <c r="H26" i="178"/>
  <c r="H208" i="178"/>
  <c r="H158" i="178"/>
  <c r="H153" i="178"/>
  <c r="H149" i="178"/>
  <c r="H145" i="178"/>
  <c r="H140" i="178"/>
  <c r="H135" i="178"/>
  <c r="H130" i="178"/>
  <c r="H125" i="178"/>
  <c r="H111" i="178"/>
  <c r="H107" i="178"/>
  <c r="H90" i="178"/>
  <c r="H86" i="178"/>
  <c r="H82" i="178"/>
  <c r="H76" i="178"/>
  <c r="H72" i="178"/>
  <c r="H68" i="178"/>
  <c r="H64" i="178"/>
  <c r="H161" i="178"/>
  <c r="H157" i="178"/>
  <c r="H152" i="178"/>
  <c r="H148" i="178"/>
  <c r="H143" i="178"/>
  <c r="H138" i="178"/>
  <c r="H133" i="178"/>
  <c r="H129" i="178"/>
  <c r="H124" i="178"/>
  <c r="H110" i="178"/>
  <c r="H106" i="178"/>
  <c r="H93" i="178"/>
  <c r="H89" i="178"/>
  <c r="H85" i="178"/>
  <c r="H79" i="178"/>
  <c r="H75" i="178"/>
  <c r="H71" i="178"/>
  <c r="H67" i="178"/>
  <c r="H202" i="178"/>
  <c r="H194" i="178"/>
  <c r="H187" i="178"/>
  <c r="H168" i="178"/>
  <c r="H146" i="178"/>
  <c r="H137" i="178"/>
  <c r="H119" i="178"/>
  <c r="H92" i="178"/>
  <c r="H65" i="178"/>
  <c r="H49" i="178"/>
  <c r="H43" i="178"/>
  <c r="H36" i="178"/>
  <c r="H201" i="178"/>
  <c r="H180" i="178"/>
  <c r="H174" i="178"/>
  <c r="H167" i="178"/>
  <c r="H159" i="178"/>
  <c r="H151" i="178"/>
  <c r="H109" i="178"/>
  <c r="H100" i="178"/>
  <c r="H77" i="178"/>
  <c r="H70" i="178"/>
  <c r="H61" i="178"/>
  <c r="H55" i="178"/>
  <c r="H48" i="178"/>
  <c r="H29" i="178"/>
  <c r="H192" i="178"/>
  <c r="H186" i="178"/>
  <c r="H179" i="178"/>
  <c r="H136" i="178"/>
  <c r="H127" i="178"/>
  <c r="H117" i="178"/>
  <c r="H99" i="178"/>
  <c r="H91" i="178"/>
  <c r="H84" i="178"/>
  <c r="H60" i="178"/>
  <c r="H41" i="178"/>
  <c r="H35" i="178"/>
  <c r="H28" i="178"/>
  <c r="H206" i="178"/>
  <c r="H200" i="178"/>
  <c r="H191" i="178"/>
  <c r="H172" i="178"/>
  <c r="H166" i="178"/>
  <c r="H150" i="178"/>
  <c r="H142" i="178"/>
  <c r="H116" i="178"/>
  <c r="H108" i="178"/>
  <c r="H69" i="178"/>
  <c r="H53" i="178"/>
  <c r="H47" i="178"/>
  <c r="H40" i="178"/>
  <c r="H196" i="178"/>
  <c r="H183" i="178"/>
  <c r="H141" i="178"/>
  <c r="H88" i="178"/>
  <c r="H45" i="178"/>
  <c r="H32" i="178"/>
  <c r="H195" i="178"/>
  <c r="H170" i="178"/>
  <c r="H155" i="178"/>
  <c r="H105" i="178"/>
  <c r="H73" i="178"/>
  <c r="H57" i="178"/>
  <c r="H44" i="178"/>
  <c r="H182" i="178"/>
  <c r="H123" i="178"/>
  <c r="H102" i="178"/>
  <c r="H87" i="178"/>
  <c r="H56" i="178"/>
  <c r="H31" i="178"/>
  <c r="H190" i="178"/>
  <c r="H164" i="178"/>
  <c r="H132" i="178"/>
  <c r="H115" i="178"/>
  <c r="H39" i="178"/>
  <c r="H96" i="178"/>
  <c r="H66" i="178"/>
  <c r="H188" i="178"/>
  <c r="H160" i="178"/>
  <c r="H131" i="178"/>
  <c r="H37" i="178"/>
  <c r="H184" i="178"/>
  <c r="H156" i="178"/>
  <c r="H126" i="178"/>
  <c r="H59" i="178"/>
  <c r="H33" i="178"/>
  <c r="K12" i="178"/>
  <c r="H205" i="178"/>
  <c r="H178" i="178"/>
  <c r="H83" i="178"/>
  <c r="H52" i="178"/>
  <c r="H27" i="178"/>
  <c r="H176" i="178"/>
  <c r="H51" i="178"/>
  <c r="H175" i="178"/>
  <c r="H171" i="178"/>
  <c r="H98" i="178"/>
  <c r="H78" i="178"/>
  <c r="H204" i="178"/>
  <c r="H147" i="178"/>
  <c r="H74" i="178"/>
  <c r="H25" i="178"/>
  <c r="J39" i="97"/>
  <c r="J85" i="97"/>
  <c r="J28" i="97"/>
  <c r="G238" i="54"/>
  <c r="H158" i="152"/>
  <c r="H167" i="152"/>
  <c r="H161" i="152"/>
  <c r="H66" i="152"/>
  <c r="H75" i="152"/>
  <c r="H189" i="152"/>
  <c r="H136" i="152"/>
  <c r="H157" i="152"/>
  <c r="H187" i="152"/>
  <c r="H100" i="152"/>
  <c r="H123" i="152"/>
  <c r="H38" i="152"/>
  <c r="H174" i="152"/>
  <c r="H126" i="152"/>
  <c r="H193" i="152"/>
  <c r="H156" i="152"/>
  <c r="H143" i="152"/>
  <c r="H65" i="152"/>
  <c r="H55" i="152"/>
  <c r="H142" i="152"/>
  <c r="H173" i="152"/>
  <c r="H93" i="152"/>
  <c r="H166" i="152"/>
  <c r="H155" i="152"/>
  <c r="H88" i="152"/>
  <c r="H130" i="152"/>
  <c r="H133" i="152"/>
  <c r="H31" i="152"/>
  <c r="H106" i="152"/>
  <c r="H170" i="152"/>
  <c r="H84" i="152"/>
  <c r="H202" i="152"/>
  <c r="H150" i="152"/>
  <c r="H79" i="152"/>
  <c r="H194" i="152"/>
  <c r="H101" i="152"/>
  <c r="H172" i="152"/>
  <c r="H109" i="152"/>
  <c r="H148" i="152"/>
  <c r="H146" i="152"/>
  <c r="H179" i="152"/>
  <c r="H74" i="152"/>
  <c r="H49" i="152"/>
  <c r="H46" i="152"/>
  <c r="H72" i="152"/>
  <c r="H37" i="152"/>
  <c r="H191" i="152"/>
  <c r="H98" i="152"/>
  <c r="H64" i="152"/>
  <c r="H86" i="152"/>
  <c r="H195" i="152"/>
  <c r="H96" i="152"/>
  <c r="K12" i="152"/>
  <c r="H138" i="152"/>
  <c r="H40" i="152"/>
  <c r="H44" i="152"/>
  <c r="H175" i="152"/>
  <c r="H83" i="152"/>
  <c r="H181" i="152"/>
  <c r="H111" i="152"/>
  <c r="H151" i="152"/>
  <c r="H197" i="152"/>
  <c r="H29" i="152"/>
  <c r="H204" i="152"/>
  <c r="H33" i="152"/>
  <c r="H164" i="152"/>
  <c r="H25" i="152"/>
  <c r="H114" i="152"/>
  <c r="H42" i="152"/>
  <c r="H61" i="152"/>
  <c r="H76" i="152"/>
  <c r="H205" i="152"/>
  <c r="H78" i="152"/>
  <c r="H90" i="152"/>
  <c r="H152" i="152"/>
  <c r="H160" i="152"/>
  <c r="H89" i="152"/>
  <c r="H206" i="152"/>
  <c r="H56" i="152"/>
  <c r="H115" i="152"/>
  <c r="H47" i="152"/>
  <c r="H147" i="152"/>
  <c r="H34" i="152"/>
  <c r="H116" i="152"/>
  <c r="H190" i="152"/>
  <c r="H168" i="152"/>
  <c r="H69" i="152"/>
  <c r="H105" i="152"/>
  <c r="H73" i="152"/>
  <c r="H48" i="152"/>
  <c r="H32" i="152"/>
  <c r="H27" i="152"/>
  <c r="H54" i="152"/>
  <c r="H177" i="152"/>
  <c r="H71" i="152"/>
  <c r="H124" i="152"/>
  <c r="H141" i="152"/>
  <c r="H99" i="152"/>
  <c r="H140" i="152"/>
  <c r="H102" i="152"/>
  <c r="H28" i="152"/>
  <c r="H67" i="152"/>
  <c r="H58" i="152"/>
  <c r="H137" i="152"/>
  <c r="H186" i="152"/>
  <c r="H118" i="152"/>
  <c r="H108" i="152"/>
  <c r="H196" i="152"/>
  <c r="H110" i="152"/>
  <c r="H171" i="152"/>
  <c r="H185" i="152"/>
  <c r="H184" i="152"/>
  <c r="H117" i="152"/>
  <c r="H153" i="152"/>
  <c r="H82" i="152"/>
  <c r="H149" i="152"/>
  <c r="H182" i="152"/>
  <c r="H192" i="152"/>
  <c r="H129" i="152"/>
  <c r="H39" i="152"/>
  <c r="H35" i="152"/>
  <c r="H183" i="152"/>
  <c r="H107" i="152"/>
  <c r="H180" i="152"/>
  <c r="H135" i="152"/>
  <c r="H45" i="152"/>
  <c r="H208" i="152"/>
  <c r="H201" i="152"/>
  <c r="H53" i="152"/>
  <c r="H52" i="152"/>
  <c r="H43" i="152"/>
  <c r="H57" i="152"/>
  <c r="H188" i="152"/>
  <c r="H169" i="152"/>
  <c r="H176" i="152"/>
  <c r="H87" i="152"/>
  <c r="H68" i="152"/>
  <c r="H51" i="152"/>
  <c r="H159" i="152"/>
  <c r="H125" i="152"/>
  <c r="H50" i="152"/>
  <c r="H91" i="152"/>
  <c r="H59" i="152"/>
  <c r="H200" i="152"/>
  <c r="H131" i="152"/>
  <c r="H60" i="152"/>
  <c r="H165" i="152"/>
  <c r="H132" i="152"/>
  <c r="H70" i="152"/>
  <c r="H85" i="152"/>
  <c r="H77" i="152"/>
  <c r="H97" i="152"/>
  <c r="H36" i="152"/>
  <c r="H203" i="152"/>
  <c r="H30" i="152"/>
  <c r="H178" i="152"/>
  <c r="H127" i="152"/>
  <c r="H119" i="152"/>
  <c r="H26" i="152"/>
  <c r="H41" i="152"/>
  <c r="H145" i="152"/>
  <c r="H92" i="152"/>
  <c r="G215" i="152"/>
  <c r="H158" i="38"/>
  <c r="H29" i="38"/>
  <c r="H107" i="38"/>
  <c r="H180" i="38"/>
  <c r="H76" i="38"/>
  <c r="H86" i="38"/>
  <c r="H67" i="38"/>
  <c r="H68" i="38"/>
  <c r="H108" i="38"/>
  <c r="H73" i="38"/>
  <c r="H43" i="38"/>
  <c r="H177" i="38"/>
  <c r="H40" i="38"/>
  <c r="H160" i="38"/>
  <c r="H97" i="38"/>
  <c r="H56" i="38"/>
  <c r="H54" i="38"/>
  <c r="H157" i="38"/>
  <c r="H202" i="38"/>
  <c r="H149" i="38"/>
  <c r="H39" i="38"/>
  <c r="H60" i="38"/>
  <c r="H178" i="38"/>
  <c r="H171" i="38"/>
  <c r="H96" i="38"/>
  <c r="H145" i="38"/>
  <c r="H181" i="38"/>
  <c r="H151" i="38"/>
  <c r="H189" i="38"/>
  <c r="H90" i="38"/>
  <c r="H164" i="38"/>
  <c r="H92" i="38"/>
  <c r="H132" i="38"/>
  <c r="H193" i="38"/>
  <c r="H184" i="38"/>
  <c r="H190" i="38"/>
  <c r="H152" i="38"/>
  <c r="H197" i="38"/>
  <c r="H82" i="38"/>
  <c r="H206" i="38"/>
  <c r="H204" i="38"/>
  <c r="H172" i="38"/>
  <c r="H173" i="38"/>
  <c r="H72" i="38"/>
  <c r="H166" i="38"/>
  <c r="H148" i="38"/>
  <c r="H123" i="38"/>
  <c r="H85" i="38"/>
  <c r="H37" i="38"/>
  <c r="H70" i="38"/>
  <c r="H125" i="38"/>
  <c r="H74" i="38"/>
  <c r="H129" i="38"/>
  <c r="H52" i="38"/>
  <c r="H88" i="38"/>
  <c r="H48" i="38"/>
  <c r="H116" i="38"/>
  <c r="H136" i="38"/>
  <c r="H175" i="38"/>
  <c r="H124" i="38"/>
  <c r="H155" i="38"/>
  <c r="H165" i="38"/>
  <c r="H118" i="38"/>
  <c r="H191" i="38"/>
  <c r="H34" i="38"/>
  <c r="H183" i="38"/>
  <c r="H137" i="38"/>
  <c r="H83" i="38"/>
  <c r="H27" i="38"/>
  <c r="H143" i="38"/>
  <c r="H69" i="38"/>
  <c r="K12" i="38"/>
  <c r="H117" i="38"/>
  <c r="H150" i="38"/>
  <c r="H156" i="38"/>
  <c r="H44" i="38"/>
  <c r="H78" i="38"/>
  <c r="H138" i="38"/>
  <c r="H65" i="38"/>
  <c r="H53" i="38"/>
  <c r="H194" i="38"/>
  <c r="H208" i="38"/>
  <c r="H168" i="38"/>
  <c r="H46" i="38"/>
  <c r="H126" i="38"/>
  <c r="H115" i="38"/>
  <c r="H47" i="38"/>
  <c r="H41" i="38"/>
  <c r="H89" i="38"/>
  <c r="H59" i="38"/>
  <c r="H75" i="38"/>
  <c r="H100" i="38"/>
  <c r="H71" i="38"/>
  <c r="H159" i="38"/>
  <c r="H61" i="38"/>
  <c r="H174" i="38"/>
  <c r="H87" i="38"/>
  <c r="H106" i="38"/>
  <c r="H133" i="38"/>
  <c r="H187" i="38"/>
  <c r="H200" i="38"/>
  <c r="H66" i="38"/>
  <c r="H64" i="38"/>
  <c r="H26" i="38"/>
  <c r="H31" i="38"/>
  <c r="H102" i="38"/>
  <c r="H131" i="38"/>
  <c r="H195" i="38"/>
  <c r="H205" i="38"/>
  <c r="H203" i="38"/>
  <c r="H127" i="38"/>
  <c r="H114" i="38"/>
  <c r="H119" i="38"/>
  <c r="H50" i="38"/>
  <c r="H153" i="38"/>
  <c r="H176" i="38"/>
  <c r="H93" i="38"/>
  <c r="H42" i="38"/>
  <c r="H110" i="38"/>
  <c r="H99" i="38"/>
  <c r="H169" i="38"/>
  <c r="H140" i="38"/>
  <c r="H28" i="38"/>
  <c r="H186" i="38"/>
  <c r="H185" i="38"/>
  <c r="H38" i="38"/>
  <c r="H33" i="38"/>
  <c r="H79" i="38"/>
  <c r="H77" i="38"/>
  <c r="H84" i="38"/>
  <c r="H161" i="38"/>
  <c r="H179" i="38"/>
  <c r="H142" i="38"/>
  <c r="H49" i="38"/>
  <c r="H130" i="38"/>
  <c r="H30" i="38"/>
  <c r="H57" i="38"/>
  <c r="H182" i="38"/>
  <c r="H98" i="38"/>
  <c r="H58" i="38"/>
  <c r="H36" i="38"/>
  <c r="H188" i="38"/>
  <c r="H35" i="38"/>
  <c r="H109" i="38"/>
  <c r="H135" i="38"/>
  <c r="H55" i="38"/>
  <c r="H101" i="38"/>
  <c r="H91" i="38"/>
  <c r="H192" i="38"/>
  <c r="H196" i="38"/>
  <c r="H45" i="38"/>
  <c r="H201" i="38"/>
  <c r="H141" i="38"/>
  <c r="H105" i="38"/>
  <c r="H167" i="38"/>
  <c r="H147" i="38"/>
  <c r="H170" i="38"/>
  <c r="H51" i="38"/>
  <c r="H146" i="38"/>
  <c r="H32" i="38"/>
  <c r="H111" i="38"/>
  <c r="H25" i="38"/>
  <c r="J55" i="97"/>
  <c r="J32" i="97"/>
  <c r="J140" i="97"/>
  <c r="H183" i="103"/>
  <c r="H127" i="103"/>
  <c r="H159" i="103"/>
  <c r="H200" i="103"/>
  <c r="H37" i="103"/>
  <c r="H169" i="103"/>
  <c r="H194" i="103"/>
  <c r="H78" i="103"/>
  <c r="H147" i="103"/>
  <c r="H74" i="103"/>
  <c r="H205" i="103"/>
  <c r="H51" i="103"/>
  <c r="H119" i="103"/>
  <c r="H172" i="103"/>
  <c r="H107" i="103"/>
  <c r="H125" i="103"/>
  <c r="H90" i="103"/>
  <c r="H175" i="103"/>
  <c r="H45" i="103"/>
  <c r="H41" i="103"/>
  <c r="H110" i="103"/>
  <c r="H55" i="103"/>
  <c r="H168" i="103"/>
  <c r="H131" i="103"/>
  <c r="H174" i="103"/>
  <c r="H177" i="103"/>
  <c r="H181" i="103"/>
  <c r="H196" i="103"/>
  <c r="H71" i="103"/>
  <c r="H178" i="103"/>
  <c r="H32" i="103"/>
  <c r="H195" i="103"/>
  <c r="H155" i="103"/>
  <c r="H118" i="103"/>
  <c r="H58" i="103"/>
  <c r="H57" i="103"/>
  <c r="H99" i="103"/>
  <c r="H166" i="103"/>
  <c r="H77" i="103"/>
  <c r="H108" i="103"/>
  <c r="H132" i="103"/>
  <c r="H116" i="103"/>
  <c r="H106" i="103"/>
  <c r="H49" i="103"/>
  <c r="H176" i="103"/>
  <c r="H164" i="103"/>
  <c r="H138" i="103"/>
  <c r="H150" i="103"/>
  <c r="H105" i="103"/>
  <c r="H111" i="103"/>
  <c r="H39" i="103"/>
  <c r="H59" i="103"/>
  <c r="H75" i="103"/>
  <c r="H123" i="103"/>
  <c r="H68" i="103"/>
  <c r="K12" i="103"/>
  <c r="H202" i="103"/>
  <c r="H46" i="103"/>
  <c r="H137" i="103"/>
  <c r="H197" i="103"/>
  <c r="H130" i="103"/>
  <c r="H92" i="103"/>
  <c r="H145" i="103"/>
  <c r="H153" i="103"/>
  <c r="H124" i="103"/>
  <c r="H192" i="103"/>
  <c r="H65" i="103"/>
  <c r="H208" i="103"/>
  <c r="H179" i="103"/>
  <c r="H109" i="103"/>
  <c r="H182" i="103"/>
  <c r="H44" i="103"/>
  <c r="H73" i="103"/>
  <c r="H50" i="103"/>
  <c r="H96" i="103"/>
  <c r="H31" i="103"/>
  <c r="H35" i="103"/>
  <c r="H156" i="103"/>
  <c r="H33" i="103"/>
  <c r="H54" i="103"/>
  <c r="H26" i="103"/>
  <c r="H151" i="103"/>
  <c r="H204" i="103"/>
  <c r="H70" i="103"/>
  <c r="H167" i="103"/>
  <c r="H28" i="103"/>
  <c r="H160" i="103"/>
  <c r="H56" i="103"/>
  <c r="H149" i="103"/>
  <c r="H191" i="103"/>
  <c r="H86" i="103"/>
  <c r="H43" i="103"/>
  <c r="H157" i="103"/>
  <c r="G215" i="103"/>
  <c r="H38" i="103"/>
  <c r="H40" i="103"/>
  <c r="H83" i="103"/>
  <c r="H67" i="103"/>
  <c r="H64" i="103"/>
  <c r="H114" i="103"/>
  <c r="H143" i="103"/>
  <c r="H48" i="103"/>
  <c r="H89" i="103"/>
  <c r="H189" i="103"/>
  <c r="H98" i="103"/>
  <c r="H100" i="103"/>
  <c r="H190" i="103"/>
  <c r="H76" i="103"/>
  <c r="H201" i="103"/>
  <c r="H87" i="103"/>
  <c r="H188" i="103"/>
  <c r="H29" i="103"/>
  <c r="H53" i="103"/>
  <c r="H142" i="103"/>
  <c r="H193" i="103"/>
  <c r="H88" i="103"/>
  <c r="H93" i="103"/>
  <c r="H184" i="103"/>
  <c r="H36" i="103"/>
  <c r="H165" i="103"/>
  <c r="H25" i="103"/>
  <c r="H140" i="103"/>
  <c r="H84" i="103"/>
  <c r="H180" i="103"/>
  <c r="H91" i="103"/>
  <c r="H126" i="103"/>
  <c r="H148" i="103"/>
  <c r="H47" i="103"/>
  <c r="H82" i="103"/>
  <c r="H146" i="103"/>
  <c r="H206" i="103"/>
  <c r="H171" i="103"/>
  <c r="H135" i="103"/>
  <c r="H30" i="103"/>
  <c r="H186" i="103"/>
  <c r="H101" i="103"/>
  <c r="H115" i="103"/>
  <c r="H42" i="103"/>
  <c r="H161" i="103"/>
  <c r="H136" i="103"/>
  <c r="H61" i="103"/>
  <c r="H66" i="103"/>
  <c r="H34" i="103"/>
  <c r="H60" i="103"/>
  <c r="H185" i="103"/>
  <c r="H97" i="103"/>
  <c r="H152" i="103"/>
  <c r="H85" i="103"/>
  <c r="H117" i="103"/>
  <c r="H102" i="103"/>
  <c r="H158" i="103"/>
  <c r="H27" i="103"/>
  <c r="H203" i="103"/>
  <c r="H173" i="103"/>
  <c r="H133" i="103"/>
  <c r="H72" i="103"/>
  <c r="H69" i="103"/>
  <c r="H141" i="103"/>
  <c r="H187" i="103"/>
  <c r="H52" i="103"/>
  <c r="H129" i="103"/>
  <c r="H170" i="103"/>
  <c r="H79" i="103"/>
  <c r="H36" i="66"/>
  <c r="H195" i="66"/>
  <c r="H93" i="66"/>
  <c r="H35" i="66"/>
  <c r="H78" i="66"/>
  <c r="H150" i="66"/>
  <c r="H96" i="66"/>
  <c r="H86" i="66"/>
  <c r="H196" i="66"/>
  <c r="H76" i="66"/>
  <c r="H74" i="66"/>
  <c r="H179" i="66"/>
  <c r="H173" i="66"/>
  <c r="H202" i="66"/>
  <c r="H170" i="66"/>
  <c r="H37" i="66"/>
  <c r="H25" i="66"/>
  <c r="H67" i="66"/>
  <c r="H140" i="66"/>
  <c r="H132" i="66"/>
  <c r="H26" i="66"/>
  <c r="H29" i="66"/>
  <c r="H48" i="66"/>
  <c r="H177" i="66"/>
  <c r="H146" i="66"/>
  <c r="H189" i="66"/>
  <c r="H148" i="66"/>
  <c r="H117" i="66"/>
  <c r="H145" i="66"/>
  <c r="H115" i="66"/>
  <c r="H44" i="66"/>
  <c r="H180" i="66"/>
  <c r="H141" i="66"/>
  <c r="H197" i="66"/>
  <c r="H54" i="66"/>
  <c r="H102" i="66"/>
  <c r="H69" i="66"/>
  <c r="H64" i="66"/>
  <c r="H52" i="66"/>
  <c r="H68" i="66"/>
  <c r="H165" i="66"/>
  <c r="H171" i="66"/>
  <c r="H97" i="66"/>
  <c r="H157" i="66"/>
  <c r="K12" i="66"/>
  <c r="H42" i="66"/>
  <c r="H193" i="66"/>
  <c r="H111" i="66"/>
  <c r="H149" i="66"/>
  <c r="H130" i="66"/>
  <c r="H75" i="66"/>
  <c r="H99" i="66"/>
  <c r="H191" i="66"/>
  <c r="H38" i="66"/>
  <c r="H65" i="66"/>
  <c r="H33" i="66"/>
  <c r="H31" i="66"/>
  <c r="H203" i="66"/>
  <c r="H164" i="66"/>
  <c r="H142" i="66"/>
  <c r="H185" i="66"/>
  <c r="H152" i="66"/>
  <c r="H176" i="66"/>
  <c r="H161" i="66"/>
  <c r="H41" i="66"/>
  <c r="H39" i="66"/>
  <c r="H153" i="66"/>
  <c r="H160" i="66"/>
  <c r="H124" i="66"/>
  <c r="H90" i="66"/>
  <c r="H79" i="66"/>
  <c r="H192" i="66"/>
  <c r="H91" i="66"/>
  <c r="H187" i="66"/>
  <c r="H155" i="66"/>
  <c r="H129" i="66"/>
  <c r="H32" i="66"/>
  <c r="H66" i="66"/>
  <c r="H133" i="66"/>
  <c r="H116" i="66"/>
  <c r="H70" i="66"/>
  <c r="H178" i="66"/>
  <c r="H30" i="66"/>
  <c r="H110" i="66"/>
  <c r="H61" i="66"/>
  <c r="H188" i="66"/>
  <c r="H204" i="66"/>
  <c r="H88" i="66"/>
  <c r="H109" i="66"/>
  <c r="H159" i="66"/>
  <c r="H119" i="66"/>
  <c r="H147" i="66"/>
  <c r="H143" i="66"/>
  <c r="H34" i="66"/>
  <c r="H50" i="66"/>
  <c r="H108" i="66"/>
  <c r="H135" i="66"/>
  <c r="H131" i="66"/>
  <c r="H58" i="66"/>
  <c r="H45" i="66"/>
  <c r="H206" i="66"/>
  <c r="H138" i="66"/>
  <c r="H175" i="66"/>
  <c r="H84" i="66"/>
  <c r="H71" i="66"/>
  <c r="H118" i="66"/>
  <c r="H77" i="66"/>
  <c r="H183" i="66"/>
  <c r="H82" i="66"/>
  <c r="H208" i="66"/>
  <c r="H114" i="66"/>
  <c r="H158" i="66"/>
  <c r="H201" i="66"/>
  <c r="H194" i="66"/>
  <c r="H126" i="66"/>
  <c r="H51" i="66"/>
  <c r="H205" i="66"/>
  <c r="H136" i="66"/>
  <c r="H56" i="66"/>
  <c r="H49" i="66"/>
  <c r="H43" i="66"/>
  <c r="H125" i="66"/>
  <c r="H151" i="66"/>
  <c r="H184" i="66"/>
  <c r="H40" i="66"/>
  <c r="H169" i="66"/>
  <c r="H123" i="66"/>
  <c r="H92" i="66"/>
  <c r="H182" i="66"/>
  <c r="H168" i="66"/>
  <c r="H98" i="66"/>
  <c r="H107" i="66"/>
  <c r="H166" i="66"/>
  <c r="H101" i="66"/>
  <c r="H46" i="66"/>
  <c r="H186" i="66"/>
  <c r="H60" i="66"/>
  <c r="H106" i="66"/>
  <c r="H27" i="66"/>
  <c r="H28" i="66"/>
  <c r="H59" i="66"/>
  <c r="H100" i="66"/>
  <c r="H55" i="66"/>
  <c r="H156" i="66"/>
  <c r="H200" i="66"/>
  <c r="H73" i="66"/>
  <c r="H87" i="66"/>
  <c r="H181" i="66"/>
  <c r="H172" i="66"/>
  <c r="H105" i="66"/>
  <c r="H85" i="66"/>
  <c r="H47" i="66"/>
  <c r="H57" i="66"/>
  <c r="H83" i="66"/>
  <c r="H167" i="66"/>
  <c r="H137" i="66"/>
  <c r="H53" i="66"/>
  <c r="H127" i="66"/>
  <c r="H190" i="66"/>
  <c r="H174" i="66"/>
  <c r="H89" i="66"/>
  <c r="H72" i="66"/>
  <c r="G238" i="43"/>
  <c r="H68" i="94"/>
  <c r="H44" i="94"/>
  <c r="H169" i="94"/>
  <c r="H141" i="94"/>
  <c r="H108" i="94"/>
  <c r="H125" i="94"/>
  <c r="H82" i="94"/>
  <c r="H25" i="94"/>
  <c r="H167" i="94"/>
  <c r="H86" i="94"/>
  <c r="H61" i="94"/>
  <c r="H67" i="94"/>
  <c r="H30" i="94"/>
  <c r="H42" i="94"/>
  <c r="H190" i="94"/>
  <c r="H160" i="94"/>
  <c r="H43" i="94"/>
  <c r="H206" i="94"/>
  <c r="H28" i="94"/>
  <c r="H176" i="94"/>
  <c r="H179" i="94"/>
  <c r="H164" i="94"/>
  <c r="H92" i="94"/>
  <c r="H59" i="94"/>
  <c r="H38" i="94"/>
  <c r="H203" i="94"/>
  <c r="H182" i="94"/>
  <c r="H111" i="94"/>
  <c r="H71" i="94"/>
  <c r="H186" i="94"/>
  <c r="H146" i="94"/>
  <c r="H170" i="94"/>
  <c r="H126" i="94"/>
  <c r="H119" i="94"/>
  <c r="H91" i="94"/>
  <c r="H76" i="94"/>
  <c r="H172" i="94"/>
  <c r="H49" i="94"/>
  <c r="H39" i="94"/>
  <c r="H131" i="94"/>
  <c r="H102" i="94"/>
  <c r="H79" i="94"/>
  <c r="H208" i="94"/>
  <c r="H181" i="94"/>
  <c r="H155" i="94"/>
  <c r="H109" i="94"/>
  <c r="H66" i="94"/>
  <c r="H194" i="94"/>
  <c r="H174" i="94"/>
  <c r="H87" i="94"/>
  <c r="H47" i="94"/>
  <c r="H51" i="94"/>
  <c r="H31" i="94"/>
  <c r="H27" i="94"/>
  <c r="H185" i="94"/>
  <c r="H178" i="94"/>
  <c r="H99" i="94"/>
  <c r="H69" i="94"/>
  <c r="H75" i="94"/>
  <c r="H78" i="94"/>
  <c r="H34" i="94"/>
  <c r="H191" i="94"/>
  <c r="H138" i="94"/>
  <c r="H106" i="94"/>
  <c r="H74" i="94"/>
  <c r="K12" i="94"/>
  <c r="H98" i="94"/>
  <c r="H55" i="94"/>
  <c r="H173" i="94"/>
  <c r="H193" i="94"/>
  <c r="H156" i="94"/>
  <c r="H151" i="94"/>
  <c r="H127" i="94"/>
  <c r="H96" i="94"/>
  <c r="H137" i="94"/>
  <c r="H204" i="94"/>
  <c r="H116" i="94"/>
  <c r="H133" i="94"/>
  <c r="H73" i="94"/>
  <c r="H101" i="94"/>
  <c r="H70" i="94"/>
  <c r="H46" i="94"/>
  <c r="H171" i="94"/>
  <c r="H152" i="94"/>
  <c r="H48" i="94"/>
  <c r="H196" i="94"/>
  <c r="H132" i="94"/>
  <c r="H88" i="94"/>
  <c r="H201" i="94"/>
  <c r="H180" i="94"/>
  <c r="H184" i="94"/>
  <c r="H143" i="94"/>
  <c r="H157" i="94"/>
  <c r="H114" i="94"/>
  <c r="H147" i="94"/>
  <c r="H136" i="94"/>
  <c r="H58" i="94"/>
  <c r="H52" i="94"/>
  <c r="H159" i="94"/>
  <c r="H130" i="94"/>
  <c r="H150" i="94"/>
  <c r="H26" i="94"/>
  <c r="H100" i="94"/>
  <c r="H123" i="94"/>
  <c r="H161" i="94"/>
  <c r="H202" i="94"/>
  <c r="H168" i="94"/>
  <c r="H65" i="94"/>
  <c r="H142" i="94"/>
  <c r="H197" i="94"/>
  <c r="H89" i="94"/>
  <c r="H189" i="94"/>
  <c r="H36" i="94"/>
  <c r="H175" i="94"/>
  <c r="H107" i="94"/>
  <c r="H60" i="94"/>
  <c r="H90" i="94"/>
  <c r="H165" i="94"/>
  <c r="H54" i="94"/>
  <c r="H118" i="94"/>
  <c r="H93" i="94"/>
  <c r="H145" i="94"/>
  <c r="H115" i="94"/>
  <c r="H72" i="94"/>
  <c r="H195" i="94"/>
  <c r="H45" i="94"/>
  <c r="H50" i="94"/>
  <c r="H124" i="94"/>
  <c r="H35" i="94"/>
  <c r="H64" i="94"/>
  <c r="H105" i="94"/>
  <c r="H85" i="94"/>
  <c r="H117" i="94"/>
  <c r="H183" i="94"/>
  <c r="H40" i="94"/>
  <c r="H77" i="94"/>
  <c r="H140" i="94"/>
  <c r="H53" i="94"/>
  <c r="H187" i="94"/>
  <c r="H149" i="94"/>
  <c r="H166" i="94"/>
  <c r="H56" i="94"/>
  <c r="H97" i="94"/>
  <c r="H29" i="94"/>
  <c r="H177" i="94"/>
  <c r="H83" i="94"/>
  <c r="H129" i="94"/>
  <c r="H200" i="94"/>
  <c r="H158" i="94"/>
  <c r="H41" i="94"/>
  <c r="H37" i="94"/>
  <c r="H153" i="94"/>
  <c r="H32" i="94"/>
  <c r="H57" i="94"/>
  <c r="H33" i="94"/>
  <c r="H188" i="94"/>
  <c r="H84" i="94"/>
  <c r="H135" i="94"/>
  <c r="H192" i="94"/>
  <c r="H110" i="94"/>
  <c r="H148" i="94"/>
  <c r="H205" i="94"/>
  <c r="H124" i="71"/>
  <c r="H208" i="71"/>
  <c r="H35" i="71"/>
  <c r="H88" i="71"/>
  <c r="H135" i="71"/>
  <c r="H141" i="71"/>
  <c r="H130" i="71"/>
  <c r="H190" i="71"/>
  <c r="H74" i="71"/>
  <c r="H178" i="71"/>
  <c r="H89" i="71"/>
  <c r="H168" i="71"/>
  <c r="H59" i="71"/>
  <c r="H158" i="71"/>
  <c r="H47" i="71"/>
  <c r="H37" i="71"/>
  <c r="H204" i="71"/>
  <c r="H51" i="71"/>
  <c r="H61" i="71"/>
  <c r="H132" i="71"/>
  <c r="H76" i="71"/>
  <c r="H46" i="71"/>
  <c r="H171" i="71"/>
  <c r="H100" i="71"/>
  <c r="H200" i="71"/>
  <c r="H96" i="71"/>
  <c r="H161" i="71"/>
  <c r="H108" i="71"/>
  <c r="H175" i="71"/>
  <c r="H206" i="71"/>
  <c r="H187" i="71"/>
  <c r="H33" i="71"/>
  <c r="H44" i="71"/>
  <c r="H114" i="71"/>
  <c r="H99" i="71"/>
  <c r="H48" i="71"/>
  <c r="H55" i="71"/>
  <c r="H123" i="71"/>
  <c r="H109" i="71"/>
  <c r="H192" i="71"/>
  <c r="H110" i="71"/>
  <c r="K12" i="71"/>
  <c r="H125" i="71"/>
  <c r="H31" i="71"/>
  <c r="H101" i="71"/>
  <c r="H152" i="71"/>
  <c r="H69" i="71"/>
  <c r="H133" i="71"/>
  <c r="H65" i="71"/>
  <c r="H148" i="71"/>
  <c r="H84" i="71"/>
  <c r="H203" i="71"/>
  <c r="H67" i="71"/>
  <c r="H102" i="71"/>
  <c r="H164" i="71"/>
  <c r="H79" i="71"/>
  <c r="H68" i="71"/>
  <c r="H87" i="71"/>
  <c r="H146" i="71"/>
  <c r="H117" i="71"/>
  <c r="H165" i="71"/>
  <c r="H93" i="71"/>
  <c r="H180" i="71"/>
  <c r="H34" i="71"/>
  <c r="H194" i="71"/>
  <c r="H78" i="71"/>
  <c r="H172" i="71"/>
  <c r="H83" i="71"/>
  <c r="H127" i="71"/>
  <c r="H43" i="71"/>
  <c r="H115" i="71"/>
  <c r="H129" i="71"/>
  <c r="H160" i="71"/>
  <c r="H98" i="71"/>
  <c r="H77" i="71"/>
  <c r="H72" i="71"/>
  <c r="H197" i="71"/>
  <c r="H73" i="71"/>
  <c r="H137" i="71"/>
  <c r="H151" i="71"/>
  <c r="H60" i="71"/>
  <c r="H138" i="71"/>
  <c r="H75" i="71"/>
  <c r="H159" i="71"/>
  <c r="H26" i="71"/>
  <c r="H176" i="71"/>
  <c r="H41" i="71"/>
  <c r="H195" i="71"/>
  <c r="H29" i="71"/>
  <c r="H28" i="71"/>
  <c r="H25" i="71"/>
  <c r="H86" i="71"/>
  <c r="H97" i="71"/>
  <c r="H181" i="71"/>
  <c r="H131" i="71"/>
  <c r="H27" i="71"/>
  <c r="H167" i="71"/>
  <c r="H126" i="71"/>
  <c r="H50" i="71"/>
  <c r="H174" i="71"/>
  <c r="H157" i="71"/>
  <c r="H118" i="71"/>
  <c r="H205" i="71"/>
  <c r="H106" i="71"/>
  <c r="H143" i="71"/>
  <c r="H82" i="71"/>
  <c r="H185" i="71"/>
  <c r="H201" i="71"/>
  <c r="H202" i="71"/>
  <c r="H91" i="71"/>
  <c r="H149" i="71"/>
  <c r="H196" i="71"/>
  <c r="H49" i="71"/>
  <c r="H173" i="71"/>
  <c r="H150" i="71"/>
  <c r="H90" i="71"/>
  <c r="H57" i="71"/>
  <c r="H38" i="71"/>
  <c r="H169" i="71"/>
  <c r="H179" i="71"/>
  <c r="H153" i="71"/>
  <c r="H188" i="71"/>
  <c r="H53" i="71"/>
  <c r="H170" i="71"/>
  <c r="H70" i="71"/>
  <c r="H64" i="71"/>
  <c r="H136" i="71"/>
  <c r="H107" i="71"/>
  <c r="H183" i="71"/>
  <c r="H184" i="71"/>
  <c r="H119" i="71"/>
  <c r="H52" i="71"/>
  <c r="H189" i="71"/>
  <c r="H182" i="71"/>
  <c r="H105" i="71"/>
  <c r="H92" i="71"/>
  <c r="H142" i="71"/>
  <c r="H54" i="71"/>
  <c r="H145" i="71"/>
  <c r="H140" i="71"/>
  <c r="H155" i="71"/>
  <c r="H45" i="71"/>
  <c r="H36" i="71"/>
  <c r="H42" i="71"/>
  <c r="H111" i="71"/>
  <c r="H85" i="71"/>
  <c r="H56" i="71"/>
  <c r="H147" i="71"/>
  <c r="H58" i="71"/>
  <c r="H193" i="71"/>
  <c r="H186" i="71"/>
  <c r="H191" i="71"/>
  <c r="H156" i="71"/>
  <c r="H66" i="71"/>
  <c r="H177" i="71"/>
  <c r="H166" i="71"/>
  <c r="H32" i="71"/>
  <c r="H116" i="71"/>
  <c r="H30" i="71"/>
  <c r="H40" i="71"/>
  <c r="H71" i="71"/>
  <c r="H39" i="71"/>
  <c r="H151" i="176"/>
  <c r="H37" i="176"/>
  <c r="H177" i="176"/>
  <c r="H184" i="176"/>
  <c r="H131" i="176"/>
  <c r="H82" i="176"/>
  <c r="H161" i="176"/>
  <c r="H78" i="176"/>
  <c r="H191" i="176"/>
  <c r="H32" i="176"/>
  <c r="H96" i="176"/>
  <c r="H130" i="176"/>
  <c r="H83" i="176"/>
  <c r="H192" i="176"/>
  <c r="H176" i="176"/>
  <c r="H98" i="176"/>
  <c r="H158" i="176"/>
  <c r="H196" i="176"/>
  <c r="H157" i="176"/>
  <c r="H65" i="176"/>
  <c r="H125" i="176"/>
  <c r="H106" i="176"/>
  <c r="H193" i="176"/>
  <c r="H33" i="176"/>
  <c r="H31" i="176"/>
  <c r="H186" i="176"/>
  <c r="H102" i="176"/>
  <c r="H87" i="176"/>
  <c r="H52" i="176"/>
  <c r="H49" i="176"/>
  <c r="H175" i="176"/>
  <c r="H28" i="176"/>
  <c r="H58" i="176"/>
  <c r="H89" i="176"/>
  <c r="H159" i="176"/>
  <c r="H90" i="176"/>
  <c r="H140" i="176"/>
  <c r="H197" i="176"/>
  <c r="H118" i="176"/>
  <c r="H25" i="176"/>
  <c r="H117" i="176"/>
  <c r="H88" i="176"/>
  <c r="H202" i="176"/>
  <c r="H35" i="176"/>
  <c r="H91" i="176"/>
  <c r="H26" i="176"/>
  <c r="H124" i="176"/>
  <c r="H187" i="176"/>
  <c r="H138" i="176"/>
  <c r="H114" i="176"/>
  <c r="H108" i="176"/>
  <c r="H185" i="176"/>
  <c r="H69" i="176"/>
  <c r="H188" i="176"/>
  <c r="H92" i="176"/>
  <c r="H147" i="176"/>
  <c r="H36" i="176"/>
  <c r="H66" i="176"/>
  <c r="H60" i="176"/>
  <c r="H48" i="176"/>
  <c r="H206" i="176"/>
  <c r="H123" i="176"/>
  <c r="H143" i="176"/>
  <c r="H100" i="176"/>
  <c r="H160" i="176"/>
  <c r="H116" i="176"/>
  <c r="H110" i="176"/>
  <c r="H152" i="176"/>
  <c r="H126" i="176"/>
  <c r="H51" i="176"/>
  <c r="H165" i="176"/>
  <c r="H44" i="176"/>
  <c r="H145" i="176"/>
  <c r="H72" i="176"/>
  <c r="H97" i="176"/>
  <c r="H115" i="176"/>
  <c r="H119" i="176"/>
  <c r="H34" i="176"/>
  <c r="H153" i="176"/>
  <c r="H178" i="176"/>
  <c r="H200" i="176"/>
  <c r="H194" i="176"/>
  <c r="H189" i="176"/>
  <c r="H38" i="176"/>
  <c r="H167" i="176"/>
  <c r="H93" i="176"/>
  <c r="H74" i="176"/>
  <c r="H99" i="176"/>
  <c r="H190" i="176"/>
  <c r="H47" i="176"/>
  <c r="H75" i="176"/>
  <c r="H127" i="176"/>
  <c r="H148" i="176"/>
  <c r="H70" i="176"/>
  <c r="H101" i="176"/>
  <c r="H46" i="176"/>
  <c r="H204" i="176"/>
  <c r="H107" i="176"/>
  <c r="H166" i="176"/>
  <c r="H195" i="176"/>
  <c r="H111" i="176"/>
  <c r="H171" i="176"/>
  <c r="H203" i="176"/>
  <c r="H156" i="176"/>
  <c r="H71" i="176"/>
  <c r="H86" i="176"/>
  <c r="H57" i="176"/>
  <c r="H170" i="176"/>
  <c r="H173" i="176"/>
  <c r="H135" i="176"/>
  <c r="H41" i="176"/>
  <c r="H149" i="176"/>
  <c r="H109" i="176"/>
  <c r="H73" i="176"/>
  <c r="H50" i="176"/>
  <c r="H172" i="176"/>
  <c r="H141" i="176"/>
  <c r="H181" i="176"/>
  <c r="H169" i="176"/>
  <c r="H105" i="176"/>
  <c r="H30" i="176"/>
  <c r="H84" i="176"/>
  <c r="H85" i="176"/>
  <c r="H129" i="176"/>
  <c r="H155" i="176"/>
  <c r="H79" i="176"/>
  <c r="H77" i="176"/>
  <c r="H64" i="176"/>
  <c r="H208" i="176"/>
  <c r="H55" i="176"/>
  <c r="H146" i="176"/>
  <c r="H40" i="176"/>
  <c r="H168" i="176"/>
  <c r="H133" i="176"/>
  <c r="H54" i="176"/>
  <c r="H142" i="176"/>
  <c r="H76" i="176"/>
  <c r="H179" i="176"/>
  <c r="H136" i="176"/>
  <c r="H132" i="176"/>
  <c r="H205" i="176"/>
  <c r="H182" i="176"/>
  <c r="H53" i="176"/>
  <c r="K12" i="176"/>
  <c r="H61" i="176"/>
  <c r="H39" i="176"/>
  <c r="H29" i="176"/>
  <c r="H43" i="176"/>
  <c r="H67" i="176"/>
  <c r="H137" i="176"/>
  <c r="H59" i="176"/>
  <c r="H56" i="176"/>
  <c r="H27" i="176"/>
  <c r="H164" i="176"/>
  <c r="H42" i="176"/>
  <c r="H201" i="176"/>
  <c r="H68" i="176"/>
  <c r="H45" i="176"/>
  <c r="H150" i="176"/>
  <c r="H180" i="176"/>
  <c r="H174" i="176"/>
  <c r="H183" i="176"/>
  <c r="G215" i="176"/>
  <c r="H110" i="83"/>
  <c r="H125" i="83"/>
  <c r="H79" i="83"/>
  <c r="H40" i="83"/>
  <c r="H190" i="83"/>
  <c r="H98" i="83"/>
  <c r="H185" i="83"/>
  <c r="H127" i="83"/>
  <c r="H51" i="83"/>
  <c r="H159" i="83"/>
  <c r="H46" i="83"/>
  <c r="H172" i="83"/>
  <c r="H105" i="83"/>
  <c r="H56" i="83"/>
  <c r="H91" i="83"/>
  <c r="H45" i="83"/>
  <c r="H71" i="83"/>
  <c r="H142" i="83"/>
  <c r="H197" i="83"/>
  <c r="H42" i="83"/>
  <c r="H61" i="83"/>
  <c r="H176" i="83"/>
  <c r="H84" i="83"/>
  <c r="H28" i="83"/>
  <c r="H145" i="83"/>
  <c r="H86" i="83"/>
  <c r="H54" i="83"/>
  <c r="H182" i="83"/>
  <c r="H184" i="83"/>
  <c r="H90" i="83"/>
  <c r="H33" i="83"/>
  <c r="H72" i="83"/>
  <c r="H93" i="83"/>
  <c r="H195" i="83"/>
  <c r="H32" i="83"/>
  <c r="H77" i="83"/>
  <c r="H149" i="83"/>
  <c r="H97" i="83"/>
  <c r="H131" i="83"/>
  <c r="H92" i="83"/>
  <c r="H206" i="83"/>
  <c r="H50" i="83"/>
  <c r="H29" i="83"/>
  <c r="H200" i="83"/>
  <c r="H141" i="83"/>
  <c r="H83" i="83"/>
  <c r="H177" i="83"/>
  <c r="H76" i="83"/>
  <c r="H186" i="83"/>
  <c r="H158" i="83"/>
  <c r="H114" i="83"/>
  <c r="H59" i="83"/>
  <c r="H96" i="83"/>
  <c r="H168" i="83"/>
  <c r="H192" i="83"/>
  <c r="H70" i="83"/>
  <c r="H31" i="83"/>
  <c r="H194" i="83"/>
  <c r="H123" i="83"/>
  <c r="H101" i="83"/>
  <c r="H181" i="83"/>
  <c r="H44" i="83"/>
  <c r="H196" i="83"/>
  <c r="H208" i="83"/>
  <c r="H189" i="83"/>
  <c r="H165" i="83"/>
  <c r="H146" i="83"/>
  <c r="H115" i="83"/>
  <c r="H41" i="83"/>
  <c r="H129" i="83"/>
  <c r="H119" i="83"/>
  <c r="H179" i="83"/>
  <c r="H52" i="83"/>
  <c r="H126" i="83"/>
  <c r="H166" i="83"/>
  <c r="H75" i="83"/>
  <c r="H171" i="83"/>
  <c r="H78" i="83"/>
  <c r="H135" i="83"/>
  <c r="H174" i="83"/>
  <c r="H73" i="83"/>
  <c r="H38" i="83"/>
  <c r="H68" i="83"/>
  <c r="H69" i="83"/>
  <c r="H170" i="83"/>
  <c r="H117" i="83"/>
  <c r="H204" i="83"/>
  <c r="H178" i="83"/>
  <c r="H160" i="83"/>
  <c r="H132" i="83"/>
  <c r="H100" i="83"/>
  <c r="H30" i="83"/>
  <c r="H55" i="83"/>
  <c r="K12" i="83"/>
  <c r="H191" i="83"/>
  <c r="H164" i="83"/>
  <c r="H107" i="83"/>
  <c r="H26" i="83"/>
  <c r="H108" i="83"/>
  <c r="H157" i="83"/>
  <c r="H136" i="83"/>
  <c r="H102" i="83"/>
  <c r="H147" i="83"/>
  <c r="H57" i="83"/>
  <c r="H175" i="83"/>
  <c r="H180" i="83"/>
  <c r="H193" i="83"/>
  <c r="H153" i="83"/>
  <c r="H88" i="83"/>
  <c r="H169" i="83"/>
  <c r="H201" i="83"/>
  <c r="H155" i="83"/>
  <c r="H203" i="83"/>
  <c r="H183" i="83"/>
  <c r="H25" i="83"/>
  <c r="H148" i="83"/>
  <c r="H161" i="83"/>
  <c r="H58" i="83"/>
  <c r="H85" i="83"/>
  <c r="H173" i="83"/>
  <c r="H36" i="83"/>
  <c r="H143" i="83"/>
  <c r="H106" i="83"/>
  <c r="H133" i="83"/>
  <c r="H150" i="83"/>
  <c r="H156" i="83"/>
  <c r="H89" i="83"/>
  <c r="H39" i="83"/>
  <c r="H67" i="83"/>
  <c r="H116" i="83"/>
  <c r="H138" i="83"/>
  <c r="H188" i="83"/>
  <c r="H43" i="83"/>
  <c r="H47" i="83"/>
  <c r="H99" i="83"/>
  <c r="H130" i="83"/>
  <c r="H27" i="83"/>
  <c r="H82" i="83"/>
  <c r="H49" i="83"/>
  <c r="H205" i="83"/>
  <c r="H137" i="83"/>
  <c r="H74" i="83"/>
  <c r="H167" i="83"/>
  <c r="H35" i="83"/>
  <c r="H65" i="83"/>
  <c r="H64" i="83"/>
  <c r="H140" i="83"/>
  <c r="H109" i="83"/>
  <c r="H34" i="83"/>
  <c r="H60" i="83"/>
  <c r="H202" i="83"/>
  <c r="H66" i="83"/>
  <c r="H152" i="83"/>
  <c r="H124" i="83"/>
  <c r="H187" i="83"/>
  <c r="H87" i="83"/>
  <c r="H37" i="83"/>
  <c r="H151" i="83"/>
  <c r="H118" i="83"/>
  <c r="H53" i="83"/>
  <c r="H111" i="83"/>
  <c r="H48" i="83"/>
  <c r="G215" i="83"/>
  <c r="H141" i="164"/>
  <c r="H66" i="164"/>
  <c r="H147" i="164"/>
  <c r="H93" i="164"/>
  <c r="H194" i="164"/>
  <c r="H107" i="164"/>
  <c r="H186" i="164"/>
  <c r="K12" i="164"/>
  <c r="H150" i="164"/>
  <c r="H180" i="164"/>
  <c r="H119" i="164"/>
  <c r="H44" i="164"/>
  <c r="H170" i="164"/>
  <c r="H131" i="164"/>
  <c r="H106" i="164"/>
  <c r="H114" i="164"/>
  <c r="H174" i="164"/>
  <c r="H203" i="164"/>
  <c r="H168" i="164"/>
  <c r="H72" i="164"/>
  <c r="H169" i="164"/>
  <c r="H204" i="164"/>
  <c r="H39" i="164"/>
  <c r="H158" i="164"/>
  <c r="H151" i="164"/>
  <c r="H102" i="164"/>
  <c r="H189" i="164"/>
  <c r="H32" i="164"/>
  <c r="H126" i="164"/>
  <c r="H125" i="164"/>
  <c r="H86" i="164"/>
  <c r="H110" i="164"/>
  <c r="H28" i="164"/>
  <c r="H48" i="164"/>
  <c r="H197" i="164"/>
  <c r="H45" i="164"/>
  <c r="H149" i="164"/>
  <c r="H31" i="164"/>
  <c r="H29" i="164"/>
  <c r="H84" i="164"/>
  <c r="H208" i="164"/>
  <c r="H100" i="164"/>
  <c r="H69" i="164"/>
  <c r="H181" i="164"/>
  <c r="H43" i="164"/>
  <c r="H91" i="164"/>
  <c r="H88" i="164"/>
  <c r="H117" i="164"/>
  <c r="H54" i="164"/>
  <c r="H124" i="164"/>
  <c r="H184" i="164"/>
  <c r="H191" i="164"/>
  <c r="H130" i="164"/>
  <c r="H133" i="164"/>
  <c r="H99" i="164"/>
  <c r="H171" i="164"/>
  <c r="H34" i="164"/>
  <c r="H49" i="164"/>
  <c r="H153" i="164"/>
  <c r="H148" i="164"/>
  <c r="H136" i="164"/>
  <c r="H202" i="164"/>
  <c r="H25" i="164"/>
  <c r="H85" i="164"/>
  <c r="H123" i="164"/>
  <c r="H188" i="164"/>
  <c r="H145" i="164"/>
  <c r="H59" i="164"/>
  <c r="H182" i="164"/>
  <c r="H183" i="164"/>
  <c r="H195" i="164"/>
  <c r="H51" i="164"/>
  <c r="H143" i="164"/>
  <c r="H175" i="164"/>
  <c r="H83" i="164"/>
  <c r="H165" i="164"/>
  <c r="H176" i="164"/>
  <c r="H187" i="164"/>
  <c r="H155" i="164"/>
  <c r="H116" i="164"/>
  <c r="H138" i="164"/>
  <c r="H57" i="164"/>
  <c r="H53" i="164"/>
  <c r="H101" i="164"/>
  <c r="H76" i="164"/>
  <c r="H135" i="164"/>
  <c r="H127" i="164"/>
  <c r="H56" i="164"/>
  <c r="H142" i="164"/>
  <c r="H172" i="164"/>
  <c r="H105" i="164"/>
  <c r="H193" i="164"/>
  <c r="H37" i="164"/>
  <c r="H96" i="164"/>
  <c r="H160" i="164"/>
  <c r="H60" i="164"/>
  <c r="H159" i="164"/>
  <c r="H35" i="164"/>
  <c r="H98" i="164"/>
  <c r="H40" i="164"/>
  <c r="H118" i="164"/>
  <c r="H90" i="164"/>
  <c r="H61" i="164"/>
  <c r="H58" i="164"/>
  <c r="H38" i="164"/>
  <c r="H179" i="164"/>
  <c r="H108" i="164"/>
  <c r="H196" i="164"/>
  <c r="H46" i="164"/>
  <c r="H50" i="164"/>
  <c r="H79" i="164"/>
  <c r="H140" i="164"/>
  <c r="H157" i="164"/>
  <c r="H177" i="164"/>
  <c r="H77" i="164"/>
  <c r="H156" i="164"/>
  <c r="H78" i="164"/>
  <c r="H97" i="164"/>
  <c r="H30" i="164"/>
  <c r="H164" i="164"/>
  <c r="H71" i="164"/>
  <c r="H167" i="164"/>
  <c r="H33" i="164"/>
  <c r="H67" i="164"/>
  <c r="H64" i="164"/>
  <c r="H137" i="164"/>
  <c r="H47" i="164"/>
  <c r="H36" i="164"/>
  <c r="H26" i="164"/>
  <c r="H75" i="164"/>
  <c r="H146" i="164"/>
  <c r="H129" i="164"/>
  <c r="H206" i="164"/>
  <c r="H178" i="164"/>
  <c r="H65" i="164"/>
  <c r="H73" i="164"/>
  <c r="H27" i="164"/>
  <c r="H200" i="164"/>
  <c r="H166" i="164"/>
  <c r="H74" i="164"/>
  <c r="H68" i="164"/>
  <c r="H41" i="164"/>
  <c r="H55" i="164"/>
  <c r="H70" i="164"/>
  <c r="H201" i="164"/>
  <c r="H185" i="164"/>
  <c r="H192" i="164"/>
  <c r="H109" i="164"/>
  <c r="H42" i="164"/>
  <c r="H82" i="164"/>
  <c r="H111" i="164"/>
  <c r="H152" i="164"/>
  <c r="H92" i="164"/>
  <c r="H115" i="164"/>
  <c r="H190" i="164"/>
  <c r="H161" i="164"/>
  <c r="H89" i="164"/>
  <c r="H52" i="164"/>
  <c r="H87" i="164"/>
  <c r="H132" i="164"/>
  <c r="H173" i="164"/>
  <c r="H205" i="164"/>
  <c r="H116" i="39"/>
  <c r="H185" i="39"/>
  <c r="H49" i="39"/>
  <c r="H42" i="39"/>
  <c r="H40" i="39"/>
  <c r="H56" i="39"/>
  <c r="H93" i="39"/>
  <c r="H155" i="39"/>
  <c r="H150" i="39"/>
  <c r="H39" i="39"/>
  <c r="H34" i="39"/>
  <c r="H30" i="39"/>
  <c r="H182" i="39"/>
  <c r="H127" i="39"/>
  <c r="H147" i="39"/>
  <c r="H60" i="39"/>
  <c r="H46" i="39"/>
  <c r="H187" i="39"/>
  <c r="H73" i="39"/>
  <c r="H160" i="39"/>
  <c r="H184" i="39"/>
  <c r="H29" i="39"/>
  <c r="H41" i="39"/>
  <c r="H189" i="39"/>
  <c r="H111" i="39"/>
  <c r="H26" i="39"/>
  <c r="H100" i="39"/>
  <c r="H158" i="39"/>
  <c r="H183" i="39"/>
  <c r="H181" i="39"/>
  <c r="H69" i="39"/>
  <c r="H170" i="39"/>
  <c r="H196" i="39"/>
  <c r="H171" i="39"/>
  <c r="H74" i="39"/>
  <c r="H186" i="39"/>
  <c r="H140" i="39"/>
  <c r="H99" i="39"/>
  <c r="H37" i="39"/>
  <c r="H208" i="39"/>
  <c r="H92" i="39"/>
  <c r="H98" i="39"/>
  <c r="H78" i="39"/>
  <c r="H205" i="39"/>
  <c r="H169" i="39"/>
  <c r="H82" i="39"/>
  <c r="H96" i="39"/>
  <c r="H110" i="39"/>
  <c r="H38" i="39"/>
  <c r="H168" i="39"/>
  <c r="H173" i="39"/>
  <c r="H176" i="39"/>
  <c r="H206" i="39"/>
  <c r="H153" i="39"/>
  <c r="H51" i="39"/>
  <c r="H172" i="39"/>
  <c r="H75" i="39"/>
  <c r="H91" i="39"/>
  <c r="H66" i="39"/>
  <c r="H164" i="39"/>
  <c r="K12" i="39"/>
  <c r="H114" i="39"/>
  <c r="H136" i="39"/>
  <c r="H135" i="39"/>
  <c r="H45" i="39"/>
  <c r="H118" i="39"/>
  <c r="H44" i="39"/>
  <c r="H159" i="39"/>
  <c r="H203" i="39"/>
  <c r="H188" i="39"/>
  <c r="H90" i="39"/>
  <c r="H125" i="39"/>
  <c r="H202" i="39"/>
  <c r="H57" i="39"/>
  <c r="H117" i="39"/>
  <c r="H178" i="39"/>
  <c r="H148" i="39"/>
  <c r="H204" i="39"/>
  <c r="H55" i="39"/>
  <c r="H200" i="39"/>
  <c r="H102" i="39"/>
  <c r="H109" i="39"/>
  <c r="H180" i="39"/>
  <c r="H165" i="39"/>
  <c r="H167" i="39"/>
  <c r="H79" i="39"/>
  <c r="H141" i="39"/>
  <c r="H64" i="39"/>
  <c r="H119" i="39"/>
  <c r="H197" i="39"/>
  <c r="H36" i="39"/>
  <c r="H83" i="39"/>
  <c r="H190" i="39"/>
  <c r="H54" i="39"/>
  <c r="H28" i="39"/>
  <c r="H201" i="39"/>
  <c r="H47" i="39"/>
  <c r="H174" i="39"/>
  <c r="H97" i="39"/>
  <c r="H84" i="39"/>
  <c r="H195" i="39"/>
  <c r="H67" i="39"/>
  <c r="H157" i="39"/>
  <c r="H88" i="39"/>
  <c r="H166" i="39"/>
  <c r="H133" i="39"/>
  <c r="H175" i="39"/>
  <c r="H61" i="39"/>
  <c r="H105" i="39"/>
  <c r="H191" i="39"/>
  <c r="H129" i="39"/>
  <c r="H27" i="39"/>
  <c r="H72" i="39"/>
  <c r="H124" i="39"/>
  <c r="H33" i="39"/>
  <c r="H145" i="39"/>
  <c r="H131" i="39"/>
  <c r="H52" i="39"/>
  <c r="H151" i="39"/>
  <c r="H123" i="39"/>
  <c r="H25" i="39"/>
  <c r="H35" i="39"/>
  <c r="H137" i="39"/>
  <c r="H43" i="39"/>
  <c r="H76" i="39"/>
  <c r="H192" i="39"/>
  <c r="H132" i="39"/>
  <c r="H70" i="39"/>
  <c r="H31" i="39"/>
  <c r="H59" i="39"/>
  <c r="H50" i="39"/>
  <c r="H149" i="39"/>
  <c r="H115" i="39"/>
  <c r="H179" i="39"/>
  <c r="H161" i="39"/>
  <c r="H143" i="39"/>
  <c r="H126" i="39"/>
  <c r="H138" i="39"/>
  <c r="H48" i="39"/>
  <c r="H107" i="39"/>
  <c r="H58" i="39"/>
  <c r="H85" i="39"/>
  <c r="H87" i="39"/>
  <c r="H194" i="39"/>
  <c r="H68" i="39"/>
  <c r="H77" i="39"/>
  <c r="H177" i="39"/>
  <c r="H193" i="39"/>
  <c r="H71" i="39"/>
  <c r="H53" i="39"/>
  <c r="H106" i="39"/>
  <c r="H32" i="39"/>
  <c r="H89" i="39"/>
  <c r="H156" i="39"/>
  <c r="H65" i="39"/>
  <c r="H152" i="39"/>
  <c r="H108" i="39"/>
  <c r="H142" i="39"/>
  <c r="H130" i="39"/>
  <c r="H101" i="39"/>
  <c r="H86" i="39"/>
  <c r="H146" i="39"/>
  <c r="G215" i="39"/>
  <c r="H84" i="63"/>
  <c r="H43" i="63"/>
  <c r="H146" i="63"/>
  <c r="H82" i="63"/>
  <c r="H40" i="63"/>
  <c r="H157" i="63"/>
  <c r="H71" i="63"/>
  <c r="H176" i="63"/>
  <c r="H65" i="63"/>
  <c r="H106" i="63"/>
  <c r="H136" i="63"/>
  <c r="H70" i="63"/>
  <c r="H193" i="63"/>
  <c r="H143" i="63"/>
  <c r="H174" i="63"/>
  <c r="H201" i="63"/>
  <c r="H194" i="63"/>
  <c r="H126" i="63"/>
  <c r="H85" i="63"/>
  <c r="H60" i="63"/>
  <c r="H148" i="63"/>
  <c r="H68" i="63"/>
  <c r="H147" i="63"/>
  <c r="H137" i="63"/>
  <c r="H59" i="63"/>
  <c r="H204" i="63"/>
  <c r="H125" i="63"/>
  <c r="H166" i="63"/>
  <c r="H117" i="63"/>
  <c r="H49" i="63"/>
  <c r="H188" i="63"/>
  <c r="H127" i="63"/>
  <c r="H203" i="63"/>
  <c r="H140" i="63"/>
  <c r="H123" i="63"/>
  <c r="H58" i="63"/>
  <c r="H46" i="63"/>
  <c r="H150" i="63"/>
  <c r="H31" i="63"/>
  <c r="H200" i="63"/>
  <c r="H52" i="63"/>
  <c r="H192" i="63"/>
  <c r="H42" i="63"/>
  <c r="H116" i="63"/>
  <c r="H100" i="63"/>
  <c r="H39" i="63"/>
  <c r="H153" i="63"/>
  <c r="H47" i="63"/>
  <c r="H110" i="63"/>
  <c r="H98" i="63"/>
  <c r="H26" i="63"/>
  <c r="H161" i="63"/>
  <c r="H89" i="63"/>
  <c r="H156" i="63"/>
  <c r="H130" i="63"/>
  <c r="H73" i="63"/>
  <c r="H172" i="63"/>
  <c r="H173" i="63"/>
  <c r="H56" i="63"/>
  <c r="H36" i="63"/>
  <c r="H115" i="63"/>
  <c r="H78" i="63"/>
  <c r="H32" i="63"/>
  <c r="H158" i="63"/>
  <c r="H72" i="63"/>
  <c r="H108" i="63"/>
  <c r="H132" i="63"/>
  <c r="H88" i="63"/>
  <c r="H44" i="63"/>
  <c r="H67" i="63"/>
  <c r="H92" i="63"/>
  <c r="H181" i="63"/>
  <c r="H48" i="63"/>
  <c r="H30" i="63"/>
  <c r="H54" i="63"/>
  <c r="H37" i="63"/>
  <c r="H79" i="63"/>
  <c r="H96" i="63"/>
  <c r="H66" i="63"/>
  <c r="H124" i="63"/>
  <c r="H28" i="63"/>
  <c r="H171" i="63"/>
  <c r="H180" i="63"/>
  <c r="H190" i="63"/>
  <c r="H25" i="63"/>
  <c r="H197" i="63"/>
  <c r="H75" i="63"/>
  <c r="H191" i="63"/>
  <c r="H129" i="63"/>
  <c r="H131" i="63"/>
  <c r="H50" i="63"/>
  <c r="H61" i="63"/>
  <c r="H177" i="63"/>
  <c r="H105" i="63"/>
  <c r="H27" i="63"/>
  <c r="H102" i="63"/>
  <c r="H107" i="63"/>
  <c r="H160" i="63"/>
  <c r="H83" i="63"/>
  <c r="H69" i="63"/>
  <c r="H35" i="63"/>
  <c r="H183" i="63"/>
  <c r="H87" i="63"/>
  <c r="H169" i="63"/>
  <c r="H175" i="63"/>
  <c r="H187" i="63"/>
  <c r="H111" i="63"/>
  <c r="H182" i="63"/>
  <c r="H165" i="63"/>
  <c r="H186" i="63"/>
  <c r="H151" i="63"/>
  <c r="H205" i="63"/>
  <c r="H195" i="63"/>
  <c r="H170" i="63"/>
  <c r="H189" i="63"/>
  <c r="H142" i="63"/>
  <c r="H159" i="63"/>
  <c r="H97" i="63"/>
  <c r="H55" i="63"/>
  <c r="H90" i="63"/>
  <c r="H109" i="63"/>
  <c r="H57" i="63"/>
  <c r="H206" i="63"/>
  <c r="H178" i="63"/>
  <c r="H202" i="63"/>
  <c r="H141" i="63"/>
  <c r="H164" i="63"/>
  <c r="H93" i="63"/>
  <c r="H118" i="63"/>
  <c r="H64" i="63"/>
  <c r="H184" i="63"/>
  <c r="H145" i="63"/>
  <c r="H196" i="63"/>
  <c r="H114" i="63"/>
  <c r="H74" i="63"/>
  <c r="H135" i="63"/>
  <c r="H152" i="63"/>
  <c r="H133" i="63"/>
  <c r="H138" i="63"/>
  <c r="H155" i="63"/>
  <c r="H38" i="63"/>
  <c r="H101" i="63"/>
  <c r="H51" i="63"/>
  <c r="H86" i="63"/>
  <c r="H179" i="63"/>
  <c r="H76" i="63"/>
  <c r="H45" i="63"/>
  <c r="H167" i="63"/>
  <c r="H33" i="63"/>
  <c r="H119" i="63"/>
  <c r="H41" i="63"/>
  <c r="H208" i="63"/>
  <c r="H34" i="63"/>
  <c r="H91" i="63"/>
  <c r="H185" i="63"/>
  <c r="H53" i="63"/>
  <c r="H77" i="63"/>
  <c r="H168" i="63"/>
  <c r="H149" i="63"/>
  <c r="H99" i="63"/>
  <c r="K12" i="63"/>
  <c r="H29" i="63"/>
  <c r="G215" i="94"/>
  <c r="J180" i="97"/>
  <c r="J42" i="97"/>
  <c r="J74" i="97"/>
  <c r="J184" i="97"/>
  <c r="J199" i="97"/>
  <c r="H137" i="85"/>
  <c r="H176" i="85"/>
  <c r="H50" i="85"/>
  <c r="H127" i="85"/>
  <c r="H186" i="85"/>
  <c r="H126" i="85"/>
  <c r="H75" i="85"/>
  <c r="H195" i="85"/>
  <c r="H149" i="85"/>
  <c r="H100" i="85"/>
  <c r="H129" i="85"/>
  <c r="H125" i="85"/>
  <c r="H64" i="85"/>
  <c r="H67" i="85"/>
  <c r="H73" i="85"/>
  <c r="H161" i="85"/>
  <c r="H72" i="85"/>
  <c r="H55" i="85"/>
  <c r="H130" i="85"/>
  <c r="H49" i="85"/>
  <c r="H148" i="85"/>
  <c r="H117" i="85"/>
  <c r="H31" i="85"/>
  <c r="H133" i="85"/>
  <c r="H68" i="85"/>
  <c r="H101" i="85"/>
  <c r="H151" i="85"/>
  <c r="H109" i="85"/>
  <c r="H201" i="85"/>
  <c r="H82" i="85"/>
  <c r="H45" i="85"/>
  <c r="H155" i="85"/>
  <c r="H108" i="85"/>
  <c r="H26" i="85"/>
  <c r="H70" i="85"/>
  <c r="H173" i="85"/>
  <c r="H93" i="85"/>
  <c r="H178" i="85"/>
  <c r="H59" i="85"/>
  <c r="H141" i="85"/>
  <c r="H90" i="85"/>
  <c r="H191" i="85"/>
  <c r="H29" i="85"/>
  <c r="H36" i="85"/>
  <c r="H179" i="85"/>
  <c r="H142" i="85"/>
  <c r="H175" i="85"/>
  <c r="H169" i="85"/>
  <c r="H150" i="85"/>
  <c r="H204" i="85"/>
  <c r="H40" i="85"/>
  <c r="H165" i="85"/>
  <c r="H35" i="85"/>
  <c r="H203" i="85"/>
  <c r="H76" i="85"/>
  <c r="H79" i="85"/>
  <c r="H131" i="85"/>
  <c r="H168" i="85"/>
  <c r="H27" i="85"/>
  <c r="H25" i="85"/>
  <c r="H66" i="85"/>
  <c r="H41" i="85"/>
  <c r="H38" i="85"/>
  <c r="H174" i="85"/>
  <c r="H43" i="85"/>
  <c r="H182" i="85"/>
  <c r="H181" i="85"/>
  <c r="H158" i="85"/>
  <c r="H205" i="85"/>
  <c r="H91" i="85"/>
  <c r="H78" i="85"/>
  <c r="H46" i="85"/>
  <c r="H99" i="85"/>
  <c r="H83" i="85"/>
  <c r="H177" i="85"/>
  <c r="H135" i="85"/>
  <c r="H167" i="85"/>
  <c r="H28" i="85"/>
  <c r="H54" i="85"/>
  <c r="H32" i="85"/>
  <c r="H97" i="85"/>
  <c r="H110" i="85"/>
  <c r="H105" i="85"/>
  <c r="H71" i="85"/>
  <c r="H85" i="85"/>
  <c r="H96" i="85"/>
  <c r="H170" i="85"/>
  <c r="H196" i="85"/>
  <c r="H47" i="85"/>
  <c r="H123" i="85"/>
  <c r="H52" i="85"/>
  <c r="H147" i="85"/>
  <c r="H185" i="85"/>
  <c r="H160" i="85"/>
  <c r="H132" i="85"/>
  <c r="H89" i="85"/>
  <c r="H106" i="85"/>
  <c r="H184" i="85"/>
  <c r="H65" i="85"/>
  <c r="H51" i="85"/>
  <c r="H156" i="85"/>
  <c r="H42" i="85"/>
  <c r="H146" i="85"/>
  <c r="H164" i="85"/>
  <c r="H69" i="85"/>
  <c r="H152" i="85"/>
  <c r="H206" i="85"/>
  <c r="H92" i="85"/>
  <c r="H200" i="85"/>
  <c r="H188" i="85"/>
  <c r="H192" i="85"/>
  <c r="H116" i="85"/>
  <c r="K12" i="85"/>
  <c r="H86" i="85"/>
  <c r="H118" i="85"/>
  <c r="H183" i="85"/>
  <c r="H102" i="85"/>
  <c r="H98" i="85"/>
  <c r="H39" i="85"/>
  <c r="H77" i="85"/>
  <c r="H143" i="85"/>
  <c r="H145" i="85"/>
  <c r="H157" i="85"/>
  <c r="H115" i="85"/>
  <c r="H61" i="85"/>
  <c r="H30" i="85"/>
  <c r="H159" i="85"/>
  <c r="H197" i="85"/>
  <c r="H84" i="85"/>
  <c r="H187" i="85"/>
  <c r="H166" i="85"/>
  <c r="H114" i="85"/>
  <c r="H111" i="85"/>
  <c r="H34" i="85"/>
  <c r="H57" i="85"/>
  <c r="H58" i="85"/>
  <c r="H194" i="85"/>
  <c r="H88" i="85"/>
  <c r="H202" i="85"/>
  <c r="H140" i="85"/>
  <c r="H172" i="85"/>
  <c r="H119" i="85"/>
  <c r="H74" i="85"/>
  <c r="H171" i="85"/>
  <c r="H189" i="85"/>
  <c r="H124" i="85"/>
  <c r="H48" i="85"/>
  <c r="H193" i="85"/>
  <c r="H33" i="85"/>
  <c r="H44" i="85"/>
  <c r="H153" i="85"/>
  <c r="H53" i="85"/>
  <c r="H208" i="85"/>
  <c r="H138" i="85"/>
  <c r="H190" i="85"/>
  <c r="H56" i="85"/>
  <c r="H136" i="85"/>
  <c r="H87" i="85"/>
  <c r="H60" i="85"/>
  <c r="H180" i="85"/>
  <c r="H107" i="85"/>
  <c r="H37" i="85"/>
  <c r="G215" i="85"/>
  <c r="H71" i="20"/>
  <c r="H166" i="20"/>
  <c r="H53" i="20"/>
  <c r="H90" i="20"/>
  <c r="H189" i="20"/>
  <c r="H91" i="20"/>
  <c r="H171" i="20"/>
  <c r="H196" i="20"/>
  <c r="H35" i="20"/>
  <c r="H89" i="20"/>
  <c r="H64" i="20"/>
  <c r="H29" i="20"/>
  <c r="H33" i="20"/>
  <c r="H92" i="20"/>
  <c r="H50" i="20"/>
  <c r="H152" i="20"/>
  <c r="H141" i="20"/>
  <c r="H195" i="20"/>
  <c r="H34" i="20"/>
  <c r="H58" i="20"/>
  <c r="H158" i="20"/>
  <c r="H179" i="20"/>
  <c r="H136" i="20"/>
  <c r="H100" i="20"/>
  <c r="H147" i="20"/>
  <c r="H110" i="20"/>
  <c r="H75" i="20"/>
  <c r="H197" i="20"/>
  <c r="H59" i="20"/>
  <c r="H45" i="20"/>
  <c r="H151" i="20"/>
  <c r="H129" i="20"/>
  <c r="H68" i="20"/>
  <c r="H102" i="20"/>
  <c r="H69" i="20"/>
  <c r="H54" i="20"/>
  <c r="H47" i="20"/>
  <c r="H187" i="20"/>
  <c r="H84" i="20"/>
  <c r="H125" i="20"/>
  <c r="H126" i="20"/>
  <c r="H117" i="20"/>
  <c r="H61" i="20"/>
  <c r="H32" i="20"/>
  <c r="H79" i="20"/>
  <c r="H118" i="20"/>
  <c r="H119" i="20"/>
  <c r="H52" i="20"/>
  <c r="H131" i="20"/>
  <c r="H87" i="20"/>
  <c r="H66" i="20"/>
  <c r="H44" i="20"/>
  <c r="H185" i="20"/>
  <c r="H99" i="20"/>
  <c r="H137" i="20"/>
  <c r="H159" i="20"/>
  <c r="H149" i="20"/>
  <c r="H107" i="20"/>
  <c r="H206" i="20"/>
  <c r="H97" i="20"/>
  <c r="H127" i="20"/>
  <c r="H186" i="20"/>
  <c r="H169" i="20"/>
  <c r="H172" i="20"/>
  <c r="H70" i="20"/>
  <c r="H208" i="20"/>
  <c r="H178" i="20"/>
  <c r="H168" i="20"/>
  <c r="H78" i="20"/>
  <c r="H142" i="20"/>
  <c r="H56" i="20"/>
  <c r="H193" i="20"/>
  <c r="H74" i="20"/>
  <c r="H180" i="20"/>
  <c r="H43" i="20"/>
  <c r="H156" i="20"/>
  <c r="H130" i="20"/>
  <c r="H115" i="20"/>
  <c r="H191" i="20"/>
  <c r="H67" i="20"/>
  <c r="H167" i="20"/>
  <c r="H170" i="20"/>
  <c r="H108" i="20"/>
  <c r="H109" i="20"/>
  <c r="H183" i="20"/>
  <c r="H123" i="20"/>
  <c r="H192" i="20"/>
  <c r="H157" i="20"/>
  <c r="H124" i="20"/>
  <c r="H76" i="20"/>
  <c r="H194" i="20"/>
  <c r="H140" i="20"/>
  <c r="H201" i="20"/>
  <c r="H114" i="20"/>
  <c r="H40" i="20"/>
  <c r="H132" i="20"/>
  <c r="H73" i="20"/>
  <c r="H85" i="20"/>
  <c r="H188" i="20"/>
  <c r="H105" i="20"/>
  <c r="H72" i="20"/>
  <c r="H77" i="20"/>
  <c r="H42" i="20"/>
  <c r="H106" i="20"/>
  <c r="H150" i="20"/>
  <c r="H37" i="20"/>
  <c r="H204" i="20"/>
  <c r="H160" i="20"/>
  <c r="H202" i="20"/>
  <c r="H41" i="20"/>
  <c r="H96" i="20"/>
  <c r="H205" i="20"/>
  <c r="H155" i="20"/>
  <c r="H93" i="20"/>
  <c r="H48" i="20"/>
  <c r="H116" i="20"/>
  <c r="H82" i="20"/>
  <c r="H57" i="20"/>
  <c r="H36" i="20"/>
  <c r="H182" i="20"/>
  <c r="H153" i="20"/>
  <c r="H146" i="20"/>
  <c r="H181" i="20"/>
  <c r="H165" i="20"/>
  <c r="H138" i="20"/>
  <c r="H111" i="20"/>
  <c r="H83" i="20"/>
  <c r="H51" i="20"/>
  <c r="H31" i="20"/>
  <c r="H135" i="20"/>
  <c r="H38" i="20"/>
  <c r="H173" i="20"/>
  <c r="H30" i="20"/>
  <c r="H176" i="20"/>
  <c r="H26" i="20"/>
  <c r="H27" i="20"/>
  <c r="H86" i="20"/>
  <c r="H203" i="20"/>
  <c r="H101" i="20"/>
  <c r="H25" i="20"/>
  <c r="H49" i="20"/>
  <c r="H200" i="20"/>
  <c r="H184" i="20"/>
  <c r="H143" i="20"/>
  <c r="H98" i="20"/>
  <c r="H88" i="20"/>
  <c r="H177" i="20"/>
  <c r="H161" i="20"/>
  <c r="K12" i="20"/>
  <c r="H55" i="20"/>
  <c r="H28" i="20"/>
  <c r="H148" i="20"/>
  <c r="H65" i="20"/>
  <c r="H190" i="20"/>
  <c r="H175" i="20"/>
  <c r="H174" i="20"/>
  <c r="H46" i="20"/>
  <c r="H164" i="20"/>
  <c r="H145" i="20"/>
  <c r="H39" i="20"/>
  <c r="H133" i="20"/>
  <c r="H60" i="20"/>
  <c r="G215" i="20"/>
  <c r="H147" i="106"/>
  <c r="H27" i="106"/>
  <c r="H70" i="106"/>
  <c r="H177" i="106"/>
  <c r="H61" i="106"/>
  <c r="H78" i="106"/>
  <c r="H193" i="106"/>
  <c r="H28" i="106"/>
  <c r="H133" i="106"/>
  <c r="H55" i="106"/>
  <c r="H99" i="106"/>
  <c r="H66" i="106"/>
  <c r="H129" i="106"/>
  <c r="H71" i="106"/>
  <c r="H76" i="106"/>
  <c r="H75" i="106"/>
  <c r="H47" i="106"/>
  <c r="H46" i="106"/>
  <c r="H185" i="106"/>
  <c r="H53" i="106"/>
  <c r="H117" i="106"/>
  <c r="H157" i="106"/>
  <c r="H151" i="106"/>
  <c r="H208" i="106"/>
  <c r="H142" i="106"/>
  <c r="H73" i="106"/>
  <c r="H165" i="106"/>
  <c r="H152" i="106"/>
  <c r="H153" i="106"/>
  <c r="H67" i="106"/>
  <c r="H160" i="106"/>
  <c r="H168" i="106"/>
  <c r="H30" i="106"/>
  <c r="H34" i="106"/>
  <c r="H83" i="106"/>
  <c r="H195" i="106"/>
  <c r="H197" i="106"/>
  <c r="H58" i="106"/>
  <c r="H101" i="106"/>
  <c r="H59" i="106"/>
  <c r="H116" i="106"/>
  <c r="H41" i="106"/>
  <c r="H205" i="106"/>
  <c r="H171" i="106"/>
  <c r="H164" i="106"/>
  <c r="H93" i="106"/>
  <c r="H88" i="106"/>
  <c r="H77" i="106"/>
  <c r="H102" i="106"/>
  <c r="H52" i="106"/>
  <c r="H96" i="106"/>
  <c r="H109" i="106"/>
  <c r="H127" i="106"/>
  <c r="H35" i="106"/>
  <c r="K12" i="106"/>
  <c r="H119" i="106"/>
  <c r="H39" i="106"/>
  <c r="H98" i="106"/>
  <c r="H49" i="106"/>
  <c r="H43" i="106"/>
  <c r="H92" i="106"/>
  <c r="H29" i="106"/>
  <c r="H159" i="106"/>
  <c r="H84" i="106"/>
  <c r="H79" i="106"/>
  <c r="H100" i="106"/>
  <c r="H90" i="106"/>
  <c r="H56" i="106"/>
  <c r="H85" i="106"/>
  <c r="H68" i="106"/>
  <c r="H45" i="106"/>
  <c r="H115" i="106"/>
  <c r="H33" i="106"/>
  <c r="H65" i="106"/>
  <c r="H114" i="106"/>
  <c r="H155" i="106"/>
  <c r="H89" i="106"/>
  <c r="H118" i="106"/>
  <c r="H176" i="106"/>
  <c r="H74" i="106"/>
  <c r="H138" i="106"/>
  <c r="H54" i="106"/>
  <c r="H110" i="106"/>
  <c r="H148" i="106"/>
  <c r="H170" i="106"/>
  <c r="H130" i="106"/>
  <c r="H124" i="106"/>
  <c r="H172" i="106"/>
  <c r="H72" i="106"/>
  <c r="H178" i="106"/>
  <c r="H131" i="106"/>
  <c r="H69" i="106"/>
  <c r="H179" i="106"/>
  <c r="H97" i="106"/>
  <c r="H143" i="106"/>
  <c r="H126" i="106"/>
  <c r="H51" i="106"/>
  <c r="H107" i="106"/>
  <c r="H48" i="106"/>
  <c r="H188" i="106"/>
  <c r="H201" i="106"/>
  <c r="H203" i="106"/>
  <c r="H140" i="106"/>
  <c r="H186" i="106"/>
  <c r="H31" i="106"/>
  <c r="H136" i="106"/>
  <c r="H204" i="106"/>
  <c r="H173" i="106"/>
  <c r="H196" i="106"/>
  <c r="H167" i="106"/>
  <c r="H50" i="106"/>
  <c r="H190" i="106"/>
  <c r="H183" i="106"/>
  <c r="H187" i="106"/>
  <c r="H105" i="106"/>
  <c r="H161" i="106"/>
  <c r="H181" i="106"/>
  <c r="H132" i="106"/>
  <c r="H38" i="106"/>
  <c r="H82" i="106"/>
  <c r="H194" i="106"/>
  <c r="H25" i="106"/>
  <c r="H135" i="106"/>
  <c r="H137" i="106"/>
  <c r="H146" i="106"/>
  <c r="H86" i="106"/>
  <c r="H158" i="106"/>
  <c r="H64" i="106"/>
  <c r="H145" i="106"/>
  <c r="H192" i="106"/>
  <c r="H191" i="106"/>
  <c r="H184" i="106"/>
  <c r="H87" i="106"/>
  <c r="H175" i="106"/>
  <c r="H106" i="106"/>
  <c r="H180" i="106"/>
  <c r="H36" i="106"/>
  <c r="H60" i="106"/>
  <c r="H91" i="106"/>
  <c r="H202" i="106"/>
  <c r="H182" i="106"/>
  <c r="H44" i="106"/>
  <c r="G215" i="106"/>
  <c r="H169" i="106"/>
  <c r="H108" i="106"/>
  <c r="H206" i="106"/>
  <c r="H26" i="106"/>
  <c r="H149" i="106"/>
  <c r="H125" i="106"/>
  <c r="H141" i="106"/>
  <c r="H123" i="106"/>
  <c r="H40" i="106"/>
  <c r="H189" i="106"/>
  <c r="H32" i="106"/>
  <c r="H111" i="106"/>
  <c r="H166" i="106"/>
  <c r="H57" i="106"/>
  <c r="H174" i="106"/>
  <c r="H150" i="106"/>
  <c r="H37" i="106"/>
  <c r="H156" i="106"/>
  <c r="H200" i="106"/>
  <c r="H42" i="106"/>
  <c r="H28" i="14"/>
  <c r="H138" i="14"/>
  <c r="H47" i="14"/>
  <c r="H142" i="14"/>
  <c r="H131" i="14"/>
  <c r="H33" i="14"/>
  <c r="H167" i="14"/>
  <c r="H73" i="14"/>
  <c r="H188" i="14"/>
  <c r="H98" i="14"/>
  <c r="H41" i="14"/>
  <c r="H140" i="14"/>
  <c r="H169" i="14"/>
  <c r="H200" i="14"/>
  <c r="H129" i="14"/>
  <c r="H133" i="14"/>
  <c r="H74" i="14"/>
  <c r="H159" i="14"/>
  <c r="H88" i="14"/>
  <c r="H193" i="14"/>
  <c r="H82" i="14"/>
  <c r="H69" i="14"/>
  <c r="H135" i="14"/>
  <c r="H183" i="14"/>
  <c r="H78" i="14"/>
  <c r="H51" i="14"/>
  <c r="H181" i="14"/>
  <c r="H99" i="14"/>
  <c r="H67" i="14"/>
  <c r="H60" i="14"/>
  <c r="H176" i="14"/>
  <c r="H83" i="14"/>
  <c r="H177" i="14"/>
  <c r="H50" i="14"/>
  <c r="H170" i="14"/>
  <c r="H68" i="14"/>
  <c r="H202" i="14"/>
  <c r="H110" i="14"/>
  <c r="H26" i="14"/>
  <c r="H141" i="14"/>
  <c r="H76" i="14"/>
  <c r="H175" i="14"/>
  <c r="H85" i="14"/>
  <c r="H124" i="14"/>
  <c r="H34" i="14"/>
  <c r="H38" i="14"/>
  <c r="H56" i="14"/>
  <c r="H48" i="14"/>
  <c r="H102" i="14"/>
  <c r="H116" i="14"/>
  <c r="H197" i="14"/>
  <c r="H184" i="14"/>
  <c r="H77" i="14"/>
  <c r="H35" i="14"/>
  <c r="H70" i="14"/>
  <c r="H57" i="14"/>
  <c r="H101" i="14"/>
  <c r="H152" i="14"/>
  <c r="H204" i="14"/>
  <c r="H153" i="14"/>
  <c r="H97" i="14"/>
  <c r="H208" i="14"/>
  <c r="H126" i="14"/>
  <c r="H29" i="14"/>
  <c r="H86" i="14"/>
  <c r="H203" i="14"/>
  <c r="H107" i="14"/>
  <c r="H55" i="14"/>
  <c r="H151" i="14"/>
  <c r="H58" i="14"/>
  <c r="H178" i="14"/>
  <c r="H118" i="14"/>
  <c r="H31" i="14"/>
  <c r="H196" i="14"/>
  <c r="H205" i="14"/>
  <c r="H111" i="14"/>
  <c r="H145" i="14"/>
  <c r="H79" i="14"/>
  <c r="H49" i="14"/>
  <c r="H165" i="14"/>
  <c r="H187" i="14"/>
  <c r="H100" i="14"/>
  <c r="H136" i="14"/>
  <c r="H192" i="14"/>
  <c r="H150" i="14"/>
  <c r="H168" i="14"/>
  <c r="H65" i="14"/>
  <c r="H130" i="14"/>
  <c r="H189" i="14"/>
  <c r="H45" i="14"/>
  <c r="H137" i="14"/>
  <c r="H46" i="14"/>
  <c r="H166" i="14"/>
  <c r="H64" i="14"/>
  <c r="H125" i="14"/>
  <c r="H36" i="14"/>
  <c r="H148" i="14"/>
  <c r="H91" i="14"/>
  <c r="H185" i="14"/>
  <c r="H93" i="14"/>
  <c r="H44" i="14"/>
  <c r="H157" i="14"/>
  <c r="H66" i="14"/>
  <c r="H75" i="14"/>
  <c r="H108" i="14"/>
  <c r="H39" i="14"/>
  <c r="H43" i="14"/>
  <c r="H71" i="14"/>
  <c r="H42" i="14"/>
  <c r="H179" i="14"/>
  <c r="H160" i="14"/>
  <c r="H173" i="14"/>
  <c r="H161" i="14"/>
  <c r="H37" i="14"/>
  <c r="H105" i="14"/>
  <c r="H155" i="14"/>
  <c r="G215" i="14"/>
  <c r="H158" i="14"/>
  <c r="H96" i="14"/>
  <c r="H87" i="14"/>
  <c r="H59" i="14"/>
  <c r="H92" i="14"/>
  <c r="H201" i="14"/>
  <c r="H25" i="14"/>
  <c r="H117" i="14"/>
  <c r="H32" i="14"/>
  <c r="H143" i="14"/>
  <c r="H195" i="14"/>
  <c r="H106" i="14"/>
  <c r="H54" i="14"/>
  <c r="H174" i="14"/>
  <c r="H72" i="14"/>
  <c r="H171" i="14"/>
  <c r="H115" i="14"/>
  <c r="H30" i="14"/>
  <c r="H146" i="14"/>
  <c r="H109" i="14"/>
  <c r="H119" i="14"/>
  <c r="K12" i="14"/>
  <c r="H52" i="14"/>
  <c r="H132" i="14"/>
  <c r="H172" i="14"/>
  <c r="H186" i="14"/>
  <c r="H180" i="14"/>
  <c r="H147" i="14"/>
  <c r="H90" i="14"/>
  <c r="H206" i="14"/>
  <c r="H114" i="14"/>
  <c r="H27" i="14"/>
  <c r="H156" i="14"/>
  <c r="H61" i="14"/>
  <c r="H182" i="14"/>
  <c r="H194" i="14"/>
  <c r="H123" i="14"/>
  <c r="H127" i="14"/>
  <c r="H53" i="14"/>
  <c r="H164" i="14"/>
  <c r="H190" i="14"/>
  <c r="H89" i="14"/>
  <c r="H191" i="14"/>
  <c r="H40" i="14"/>
  <c r="H84" i="14"/>
  <c r="H149" i="14"/>
  <c r="H203" i="53"/>
  <c r="H110" i="53"/>
  <c r="H114" i="53"/>
  <c r="H51" i="53"/>
  <c r="H147" i="53"/>
  <c r="H60" i="53"/>
  <c r="H56" i="53"/>
  <c r="H108" i="53"/>
  <c r="H149" i="53"/>
  <c r="H194" i="53"/>
  <c r="H90" i="53"/>
  <c r="H71" i="53"/>
  <c r="H39" i="53"/>
  <c r="H197" i="53"/>
  <c r="H37" i="53"/>
  <c r="H192" i="53"/>
  <c r="H170" i="53"/>
  <c r="H146" i="53"/>
  <c r="H25" i="53"/>
  <c r="H173" i="53"/>
  <c r="H93" i="53"/>
  <c r="H125" i="53"/>
  <c r="H155" i="53"/>
  <c r="H188" i="53"/>
  <c r="H184" i="53"/>
  <c r="H102" i="53"/>
  <c r="H31" i="53"/>
  <c r="H83" i="53"/>
  <c r="H59" i="53"/>
  <c r="H53" i="53"/>
  <c r="H65" i="53"/>
  <c r="H138" i="53"/>
  <c r="H41" i="53"/>
  <c r="H143" i="53"/>
  <c r="H27" i="53"/>
  <c r="H150" i="53"/>
  <c r="H85" i="53"/>
  <c r="H72" i="53"/>
  <c r="H132" i="53"/>
  <c r="H140" i="53"/>
  <c r="H135" i="53"/>
  <c r="H190" i="53"/>
  <c r="H152" i="53"/>
  <c r="H101" i="53"/>
  <c r="H174" i="53"/>
  <c r="H206" i="53"/>
  <c r="H87" i="53"/>
  <c r="H204" i="53"/>
  <c r="H55" i="53"/>
  <c r="H91" i="53"/>
  <c r="H82" i="53"/>
  <c r="H115" i="53"/>
  <c r="H73" i="53"/>
  <c r="H54" i="53"/>
  <c r="H38" i="53"/>
  <c r="H36" i="53"/>
  <c r="H79" i="53"/>
  <c r="H145" i="53"/>
  <c r="H158" i="53"/>
  <c r="H109" i="53"/>
  <c r="H97" i="53"/>
  <c r="H164" i="53"/>
  <c r="H44" i="53"/>
  <c r="H193" i="53"/>
  <c r="H185" i="53"/>
  <c r="H75" i="53"/>
  <c r="H89" i="53"/>
  <c r="H118" i="53"/>
  <c r="H133" i="53"/>
  <c r="H28" i="53"/>
  <c r="H124" i="53"/>
  <c r="H40" i="53"/>
  <c r="H186" i="53"/>
  <c r="H84" i="53"/>
  <c r="H46" i="53"/>
  <c r="H92" i="53"/>
  <c r="H105" i="53"/>
  <c r="H129" i="53"/>
  <c r="H200" i="53"/>
  <c r="H49" i="53"/>
  <c r="H99" i="53"/>
  <c r="H182" i="53"/>
  <c r="H142" i="53"/>
  <c r="H159" i="53"/>
  <c r="H52" i="53"/>
  <c r="H116" i="53"/>
  <c r="H66" i="53"/>
  <c r="H189" i="53"/>
  <c r="H167" i="53"/>
  <c r="H201" i="53"/>
  <c r="H175" i="53"/>
  <c r="H68" i="53"/>
  <c r="H64" i="53"/>
  <c r="H168" i="53"/>
  <c r="H165" i="53"/>
  <c r="H172" i="53"/>
  <c r="H180" i="53"/>
  <c r="H208" i="53"/>
  <c r="H117" i="53"/>
  <c r="H35" i="53"/>
  <c r="H157" i="53"/>
  <c r="H47" i="53"/>
  <c r="H130" i="53"/>
  <c r="H183" i="53"/>
  <c r="H177" i="53"/>
  <c r="H57" i="53"/>
  <c r="H78" i="53"/>
  <c r="H195" i="53"/>
  <c r="H156" i="53"/>
  <c r="H70" i="53"/>
  <c r="H100" i="53"/>
  <c r="H151" i="53"/>
  <c r="H137" i="53"/>
  <c r="H153" i="53"/>
  <c r="H111" i="53"/>
  <c r="H33" i="53"/>
  <c r="H58" i="53"/>
  <c r="H30" i="53"/>
  <c r="H86" i="53"/>
  <c r="H29" i="53"/>
  <c r="H196" i="53"/>
  <c r="H205" i="53"/>
  <c r="H74" i="53"/>
  <c r="H69" i="53"/>
  <c r="H181" i="53"/>
  <c r="H26" i="53"/>
  <c r="H166" i="53"/>
  <c r="H32" i="53"/>
  <c r="H171" i="53"/>
  <c r="H119" i="53"/>
  <c r="H169" i="53"/>
  <c r="H123" i="53"/>
  <c r="H50" i="53"/>
  <c r="H98" i="53"/>
  <c r="H136" i="53"/>
  <c r="K12" i="53"/>
  <c r="H141" i="53"/>
  <c r="H107" i="53"/>
  <c r="H126" i="53"/>
  <c r="H61" i="53"/>
  <c r="H202" i="53"/>
  <c r="H45" i="53"/>
  <c r="H77" i="53"/>
  <c r="H106" i="53"/>
  <c r="H187" i="53"/>
  <c r="H191" i="53"/>
  <c r="H88" i="53"/>
  <c r="H48" i="53"/>
  <c r="H179" i="53"/>
  <c r="H176" i="53"/>
  <c r="H42" i="53"/>
  <c r="H67" i="53"/>
  <c r="H96" i="53"/>
  <c r="H76" i="53"/>
  <c r="H127" i="53"/>
  <c r="H43" i="53"/>
  <c r="H161" i="53"/>
  <c r="H34" i="53"/>
  <c r="H178" i="53"/>
  <c r="H148" i="53"/>
  <c r="H160" i="53"/>
  <c r="H131" i="53"/>
  <c r="H156" i="133"/>
  <c r="H101" i="133"/>
  <c r="H105" i="133"/>
  <c r="H49" i="133"/>
  <c r="H164" i="133"/>
  <c r="H137" i="133"/>
  <c r="H53" i="133"/>
  <c r="H169" i="133"/>
  <c r="H92" i="133"/>
  <c r="H102" i="133"/>
  <c r="H33" i="133"/>
  <c r="H47" i="133"/>
  <c r="H119" i="133"/>
  <c r="H170" i="133"/>
  <c r="H70" i="133"/>
  <c r="H160" i="133"/>
  <c r="H151" i="133"/>
  <c r="H145" i="133"/>
  <c r="H73" i="133"/>
  <c r="H131" i="133"/>
  <c r="H28" i="133"/>
  <c r="H72" i="133"/>
  <c r="H192" i="133"/>
  <c r="H130" i="133"/>
  <c r="H110" i="133"/>
  <c r="H202" i="133"/>
  <c r="H44" i="133"/>
  <c r="H66" i="133"/>
  <c r="H61" i="133"/>
  <c r="H205" i="133"/>
  <c r="H31" i="133"/>
  <c r="H90" i="133"/>
  <c r="H126" i="133"/>
  <c r="H27" i="133"/>
  <c r="H136" i="133"/>
  <c r="H165" i="133"/>
  <c r="H109" i="133"/>
  <c r="H175" i="133"/>
  <c r="H114" i="133"/>
  <c r="H99" i="133"/>
  <c r="H176" i="133"/>
  <c r="H60" i="133"/>
  <c r="H133" i="133"/>
  <c r="H142" i="133"/>
  <c r="H36" i="133"/>
  <c r="H25" i="133"/>
  <c r="H85" i="133"/>
  <c r="H194" i="133"/>
  <c r="H67" i="133"/>
  <c r="H197" i="133"/>
  <c r="H106" i="133"/>
  <c r="H29" i="133"/>
  <c r="H141" i="133"/>
  <c r="H161" i="133"/>
  <c r="H150" i="133"/>
  <c r="H34" i="133"/>
  <c r="H123" i="133"/>
  <c r="H32" i="133"/>
  <c r="H97" i="133"/>
  <c r="H84" i="133"/>
  <c r="H37" i="133"/>
  <c r="H180" i="133"/>
  <c r="H54" i="133"/>
  <c r="H195" i="133"/>
  <c r="H77" i="133"/>
  <c r="H184" i="133"/>
  <c r="H200" i="133"/>
  <c r="H179" i="133"/>
  <c r="H167" i="133"/>
  <c r="H46" i="133"/>
  <c r="H148" i="133"/>
  <c r="H118" i="133"/>
  <c r="H191" i="133"/>
  <c r="H91" i="133"/>
  <c r="H69" i="133"/>
  <c r="H181" i="133"/>
  <c r="H182" i="133"/>
  <c r="H64" i="133"/>
  <c r="H68" i="133"/>
  <c r="H193" i="133"/>
  <c r="H56" i="133"/>
  <c r="H152" i="133"/>
  <c r="H196" i="133"/>
  <c r="H140" i="133"/>
  <c r="H30" i="133"/>
  <c r="H76" i="133"/>
  <c r="H78" i="133"/>
  <c r="H132" i="133"/>
  <c r="H96" i="133"/>
  <c r="H190" i="133"/>
  <c r="H43" i="133"/>
  <c r="H45" i="133"/>
  <c r="H71" i="133"/>
  <c r="H177" i="133"/>
  <c r="H82" i="133"/>
  <c r="H86" i="133"/>
  <c r="H74" i="133"/>
  <c r="H38" i="133"/>
  <c r="H83" i="133"/>
  <c r="H203" i="133"/>
  <c r="H55" i="133"/>
  <c r="H204" i="133"/>
  <c r="H158" i="133"/>
  <c r="H41" i="133"/>
  <c r="K12" i="133"/>
  <c r="H171" i="133"/>
  <c r="H59" i="133"/>
  <c r="H185" i="133"/>
  <c r="H149" i="133"/>
  <c r="H153" i="133"/>
  <c r="H117" i="133"/>
  <c r="H201" i="133"/>
  <c r="H155" i="133"/>
  <c r="H127" i="133"/>
  <c r="H135" i="133"/>
  <c r="H178" i="133"/>
  <c r="H183" i="133"/>
  <c r="H208" i="133"/>
  <c r="H206" i="133"/>
  <c r="H189" i="133"/>
  <c r="H115" i="133"/>
  <c r="H108" i="133"/>
  <c r="H172" i="133"/>
  <c r="H174" i="133"/>
  <c r="H157" i="133"/>
  <c r="H116" i="133"/>
  <c r="H89" i="133"/>
  <c r="H42" i="133"/>
  <c r="H147" i="133"/>
  <c r="H26" i="133"/>
  <c r="H48" i="133"/>
  <c r="H173" i="133"/>
  <c r="H58" i="133"/>
  <c r="H52" i="133"/>
  <c r="H75" i="133"/>
  <c r="H98" i="133"/>
  <c r="H107" i="133"/>
  <c r="H51" i="133"/>
  <c r="H40" i="133"/>
  <c r="H88" i="133"/>
  <c r="H111" i="133"/>
  <c r="H87" i="133"/>
  <c r="H50" i="133"/>
  <c r="H93" i="133"/>
  <c r="H65" i="133"/>
  <c r="H186" i="133"/>
  <c r="H143" i="133"/>
  <c r="H39" i="133"/>
  <c r="H129" i="133"/>
  <c r="H168" i="133"/>
  <c r="H138" i="133"/>
  <c r="H166" i="133"/>
  <c r="H57" i="133"/>
  <c r="H35" i="133"/>
  <c r="H146" i="133"/>
  <c r="H100" i="133"/>
  <c r="H124" i="133"/>
  <c r="H125" i="133"/>
  <c r="H187" i="133"/>
  <c r="H188" i="133"/>
  <c r="H159" i="133"/>
  <c r="H79" i="133"/>
  <c r="H91" i="55"/>
  <c r="H155" i="55"/>
  <c r="H61" i="55"/>
  <c r="H200" i="55"/>
  <c r="H167" i="55"/>
  <c r="H172" i="55"/>
  <c r="H114" i="55"/>
  <c r="H141" i="55"/>
  <c r="H39" i="55"/>
  <c r="H111" i="55"/>
  <c r="K12" i="55"/>
  <c r="H203" i="55"/>
  <c r="H140" i="55"/>
  <c r="H54" i="55"/>
  <c r="H149" i="55"/>
  <c r="H29" i="55"/>
  <c r="H157" i="55"/>
  <c r="H35" i="55"/>
  <c r="H37" i="55"/>
  <c r="H166" i="55"/>
  <c r="H148" i="55"/>
  <c r="H57" i="55"/>
  <c r="H83" i="55"/>
  <c r="H33" i="55"/>
  <c r="H137" i="55"/>
  <c r="H73" i="55"/>
  <c r="H146" i="55"/>
  <c r="H45" i="55"/>
  <c r="H164" i="55"/>
  <c r="H50" i="55"/>
  <c r="H147" i="55"/>
  <c r="H26" i="55"/>
  <c r="H129" i="55"/>
  <c r="H208" i="55"/>
  <c r="H82" i="55"/>
  <c r="H92" i="55"/>
  <c r="H177" i="55"/>
  <c r="H168" i="55"/>
  <c r="H93" i="55"/>
  <c r="H34" i="55"/>
  <c r="H41" i="55"/>
  <c r="H65" i="55"/>
  <c r="H55" i="55"/>
  <c r="H185" i="55"/>
  <c r="H181" i="55"/>
  <c r="H193" i="55"/>
  <c r="H38" i="55"/>
  <c r="H53" i="55"/>
  <c r="H116" i="55"/>
  <c r="H195" i="55"/>
  <c r="H107" i="55"/>
  <c r="H117" i="55"/>
  <c r="H186" i="55"/>
  <c r="H160" i="55"/>
  <c r="H59" i="55"/>
  <c r="H90" i="55"/>
  <c r="H58" i="55"/>
  <c r="H98" i="55"/>
  <c r="H188" i="55"/>
  <c r="H32" i="55"/>
  <c r="H151" i="55"/>
  <c r="H132" i="55"/>
  <c r="H191" i="55"/>
  <c r="H31" i="55"/>
  <c r="H187" i="55"/>
  <c r="H115" i="55"/>
  <c r="H47" i="55"/>
  <c r="H156" i="55"/>
  <c r="H194" i="55"/>
  <c r="H76" i="55"/>
  <c r="H87" i="55"/>
  <c r="H123" i="55"/>
  <c r="H178" i="55"/>
  <c r="H100" i="55"/>
  <c r="H192" i="55"/>
  <c r="H30" i="55"/>
  <c r="H131" i="55"/>
  <c r="H169" i="55"/>
  <c r="H64" i="55"/>
  <c r="H85" i="55"/>
  <c r="H56" i="55"/>
  <c r="H170" i="55"/>
  <c r="H184" i="55"/>
  <c r="H182" i="55"/>
  <c r="H161" i="55"/>
  <c r="H99" i="55"/>
  <c r="H77" i="55"/>
  <c r="H71" i="55"/>
  <c r="H143" i="55"/>
  <c r="H66" i="55"/>
  <c r="H179" i="55"/>
  <c r="H46" i="55"/>
  <c r="H28" i="55"/>
  <c r="H119" i="55"/>
  <c r="H142" i="55"/>
  <c r="H175" i="55"/>
  <c r="H136" i="55"/>
  <c r="H110" i="55"/>
  <c r="H118" i="55"/>
  <c r="H84" i="55"/>
  <c r="H189" i="55"/>
  <c r="H43" i="55"/>
  <c r="H97" i="55"/>
  <c r="H153" i="55"/>
  <c r="H130" i="55"/>
  <c r="H70" i="55"/>
  <c r="H138" i="55"/>
  <c r="H201" i="55"/>
  <c r="H165" i="55"/>
  <c r="H197" i="55"/>
  <c r="H75" i="55"/>
  <c r="H135" i="55"/>
  <c r="H125" i="55"/>
  <c r="H40" i="55"/>
  <c r="H78" i="55"/>
  <c r="H174" i="55"/>
  <c r="H102" i="55"/>
  <c r="H204" i="55"/>
  <c r="H25" i="55"/>
  <c r="H206" i="55"/>
  <c r="H183" i="55"/>
  <c r="H180" i="55"/>
  <c r="H27" i="55"/>
  <c r="H150" i="55"/>
  <c r="H127" i="55"/>
  <c r="H42" i="55"/>
  <c r="H86" i="55"/>
  <c r="H44" i="55"/>
  <c r="H196" i="55"/>
  <c r="H67" i="55"/>
  <c r="H152" i="55"/>
  <c r="H176" i="55"/>
  <c r="H159" i="55"/>
  <c r="H96" i="55"/>
  <c r="H79" i="55"/>
  <c r="H68" i="55"/>
  <c r="H205" i="55"/>
  <c r="H173" i="55"/>
  <c r="H36" i="55"/>
  <c r="H49" i="55"/>
  <c r="H74" i="55"/>
  <c r="H105" i="55"/>
  <c r="H108" i="55"/>
  <c r="H89" i="55"/>
  <c r="H48" i="55"/>
  <c r="H190" i="55"/>
  <c r="H106" i="55"/>
  <c r="H124" i="55"/>
  <c r="H171" i="55"/>
  <c r="H109" i="55"/>
  <c r="H158" i="55"/>
  <c r="H101" i="55"/>
  <c r="H72" i="55"/>
  <c r="H126" i="55"/>
  <c r="H52" i="55"/>
  <c r="H69" i="55"/>
  <c r="H145" i="55"/>
  <c r="H51" i="55"/>
  <c r="H60" i="55"/>
  <c r="H133" i="55"/>
  <c r="H202" i="55"/>
  <c r="H88" i="55"/>
  <c r="H119" i="174"/>
  <c r="H181" i="174"/>
  <c r="H57" i="174"/>
  <c r="H201" i="174"/>
  <c r="H35" i="174"/>
  <c r="H42" i="174"/>
  <c r="H67" i="174"/>
  <c r="H150" i="174"/>
  <c r="H92" i="174"/>
  <c r="H71" i="174"/>
  <c r="H82" i="174"/>
  <c r="H192" i="174"/>
  <c r="H140" i="174"/>
  <c r="H153" i="174"/>
  <c r="H110" i="174"/>
  <c r="H182" i="174"/>
  <c r="H200" i="174"/>
  <c r="H98" i="174"/>
  <c r="H141" i="174"/>
  <c r="H176" i="174"/>
  <c r="H184" i="174"/>
  <c r="H191" i="174"/>
  <c r="H135" i="174"/>
  <c r="H115" i="174"/>
  <c r="H77" i="174"/>
  <c r="H55" i="174"/>
  <c r="H148" i="174"/>
  <c r="H66" i="174"/>
  <c r="H158" i="174"/>
  <c r="H156" i="174"/>
  <c r="H130" i="174"/>
  <c r="H53" i="174"/>
  <c r="H174" i="174"/>
  <c r="H118" i="174"/>
  <c r="H106" i="174"/>
  <c r="H86" i="174"/>
  <c r="H75" i="174"/>
  <c r="H204" i="174"/>
  <c r="H59" i="174"/>
  <c r="H54" i="174"/>
  <c r="H186" i="174"/>
  <c r="H58" i="174"/>
  <c r="H49" i="174"/>
  <c r="H169" i="174"/>
  <c r="H205" i="174"/>
  <c r="H189" i="174"/>
  <c r="H60" i="174"/>
  <c r="H123" i="174"/>
  <c r="H129" i="174"/>
  <c r="H171" i="174"/>
  <c r="H132" i="174"/>
  <c r="H100" i="174"/>
  <c r="H126" i="174"/>
  <c r="H159" i="174"/>
  <c r="H89" i="174"/>
  <c r="H108" i="174"/>
  <c r="H161" i="174"/>
  <c r="H38" i="174"/>
  <c r="H147" i="174"/>
  <c r="H179" i="174"/>
  <c r="H202" i="174"/>
  <c r="H111" i="174"/>
  <c r="H125" i="174"/>
  <c r="H188" i="174"/>
  <c r="H40" i="174"/>
  <c r="H88" i="174"/>
  <c r="H167" i="174"/>
  <c r="H79" i="174"/>
  <c r="H143" i="174"/>
  <c r="H34" i="174"/>
  <c r="H33" i="174"/>
  <c r="H145" i="174"/>
  <c r="H168" i="174"/>
  <c r="H166" i="174"/>
  <c r="H187" i="174"/>
  <c r="H114" i="174"/>
  <c r="H73" i="174"/>
  <c r="H44" i="174"/>
  <c r="H131" i="174"/>
  <c r="H178" i="174"/>
  <c r="H47" i="174"/>
  <c r="H91" i="174"/>
  <c r="H51" i="174"/>
  <c r="H72" i="174"/>
  <c r="H26" i="174"/>
  <c r="H195" i="174"/>
  <c r="H29" i="174"/>
  <c r="H170" i="174"/>
  <c r="H149" i="174"/>
  <c r="H164" i="174"/>
  <c r="H137" i="174"/>
  <c r="H102" i="174"/>
  <c r="H183" i="174"/>
  <c r="H46" i="174"/>
  <c r="H138" i="174"/>
  <c r="H136" i="174"/>
  <c r="H43" i="174"/>
  <c r="H190" i="174"/>
  <c r="H97" i="174"/>
  <c r="H69" i="174"/>
  <c r="H36" i="174"/>
  <c r="H117" i="174"/>
  <c r="H175" i="174"/>
  <c r="H173" i="174"/>
  <c r="H180" i="174"/>
  <c r="H142" i="174"/>
  <c r="H105" i="174"/>
  <c r="H70" i="174"/>
  <c r="H68" i="174"/>
  <c r="H203" i="174"/>
  <c r="H76" i="174"/>
  <c r="H208" i="174"/>
  <c r="H133" i="174"/>
  <c r="H85" i="174"/>
  <c r="H25" i="174"/>
  <c r="H177" i="174"/>
  <c r="H31" i="174"/>
  <c r="H78" i="174"/>
  <c r="H90" i="174"/>
  <c r="H101" i="174"/>
  <c r="K12" i="174"/>
  <c r="H197" i="174"/>
  <c r="H74" i="174"/>
  <c r="H56" i="174"/>
  <c r="H87" i="174"/>
  <c r="H96" i="174"/>
  <c r="H61" i="174"/>
  <c r="H206" i="174"/>
  <c r="H109" i="174"/>
  <c r="H93" i="174"/>
  <c r="H32" i="174"/>
  <c r="H185" i="174"/>
  <c r="H28" i="174"/>
  <c r="H83" i="174"/>
  <c r="H127" i="174"/>
  <c r="H146" i="174"/>
  <c r="H160" i="174"/>
  <c r="H27" i="174"/>
  <c r="H41" i="174"/>
  <c r="H30" i="174"/>
  <c r="H155" i="174"/>
  <c r="H45" i="174"/>
  <c r="H107" i="174"/>
  <c r="H84" i="174"/>
  <c r="H157" i="174"/>
  <c r="H52" i="174"/>
  <c r="H124" i="174"/>
  <c r="H194" i="174"/>
  <c r="H48" i="174"/>
  <c r="H64" i="174"/>
  <c r="H116" i="174"/>
  <c r="H151" i="174"/>
  <c r="H37" i="174"/>
  <c r="H193" i="174"/>
  <c r="H99" i="174"/>
  <c r="H152" i="174"/>
  <c r="H172" i="174"/>
  <c r="H165" i="174"/>
  <c r="H39" i="174"/>
  <c r="H196" i="174"/>
  <c r="H65" i="174"/>
  <c r="H50" i="174"/>
  <c r="G215" i="174"/>
  <c r="J191" i="97"/>
  <c r="J159" i="97"/>
  <c r="J90" i="97"/>
  <c r="H108" i="46"/>
  <c r="H57" i="46"/>
  <c r="H178" i="46"/>
  <c r="H87" i="46"/>
  <c r="H157" i="46"/>
  <c r="H146" i="46"/>
  <c r="H194" i="46"/>
  <c r="H173" i="46"/>
  <c r="H36" i="46"/>
  <c r="K12" i="46"/>
  <c r="H116" i="46"/>
  <c r="H202" i="46"/>
  <c r="H55" i="46"/>
  <c r="H208" i="46"/>
  <c r="H28" i="46"/>
  <c r="H167" i="46"/>
  <c r="H49" i="46"/>
  <c r="H50" i="46"/>
  <c r="H74" i="46"/>
  <c r="H99" i="46"/>
  <c r="H206" i="46"/>
  <c r="H93" i="46"/>
  <c r="H181" i="46"/>
  <c r="H168" i="46"/>
  <c r="H137" i="46"/>
  <c r="H190" i="46"/>
  <c r="H44" i="46"/>
  <c r="H156" i="46"/>
  <c r="H174" i="46"/>
  <c r="H141" i="46"/>
  <c r="H152" i="46"/>
  <c r="H176" i="46"/>
  <c r="H201" i="46"/>
  <c r="H195" i="46"/>
  <c r="H183" i="46"/>
  <c r="H37" i="46"/>
  <c r="H136" i="46"/>
  <c r="H107" i="46"/>
  <c r="H150" i="46"/>
  <c r="H83" i="46"/>
  <c r="H48" i="46"/>
  <c r="H27" i="46"/>
  <c r="H38" i="46"/>
  <c r="H43" i="46"/>
  <c r="H33" i="46"/>
  <c r="H106" i="46"/>
  <c r="H164" i="46"/>
  <c r="H160" i="46"/>
  <c r="H189" i="46"/>
  <c r="H97" i="46"/>
  <c r="H188" i="46"/>
  <c r="H130" i="46"/>
  <c r="H65" i="46"/>
  <c r="H102" i="46"/>
  <c r="H191" i="46"/>
  <c r="H166" i="46"/>
  <c r="H84" i="46"/>
  <c r="H59" i="46"/>
  <c r="H78" i="46"/>
  <c r="H142" i="46"/>
  <c r="H34" i="46"/>
  <c r="H39" i="46"/>
  <c r="H82" i="46"/>
  <c r="H56" i="46"/>
  <c r="H68" i="46"/>
  <c r="H109" i="46"/>
  <c r="H40" i="46"/>
  <c r="H182" i="46"/>
  <c r="H42" i="46"/>
  <c r="H203" i="46"/>
  <c r="H165" i="46"/>
  <c r="H89" i="46"/>
  <c r="H30" i="46"/>
  <c r="H179" i="46"/>
  <c r="H111" i="46"/>
  <c r="H151" i="46"/>
  <c r="H197" i="46"/>
  <c r="H41" i="46"/>
  <c r="H29" i="46"/>
  <c r="H90" i="46"/>
  <c r="H138" i="46"/>
  <c r="H171" i="46"/>
  <c r="H187" i="46"/>
  <c r="H184" i="46"/>
  <c r="H115" i="46"/>
  <c r="H52" i="46"/>
  <c r="H70" i="46"/>
  <c r="H124" i="46"/>
  <c r="H96" i="46"/>
  <c r="H91" i="46"/>
  <c r="H45" i="46"/>
  <c r="H159" i="46"/>
  <c r="H25" i="46"/>
  <c r="H180" i="46"/>
  <c r="H200" i="46"/>
  <c r="H71" i="46"/>
  <c r="H158" i="46"/>
  <c r="H169" i="46"/>
  <c r="H92" i="46"/>
  <c r="H131" i="46"/>
  <c r="H175" i="46"/>
  <c r="H31" i="46"/>
  <c r="H129" i="46"/>
  <c r="H119" i="46"/>
  <c r="H127" i="46"/>
  <c r="H161" i="46"/>
  <c r="H76" i="46"/>
  <c r="H118" i="46"/>
  <c r="H54" i="46"/>
  <c r="H155" i="46"/>
  <c r="H88" i="46"/>
  <c r="H125" i="46"/>
  <c r="H98" i="46"/>
  <c r="H79" i="46"/>
  <c r="H58" i="46"/>
  <c r="H73" i="46"/>
  <c r="H192" i="46"/>
  <c r="H186" i="46"/>
  <c r="H60" i="46"/>
  <c r="H114" i="46"/>
  <c r="H153" i="46"/>
  <c r="H196" i="46"/>
  <c r="H69" i="46"/>
  <c r="H185" i="46"/>
  <c r="H149" i="46"/>
  <c r="H26" i="46"/>
  <c r="H64" i="46"/>
  <c r="H75" i="46"/>
  <c r="H101" i="46"/>
  <c r="H123" i="46"/>
  <c r="H143" i="46"/>
  <c r="H148" i="46"/>
  <c r="H66" i="46"/>
  <c r="H47" i="46"/>
  <c r="H132" i="46"/>
  <c r="H32" i="46"/>
  <c r="H46" i="46"/>
  <c r="H77" i="46"/>
  <c r="H67" i="46"/>
  <c r="H204" i="46"/>
  <c r="H100" i="46"/>
  <c r="H105" i="46"/>
  <c r="H126" i="46"/>
  <c r="H177" i="46"/>
  <c r="H140" i="46"/>
  <c r="H53" i="46"/>
  <c r="H35" i="46"/>
  <c r="H133" i="46"/>
  <c r="H205" i="46"/>
  <c r="H135" i="46"/>
  <c r="H110" i="46"/>
  <c r="H85" i="46"/>
  <c r="H61" i="46"/>
  <c r="H172" i="46"/>
  <c r="H147" i="46"/>
  <c r="H72" i="46"/>
  <c r="H86" i="46"/>
  <c r="H145" i="46"/>
  <c r="H51" i="46"/>
  <c r="H193" i="46"/>
  <c r="H117" i="46"/>
  <c r="H170" i="46"/>
  <c r="G215" i="32"/>
  <c r="H49" i="62"/>
  <c r="H89" i="62"/>
  <c r="H164" i="62"/>
  <c r="H140" i="62"/>
  <c r="H78" i="62"/>
  <c r="H126" i="62"/>
  <c r="H185" i="62"/>
  <c r="H114" i="62"/>
  <c r="H205" i="62"/>
  <c r="H29" i="62"/>
  <c r="H97" i="62"/>
  <c r="H159" i="62"/>
  <c r="H58" i="62"/>
  <c r="H157" i="62"/>
  <c r="H116" i="62"/>
  <c r="H39" i="62"/>
  <c r="H31" i="62"/>
  <c r="H183" i="62"/>
  <c r="H161" i="62"/>
  <c r="H48" i="62"/>
  <c r="G215" i="62"/>
  <c r="H28" i="62"/>
  <c r="H186" i="62"/>
  <c r="H92" i="62"/>
  <c r="H107" i="62"/>
  <c r="H69" i="62"/>
  <c r="H93" i="62"/>
  <c r="H170" i="62"/>
  <c r="H90" i="62"/>
  <c r="H105" i="62"/>
  <c r="H101" i="62"/>
  <c r="H203" i="62"/>
  <c r="H138" i="62"/>
  <c r="H117" i="62"/>
  <c r="H204" i="62"/>
  <c r="H53" i="62"/>
  <c r="H59" i="62"/>
  <c r="H85" i="62"/>
  <c r="H168" i="62"/>
  <c r="H142" i="62"/>
  <c r="H151" i="62"/>
  <c r="H66" i="62"/>
  <c r="H70" i="62"/>
  <c r="H77" i="62"/>
  <c r="H64" i="62"/>
  <c r="H32" i="62"/>
  <c r="H57" i="62"/>
  <c r="H75" i="62"/>
  <c r="H96" i="62"/>
  <c r="H65" i="62"/>
  <c r="H47" i="62"/>
  <c r="H187" i="62"/>
  <c r="H188" i="62"/>
  <c r="H119" i="62"/>
  <c r="H124" i="62"/>
  <c r="H30" i="62"/>
  <c r="H182" i="62"/>
  <c r="H127" i="62"/>
  <c r="H100" i="62"/>
  <c r="H131" i="62"/>
  <c r="H68" i="62"/>
  <c r="H197" i="62"/>
  <c r="H74" i="62"/>
  <c r="H147" i="62"/>
  <c r="H192" i="62"/>
  <c r="H83" i="62"/>
  <c r="H36" i="62"/>
  <c r="H45" i="62"/>
  <c r="H175" i="62"/>
  <c r="H38" i="62"/>
  <c r="H149" i="62"/>
  <c r="H179" i="62"/>
  <c r="H99" i="62"/>
  <c r="H76" i="62"/>
  <c r="H43" i="62"/>
  <c r="H37" i="62"/>
  <c r="H135" i="62"/>
  <c r="H123" i="62"/>
  <c r="H136" i="62"/>
  <c r="H169" i="62"/>
  <c r="H156" i="62"/>
  <c r="H79" i="62"/>
  <c r="H143" i="62"/>
  <c r="K12" i="62"/>
  <c r="H193" i="62"/>
  <c r="H61" i="62"/>
  <c r="H98" i="62"/>
  <c r="H141" i="62"/>
  <c r="H200" i="62"/>
  <c r="H178" i="62"/>
  <c r="H180" i="62"/>
  <c r="H153" i="62"/>
  <c r="H190" i="62"/>
  <c r="H115" i="62"/>
  <c r="H166" i="62"/>
  <c r="H25" i="62"/>
  <c r="H177" i="62"/>
  <c r="H118" i="62"/>
  <c r="H52" i="62"/>
  <c r="H44" i="62"/>
  <c r="H125" i="62"/>
  <c r="H54" i="62"/>
  <c r="H67" i="62"/>
  <c r="H27" i="62"/>
  <c r="H110" i="62"/>
  <c r="H42" i="62"/>
  <c r="H173" i="62"/>
  <c r="H87" i="62"/>
  <c r="H181" i="62"/>
  <c r="H111" i="62"/>
  <c r="H196" i="62"/>
  <c r="H167" i="62"/>
  <c r="H60" i="62"/>
  <c r="H56" i="62"/>
  <c r="H191" i="62"/>
  <c r="H109" i="62"/>
  <c r="H189" i="62"/>
  <c r="H34" i="62"/>
  <c r="H206" i="62"/>
  <c r="H146" i="62"/>
  <c r="H171" i="62"/>
  <c r="H194" i="62"/>
  <c r="H155" i="62"/>
  <c r="H130" i="62"/>
  <c r="H148" i="62"/>
  <c r="H132" i="62"/>
  <c r="H174" i="62"/>
  <c r="H55" i="62"/>
  <c r="H84" i="62"/>
  <c r="H129" i="62"/>
  <c r="H108" i="62"/>
  <c r="H71" i="62"/>
  <c r="H152" i="62"/>
  <c r="H46" i="62"/>
  <c r="H145" i="62"/>
  <c r="H202" i="62"/>
  <c r="H208" i="62"/>
  <c r="H160" i="62"/>
  <c r="H158" i="62"/>
  <c r="H133" i="62"/>
  <c r="H195" i="62"/>
  <c r="H26" i="62"/>
  <c r="H150" i="62"/>
  <c r="H172" i="62"/>
  <c r="H50" i="62"/>
  <c r="H201" i="62"/>
  <c r="H82" i="62"/>
  <c r="H73" i="62"/>
  <c r="H165" i="62"/>
  <c r="H41" i="62"/>
  <c r="H35" i="62"/>
  <c r="H137" i="62"/>
  <c r="H72" i="62"/>
  <c r="H106" i="62"/>
  <c r="H184" i="62"/>
  <c r="H51" i="62"/>
  <c r="H33" i="62"/>
  <c r="H40" i="62"/>
  <c r="H91" i="62"/>
  <c r="H102" i="62"/>
  <c r="H176" i="62"/>
  <c r="H86" i="62"/>
  <c r="H88" i="62"/>
  <c r="H90" i="92"/>
  <c r="H66" i="92"/>
  <c r="H99" i="92"/>
  <c r="H83" i="92"/>
  <c r="H76" i="92"/>
  <c r="H167" i="92"/>
  <c r="H127" i="92"/>
  <c r="H33" i="92"/>
  <c r="H176" i="92"/>
  <c r="H78" i="92"/>
  <c r="H126" i="92"/>
  <c r="H87" i="92"/>
  <c r="H58" i="92"/>
  <c r="H67" i="92"/>
  <c r="H204" i="92"/>
  <c r="H182" i="92"/>
  <c r="H27" i="92"/>
  <c r="H49" i="92"/>
  <c r="H116" i="92"/>
  <c r="H172" i="92"/>
  <c r="H111" i="92"/>
  <c r="H187" i="92"/>
  <c r="H71" i="92"/>
  <c r="H155" i="92"/>
  <c r="H55" i="92"/>
  <c r="H203" i="92"/>
  <c r="H68" i="92"/>
  <c r="H161" i="92"/>
  <c r="H200" i="92"/>
  <c r="H52" i="92"/>
  <c r="H43" i="92"/>
  <c r="H44" i="92"/>
  <c r="H97" i="92"/>
  <c r="H40" i="92"/>
  <c r="H30" i="92"/>
  <c r="H125" i="92"/>
  <c r="H130" i="92"/>
  <c r="H96" i="92"/>
  <c r="H135" i="92"/>
  <c r="H102" i="92"/>
  <c r="H147" i="92"/>
  <c r="H45" i="92"/>
  <c r="H73" i="92"/>
  <c r="H123" i="92"/>
  <c r="H183" i="92"/>
  <c r="H174" i="92"/>
  <c r="H194" i="92"/>
  <c r="H56" i="92"/>
  <c r="H148" i="92"/>
  <c r="H188" i="92"/>
  <c r="H136" i="92"/>
  <c r="H101" i="92"/>
  <c r="H82" i="92"/>
  <c r="H133" i="92"/>
  <c r="H132" i="92"/>
  <c r="H201" i="92"/>
  <c r="H169" i="92"/>
  <c r="H89" i="92"/>
  <c r="H173" i="92"/>
  <c r="H114" i="92"/>
  <c r="H36" i="92"/>
  <c r="H51" i="92"/>
  <c r="H177" i="92"/>
  <c r="H47" i="92"/>
  <c r="H109" i="92"/>
  <c r="H105" i="92"/>
  <c r="H60" i="92"/>
  <c r="H137" i="92"/>
  <c r="H181" i="92"/>
  <c r="H75" i="92"/>
  <c r="H131" i="92"/>
  <c r="H61" i="92"/>
  <c r="H165" i="92"/>
  <c r="H34" i="92"/>
  <c r="H206" i="92"/>
  <c r="H166" i="92"/>
  <c r="H179" i="92"/>
  <c r="H158" i="92"/>
  <c r="H38" i="92"/>
  <c r="H119" i="92"/>
  <c r="H72" i="92"/>
  <c r="H153" i="92"/>
  <c r="H65" i="92"/>
  <c r="H196" i="92"/>
  <c r="H138" i="92"/>
  <c r="H31" i="92"/>
  <c r="H100" i="92"/>
  <c r="H28" i="92"/>
  <c r="H35" i="92"/>
  <c r="H168" i="92"/>
  <c r="H189" i="92"/>
  <c r="H129" i="92"/>
  <c r="H110" i="92"/>
  <c r="H175" i="92"/>
  <c r="H98" i="92"/>
  <c r="H185" i="92"/>
  <c r="H151" i="92"/>
  <c r="H124" i="92"/>
  <c r="H193" i="92"/>
  <c r="H64" i="92"/>
  <c r="H160" i="92"/>
  <c r="H149" i="92"/>
  <c r="H88" i="92"/>
  <c r="H170" i="92"/>
  <c r="H190" i="92"/>
  <c r="H146" i="92"/>
  <c r="H180" i="92"/>
  <c r="H79" i="92"/>
  <c r="H77" i="92"/>
  <c r="H46" i="92"/>
  <c r="H70" i="92"/>
  <c r="H118" i="92"/>
  <c r="H48" i="92"/>
  <c r="K12" i="92"/>
  <c r="H37" i="92"/>
  <c r="H164" i="92"/>
  <c r="H91" i="92"/>
  <c r="H117" i="92"/>
  <c r="H197" i="92"/>
  <c r="H41" i="92"/>
  <c r="H54" i="92"/>
  <c r="H191" i="92"/>
  <c r="H208" i="92"/>
  <c r="H192" i="92"/>
  <c r="H74" i="92"/>
  <c r="H157" i="92"/>
  <c r="H156" i="92"/>
  <c r="H25" i="92"/>
  <c r="H150" i="92"/>
  <c r="H50" i="92"/>
  <c r="H92" i="92"/>
  <c r="H202" i="92"/>
  <c r="H184" i="92"/>
  <c r="H86" i="92"/>
  <c r="H140" i="92"/>
  <c r="H69" i="92"/>
  <c r="H195" i="92"/>
  <c r="H59" i="92"/>
  <c r="H141" i="92"/>
  <c r="H57" i="92"/>
  <c r="H171" i="92"/>
  <c r="H145" i="92"/>
  <c r="H42" i="92"/>
  <c r="H29" i="92"/>
  <c r="H85" i="92"/>
  <c r="H93" i="92"/>
  <c r="H32" i="92"/>
  <c r="H143" i="92"/>
  <c r="H159" i="92"/>
  <c r="H106" i="92"/>
  <c r="H53" i="92"/>
  <c r="H107" i="92"/>
  <c r="H26" i="92"/>
  <c r="H115" i="92"/>
  <c r="G215" i="92"/>
  <c r="H205" i="92"/>
  <c r="H142" i="92"/>
  <c r="H39" i="92"/>
  <c r="H186" i="92"/>
  <c r="H108" i="92"/>
  <c r="H152" i="92"/>
  <c r="H84" i="92"/>
  <c r="H178" i="92"/>
  <c r="H181" i="165"/>
  <c r="H105" i="165"/>
  <c r="H193" i="165"/>
  <c r="H58" i="165"/>
  <c r="H187" i="165"/>
  <c r="H72" i="165"/>
  <c r="H194" i="165"/>
  <c r="H129" i="165"/>
  <c r="H79" i="165"/>
  <c r="H176" i="165"/>
  <c r="H158" i="165"/>
  <c r="H38" i="165"/>
  <c r="H57" i="165"/>
  <c r="H130" i="165"/>
  <c r="H125" i="165"/>
  <c r="H184" i="165"/>
  <c r="H200" i="165"/>
  <c r="H43" i="165"/>
  <c r="H152" i="165"/>
  <c r="H123" i="165"/>
  <c r="H185" i="165"/>
  <c r="H55" i="165"/>
  <c r="H54" i="165"/>
  <c r="H178" i="165"/>
  <c r="H75" i="165"/>
  <c r="H85" i="165"/>
  <c r="H70" i="165"/>
  <c r="H97" i="165"/>
  <c r="H92" i="165"/>
  <c r="H165" i="165"/>
  <c r="H36" i="165"/>
  <c r="H109" i="165"/>
  <c r="H206" i="165"/>
  <c r="H26" i="165"/>
  <c r="H183" i="165"/>
  <c r="H115" i="165"/>
  <c r="H118" i="165"/>
  <c r="H101" i="165"/>
  <c r="H50" i="165"/>
  <c r="H71" i="165"/>
  <c r="H69" i="165"/>
  <c r="H25" i="165"/>
  <c r="H34" i="165"/>
  <c r="H45" i="165"/>
  <c r="H177" i="165"/>
  <c r="H148" i="165"/>
  <c r="H141" i="165"/>
  <c r="H108" i="165"/>
  <c r="H127" i="165"/>
  <c r="H96" i="165"/>
  <c r="H88" i="165"/>
  <c r="H182" i="165"/>
  <c r="H138" i="165"/>
  <c r="H204" i="165"/>
  <c r="H180" i="165"/>
  <c r="H135" i="165"/>
  <c r="H150" i="165"/>
  <c r="H189" i="165"/>
  <c r="H160" i="165"/>
  <c r="H169" i="165"/>
  <c r="H195" i="165"/>
  <c r="H208" i="165"/>
  <c r="H87" i="165"/>
  <c r="H111" i="165"/>
  <c r="H159" i="165"/>
  <c r="H133" i="165"/>
  <c r="H137" i="165"/>
  <c r="H40" i="165"/>
  <c r="H49" i="165"/>
  <c r="H170" i="165"/>
  <c r="H151" i="165"/>
  <c r="H174" i="165"/>
  <c r="H107" i="165"/>
  <c r="H190" i="165"/>
  <c r="H29" i="165"/>
  <c r="H156" i="165"/>
  <c r="H192" i="165"/>
  <c r="H145" i="165"/>
  <c r="H32" i="165"/>
  <c r="H132" i="165"/>
  <c r="H66" i="165"/>
  <c r="H61" i="165"/>
  <c r="H149" i="165"/>
  <c r="H175" i="165"/>
  <c r="H91" i="165"/>
  <c r="H33" i="165"/>
  <c r="H140" i="165"/>
  <c r="H93" i="165"/>
  <c r="H48" i="165"/>
  <c r="H78" i="165"/>
  <c r="H197" i="165"/>
  <c r="H53" i="165"/>
  <c r="H35" i="165"/>
  <c r="H203" i="165"/>
  <c r="H44" i="165"/>
  <c r="H47" i="165"/>
  <c r="H39" i="165"/>
  <c r="G215" i="165"/>
  <c r="H83" i="165"/>
  <c r="H100" i="165"/>
  <c r="H67" i="165"/>
  <c r="H205" i="165"/>
  <c r="H110" i="165"/>
  <c r="H168" i="165"/>
  <c r="H60" i="165"/>
  <c r="H188" i="165"/>
  <c r="K12" i="165"/>
  <c r="H46" i="165"/>
  <c r="H143" i="165"/>
  <c r="H114" i="165"/>
  <c r="H164" i="165"/>
  <c r="H146" i="165"/>
  <c r="H64" i="165"/>
  <c r="H41" i="165"/>
  <c r="H84" i="165"/>
  <c r="H171" i="165"/>
  <c r="H68" i="165"/>
  <c r="H191" i="165"/>
  <c r="H27" i="165"/>
  <c r="H179" i="165"/>
  <c r="H99" i="165"/>
  <c r="H119" i="165"/>
  <c r="H98" i="165"/>
  <c r="H77" i="165"/>
  <c r="H73" i="165"/>
  <c r="H136" i="165"/>
  <c r="H37" i="165"/>
  <c r="H202" i="165"/>
  <c r="H31" i="165"/>
  <c r="H116" i="165"/>
  <c r="H90" i="165"/>
  <c r="H30" i="165"/>
  <c r="H196" i="165"/>
  <c r="H147" i="165"/>
  <c r="H42" i="165"/>
  <c r="H86" i="165"/>
  <c r="H102" i="165"/>
  <c r="H74" i="165"/>
  <c r="H153" i="165"/>
  <c r="H173" i="165"/>
  <c r="H201" i="165"/>
  <c r="H167" i="165"/>
  <c r="H28" i="165"/>
  <c r="H82" i="165"/>
  <c r="H124" i="165"/>
  <c r="H172" i="165"/>
  <c r="H166" i="165"/>
  <c r="H59" i="165"/>
  <c r="H117" i="165"/>
  <c r="H52" i="165"/>
  <c r="H126" i="165"/>
  <c r="H161" i="165"/>
  <c r="H186" i="165"/>
  <c r="H157" i="165"/>
  <c r="H56" i="165"/>
  <c r="H89" i="165"/>
  <c r="H65" i="165"/>
  <c r="H51" i="165"/>
  <c r="H76" i="165"/>
  <c r="H106" i="165"/>
  <c r="H142" i="165"/>
  <c r="H131" i="165"/>
  <c r="H155" i="165"/>
  <c r="H116" i="68"/>
  <c r="H41" i="68"/>
  <c r="H57" i="68"/>
  <c r="H191" i="68"/>
  <c r="H182" i="68"/>
  <c r="H136" i="68"/>
  <c r="H172" i="68"/>
  <c r="H156" i="68"/>
  <c r="H178" i="68"/>
  <c r="H101" i="68"/>
  <c r="H197" i="68"/>
  <c r="H75" i="68"/>
  <c r="H61" i="68"/>
  <c r="H55" i="68"/>
  <c r="K12" i="68"/>
  <c r="H105" i="68"/>
  <c r="H89" i="68"/>
  <c r="H68" i="68"/>
  <c r="H69" i="68"/>
  <c r="H201" i="68"/>
  <c r="H153" i="68"/>
  <c r="H123" i="68"/>
  <c r="H47" i="68"/>
  <c r="H29" i="68"/>
  <c r="H92" i="68"/>
  <c r="H50" i="68"/>
  <c r="H185" i="68"/>
  <c r="H166" i="68"/>
  <c r="H111" i="68"/>
  <c r="H31" i="68"/>
  <c r="H114" i="68"/>
  <c r="H97" i="68"/>
  <c r="H35" i="68"/>
  <c r="H78" i="68"/>
  <c r="H152" i="68"/>
  <c r="H176" i="68"/>
  <c r="H36" i="68"/>
  <c r="H173" i="68"/>
  <c r="H99" i="68"/>
  <c r="H132" i="68"/>
  <c r="H126" i="68"/>
  <c r="H70" i="68"/>
  <c r="H25" i="68"/>
  <c r="H205" i="68"/>
  <c r="H187" i="68"/>
  <c r="H130" i="68"/>
  <c r="H33" i="68"/>
  <c r="H181" i="68"/>
  <c r="H26" i="68"/>
  <c r="H118" i="68"/>
  <c r="H76" i="68"/>
  <c r="H30" i="68"/>
  <c r="H40" i="68"/>
  <c r="H42" i="68"/>
  <c r="H188" i="68"/>
  <c r="H93" i="68"/>
  <c r="H73" i="68"/>
  <c r="H28" i="68"/>
  <c r="H110" i="68"/>
  <c r="H72" i="68"/>
  <c r="H204" i="68"/>
  <c r="H115" i="68"/>
  <c r="H150" i="68"/>
  <c r="H174" i="68"/>
  <c r="H133" i="68"/>
  <c r="H203" i="68"/>
  <c r="H27" i="68"/>
  <c r="H88" i="68"/>
  <c r="H184" i="68"/>
  <c r="H170" i="68"/>
  <c r="H102" i="68"/>
  <c r="H87" i="68"/>
  <c r="H109" i="68"/>
  <c r="H171" i="68"/>
  <c r="H67" i="68"/>
  <c r="H161" i="68"/>
  <c r="H158" i="68"/>
  <c r="H60" i="68"/>
  <c r="H107" i="68"/>
  <c r="H44" i="68"/>
  <c r="H177" i="68"/>
  <c r="H141" i="68"/>
  <c r="H147" i="68"/>
  <c r="H32" i="68"/>
  <c r="H48" i="68"/>
  <c r="H124" i="68"/>
  <c r="H138" i="68"/>
  <c r="H164" i="68"/>
  <c r="H192" i="68"/>
  <c r="H206" i="68"/>
  <c r="H193" i="68"/>
  <c r="H135" i="68"/>
  <c r="H34" i="68"/>
  <c r="H125" i="68"/>
  <c r="H64" i="68"/>
  <c r="H86" i="68"/>
  <c r="H77" i="68"/>
  <c r="H90" i="68"/>
  <c r="H84" i="68"/>
  <c r="H56" i="68"/>
  <c r="H83" i="68"/>
  <c r="H168" i="68"/>
  <c r="H183" i="68"/>
  <c r="H189" i="68"/>
  <c r="H137" i="68"/>
  <c r="H58" i="68"/>
  <c r="H100" i="68"/>
  <c r="H119" i="68"/>
  <c r="H43" i="68"/>
  <c r="H148" i="68"/>
  <c r="H195" i="68"/>
  <c r="H155" i="68"/>
  <c r="H196" i="68"/>
  <c r="H131" i="68"/>
  <c r="H37" i="68"/>
  <c r="H186" i="68"/>
  <c r="H127" i="68"/>
  <c r="H208" i="68"/>
  <c r="H96" i="68"/>
  <c r="H194" i="68"/>
  <c r="H167" i="68"/>
  <c r="H59" i="68"/>
  <c r="H74" i="68"/>
  <c r="H51" i="68"/>
  <c r="H52" i="68"/>
  <c r="H46" i="68"/>
  <c r="H157" i="68"/>
  <c r="H39" i="68"/>
  <c r="H117" i="68"/>
  <c r="H200" i="68"/>
  <c r="H82" i="68"/>
  <c r="H160" i="68"/>
  <c r="H53" i="68"/>
  <c r="H145" i="68"/>
  <c r="H149" i="68"/>
  <c r="H49" i="68"/>
  <c r="H143" i="68"/>
  <c r="H106" i="68"/>
  <c r="H175" i="68"/>
  <c r="H98" i="68"/>
  <c r="H38" i="68"/>
  <c r="H159" i="68"/>
  <c r="H71" i="68"/>
  <c r="H108" i="68"/>
  <c r="H180" i="68"/>
  <c r="H165" i="68"/>
  <c r="H91" i="68"/>
  <c r="H142" i="68"/>
  <c r="H65" i="68"/>
  <c r="H146" i="68"/>
  <c r="H151" i="68"/>
  <c r="H79" i="68"/>
  <c r="H54" i="68"/>
  <c r="H140" i="68"/>
  <c r="H190" i="68"/>
  <c r="H169" i="68"/>
  <c r="H129" i="68"/>
  <c r="H179" i="68"/>
  <c r="H45" i="68"/>
  <c r="H66" i="68"/>
  <c r="H85" i="68"/>
  <c r="H202" i="68"/>
  <c r="G215" i="68"/>
  <c r="H116" i="156"/>
  <c r="H36" i="156"/>
  <c r="H189" i="156"/>
  <c r="H97" i="156"/>
  <c r="H107" i="156"/>
  <c r="H34" i="156"/>
  <c r="H146" i="156"/>
  <c r="H84" i="156"/>
  <c r="H93" i="156"/>
  <c r="H201" i="156"/>
  <c r="H60" i="156"/>
  <c r="H101" i="156"/>
  <c r="H208" i="156"/>
  <c r="H72" i="156"/>
  <c r="H170" i="156"/>
  <c r="H179" i="156"/>
  <c r="H177" i="156"/>
  <c r="H111" i="156"/>
  <c r="H26" i="156"/>
  <c r="H152" i="156"/>
  <c r="H109" i="156"/>
  <c r="H127" i="156"/>
  <c r="H185" i="156"/>
  <c r="H45" i="156"/>
  <c r="H65" i="156"/>
  <c r="H129" i="156"/>
  <c r="H205" i="156"/>
  <c r="H106" i="156"/>
  <c r="H47" i="156"/>
  <c r="H196" i="156"/>
  <c r="H118" i="156"/>
  <c r="H148" i="156"/>
  <c r="H98" i="156"/>
  <c r="H132" i="156"/>
  <c r="H96" i="156"/>
  <c r="H183" i="156"/>
  <c r="H33" i="156"/>
  <c r="H147" i="156"/>
  <c r="H28" i="156"/>
  <c r="H145" i="156"/>
  <c r="H76" i="156"/>
  <c r="H197" i="156"/>
  <c r="H31" i="156"/>
  <c r="H39" i="156"/>
  <c r="H91" i="156"/>
  <c r="H150" i="156"/>
  <c r="H159" i="156"/>
  <c r="H75" i="156"/>
  <c r="H204" i="156"/>
  <c r="H71" i="156"/>
  <c r="H194" i="156"/>
  <c r="H86" i="156"/>
  <c r="H82" i="156"/>
  <c r="H117" i="156"/>
  <c r="H187" i="156"/>
  <c r="H79" i="156"/>
  <c r="H142" i="156"/>
  <c r="H42" i="156"/>
  <c r="H49" i="156"/>
  <c r="H85" i="156"/>
  <c r="H182" i="156"/>
  <c r="H166" i="156"/>
  <c r="H51" i="156"/>
  <c r="H43" i="156"/>
  <c r="H181" i="156"/>
  <c r="H114" i="156"/>
  <c r="H30" i="156"/>
  <c r="H102" i="156"/>
  <c r="H124" i="156"/>
  <c r="H69" i="156"/>
  <c r="H168" i="156"/>
  <c r="H155" i="156"/>
  <c r="H171" i="156"/>
  <c r="H52" i="156"/>
  <c r="H100" i="156"/>
  <c r="H186" i="156"/>
  <c r="H174" i="156"/>
  <c r="H206" i="156"/>
  <c r="H158" i="156"/>
  <c r="H151" i="156"/>
  <c r="H29" i="156"/>
  <c r="H108" i="156"/>
  <c r="H99" i="156"/>
  <c r="H123" i="156"/>
  <c r="H161" i="156"/>
  <c r="H136" i="156"/>
  <c r="H164" i="156"/>
  <c r="H156" i="156"/>
  <c r="H175" i="156"/>
  <c r="H64" i="156"/>
  <c r="H35" i="156"/>
  <c r="H119" i="156"/>
  <c r="H178" i="156"/>
  <c r="H55" i="156"/>
  <c r="H40" i="156"/>
  <c r="H83" i="156"/>
  <c r="H57" i="156"/>
  <c r="H68" i="156"/>
  <c r="H56" i="156"/>
  <c r="H50" i="156"/>
  <c r="H87" i="156"/>
  <c r="H37" i="156"/>
  <c r="H172" i="156"/>
  <c r="H78" i="156"/>
  <c r="H125" i="156"/>
  <c r="H90" i="156"/>
  <c r="H61" i="156"/>
  <c r="H153" i="156"/>
  <c r="H176" i="156"/>
  <c r="H70" i="156"/>
  <c r="H167" i="156"/>
  <c r="H77" i="156"/>
  <c r="H149" i="156"/>
  <c r="H74" i="156"/>
  <c r="H195" i="156"/>
  <c r="H73" i="156"/>
  <c r="H115" i="156"/>
  <c r="H133" i="156"/>
  <c r="H202" i="156"/>
  <c r="H67" i="156"/>
  <c r="H188" i="156"/>
  <c r="H180" i="156"/>
  <c r="H48" i="156"/>
  <c r="H192" i="156"/>
  <c r="H38" i="156"/>
  <c r="H59" i="156"/>
  <c r="H169" i="156"/>
  <c r="H200" i="156"/>
  <c r="H66" i="156"/>
  <c r="H46" i="156"/>
  <c r="H138" i="156"/>
  <c r="H110" i="156"/>
  <c r="H89" i="156"/>
  <c r="H190" i="156"/>
  <c r="H92" i="156"/>
  <c r="H203" i="156"/>
  <c r="H140" i="156"/>
  <c r="H25" i="156"/>
  <c r="H173" i="156"/>
  <c r="H41" i="156"/>
  <c r="H191" i="156"/>
  <c r="H58" i="156"/>
  <c r="H130" i="156"/>
  <c r="K12" i="156"/>
  <c r="H131" i="156"/>
  <c r="H184" i="156"/>
  <c r="H135" i="156"/>
  <c r="H143" i="156"/>
  <c r="H105" i="156"/>
  <c r="H126" i="156"/>
  <c r="H27" i="156"/>
  <c r="H137" i="156"/>
  <c r="H54" i="156"/>
  <c r="H165" i="156"/>
  <c r="H44" i="156"/>
  <c r="H88" i="156"/>
  <c r="H141" i="156"/>
  <c r="H160" i="156"/>
  <c r="H53" i="156"/>
  <c r="H193" i="156"/>
  <c r="H32" i="156"/>
  <c r="H157" i="156"/>
  <c r="H101" i="60"/>
  <c r="H74" i="60"/>
  <c r="H203" i="60"/>
  <c r="H175" i="60"/>
  <c r="H143" i="60"/>
  <c r="H43" i="60"/>
  <c r="H206" i="60"/>
  <c r="K12" i="60"/>
  <c r="H184" i="60"/>
  <c r="H147" i="60"/>
  <c r="H192" i="60"/>
  <c r="H50" i="60"/>
  <c r="H180" i="60"/>
  <c r="H54" i="60"/>
  <c r="H157" i="60"/>
  <c r="H35" i="60"/>
  <c r="H159" i="60"/>
  <c r="H140" i="60"/>
  <c r="H48" i="60"/>
  <c r="H100" i="60"/>
  <c r="H32" i="60"/>
  <c r="H181" i="60"/>
  <c r="H131" i="60"/>
  <c r="H99" i="60"/>
  <c r="H64" i="60"/>
  <c r="H160" i="60"/>
  <c r="H136" i="60"/>
  <c r="H135" i="60"/>
  <c r="H107" i="60"/>
  <c r="H69" i="60"/>
  <c r="H41" i="60"/>
  <c r="H87" i="60"/>
  <c r="H29" i="60"/>
  <c r="H91" i="60"/>
  <c r="H191" i="60"/>
  <c r="H73" i="60"/>
  <c r="H96" i="60"/>
  <c r="H189" i="60"/>
  <c r="H102" i="60"/>
  <c r="H40" i="60"/>
  <c r="H171" i="60"/>
  <c r="H148" i="60"/>
  <c r="H106" i="60"/>
  <c r="H51" i="60"/>
  <c r="H30" i="60"/>
  <c r="H84" i="60"/>
  <c r="H55" i="60"/>
  <c r="H58" i="60"/>
  <c r="H33" i="60"/>
  <c r="H188" i="60"/>
  <c r="H82" i="60"/>
  <c r="H132" i="60"/>
  <c r="H187" i="60"/>
  <c r="H127" i="60"/>
  <c r="H46" i="60"/>
  <c r="H118" i="60"/>
  <c r="H166" i="60"/>
  <c r="H125" i="60"/>
  <c r="H182" i="60"/>
  <c r="H52" i="60"/>
  <c r="H93" i="60"/>
  <c r="H68" i="60"/>
  <c r="H36" i="60"/>
  <c r="H169" i="60"/>
  <c r="H146" i="60"/>
  <c r="H201" i="60"/>
  <c r="H165" i="60"/>
  <c r="H178" i="60"/>
  <c r="H149" i="60"/>
  <c r="H114" i="60"/>
  <c r="H126" i="60"/>
  <c r="H176" i="60"/>
  <c r="H42" i="60"/>
  <c r="H172" i="60"/>
  <c r="H83" i="60"/>
  <c r="H158" i="60"/>
  <c r="H89" i="60"/>
  <c r="H185" i="60"/>
  <c r="H150" i="60"/>
  <c r="H170" i="60"/>
  <c r="H141" i="60"/>
  <c r="H108" i="60"/>
  <c r="H72" i="60"/>
  <c r="H208" i="60"/>
  <c r="H173" i="60"/>
  <c r="H75" i="60"/>
  <c r="H49" i="60"/>
  <c r="H205" i="60"/>
  <c r="H27" i="60"/>
  <c r="H190" i="60"/>
  <c r="H67" i="60"/>
  <c r="H196" i="60"/>
  <c r="H61" i="60"/>
  <c r="H123" i="60"/>
  <c r="H34" i="60"/>
  <c r="H164" i="60"/>
  <c r="H47" i="60"/>
  <c r="H76" i="60"/>
  <c r="H60" i="60"/>
  <c r="H85" i="60"/>
  <c r="H177" i="60"/>
  <c r="H138" i="60"/>
  <c r="H129" i="60"/>
  <c r="H65" i="60"/>
  <c r="H45" i="60"/>
  <c r="H179" i="60"/>
  <c r="H124" i="60"/>
  <c r="H79" i="60"/>
  <c r="H28" i="60"/>
  <c r="H145" i="60"/>
  <c r="H119" i="60"/>
  <c r="H77" i="60"/>
  <c r="H183" i="60"/>
  <c r="H57" i="60"/>
  <c r="H167" i="60"/>
  <c r="H71" i="60"/>
  <c r="H195" i="60"/>
  <c r="H70" i="60"/>
  <c r="H204" i="60"/>
  <c r="H56" i="60"/>
  <c r="H133" i="60"/>
  <c r="H130" i="60"/>
  <c r="H156" i="60"/>
  <c r="H38" i="60"/>
  <c r="H66" i="60"/>
  <c r="H90" i="60"/>
  <c r="H116" i="60"/>
  <c r="H25" i="60"/>
  <c r="H110" i="60"/>
  <c r="H200" i="60"/>
  <c r="H37" i="60"/>
  <c r="H44" i="60"/>
  <c r="H92" i="60"/>
  <c r="H31" i="60"/>
  <c r="H155" i="60"/>
  <c r="H97" i="60"/>
  <c r="H88" i="60"/>
  <c r="H39" i="60"/>
  <c r="H105" i="60"/>
  <c r="H115" i="60"/>
  <c r="H193" i="60"/>
  <c r="H174" i="60"/>
  <c r="H152" i="60"/>
  <c r="H137" i="60"/>
  <c r="H59" i="60"/>
  <c r="H202" i="60"/>
  <c r="H161" i="60"/>
  <c r="H153" i="60"/>
  <c r="H53" i="60"/>
  <c r="H109" i="60"/>
  <c r="H78" i="60"/>
  <c r="H186" i="60"/>
  <c r="H111" i="60"/>
  <c r="H26" i="60"/>
  <c r="H86" i="60"/>
  <c r="H194" i="60"/>
  <c r="H98" i="60"/>
  <c r="H151" i="60"/>
  <c r="H168" i="60"/>
  <c r="H197" i="60"/>
  <c r="H117" i="60"/>
  <c r="H142" i="60"/>
  <c r="G215" i="60"/>
  <c r="J49" i="97"/>
  <c r="J162" i="97"/>
  <c r="J82" i="97"/>
  <c r="J57" i="97"/>
  <c r="H194" i="25"/>
  <c r="H118" i="25"/>
  <c r="H97" i="25"/>
  <c r="H148" i="25"/>
  <c r="H191" i="25"/>
  <c r="H150" i="25"/>
  <c r="H208" i="25"/>
  <c r="H188" i="25"/>
  <c r="H51" i="25"/>
  <c r="H40" i="25"/>
  <c r="H117" i="25"/>
  <c r="H136" i="25"/>
  <c r="H28" i="25"/>
  <c r="H182" i="25"/>
  <c r="H124" i="25"/>
  <c r="H152" i="25"/>
  <c r="H151" i="25"/>
  <c r="H129" i="25"/>
  <c r="H138" i="25"/>
  <c r="H53" i="25"/>
  <c r="H200" i="25"/>
  <c r="H159" i="25"/>
  <c r="H74" i="25"/>
  <c r="H49" i="25"/>
  <c r="H131" i="25"/>
  <c r="H69" i="25"/>
  <c r="H59" i="25"/>
  <c r="H137" i="25"/>
  <c r="H39" i="25"/>
  <c r="H167" i="25"/>
  <c r="H142" i="25"/>
  <c r="H202" i="25"/>
  <c r="H76" i="25"/>
  <c r="H77" i="25"/>
  <c r="H177" i="25"/>
  <c r="H190" i="25"/>
  <c r="H130" i="25"/>
  <c r="H115" i="25"/>
  <c r="H164" i="25"/>
  <c r="H133" i="25"/>
  <c r="H42" i="25"/>
  <c r="H169" i="25"/>
  <c r="H100" i="25"/>
  <c r="H179" i="25"/>
  <c r="H88" i="25"/>
  <c r="H143" i="25"/>
  <c r="H41" i="25"/>
  <c r="H83" i="25"/>
  <c r="H160" i="25"/>
  <c r="H101" i="25"/>
  <c r="H31" i="25"/>
  <c r="H201" i="25"/>
  <c r="H37" i="25"/>
  <c r="H29" i="25"/>
  <c r="H86" i="25"/>
  <c r="H145" i="25"/>
  <c r="H183" i="25"/>
  <c r="H165" i="25"/>
  <c r="H89" i="25"/>
  <c r="H84" i="25"/>
  <c r="H114" i="25"/>
  <c r="H91" i="25"/>
  <c r="H108" i="25"/>
  <c r="H68" i="25"/>
  <c r="H78" i="25"/>
  <c r="H55" i="25"/>
  <c r="H72" i="25"/>
  <c r="H90" i="25"/>
  <c r="H48" i="25"/>
  <c r="H106" i="25"/>
  <c r="H82" i="25"/>
  <c r="H25" i="25"/>
  <c r="H126" i="25"/>
  <c r="H161" i="25"/>
  <c r="H173" i="25"/>
  <c r="H172" i="25"/>
  <c r="H98" i="25"/>
  <c r="H26" i="25"/>
  <c r="H27" i="25"/>
  <c r="H102" i="25"/>
  <c r="H119" i="25"/>
  <c r="H60" i="25"/>
  <c r="H174" i="25"/>
  <c r="H196" i="25"/>
  <c r="H181" i="25"/>
  <c r="H123" i="25"/>
  <c r="H176" i="25"/>
  <c r="H168" i="25"/>
  <c r="H166" i="25"/>
  <c r="H34" i="25"/>
  <c r="H57" i="25"/>
  <c r="H43" i="25"/>
  <c r="H170" i="25"/>
  <c r="H204" i="25"/>
  <c r="H50" i="25"/>
  <c r="H44" i="25"/>
  <c r="H92" i="25"/>
  <c r="H71" i="25"/>
  <c r="H109" i="25"/>
  <c r="H65" i="25"/>
  <c r="H56" i="25"/>
  <c r="H64" i="25"/>
  <c r="H132" i="25"/>
  <c r="H33" i="25"/>
  <c r="H93" i="25"/>
  <c r="H99" i="25"/>
  <c r="H186" i="25"/>
  <c r="H110" i="25"/>
  <c r="H157" i="25"/>
  <c r="H116" i="25"/>
  <c r="H54" i="25"/>
  <c r="H125" i="25"/>
  <c r="K12" i="25"/>
  <c r="H30" i="25"/>
  <c r="H127" i="25"/>
  <c r="H153" i="25"/>
  <c r="H47" i="25"/>
  <c r="H195" i="25"/>
  <c r="H61" i="25"/>
  <c r="H79" i="25"/>
  <c r="H185" i="25"/>
  <c r="H46" i="25"/>
  <c r="H96" i="25"/>
  <c r="H35" i="25"/>
  <c r="H75" i="25"/>
  <c r="H187" i="25"/>
  <c r="H67" i="25"/>
  <c r="H36" i="25"/>
  <c r="H107" i="25"/>
  <c r="H66" i="25"/>
  <c r="H203" i="25"/>
  <c r="H149" i="25"/>
  <c r="H141" i="25"/>
  <c r="H178" i="25"/>
  <c r="H135" i="25"/>
  <c r="H158" i="25"/>
  <c r="H87" i="25"/>
  <c r="H192" i="25"/>
  <c r="H206" i="25"/>
  <c r="H147" i="25"/>
  <c r="H85" i="25"/>
  <c r="H171" i="25"/>
  <c r="H197" i="25"/>
  <c r="H189" i="25"/>
  <c r="H193" i="25"/>
  <c r="H175" i="25"/>
  <c r="H73" i="25"/>
  <c r="H140" i="25"/>
  <c r="H180" i="25"/>
  <c r="H146" i="25"/>
  <c r="H111" i="25"/>
  <c r="H155" i="25"/>
  <c r="H205" i="25"/>
  <c r="H38" i="25"/>
  <c r="H105" i="25"/>
  <c r="H156" i="25"/>
  <c r="H45" i="25"/>
  <c r="H58" i="25"/>
  <c r="H32" i="25"/>
  <c r="H184" i="25"/>
  <c r="H70" i="25"/>
  <c r="H52" i="25"/>
  <c r="G215" i="25"/>
  <c r="G215" i="156"/>
  <c r="G215" i="178"/>
  <c r="H169" i="145"/>
  <c r="H89" i="145"/>
  <c r="H148" i="145"/>
  <c r="H69" i="145"/>
  <c r="H182" i="145"/>
  <c r="H106" i="145"/>
  <c r="H34" i="145"/>
  <c r="H105" i="145"/>
  <c r="H180" i="145"/>
  <c r="H57" i="145"/>
  <c r="H135" i="145"/>
  <c r="H93" i="145"/>
  <c r="H125" i="145"/>
  <c r="H84" i="145"/>
  <c r="H54" i="145"/>
  <c r="H189" i="145"/>
  <c r="K12" i="145"/>
  <c r="H110" i="145"/>
  <c r="H40" i="145"/>
  <c r="H53" i="145"/>
  <c r="H147" i="145"/>
  <c r="H123" i="145"/>
  <c r="H39" i="145"/>
  <c r="H70" i="145"/>
  <c r="H87" i="145"/>
  <c r="H208" i="145"/>
  <c r="H149" i="145"/>
  <c r="H49" i="145"/>
  <c r="H77" i="145"/>
  <c r="H194" i="145"/>
  <c r="H155" i="145"/>
  <c r="H188" i="145"/>
  <c r="H159" i="145"/>
  <c r="H79" i="145"/>
  <c r="H138" i="145"/>
  <c r="H59" i="145"/>
  <c r="H174" i="145"/>
  <c r="H96" i="145"/>
  <c r="H26" i="145"/>
  <c r="H90" i="145"/>
  <c r="H168" i="145"/>
  <c r="H46" i="145"/>
  <c r="H118" i="145"/>
  <c r="H202" i="145"/>
  <c r="H82" i="145"/>
  <c r="H91" i="145"/>
  <c r="H55" i="145"/>
  <c r="H28" i="145"/>
  <c r="H164" i="145"/>
  <c r="H172" i="145"/>
  <c r="H38" i="145"/>
  <c r="H183" i="145"/>
  <c r="H68" i="145"/>
  <c r="H192" i="145"/>
  <c r="H205" i="145"/>
  <c r="H78" i="145"/>
  <c r="H109" i="145"/>
  <c r="H140" i="145"/>
  <c r="H184" i="145"/>
  <c r="H67" i="145"/>
  <c r="H29" i="145"/>
  <c r="H42" i="145"/>
  <c r="H31" i="145"/>
  <c r="H48" i="145"/>
  <c r="H150" i="145"/>
  <c r="H71" i="145"/>
  <c r="H201" i="145"/>
  <c r="H129" i="145"/>
  <c r="H51" i="145"/>
  <c r="H166" i="145"/>
  <c r="H86" i="145"/>
  <c r="H195" i="145"/>
  <c r="H74" i="145"/>
  <c r="H152" i="145"/>
  <c r="H32" i="145"/>
  <c r="H101" i="145"/>
  <c r="H187" i="145"/>
  <c r="H66" i="145"/>
  <c r="H64" i="145"/>
  <c r="H30" i="145"/>
  <c r="H196" i="145"/>
  <c r="H133" i="145"/>
  <c r="H92" i="145"/>
  <c r="H197" i="145"/>
  <c r="H203" i="145"/>
  <c r="H107" i="145"/>
  <c r="H170" i="145"/>
  <c r="H72" i="145"/>
  <c r="H176" i="145"/>
  <c r="H143" i="145"/>
  <c r="H167" i="145"/>
  <c r="H50" i="145"/>
  <c r="H88" i="145"/>
  <c r="H130" i="145"/>
  <c r="H75" i="145"/>
  <c r="H157" i="145"/>
  <c r="H124" i="145"/>
  <c r="H111" i="145"/>
  <c r="H98" i="145"/>
  <c r="H141" i="145"/>
  <c r="H61" i="145"/>
  <c r="H191" i="145"/>
  <c r="H117" i="145"/>
  <c r="H43" i="145"/>
  <c r="H156" i="145"/>
  <c r="H76" i="145"/>
  <c r="H181" i="145"/>
  <c r="H60" i="145"/>
  <c r="H136" i="145"/>
  <c r="H206" i="145"/>
  <c r="H85" i="145"/>
  <c r="H173" i="145"/>
  <c r="H52" i="145"/>
  <c r="H36" i="145"/>
  <c r="H204" i="145"/>
  <c r="H171" i="145"/>
  <c r="H100" i="145"/>
  <c r="H161" i="145"/>
  <c r="H158" i="145"/>
  <c r="H131" i="145"/>
  <c r="H35" i="145"/>
  <c r="H47" i="145"/>
  <c r="H160" i="145"/>
  <c r="H142" i="145"/>
  <c r="H37" i="145"/>
  <c r="H127" i="145"/>
  <c r="H165" i="145"/>
  <c r="H114" i="145"/>
  <c r="H99" i="145"/>
  <c r="H116" i="145"/>
  <c r="H151" i="145"/>
  <c r="H83" i="145"/>
  <c r="H193" i="145"/>
  <c r="H119" i="145"/>
  <c r="H45" i="145"/>
  <c r="H175" i="145"/>
  <c r="H97" i="145"/>
  <c r="H27" i="145"/>
  <c r="H137" i="145"/>
  <c r="H58" i="145"/>
  <c r="H153" i="145"/>
  <c r="H33" i="145"/>
  <c r="H102" i="145"/>
  <c r="H179" i="145"/>
  <c r="H56" i="145"/>
  <c r="H145" i="145"/>
  <c r="H25" i="145"/>
  <c r="H178" i="145"/>
  <c r="H146" i="145"/>
  <c r="H108" i="145"/>
  <c r="H41" i="145"/>
  <c r="H132" i="145"/>
  <c r="H126" i="145"/>
  <c r="H185" i="145"/>
  <c r="H200" i="145"/>
  <c r="H44" i="145"/>
  <c r="H186" i="145"/>
  <c r="H177" i="145"/>
  <c r="H190" i="145"/>
  <c r="H73" i="145"/>
  <c r="H115" i="145"/>
  <c r="H65" i="145"/>
  <c r="G215" i="145"/>
  <c r="G238" i="49"/>
  <c r="G215" i="53"/>
  <c r="H205" i="118"/>
  <c r="H91" i="118"/>
  <c r="H66" i="118"/>
  <c r="H34" i="118"/>
  <c r="H33" i="118"/>
  <c r="H167" i="118"/>
  <c r="H150" i="118"/>
  <c r="H106" i="118"/>
  <c r="H193" i="118"/>
  <c r="H172" i="118"/>
  <c r="H160" i="118"/>
  <c r="H155" i="118"/>
  <c r="H117" i="118"/>
  <c r="H187" i="118"/>
  <c r="H38" i="118"/>
  <c r="H108" i="118"/>
  <c r="H89" i="118"/>
  <c r="H72" i="118"/>
  <c r="H135" i="118"/>
  <c r="H111" i="118"/>
  <c r="H186" i="118"/>
  <c r="H176" i="118"/>
  <c r="H92" i="118"/>
  <c r="H164" i="118"/>
  <c r="H82" i="118"/>
  <c r="H118" i="118"/>
  <c r="H141" i="118"/>
  <c r="H203" i="118"/>
  <c r="H158" i="118"/>
  <c r="H138" i="118"/>
  <c r="H206" i="118"/>
  <c r="H77" i="118"/>
  <c r="H65" i="118"/>
  <c r="H100" i="118"/>
  <c r="H129" i="118"/>
  <c r="H191" i="118"/>
  <c r="H119" i="118"/>
  <c r="H67" i="118"/>
  <c r="H115" i="118"/>
  <c r="H58" i="118"/>
  <c r="H78" i="118"/>
  <c r="H179" i="118"/>
  <c r="H56" i="118"/>
  <c r="H53" i="118"/>
  <c r="H55" i="118"/>
  <c r="H102" i="118"/>
  <c r="H123" i="118"/>
  <c r="H159" i="118"/>
  <c r="H90" i="118"/>
  <c r="H85" i="118"/>
  <c r="H74" i="118"/>
  <c r="H28" i="118"/>
  <c r="H178" i="118"/>
  <c r="H96" i="118"/>
  <c r="H45" i="118"/>
  <c r="H196" i="118"/>
  <c r="H170" i="118"/>
  <c r="H152" i="118"/>
  <c r="H132" i="118"/>
  <c r="H52" i="118"/>
  <c r="H40" i="118"/>
  <c r="H88" i="118"/>
  <c r="H31" i="118"/>
  <c r="H93" i="118"/>
  <c r="H145" i="118"/>
  <c r="H110" i="118"/>
  <c r="H47" i="118"/>
  <c r="H44" i="118"/>
  <c r="H76" i="118"/>
  <c r="H107" i="118"/>
  <c r="H87" i="118"/>
  <c r="H71" i="118"/>
  <c r="H105" i="118"/>
  <c r="H174" i="118"/>
  <c r="H182" i="118"/>
  <c r="H26" i="118"/>
  <c r="H177" i="118"/>
  <c r="H43" i="118"/>
  <c r="H86" i="118"/>
  <c r="H192" i="118"/>
  <c r="H41" i="118"/>
  <c r="H116" i="118"/>
  <c r="H97" i="118"/>
  <c r="H57" i="118"/>
  <c r="H60" i="118"/>
  <c r="H68" i="118"/>
  <c r="H30" i="118"/>
  <c r="H168" i="118"/>
  <c r="H64" i="118"/>
  <c r="H161" i="118"/>
  <c r="H127" i="118"/>
  <c r="H125" i="118"/>
  <c r="H79" i="118"/>
  <c r="H35" i="118"/>
  <c r="H126" i="118"/>
  <c r="H156" i="118"/>
  <c r="H49" i="118"/>
  <c r="H157" i="118"/>
  <c r="H83" i="118"/>
  <c r="H130" i="118"/>
  <c r="H29" i="118"/>
  <c r="H188" i="118"/>
  <c r="H136" i="118"/>
  <c r="H151" i="118"/>
  <c r="H166" i="118"/>
  <c r="H133" i="118"/>
  <c r="H25" i="118"/>
  <c r="H59" i="118"/>
  <c r="K12" i="118"/>
  <c r="H181" i="118"/>
  <c r="H175" i="118"/>
  <c r="H149" i="118"/>
  <c r="H202" i="118"/>
  <c r="H137" i="118"/>
  <c r="H148" i="118"/>
  <c r="H73" i="118"/>
  <c r="H37" i="118"/>
  <c r="H42" i="118"/>
  <c r="H201" i="118"/>
  <c r="H75" i="118"/>
  <c r="H54" i="118"/>
  <c r="H180" i="118"/>
  <c r="H50" i="118"/>
  <c r="H69" i="118"/>
  <c r="H99" i="118"/>
  <c r="H98" i="118"/>
  <c r="H173" i="118"/>
  <c r="H51" i="118"/>
  <c r="H27" i="118"/>
  <c r="H46" i="118"/>
  <c r="H197" i="118"/>
  <c r="H70" i="118"/>
  <c r="H153" i="118"/>
  <c r="H183" i="118"/>
  <c r="H36" i="118"/>
  <c r="H189" i="118"/>
  <c r="H195" i="118"/>
  <c r="H194" i="118"/>
  <c r="H114" i="118"/>
  <c r="H185" i="118"/>
  <c r="H124" i="118"/>
  <c r="H171" i="118"/>
  <c r="H84" i="118"/>
  <c r="H165" i="118"/>
  <c r="H140" i="118"/>
  <c r="H101" i="118"/>
  <c r="H190" i="118"/>
  <c r="H61" i="118"/>
  <c r="H142" i="118"/>
  <c r="H32" i="118"/>
  <c r="H208" i="118"/>
  <c r="H200" i="118"/>
  <c r="H39" i="118"/>
  <c r="H204" i="118"/>
  <c r="H184" i="118"/>
  <c r="H146" i="118"/>
  <c r="H131" i="118"/>
  <c r="H48" i="118"/>
  <c r="H169" i="118"/>
  <c r="H147" i="118"/>
  <c r="H143" i="118"/>
  <c r="H109" i="118"/>
  <c r="G238" i="63"/>
  <c r="H166" i="28"/>
  <c r="H200" i="28"/>
  <c r="H147" i="28"/>
  <c r="H205" i="28"/>
  <c r="H109" i="28"/>
  <c r="H40" i="28"/>
  <c r="H73" i="28"/>
  <c r="H167" i="28"/>
  <c r="H78" i="28"/>
  <c r="H197" i="28"/>
  <c r="H97" i="28"/>
  <c r="H156" i="28"/>
  <c r="H119" i="28"/>
  <c r="H126" i="28"/>
  <c r="H189" i="28"/>
  <c r="G215" i="28"/>
  <c r="H136" i="28"/>
  <c r="H185" i="28"/>
  <c r="H188" i="28"/>
  <c r="H32" i="28"/>
  <c r="H89" i="28"/>
  <c r="H48" i="28"/>
  <c r="H180" i="28"/>
  <c r="H114" i="28"/>
  <c r="H28" i="28"/>
  <c r="H127" i="28"/>
  <c r="H138" i="28"/>
  <c r="H181" i="28"/>
  <c r="H96" i="28"/>
  <c r="H203" i="28"/>
  <c r="H85" i="28"/>
  <c r="H194" i="28"/>
  <c r="H148" i="28"/>
  <c r="H107" i="28"/>
  <c r="H111" i="28"/>
  <c r="H133" i="28"/>
  <c r="H88" i="28"/>
  <c r="H43" i="28"/>
  <c r="H86" i="28"/>
  <c r="H79" i="28"/>
  <c r="H71" i="28"/>
  <c r="H129" i="28"/>
  <c r="H69" i="28"/>
  <c r="H159" i="28"/>
  <c r="H58" i="28"/>
  <c r="H176" i="28"/>
  <c r="H116" i="28"/>
  <c r="H72" i="28"/>
  <c r="H201" i="28"/>
  <c r="H36" i="28"/>
  <c r="H52" i="28"/>
  <c r="H131" i="28"/>
  <c r="H49" i="28"/>
  <c r="H137" i="28"/>
  <c r="H92" i="28"/>
  <c r="H84" i="28"/>
  <c r="H146" i="28"/>
  <c r="H102" i="28"/>
  <c r="H179" i="28"/>
  <c r="H178" i="28"/>
  <c r="H169" i="28"/>
  <c r="H42" i="28"/>
  <c r="H56" i="28"/>
  <c r="H93" i="28"/>
  <c r="H70" i="28"/>
  <c r="H174" i="28"/>
  <c r="H158" i="28"/>
  <c r="H108" i="28"/>
  <c r="H30" i="28"/>
  <c r="H64" i="28"/>
  <c r="H157" i="28"/>
  <c r="H39" i="28"/>
  <c r="H41" i="28"/>
  <c r="H31" i="28"/>
  <c r="H35" i="28"/>
  <c r="H75" i="28"/>
  <c r="H182" i="28"/>
  <c r="H123" i="28"/>
  <c r="H45" i="28"/>
  <c r="K12" i="28"/>
  <c r="H150" i="28"/>
  <c r="H186" i="28"/>
  <c r="H183" i="28"/>
  <c r="H118" i="28"/>
  <c r="H66" i="28"/>
  <c r="H204" i="28"/>
  <c r="H105" i="28"/>
  <c r="H87" i="28"/>
  <c r="H26" i="28"/>
  <c r="H164" i="28"/>
  <c r="H55" i="28"/>
  <c r="H82" i="28"/>
  <c r="H193" i="28"/>
  <c r="H60" i="28"/>
  <c r="H175" i="28"/>
  <c r="H34" i="28"/>
  <c r="H173" i="28"/>
  <c r="H91" i="28"/>
  <c r="H51" i="28"/>
  <c r="H141" i="28"/>
  <c r="H151" i="28"/>
  <c r="H190" i="28"/>
  <c r="H187" i="28"/>
  <c r="H171" i="28"/>
  <c r="H135" i="28"/>
  <c r="H44" i="28"/>
  <c r="H208" i="28"/>
  <c r="H83" i="28"/>
  <c r="H195" i="28"/>
  <c r="H196" i="28"/>
  <c r="H101" i="28"/>
  <c r="H46" i="28"/>
  <c r="H65" i="28"/>
  <c r="H53" i="28"/>
  <c r="H149" i="28"/>
  <c r="H98" i="28"/>
  <c r="H106" i="28"/>
  <c r="H206" i="28"/>
  <c r="H99" i="28"/>
  <c r="H59" i="28"/>
  <c r="H145" i="28"/>
  <c r="H125" i="28"/>
  <c r="H202" i="28"/>
  <c r="H25" i="28"/>
  <c r="H191" i="28"/>
  <c r="H50" i="28"/>
  <c r="H33" i="28"/>
  <c r="H117" i="28"/>
  <c r="H132" i="28"/>
  <c r="H153" i="28"/>
  <c r="H54" i="28"/>
  <c r="H165" i="28"/>
  <c r="H168" i="28"/>
  <c r="H61" i="28"/>
  <c r="H100" i="28"/>
  <c r="H192" i="28"/>
  <c r="H140" i="28"/>
  <c r="H38" i="28"/>
  <c r="H130" i="28"/>
  <c r="H143" i="28"/>
  <c r="H77" i="28"/>
  <c r="H160" i="28"/>
  <c r="H110" i="28"/>
  <c r="H47" i="28"/>
  <c r="H161" i="28"/>
  <c r="H37" i="28"/>
  <c r="H90" i="28"/>
  <c r="H170" i="28"/>
  <c r="H124" i="28"/>
  <c r="H115" i="28"/>
  <c r="H152" i="28"/>
  <c r="H57" i="28"/>
  <c r="H142" i="28"/>
  <c r="H155" i="28"/>
  <c r="H27" i="28"/>
  <c r="H172" i="28"/>
  <c r="H29" i="28"/>
  <c r="H184" i="28"/>
  <c r="H177" i="28"/>
  <c r="H74" i="28"/>
  <c r="H67" i="28"/>
  <c r="H76" i="28"/>
  <c r="H68" i="28"/>
  <c r="K12" i="98"/>
  <c r="H116" i="98"/>
  <c r="H41" i="98"/>
  <c r="H82" i="98"/>
  <c r="H176" i="98"/>
  <c r="H153" i="98"/>
  <c r="H130" i="98"/>
  <c r="H181" i="98"/>
  <c r="H91" i="98"/>
  <c r="H59" i="98"/>
  <c r="H36" i="98"/>
  <c r="H126" i="98"/>
  <c r="H55" i="98"/>
  <c r="H191" i="98"/>
  <c r="H201" i="98"/>
  <c r="H156" i="98"/>
  <c r="H66" i="98"/>
  <c r="H83" i="98"/>
  <c r="H149" i="98"/>
  <c r="H172" i="98"/>
  <c r="H189" i="98"/>
  <c r="H208" i="98"/>
  <c r="H45" i="98"/>
  <c r="H39" i="98"/>
  <c r="H73" i="98"/>
  <c r="H152" i="98"/>
  <c r="H33" i="98"/>
  <c r="H40" i="98"/>
  <c r="H99" i="98"/>
  <c r="H28" i="98"/>
  <c r="H57" i="98"/>
  <c r="H60" i="98"/>
  <c r="H202" i="98"/>
  <c r="H166" i="98"/>
  <c r="H129" i="98"/>
  <c r="H77" i="98"/>
  <c r="H148" i="98"/>
  <c r="H118" i="98"/>
  <c r="H107" i="98"/>
  <c r="H43" i="98"/>
  <c r="H131" i="98"/>
  <c r="H155" i="98"/>
  <c r="H146" i="98"/>
  <c r="H50" i="98"/>
  <c r="H132" i="98"/>
  <c r="H30" i="98"/>
  <c r="H161" i="98"/>
  <c r="H92" i="98"/>
  <c r="H97" i="98"/>
  <c r="H138" i="98"/>
  <c r="H96" i="98"/>
  <c r="H170" i="98"/>
  <c r="H84" i="98"/>
  <c r="H34" i="98"/>
  <c r="H192" i="98"/>
  <c r="H196" i="98"/>
  <c r="H142" i="98"/>
  <c r="H151" i="98"/>
  <c r="H27" i="98"/>
  <c r="H32" i="98"/>
  <c r="H86" i="98"/>
  <c r="H71" i="98"/>
  <c r="H87" i="98"/>
  <c r="H69" i="98"/>
  <c r="H37" i="98"/>
  <c r="H177" i="98"/>
  <c r="H136" i="98"/>
  <c r="H115" i="98"/>
  <c r="H133" i="98"/>
  <c r="H54" i="98"/>
  <c r="H85" i="98"/>
  <c r="H168" i="98"/>
  <c r="H158" i="98"/>
  <c r="H35" i="98"/>
  <c r="H180" i="98"/>
  <c r="H31" i="98"/>
  <c r="H90" i="98"/>
  <c r="H70" i="98"/>
  <c r="H38" i="98"/>
  <c r="H206" i="98"/>
  <c r="H65" i="98"/>
  <c r="H25" i="98"/>
  <c r="H110" i="98"/>
  <c r="H178" i="98"/>
  <c r="H174" i="98"/>
  <c r="H98" i="98"/>
  <c r="H61" i="98"/>
  <c r="H135" i="98"/>
  <c r="H159" i="98"/>
  <c r="H157" i="98"/>
  <c r="H106" i="98"/>
  <c r="H160" i="98"/>
  <c r="H72" i="98"/>
  <c r="H100" i="98"/>
  <c r="H186" i="98"/>
  <c r="H46" i="98"/>
  <c r="H68" i="98"/>
  <c r="H145" i="98"/>
  <c r="H169" i="98"/>
  <c r="H89" i="98"/>
  <c r="H102" i="98"/>
  <c r="H48" i="98"/>
  <c r="H44" i="98"/>
  <c r="H78" i="98"/>
  <c r="H205" i="98"/>
  <c r="H58" i="98"/>
  <c r="H49" i="98"/>
  <c r="H183" i="98"/>
  <c r="H127" i="98"/>
  <c r="H125" i="98"/>
  <c r="H64" i="98"/>
  <c r="H195" i="98"/>
  <c r="H29" i="98"/>
  <c r="H108" i="98"/>
  <c r="H123" i="98"/>
  <c r="H124" i="98"/>
  <c r="H141" i="98"/>
  <c r="H26" i="98"/>
  <c r="H184" i="98"/>
  <c r="H88" i="98"/>
  <c r="H190" i="98"/>
  <c r="H193" i="98"/>
  <c r="H67" i="98"/>
  <c r="H53" i="98"/>
  <c r="H185" i="98"/>
  <c r="H101" i="98"/>
  <c r="H203" i="98"/>
  <c r="H194" i="98"/>
  <c r="H119" i="98"/>
  <c r="H150" i="98"/>
  <c r="H204" i="98"/>
  <c r="H179" i="98"/>
  <c r="H79" i="98"/>
  <c r="H47" i="98"/>
  <c r="H109" i="98"/>
  <c r="H140" i="98"/>
  <c r="H117" i="98"/>
  <c r="H143" i="98"/>
  <c r="H182" i="98"/>
  <c r="H187" i="98"/>
  <c r="H171" i="98"/>
  <c r="H165" i="98"/>
  <c r="H164" i="98"/>
  <c r="H56" i="98"/>
  <c r="H75" i="98"/>
  <c r="H76" i="98"/>
  <c r="H51" i="98"/>
  <c r="H188" i="98"/>
  <c r="H52" i="98"/>
  <c r="H175" i="98"/>
  <c r="H93" i="98"/>
  <c r="H137" i="98"/>
  <c r="H147" i="98"/>
  <c r="H42" i="98"/>
  <c r="H173" i="98"/>
  <c r="H105" i="98"/>
  <c r="H197" i="98"/>
  <c r="H114" i="98"/>
  <c r="H74" i="98"/>
  <c r="H111" i="98"/>
  <c r="H200" i="98"/>
  <c r="H167" i="98"/>
  <c r="H203" i="37"/>
  <c r="H183" i="37"/>
  <c r="H58" i="37"/>
  <c r="H136" i="37"/>
  <c r="H88" i="37"/>
  <c r="H119" i="37"/>
  <c r="H92" i="37"/>
  <c r="H190" i="37"/>
  <c r="H170" i="37"/>
  <c r="H192" i="37"/>
  <c r="H66" i="37"/>
  <c r="H27" i="37"/>
  <c r="H35" i="37"/>
  <c r="H164" i="37"/>
  <c r="H201" i="37"/>
  <c r="H161" i="37"/>
  <c r="H77" i="37"/>
  <c r="H33" i="37"/>
  <c r="H75" i="37"/>
  <c r="H142" i="37"/>
  <c r="H28" i="37"/>
  <c r="H177" i="37"/>
  <c r="H53" i="37"/>
  <c r="H146" i="37"/>
  <c r="H25" i="37"/>
  <c r="H125" i="37"/>
  <c r="H159" i="37"/>
  <c r="H71" i="37"/>
  <c r="H108" i="37"/>
  <c r="H195" i="37"/>
  <c r="H56" i="37"/>
  <c r="H132" i="37"/>
  <c r="H55" i="37"/>
  <c r="H87" i="37"/>
  <c r="H26" i="37"/>
  <c r="H176" i="37"/>
  <c r="H57" i="37"/>
  <c r="H151" i="37"/>
  <c r="H39" i="37"/>
  <c r="H68" i="37"/>
  <c r="H93" i="37"/>
  <c r="H45" i="37"/>
  <c r="H168" i="37"/>
  <c r="H131" i="37"/>
  <c r="H196" i="37"/>
  <c r="H100" i="37"/>
  <c r="H69" i="37"/>
  <c r="H109" i="37"/>
  <c r="H38" i="37"/>
  <c r="H48" i="37"/>
  <c r="H82" i="37"/>
  <c r="H74" i="37"/>
  <c r="H179" i="37"/>
  <c r="H61" i="37"/>
  <c r="H34" i="37"/>
  <c r="H64" i="37"/>
  <c r="H184" i="37"/>
  <c r="H84" i="37"/>
  <c r="H150" i="37"/>
  <c r="H43" i="37"/>
  <c r="H130" i="37"/>
  <c r="H106" i="37"/>
  <c r="H145" i="37"/>
  <c r="H189" i="37"/>
  <c r="H175" i="37"/>
  <c r="H187" i="37"/>
  <c r="H172" i="37"/>
  <c r="H194" i="37"/>
  <c r="H123" i="37"/>
  <c r="H105" i="37"/>
  <c r="H117" i="37"/>
  <c r="H167" i="37"/>
  <c r="H126" i="37"/>
  <c r="H44" i="37"/>
  <c r="H76" i="37"/>
  <c r="H102" i="37"/>
  <c r="H47" i="37"/>
  <c r="H116" i="37"/>
  <c r="H73" i="37"/>
  <c r="H60" i="37"/>
  <c r="H180" i="37"/>
  <c r="H67" i="37"/>
  <c r="H54" i="37"/>
  <c r="H96" i="37"/>
  <c r="H147" i="37"/>
  <c r="H173" i="37"/>
  <c r="H200" i="37"/>
  <c r="H115" i="37"/>
  <c r="H32" i="37"/>
  <c r="H178" i="37"/>
  <c r="H186" i="37"/>
  <c r="H127" i="37"/>
  <c r="H208" i="37"/>
  <c r="H166" i="37"/>
  <c r="H160" i="37"/>
  <c r="H90" i="37"/>
  <c r="H157" i="37"/>
  <c r="H153" i="37"/>
  <c r="H185" i="37"/>
  <c r="H137" i="37"/>
  <c r="H40" i="37"/>
  <c r="H97" i="37"/>
  <c r="H141" i="37"/>
  <c r="H165" i="37"/>
  <c r="H174" i="37"/>
  <c r="H83" i="37"/>
  <c r="H49" i="37"/>
  <c r="H99" i="37"/>
  <c r="H98" i="37"/>
  <c r="H110" i="37"/>
  <c r="H46" i="37"/>
  <c r="H86" i="37"/>
  <c r="H31" i="37"/>
  <c r="H41" i="37"/>
  <c r="H85" i="37"/>
  <c r="H78" i="37"/>
  <c r="H52" i="37"/>
  <c r="H107" i="37"/>
  <c r="H79" i="37"/>
  <c r="H89" i="37"/>
  <c r="H50" i="37"/>
  <c r="H202" i="37"/>
  <c r="H29" i="37"/>
  <c r="H182" i="37"/>
  <c r="H59" i="37"/>
  <c r="H138" i="37"/>
  <c r="H158" i="37"/>
  <c r="H143" i="37"/>
  <c r="H135" i="37"/>
  <c r="H204" i="37"/>
  <c r="H171" i="37"/>
  <c r="H91" i="37"/>
  <c r="H51" i="37"/>
  <c r="H101" i="37"/>
  <c r="H36" i="37"/>
  <c r="H156" i="37"/>
  <c r="H148" i="37"/>
  <c r="H133" i="37"/>
  <c r="H124" i="37"/>
  <c r="H42" i="37"/>
  <c r="H205" i="37"/>
  <c r="H206" i="37"/>
  <c r="H70" i="37"/>
  <c r="H129" i="37"/>
  <c r="H181" i="37"/>
  <c r="H149" i="37"/>
  <c r="H30" i="37"/>
  <c r="H111" i="37"/>
  <c r="H65" i="37"/>
  <c r="H193" i="37"/>
  <c r="H37" i="37"/>
  <c r="H188" i="37"/>
  <c r="H72" i="37"/>
  <c r="H118" i="37"/>
  <c r="H140" i="37"/>
  <c r="H197" i="37"/>
  <c r="H155" i="37"/>
  <c r="H152" i="37"/>
  <c r="K12" i="37"/>
  <c r="H114" i="37"/>
  <c r="H169" i="37"/>
  <c r="H191" i="37"/>
  <c r="G215" i="37"/>
  <c r="J145" i="97"/>
  <c r="J149" i="97"/>
  <c r="J186" i="97"/>
  <c r="J203" i="97"/>
  <c r="J153" i="97"/>
  <c r="H58" i="43"/>
  <c r="H33" i="43"/>
  <c r="H188" i="43"/>
  <c r="H204" i="43"/>
  <c r="H182" i="43"/>
  <c r="H187" i="43"/>
  <c r="H167" i="43"/>
  <c r="H86" i="43"/>
  <c r="H46" i="43"/>
  <c r="H159" i="43"/>
  <c r="H136" i="43"/>
  <c r="H43" i="43"/>
  <c r="H181" i="43"/>
  <c r="H92" i="43"/>
  <c r="H44" i="43"/>
  <c r="H164" i="43"/>
  <c r="H110" i="43"/>
  <c r="H183" i="43"/>
  <c r="H67" i="43"/>
  <c r="H52" i="43"/>
  <c r="H64" i="43"/>
  <c r="H125" i="43"/>
  <c r="H127" i="43"/>
  <c r="H89" i="43"/>
  <c r="H119" i="43"/>
  <c r="H85" i="43"/>
  <c r="K12" i="43"/>
  <c r="H100" i="43"/>
  <c r="H171" i="43"/>
  <c r="H206" i="43"/>
  <c r="H131" i="43"/>
  <c r="H79" i="43"/>
  <c r="H107" i="43"/>
  <c r="H29" i="43"/>
  <c r="H38" i="43"/>
  <c r="H74" i="43"/>
  <c r="H35" i="43"/>
  <c r="H178" i="43"/>
  <c r="H149" i="43"/>
  <c r="H114" i="43"/>
  <c r="H132" i="43"/>
  <c r="H105" i="43"/>
  <c r="H93" i="43"/>
  <c r="H54" i="43"/>
  <c r="H186" i="43"/>
  <c r="H146" i="43"/>
  <c r="H59" i="43"/>
  <c r="H200" i="43"/>
  <c r="H123" i="43"/>
  <c r="H88" i="43"/>
  <c r="H192" i="43"/>
  <c r="H143" i="43"/>
  <c r="H145" i="43"/>
  <c r="H41" i="43"/>
  <c r="H83" i="43"/>
  <c r="H118" i="43"/>
  <c r="H151" i="43"/>
  <c r="H53" i="43"/>
  <c r="H96" i="43"/>
  <c r="H73" i="43"/>
  <c r="H202" i="43"/>
  <c r="H99" i="43"/>
  <c r="H197" i="43"/>
  <c r="H140" i="43"/>
  <c r="H66" i="43"/>
  <c r="H87" i="43"/>
  <c r="H158" i="43"/>
  <c r="H185" i="43"/>
  <c r="H173" i="43"/>
  <c r="H98" i="43"/>
  <c r="H71" i="43"/>
  <c r="H37" i="43"/>
  <c r="H56" i="43"/>
  <c r="H31" i="43"/>
  <c r="H194" i="43"/>
  <c r="H155" i="43"/>
  <c r="H70" i="43"/>
  <c r="H47" i="43"/>
  <c r="H160" i="43"/>
  <c r="H106" i="43"/>
  <c r="H32" i="43"/>
  <c r="H172" i="43"/>
  <c r="H76" i="43"/>
  <c r="H45" i="43"/>
  <c r="H51" i="43"/>
  <c r="H174" i="43"/>
  <c r="H196" i="43"/>
  <c r="H165" i="43"/>
  <c r="H90" i="43"/>
  <c r="G215" i="43"/>
  <c r="H142" i="43"/>
  <c r="H60" i="43"/>
  <c r="H28" i="43"/>
  <c r="H102" i="43"/>
  <c r="H170" i="43"/>
  <c r="H133" i="43"/>
  <c r="H42" i="43"/>
  <c r="H152" i="43"/>
  <c r="H150" i="43"/>
  <c r="H61" i="43"/>
  <c r="H75" i="43"/>
  <c r="H156" i="43"/>
  <c r="H191" i="43"/>
  <c r="H27" i="43"/>
  <c r="H190" i="43"/>
  <c r="H195" i="43"/>
  <c r="H176" i="43"/>
  <c r="H137" i="43"/>
  <c r="H78" i="43"/>
  <c r="H55" i="43"/>
  <c r="H169" i="43"/>
  <c r="H115" i="43"/>
  <c r="H48" i="43"/>
  <c r="H205" i="43"/>
  <c r="H129" i="43"/>
  <c r="H72" i="43"/>
  <c r="H175" i="43"/>
  <c r="H161" i="43"/>
  <c r="H201" i="43"/>
  <c r="H77" i="43"/>
  <c r="H101" i="43"/>
  <c r="H34" i="43"/>
  <c r="H30" i="43"/>
  <c r="H116" i="43"/>
  <c r="H177" i="43"/>
  <c r="H148" i="43"/>
  <c r="H82" i="43"/>
  <c r="H126" i="43"/>
  <c r="H147" i="43"/>
  <c r="H168" i="43"/>
  <c r="H130" i="43"/>
  <c r="H109" i="43"/>
  <c r="H138" i="43"/>
  <c r="H69" i="43"/>
  <c r="H179" i="43"/>
  <c r="H91" i="43"/>
  <c r="H40" i="43"/>
  <c r="H65" i="43"/>
  <c r="H39" i="43"/>
  <c r="H50" i="43"/>
  <c r="H25" i="43"/>
  <c r="H180" i="43"/>
  <c r="H84" i="43"/>
  <c r="H36" i="43"/>
  <c r="H157" i="43"/>
  <c r="H124" i="43"/>
  <c r="H49" i="43"/>
  <c r="H153" i="43"/>
  <c r="H108" i="43"/>
  <c r="H203" i="43"/>
  <c r="H166" i="43"/>
  <c r="H208" i="43"/>
  <c r="H189" i="43"/>
  <c r="H111" i="43"/>
  <c r="H97" i="43"/>
  <c r="H193" i="43"/>
  <c r="H184" i="43"/>
  <c r="H57" i="43"/>
  <c r="H117" i="43"/>
  <c r="H135" i="43"/>
  <c r="H68" i="43"/>
  <c r="H141" i="43"/>
  <c r="H26" i="43"/>
  <c r="G238" i="155"/>
  <c r="G215" i="55"/>
  <c r="H106" i="58"/>
  <c r="H99" i="58"/>
  <c r="H109" i="58"/>
  <c r="H110" i="58"/>
  <c r="H190" i="58"/>
  <c r="H82" i="58"/>
  <c r="H108" i="58"/>
  <c r="H66" i="58"/>
  <c r="H48" i="58"/>
  <c r="H88" i="58"/>
  <c r="H84" i="58"/>
  <c r="H146" i="58"/>
  <c r="H187" i="58"/>
  <c r="H137" i="58"/>
  <c r="H188" i="58"/>
  <c r="H153" i="58"/>
  <c r="H59" i="58"/>
  <c r="H200" i="58"/>
  <c r="H195" i="58"/>
  <c r="H203" i="58"/>
  <c r="H135" i="58"/>
  <c r="H159" i="58"/>
  <c r="H145" i="58"/>
  <c r="H29" i="58"/>
  <c r="H101" i="58"/>
  <c r="H167" i="58"/>
  <c r="H70" i="58"/>
  <c r="H87" i="58"/>
  <c r="H168" i="58"/>
  <c r="H205" i="58"/>
  <c r="H26" i="58"/>
  <c r="H189" i="58"/>
  <c r="H42" i="58"/>
  <c r="H124" i="58"/>
  <c r="H57" i="58"/>
  <c r="H125" i="58"/>
  <c r="H152" i="58"/>
  <c r="H147" i="58"/>
  <c r="H39" i="58"/>
  <c r="H86" i="58"/>
  <c r="H76" i="58"/>
  <c r="H46" i="58"/>
  <c r="H197" i="58"/>
  <c r="H173" i="58"/>
  <c r="H169" i="58"/>
  <c r="H133" i="58"/>
  <c r="H65" i="58"/>
  <c r="H43" i="58"/>
  <c r="H196" i="58"/>
  <c r="H47" i="58"/>
  <c r="H55" i="58"/>
  <c r="H132" i="58"/>
  <c r="H119" i="58"/>
  <c r="H192" i="58"/>
  <c r="H208" i="58"/>
  <c r="H174" i="58"/>
  <c r="H64" i="58"/>
  <c r="H117" i="58"/>
  <c r="H123" i="58"/>
  <c r="H136" i="58"/>
  <c r="H178" i="58"/>
  <c r="H72" i="58"/>
  <c r="H49" i="58"/>
  <c r="H116" i="58"/>
  <c r="H74" i="58"/>
  <c r="H56" i="58"/>
  <c r="H193" i="58"/>
  <c r="H180" i="58"/>
  <c r="H143" i="58"/>
  <c r="H175" i="58"/>
  <c r="H115" i="58"/>
  <c r="H179" i="58"/>
  <c r="H69" i="58"/>
  <c r="H127" i="58"/>
  <c r="H85" i="58"/>
  <c r="H105" i="58"/>
  <c r="H141" i="58"/>
  <c r="H177" i="58"/>
  <c r="H148" i="58"/>
  <c r="H52" i="58"/>
  <c r="H182" i="58"/>
  <c r="H54" i="58"/>
  <c r="H131" i="58"/>
  <c r="H44" i="58"/>
  <c r="H32" i="58"/>
  <c r="H129" i="58"/>
  <c r="H25" i="58"/>
  <c r="H158" i="58"/>
  <c r="H186" i="58"/>
  <c r="H181" i="58"/>
  <c r="H202" i="58"/>
  <c r="H53" i="58"/>
  <c r="H184" i="58"/>
  <c r="H90" i="58"/>
  <c r="H92" i="58"/>
  <c r="H176" i="58"/>
  <c r="H45" i="58"/>
  <c r="H118" i="58"/>
  <c r="H68" i="58"/>
  <c r="H78" i="58"/>
  <c r="H73" i="58"/>
  <c r="H41" i="58"/>
  <c r="H96" i="58"/>
  <c r="H100" i="58"/>
  <c r="H30" i="58"/>
  <c r="H164" i="58"/>
  <c r="H156" i="58"/>
  <c r="H165" i="58"/>
  <c r="H71" i="58"/>
  <c r="H191" i="58"/>
  <c r="H102" i="58"/>
  <c r="H83" i="58"/>
  <c r="H28" i="58"/>
  <c r="H140" i="58"/>
  <c r="H107" i="58"/>
  <c r="H34" i="58"/>
  <c r="H75" i="58"/>
  <c r="H172" i="58"/>
  <c r="H183" i="58"/>
  <c r="H204" i="58"/>
  <c r="H36" i="58"/>
  <c r="H79" i="58"/>
  <c r="H89" i="58"/>
  <c r="H111" i="58"/>
  <c r="H61" i="58"/>
  <c r="H33" i="58"/>
  <c r="H77" i="58"/>
  <c r="H91" i="58"/>
  <c r="H138" i="58"/>
  <c r="H126" i="58"/>
  <c r="H50" i="58"/>
  <c r="H185" i="58"/>
  <c r="H157" i="58"/>
  <c r="K12" i="58"/>
  <c r="H160" i="58"/>
  <c r="H155" i="58"/>
  <c r="H142" i="58"/>
  <c r="H98" i="58"/>
  <c r="H171" i="58"/>
  <c r="H40" i="58"/>
  <c r="H201" i="58"/>
  <c r="H194" i="58"/>
  <c r="H37" i="58"/>
  <c r="H60" i="58"/>
  <c r="H51" i="58"/>
  <c r="H27" i="58"/>
  <c r="H170" i="58"/>
  <c r="H151" i="58"/>
  <c r="H58" i="58"/>
  <c r="H130" i="58"/>
  <c r="H150" i="58"/>
  <c r="H31" i="58"/>
  <c r="H161" i="58"/>
  <c r="H67" i="58"/>
  <c r="H35" i="58"/>
  <c r="H93" i="58"/>
  <c r="H166" i="58"/>
  <c r="H149" i="58"/>
  <c r="H38" i="58"/>
  <c r="H97" i="58"/>
  <c r="H114" i="58"/>
  <c r="H206" i="58"/>
  <c r="J33" i="97"/>
  <c r="J189" i="97"/>
  <c r="J30" i="97"/>
  <c r="J169" i="97"/>
  <c r="J138" i="97"/>
  <c r="J173" i="97"/>
  <c r="M18" i="97"/>
  <c r="G240" i="97"/>
  <c r="J104" i="97"/>
  <c r="J187" i="97"/>
  <c r="J105" i="97"/>
  <c r="H228" i="97"/>
  <c r="H17" i="97"/>
  <c r="H14" i="97"/>
  <c r="H23" i="97"/>
  <c r="H15" i="97"/>
  <c r="H20" i="97"/>
  <c r="M14" i="97"/>
  <c r="H22" i="97"/>
  <c r="H19" i="97"/>
  <c r="H16" i="97"/>
  <c r="H18" i="97"/>
  <c r="H24" i="97"/>
  <c r="H21" i="97"/>
  <c r="G238" i="113"/>
  <c r="J110" i="97"/>
  <c r="Q149" i="97"/>
  <c r="Q169" i="97"/>
  <c r="Q203" i="97"/>
  <c r="Q28" i="97"/>
  <c r="Q140" i="97"/>
  <c r="Q128" i="97"/>
  <c r="Q211" i="97"/>
  <c r="Q171" i="97"/>
  <c r="Q150" i="97"/>
  <c r="Q148" i="97"/>
  <c r="Q175" i="97"/>
  <c r="Q138" i="97"/>
  <c r="Q99" i="97"/>
  <c r="Q130" i="97"/>
  <c r="Q127" i="97"/>
  <c r="H231" i="97"/>
  <c r="Q129" i="97"/>
  <c r="H223" i="97"/>
  <c r="H226" i="97"/>
  <c r="H230" i="97"/>
  <c r="Q173" i="97"/>
  <c r="Q151" i="97"/>
  <c r="Q117" i="97"/>
  <c r="G239" i="97"/>
  <c r="Q152" i="97"/>
  <c r="Q30" i="97"/>
  <c r="Q54" i="97"/>
  <c r="Q167" i="97"/>
  <c r="H224" i="97"/>
  <c r="H225" i="97"/>
  <c r="Q126" i="97"/>
  <c r="Q108" i="97"/>
  <c r="Q85" i="97"/>
  <c r="Q139" i="97"/>
  <c r="Q29" i="97"/>
  <c r="Q141" i="97"/>
  <c r="M16" i="97"/>
  <c r="Q177" i="97"/>
  <c r="J41" i="97"/>
  <c r="J75" i="97"/>
  <c r="J192" i="97"/>
  <c r="J143" i="97"/>
  <c r="J119" i="97"/>
  <c r="J87" i="97"/>
  <c r="J176" i="97"/>
  <c r="J62" i="97"/>
  <c r="J94" i="97"/>
  <c r="J135" i="97"/>
  <c r="J175" i="97"/>
  <c r="J174" i="97"/>
  <c r="J170" i="97"/>
  <c r="J72" i="97"/>
  <c r="J76" i="97"/>
  <c r="J101" i="97"/>
  <c r="J61" i="97"/>
  <c r="J151" i="97"/>
  <c r="J81" i="97"/>
  <c r="J171" i="97"/>
  <c r="J190" i="97"/>
  <c r="J163" i="97"/>
  <c r="J194" i="97"/>
  <c r="J136" i="97"/>
  <c r="J132" i="97"/>
  <c r="J152" i="97"/>
  <c r="J35" i="97"/>
  <c r="J130" i="97"/>
  <c r="J91" i="97"/>
  <c r="J93" i="97"/>
  <c r="J60" i="97"/>
  <c r="J31" i="97"/>
  <c r="J127" i="97"/>
  <c r="J43" i="97"/>
  <c r="J160" i="97"/>
  <c r="J128" i="97"/>
  <c r="J172" i="97"/>
  <c r="J86" i="97"/>
  <c r="J78" i="97"/>
  <c r="J133" i="97"/>
  <c r="J120" i="97"/>
  <c r="J109" i="97"/>
  <c r="J161" i="97"/>
  <c r="J29" i="97"/>
  <c r="J111" i="97"/>
  <c r="J99" i="97"/>
  <c r="J108" i="97"/>
  <c r="J204" i="97"/>
  <c r="J59" i="97"/>
  <c r="J34" i="97"/>
  <c r="J95" i="97"/>
  <c r="J56" i="97"/>
  <c r="J77" i="97"/>
  <c r="J45" i="97"/>
  <c r="J155" i="97"/>
  <c r="J40" i="97"/>
  <c r="J183" i="97"/>
  <c r="J141" i="97"/>
  <c r="J188" i="97"/>
  <c r="J92" i="97"/>
  <c r="J144" i="97"/>
  <c r="J52" i="97"/>
  <c r="J208" i="97"/>
  <c r="J146" i="97"/>
  <c r="J113" i="97"/>
  <c r="J112" i="97"/>
  <c r="J154" i="97"/>
  <c r="J100" i="97"/>
  <c r="J73" i="97"/>
  <c r="J36" i="97"/>
  <c r="J206" i="97"/>
  <c r="J198" i="97"/>
  <c r="J139" i="97"/>
  <c r="H227" i="97"/>
  <c r="J126" i="97"/>
  <c r="J38" i="97"/>
  <c r="J71" i="97"/>
  <c r="J79" i="97"/>
  <c r="J103" i="97"/>
  <c r="J129" i="97"/>
  <c r="J209" i="97"/>
  <c r="J118" i="97"/>
  <c r="J88" i="97"/>
  <c r="J193" i="97"/>
  <c r="J185" i="97"/>
  <c r="J197" i="97"/>
  <c r="J117" i="97"/>
  <c r="J54" i="97"/>
  <c r="J181" i="97"/>
  <c r="J50" i="97"/>
  <c r="J195" i="97"/>
  <c r="H229" i="97"/>
  <c r="J58" i="97"/>
  <c r="J69" i="97"/>
  <c r="J158" i="97"/>
  <c r="J134" i="97"/>
  <c r="H222" i="97"/>
  <c r="J24" i="97"/>
  <c r="J148" i="97"/>
  <c r="J68" i="97"/>
  <c r="J70" i="97"/>
  <c r="J121" i="97"/>
  <c r="J102" i="97"/>
  <c r="J114" i="97"/>
  <c r="J80" i="97"/>
  <c r="J89" i="97"/>
  <c r="J96" i="97"/>
  <c r="H68" i="155" l="1"/>
  <c r="H33" i="155"/>
  <c r="H193" i="155"/>
  <c r="H79" i="155"/>
  <c r="H83" i="155"/>
  <c r="H130" i="155"/>
  <c r="H41" i="155"/>
  <c r="H31" i="155"/>
  <c r="H184" i="155"/>
  <c r="H157" i="155"/>
  <c r="H111" i="155"/>
  <c r="H160" i="155"/>
  <c r="H187" i="155"/>
  <c r="H175" i="155"/>
  <c r="H65" i="155"/>
  <c r="H36" i="155"/>
  <c r="H137" i="155"/>
  <c r="H202" i="155"/>
  <c r="H147" i="155"/>
  <c r="H89" i="155"/>
  <c r="H98" i="155"/>
  <c r="H117" i="155"/>
  <c r="H26" i="155"/>
  <c r="H194" i="155"/>
  <c r="H64" i="155"/>
  <c r="H86" i="155"/>
  <c r="H88" i="155"/>
  <c r="H152" i="155"/>
  <c r="H90" i="155"/>
  <c r="H72" i="155"/>
  <c r="H165" i="155"/>
  <c r="H102" i="155"/>
  <c r="H148" i="155"/>
  <c r="H135" i="155"/>
  <c r="H153" i="155"/>
  <c r="H179" i="155"/>
  <c r="H146" i="155"/>
  <c r="H155" i="155"/>
  <c r="H25" i="155"/>
  <c r="H172" i="155"/>
  <c r="H129" i="155"/>
  <c r="H69" i="155"/>
  <c r="H156" i="155"/>
  <c r="H45" i="155"/>
  <c r="H50" i="155"/>
  <c r="H56" i="155"/>
  <c r="H145" i="155"/>
  <c r="H58" i="155"/>
  <c r="H115" i="155"/>
  <c r="H78" i="155"/>
  <c r="H171" i="155"/>
  <c r="H82" i="155"/>
  <c r="H166" i="155"/>
  <c r="H110" i="155"/>
  <c r="H70" i="155"/>
  <c r="H197" i="155"/>
  <c r="H51" i="155"/>
  <c r="H133" i="155"/>
  <c r="H46" i="155"/>
  <c r="H74" i="155"/>
  <c r="G215" i="155"/>
  <c r="H169" i="155"/>
  <c r="H84" i="155"/>
  <c r="H105" i="155"/>
  <c r="H185" i="155"/>
  <c r="H126" i="155"/>
  <c r="H53" i="155"/>
  <c r="H164" i="155"/>
  <c r="H57" i="155"/>
  <c r="H77" i="155"/>
  <c r="K12" i="155"/>
  <c r="H208" i="155"/>
  <c r="H42" i="155"/>
  <c r="H97" i="155"/>
  <c r="H39" i="155"/>
  <c r="H32" i="155"/>
  <c r="H176" i="155"/>
  <c r="H205" i="155"/>
  <c r="H108" i="155"/>
  <c r="H140" i="155"/>
  <c r="H59" i="155"/>
  <c r="H76" i="155"/>
  <c r="H60" i="155"/>
  <c r="H188" i="155"/>
  <c r="H73" i="155"/>
  <c r="H181" i="155"/>
  <c r="H119" i="155"/>
  <c r="H61" i="155"/>
  <c r="H161" i="155"/>
  <c r="H191" i="155"/>
  <c r="H49" i="155"/>
  <c r="H92" i="155"/>
  <c r="H183" i="155"/>
  <c r="H177" i="155"/>
  <c r="H71" i="155"/>
  <c r="H206" i="155"/>
  <c r="H125" i="155"/>
  <c r="H151" i="155"/>
  <c r="H180" i="155"/>
  <c r="H91" i="155"/>
  <c r="H40" i="155"/>
  <c r="H27" i="155"/>
  <c r="H75" i="155"/>
  <c r="H143" i="155"/>
  <c r="H35" i="155"/>
  <c r="H54" i="155"/>
  <c r="H30" i="155"/>
  <c r="H37" i="155"/>
  <c r="H43" i="155"/>
  <c r="H174" i="155"/>
  <c r="H29" i="155"/>
  <c r="H101" i="155"/>
  <c r="H87" i="155"/>
  <c r="H170" i="155"/>
  <c r="H168" i="155"/>
  <c r="H132" i="155"/>
  <c r="H167" i="155"/>
  <c r="H67" i="155"/>
  <c r="H47" i="155"/>
  <c r="H178" i="155"/>
  <c r="H189" i="155"/>
  <c r="H66" i="155"/>
  <c r="H124" i="155"/>
  <c r="H100" i="155"/>
  <c r="H48" i="155"/>
  <c r="H158" i="155"/>
  <c r="H118" i="155"/>
  <c r="H173" i="155"/>
  <c r="H150" i="155"/>
  <c r="H38" i="155"/>
  <c r="H107" i="155"/>
  <c r="H200" i="155"/>
  <c r="H34" i="155"/>
  <c r="H127" i="155"/>
  <c r="H114" i="155"/>
  <c r="H55" i="155"/>
  <c r="H85" i="155"/>
  <c r="H109" i="155"/>
  <c r="H141" i="155"/>
  <c r="H159" i="155"/>
  <c r="H203" i="155"/>
  <c r="H131" i="155"/>
  <c r="H182" i="155"/>
  <c r="H52" i="155"/>
  <c r="H204" i="155"/>
  <c r="H196" i="155"/>
  <c r="H93" i="155"/>
  <c r="H142" i="155"/>
  <c r="H28" i="155"/>
  <c r="H190" i="155"/>
  <c r="H106" i="155"/>
  <c r="H136" i="155"/>
  <c r="H192" i="155"/>
  <c r="H44" i="155"/>
  <c r="H138" i="155"/>
  <c r="H186" i="155"/>
  <c r="H99" i="155"/>
  <c r="H149" i="155"/>
  <c r="H201" i="155"/>
  <c r="H96" i="155"/>
  <c r="H116" i="155"/>
  <c r="H123" i="155"/>
  <c r="G241" i="97"/>
  <c r="F63" i="97" l="1"/>
  <c r="F61" i="111"/>
  <c r="G60" i="111"/>
  <c r="G61" i="111" s="1"/>
  <c r="G64" i="97" l="1"/>
  <c r="J64" i="97" s="1"/>
  <c r="G63" i="97"/>
  <c r="J63" i="97" s="1"/>
  <c r="G208" i="111"/>
  <c r="F208" i="111"/>
  <c r="F64" i="97"/>
  <c r="H201" i="111" l="1"/>
  <c r="H173" i="111"/>
  <c r="H52" i="111"/>
  <c r="H76" i="111"/>
  <c r="H192" i="111"/>
  <c r="H98" i="111"/>
  <c r="H77" i="111"/>
  <c r="H183" i="111"/>
  <c r="H190" i="111"/>
  <c r="H116" i="111"/>
  <c r="H200" i="111"/>
  <c r="H106" i="111"/>
  <c r="H26" i="111"/>
  <c r="H155" i="111"/>
  <c r="H189" i="111"/>
  <c r="H127" i="111"/>
  <c r="H165" i="111"/>
  <c r="H72" i="111"/>
  <c r="H47" i="111"/>
  <c r="H136" i="111"/>
  <c r="H160" i="111"/>
  <c r="H39" i="111"/>
  <c r="H44" i="111"/>
  <c r="H70" i="111"/>
  <c r="H158" i="111"/>
  <c r="H42" i="111"/>
  <c r="H129" i="111"/>
  <c r="H142" i="111"/>
  <c r="H196" i="111"/>
  <c r="H140" i="111"/>
  <c r="H40" i="111"/>
  <c r="H193" i="111"/>
  <c r="H143" i="111"/>
  <c r="H166" i="111"/>
  <c r="H145" i="111"/>
  <c r="H54" i="111"/>
  <c r="H99" i="111"/>
  <c r="H33" i="111"/>
  <c r="H171" i="111"/>
  <c r="H37" i="111"/>
  <c r="H115" i="111"/>
  <c r="H152" i="111"/>
  <c r="H205" i="111"/>
  <c r="H58" i="111"/>
  <c r="H102" i="111"/>
  <c r="H159" i="111"/>
  <c r="H61" i="111"/>
  <c r="H170" i="111"/>
  <c r="H66" i="111"/>
  <c r="H27" i="111"/>
  <c r="H147" i="111"/>
  <c r="H153" i="111"/>
  <c r="H41" i="111"/>
  <c r="H38" i="111"/>
  <c r="H138" i="111"/>
  <c r="H73" i="111"/>
  <c r="H101" i="111"/>
  <c r="H35" i="111"/>
  <c r="H30" i="111"/>
  <c r="H169" i="111"/>
  <c r="H45" i="111"/>
  <c r="H174" i="111"/>
  <c r="H100" i="111"/>
  <c r="H135" i="111"/>
  <c r="H119" i="111"/>
  <c r="H184" i="111"/>
  <c r="H36" i="111"/>
  <c r="H181" i="111"/>
  <c r="H131" i="111"/>
  <c r="H60" i="111"/>
  <c r="H55" i="111"/>
  <c r="H118" i="111"/>
  <c r="H208" i="111"/>
  <c r="H50" i="111"/>
  <c r="H68" i="111"/>
  <c r="H79" i="111"/>
  <c r="H64" i="111"/>
  <c r="H29" i="111"/>
  <c r="H53" i="111"/>
  <c r="H137" i="111"/>
  <c r="H91" i="111"/>
  <c r="H168" i="111"/>
  <c r="H32" i="111"/>
  <c r="H157" i="111"/>
  <c r="H149" i="111"/>
  <c r="H48" i="111"/>
  <c r="H78" i="111"/>
  <c r="H191" i="111"/>
  <c r="H172" i="111"/>
  <c r="H82" i="111"/>
  <c r="H25" i="111"/>
  <c r="H150" i="111"/>
  <c r="H194" i="111"/>
  <c r="H130" i="111"/>
  <c r="H51" i="111"/>
  <c r="H202" i="111"/>
  <c r="H75" i="111"/>
  <c r="H185" i="111"/>
  <c r="H182" i="111"/>
  <c r="H110" i="111"/>
  <c r="H87" i="111"/>
  <c r="H186" i="111"/>
  <c r="H206" i="111"/>
  <c r="H49" i="111"/>
  <c r="H156" i="111"/>
  <c r="H59" i="111"/>
  <c r="H187" i="111"/>
  <c r="H109" i="111"/>
  <c r="H89" i="111"/>
  <c r="H203" i="111"/>
  <c r="H108" i="111"/>
  <c r="H74" i="111"/>
  <c r="H97" i="111"/>
  <c r="H161" i="111"/>
  <c r="H125" i="111"/>
  <c r="H46" i="111"/>
  <c r="H180" i="111"/>
  <c r="H31" i="111"/>
  <c r="H164" i="111"/>
  <c r="H93" i="111"/>
  <c r="H83" i="111"/>
  <c r="H151" i="111"/>
  <c r="H179" i="111"/>
  <c r="H167" i="111"/>
  <c r="H177" i="111"/>
  <c r="H132" i="111"/>
  <c r="H117" i="111"/>
  <c r="H178" i="111"/>
  <c r="H204" i="111"/>
  <c r="H123" i="111"/>
  <c r="H105" i="111"/>
  <c r="H65" i="111"/>
  <c r="H96" i="111"/>
  <c r="H67" i="111"/>
  <c r="H133" i="111"/>
  <c r="H176" i="111"/>
  <c r="H88" i="111"/>
  <c r="H34" i="111"/>
  <c r="H90" i="111"/>
  <c r="H85" i="111"/>
  <c r="H56" i="111"/>
  <c r="H148" i="111"/>
  <c r="H114" i="111"/>
  <c r="H43" i="111"/>
  <c r="H111" i="111"/>
  <c r="H71" i="111"/>
  <c r="H107" i="111"/>
  <c r="H69" i="111"/>
  <c r="H188" i="111"/>
  <c r="H126" i="111"/>
  <c r="H197" i="111"/>
  <c r="H195" i="111"/>
  <c r="H86" i="111"/>
  <c r="H57" i="111"/>
  <c r="H141" i="111"/>
  <c r="H175" i="111"/>
  <c r="H92" i="111"/>
  <c r="H146" i="111"/>
  <c r="H124" i="111"/>
  <c r="K12" i="111"/>
  <c r="H84" i="111"/>
  <c r="H28" i="111"/>
  <c r="G215" i="111"/>
  <c r="G211" i="97"/>
  <c r="F211" i="97"/>
  <c r="F215" i="111"/>
  <c r="H110" i="97" l="1"/>
  <c r="H188" i="97"/>
  <c r="H63" i="97"/>
  <c r="H99" i="97"/>
  <c r="H77" i="97"/>
  <c r="H168" i="97"/>
  <c r="H203" i="97"/>
  <c r="H211" i="97"/>
  <c r="H192" i="97"/>
  <c r="H120" i="97"/>
  <c r="H96" i="97"/>
  <c r="H196" i="97"/>
  <c r="H114" i="97"/>
  <c r="H146" i="97"/>
  <c r="H35" i="97"/>
  <c r="H154" i="97"/>
  <c r="H69" i="97"/>
  <c r="H81" i="97"/>
  <c r="H94" i="97"/>
  <c r="H39" i="97"/>
  <c r="H163" i="97"/>
  <c r="H52" i="97"/>
  <c r="H141" i="97"/>
  <c r="H128" i="97"/>
  <c r="H174" i="97"/>
  <c r="H42" i="97"/>
  <c r="H135" i="97"/>
  <c r="H164" i="97"/>
  <c r="H31" i="97"/>
  <c r="H104" i="97"/>
  <c r="H91" i="97"/>
  <c r="H187" i="97"/>
  <c r="H209" i="97"/>
  <c r="H152" i="97"/>
  <c r="H200" i="97"/>
  <c r="H74" i="97"/>
  <c r="H208" i="97"/>
  <c r="H32" i="97"/>
  <c r="H136" i="97"/>
  <c r="H75" i="97"/>
  <c r="H129" i="97"/>
  <c r="H159" i="97"/>
  <c r="H158" i="97"/>
  <c r="H181" i="97"/>
  <c r="H184" i="97"/>
  <c r="H179" i="97"/>
  <c r="H134" i="97"/>
  <c r="H118" i="97"/>
  <c r="H89" i="97"/>
  <c r="H155" i="97"/>
  <c r="H170" i="97"/>
  <c r="H191" i="97"/>
  <c r="H151" i="97"/>
  <c r="H44" i="97"/>
  <c r="H144" i="97"/>
  <c r="O211" i="97"/>
  <c r="H100" i="97"/>
  <c r="H160" i="97"/>
  <c r="H140" i="97"/>
  <c r="H33" i="97"/>
  <c r="H30" i="97"/>
  <c r="H185" i="97"/>
  <c r="H90" i="97"/>
  <c r="H43" i="97"/>
  <c r="H121" i="97"/>
  <c r="H149" i="97"/>
  <c r="H51" i="97"/>
  <c r="H105" i="97"/>
  <c r="H167" i="97"/>
  <c r="H178" i="97"/>
  <c r="H71" i="97"/>
  <c r="H101" i="97"/>
  <c r="H206" i="97"/>
  <c r="H186" i="97"/>
  <c r="H62" i="97"/>
  <c r="H57" i="97"/>
  <c r="H53" i="97"/>
  <c r="H204" i="97"/>
  <c r="H113" i="97"/>
  <c r="H194" i="97"/>
  <c r="H54" i="97"/>
  <c r="H37" i="97"/>
  <c r="H153" i="97"/>
  <c r="H92" i="97"/>
  <c r="H78" i="97"/>
  <c r="H50" i="97"/>
  <c r="H198" i="97"/>
  <c r="H117" i="97"/>
  <c r="H59" i="97"/>
  <c r="H58" i="97"/>
  <c r="H70" i="97"/>
  <c r="H60" i="97"/>
  <c r="H145" i="97"/>
  <c r="H34" i="97"/>
  <c r="H150" i="97"/>
  <c r="H180" i="97"/>
  <c r="H45" i="97"/>
  <c r="H87" i="97"/>
  <c r="H173" i="97"/>
  <c r="H172" i="97"/>
  <c r="H29" i="97"/>
  <c r="H109" i="97"/>
  <c r="H112" i="97"/>
  <c r="H28" i="97"/>
  <c r="H189" i="97"/>
  <c r="H182" i="97"/>
  <c r="H175" i="97"/>
  <c r="H49" i="97"/>
  <c r="H122" i="97"/>
  <c r="H46" i="97"/>
  <c r="H55" i="97"/>
  <c r="H36" i="97"/>
  <c r="H197" i="97"/>
  <c r="H126" i="97"/>
  <c r="H207" i="97"/>
  <c r="H76" i="97"/>
  <c r="H195" i="97"/>
  <c r="H177" i="97"/>
  <c r="H85" i="97"/>
  <c r="H108" i="97"/>
  <c r="H143" i="97"/>
  <c r="H38" i="97"/>
  <c r="H183" i="97"/>
  <c r="H171" i="97"/>
  <c r="H119" i="97"/>
  <c r="H133" i="97"/>
  <c r="H41" i="97"/>
  <c r="H190" i="97"/>
  <c r="H80" i="97"/>
  <c r="H162" i="97"/>
  <c r="M15" i="97"/>
  <c r="H79" i="97"/>
  <c r="H138" i="97"/>
  <c r="H102" i="97"/>
  <c r="H205" i="97"/>
  <c r="H193" i="97"/>
  <c r="H68" i="97"/>
  <c r="H127" i="97"/>
  <c r="H130" i="97"/>
  <c r="H161" i="97"/>
  <c r="H61" i="97"/>
  <c r="H86" i="97"/>
  <c r="H132" i="97"/>
  <c r="H64" i="97"/>
  <c r="H72" i="97"/>
  <c r="H73" i="97"/>
  <c r="H93" i="97"/>
  <c r="H103" i="97"/>
  <c r="H176" i="97"/>
  <c r="H199" i="97"/>
  <c r="H95" i="97"/>
  <c r="H169" i="97"/>
  <c r="H48" i="97"/>
  <c r="H111" i="97"/>
  <c r="H156" i="97"/>
  <c r="H56" i="97"/>
  <c r="H88" i="97"/>
  <c r="H40" i="97"/>
  <c r="H148" i="97"/>
  <c r="H139" i="97"/>
  <c r="H47" i="97"/>
  <c r="H67" i="97"/>
  <c r="J211" i="97"/>
  <c r="F218" i="97"/>
  <c r="G218" i="97"/>
  <c r="H82" i="9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Eliason</author>
  </authors>
  <commentList>
    <comment ref="F14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Aaron Eliason:</t>
        </r>
        <r>
          <rPr>
            <sz val="9"/>
            <color indexed="81"/>
            <rFont val="Tahoma"/>
            <family val="2"/>
          </rPr>
          <t xml:space="preserve">
changed 2795 on review
</t>
        </r>
      </text>
    </comment>
    <comment ref="F160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Aaron Eliason:</t>
        </r>
        <r>
          <rPr>
            <sz val="9"/>
            <color indexed="81"/>
            <rFont val="Tahoma"/>
            <family val="2"/>
          </rPr>
          <t xml:space="preserve">
changed 2795 on review, changed 8479 on review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Eliason</author>
  </authors>
  <commentList>
    <comment ref="F150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Aaron Eliason:</t>
        </r>
        <r>
          <rPr>
            <sz val="9"/>
            <color indexed="81"/>
            <rFont val="Tahoma"/>
            <family val="2"/>
          </rPr>
          <t xml:space="preserve">
Where does the -1692 come from?</t>
        </r>
      </text>
    </comment>
  </commentList>
</comments>
</file>

<file path=xl/sharedStrings.xml><?xml version="1.0" encoding="utf-8"?>
<sst xmlns="http://schemas.openxmlformats.org/spreadsheetml/2006/main" count="29860" uniqueCount="731">
  <si>
    <t>COST CAT</t>
  </si>
  <si>
    <t>FCP AS FILED</t>
  </si>
  <si>
    <t>FCP ADJ'S</t>
  </si>
  <si>
    <t>ADJ FCP</t>
  </si>
  <si>
    <t>AUDIT</t>
  </si>
  <si>
    <t>AUDITED FCP</t>
  </si>
  <si>
    <t>% TO</t>
  </si>
  <si>
    <t>&amp; ACCT</t>
  </si>
  <si>
    <t>(COL 1 + 2)</t>
  </si>
  <si>
    <t>ADJ'S</t>
  </si>
  <si>
    <t>(COL 3 + 4)</t>
  </si>
  <si>
    <t>TOTAL</t>
  </si>
  <si>
    <t>GENERAL ADMINISTRATIVE</t>
  </si>
  <si>
    <t>01</t>
  </si>
  <si>
    <t xml:space="preserve">Administrator Salary </t>
  </si>
  <si>
    <t>02</t>
  </si>
  <si>
    <t>03</t>
  </si>
  <si>
    <t>Office Salaries and Wages</t>
  </si>
  <si>
    <t>04</t>
  </si>
  <si>
    <t>05</t>
  </si>
  <si>
    <t>Director Fees</t>
  </si>
  <si>
    <t>06</t>
  </si>
  <si>
    <t>Management Services</t>
  </si>
  <si>
    <t>Advertising</t>
  </si>
  <si>
    <t>Telephone</t>
  </si>
  <si>
    <t>Dues, Subscriptions &amp; Licenses</t>
  </si>
  <si>
    <t>Office Supplies, Printing &amp; Postage</t>
  </si>
  <si>
    <t>Legal and Accounting</t>
  </si>
  <si>
    <t>Utilization Review</t>
  </si>
  <si>
    <t>Data Processing</t>
  </si>
  <si>
    <t>Amortization-Organization</t>
  </si>
  <si>
    <t>Patient Day Assessment</t>
  </si>
  <si>
    <t>Interest-Operating Loans</t>
  </si>
  <si>
    <t>Income Taxes</t>
  </si>
  <si>
    <t>Bad Debts</t>
  </si>
  <si>
    <t>Contributions</t>
  </si>
  <si>
    <t>Miscellaneous (Attach Schedule)</t>
  </si>
  <si>
    <t>1</t>
  </si>
  <si>
    <t>2</t>
  </si>
  <si>
    <t>3</t>
  </si>
  <si>
    <t>4</t>
  </si>
  <si>
    <t>5</t>
  </si>
  <si>
    <t>6</t>
  </si>
  <si>
    <t>PLANT OPERATION &amp; MAINTENANCE</t>
  </si>
  <si>
    <t>Salaries and Wages</t>
  </si>
  <si>
    <t>Payroll Taxes &amp; Emp Benefits</t>
  </si>
  <si>
    <t>Equipment Rental-Short Term</t>
  </si>
  <si>
    <t>Supplies</t>
  </si>
  <si>
    <t>Purchased Services</t>
  </si>
  <si>
    <t>Utilities</t>
  </si>
  <si>
    <t>TOTAL PLANT OPER &amp; MAINT</t>
  </si>
  <si>
    <t>DIETARY</t>
  </si>
  <si>
    <t>Food</t>
  </si>
  <si>
    <t>Food Supplies</t>
  </si>
  <si>
    <t>Purchased Services/Consultants</t>
  </si>
  <si>
    <t>TOTAL DIETARY</t>
  </si>
  <si>
    <t>LAUNDRY AND LINEN</t>
  </si>
  <si>
    <t>Linen and Bedding</t>
  </si>
  <si>
    <t>TOTAL LAUNDRY &amp; LINEN</t>
  </si>
  <si>
    <t>HOUSEKEEPING</t>
  </si>
  <si>
    <t>Purchased Service/Consultants</t>
  </si>
  <si>
    <t>TOTAL HOUSEKEEPING</t>
  </si>
  <si>
    <t>NURSING</t>
  </si>
  <si>
    <t>Nurse Admin Sal-Med Rec, In Ser</t>
  </si>
  <si>
    <t>Nurse Dir Care Salaries &amp; Wages</t>
  </si>
  <si>
    <t>Medical Supplies</t>
  </si>
  <si>
    <t>Oxygen Equipment and Rental</t>
  </si>
  <si>
    <t>Oxygen Gas</t>
  </si>
  <si>
    <t>RECREATIONAL ACTIVITIES &amp; SPECIAL SERVICES</t>
  </si>
  <si>
    <t>Salaries &amp; Wages</t>
  </si>
  <si>
    <t>Recreational Therapy</t>
  </si>
  <si>
    <t>Sheltered Workshops</t>
  </si>
  <si>
    <t>MEDICARE DAYS</t>
  </si>
  <si>
    <t>VETERANS DAYS</t>
  </si>
  <si>
    <t>PRIVATE DAYS</t>
  </si>
  <si>
    <t>TOTAL PATIENT DAYS</t>
  </si>
  <si>
    <t>CALENDAR DAYS IN PERIOD</t>
  </si>
  <si>
    <t xml:space="preserve">TOTAL REVENUE </t>
  </si>
  <si>
    <t>PROFIT / (LOSS) (REV - EXP)</t>
  </si>
  <si>
    <t>PERIOD BEGINNING --------------&gt;</t>
  </si>
  <si>
    <t>PERIOD ENDING  ------------------&gt;</t>
  </si>
  <si>
    <t>% TO TOTAL</t>
  </si>
  <si>
    <t>PROFIT/LOSS TO REVENUE</t>
  </si>
  <si>
    <t>010</t>
  </si>
  <si>
    <t>011</t>
  </si>
  <si>
    <t>012</t>
  </si>
  <si>
    <t>040</t>
  </si>
  <si>
    <t>050</t>
  </si>
  <si>
    <t>060</t>
  </si>
  <si>
    <t>070</t>
  </si>
  <si>
    <t>080</t>
  </si>
  <si>
    <t>090</t>
  </si>
  <si>
    <t>100</t>
  </si>
  <si>
    <t>110</t>
  </si>
  <si>
    <t>120</t>
  </si>
  <si>
    <t>013</t>
  </si>
  <si>
    <t>041</t>
  </si>
  <si>
    <t>Non Medical Supplies (Charts &amp; Forms)</t>
  </si>
  <si>
    <t>Purchased Nursing Services</t>
  </si>
  <si>
    <t>Respiration/Inhalation Therapy</t>
  </si>
  <si>
    <t>ANCILLARIES NOT IN MEDICAID DAILY RATE</t>
  </si>
  <si>
    <t>Nurs Aide Trg Costs (by formula from Sch D)</t>
  </si>
  <si>
    <t>Physician &amp; Psychiatrist-Staff Salaries</t>
  </si>
  <si>
    <t>Physician &amp; Psychiatrist Payroll tax &amp; Benefit</t>
  </si>
  <si>
    <t>Physical Therapy - Staff Salaries</t>
  </si>
  <si>
    <t>Physical Therapy Payroll tax &amp; Benefit</t>
  </si>
  <si>
    <t>Speech Therapy - Staff Salaries</t>
  </si>
  <si>
    <t>SpeechTherapy Payroll tax &amp; Benefit</t>
  </si>
  <si>
    <t>Audiology Therapy - Staff Salaries</t>
  </si>
  <si>
    <t>Audiology Therapy Payroll tax &amp; Benefit</t>
  </si>
  <si>
    <t>Occupational Therapy - Staff Salaries</t>
  </si>
  <si>
    <t>Occupational Therapy Payroll tax &amp; Benefits</t>
  </si>
  <si>
    <t>Laboratory &amp; Radiology - Staff Salaries</t>
  </si>
  <si>
    <t>Laboratory &amp; Radiology Payroll tax &amp; Benefit</t>
  </si>
  <si>
    <t>Physical Therapy - Supplies/Other</t>
  </si>
  <si>
    <t>Audiology Therapy -Supplies/Other</t>
  </si>
  <si>
    <t>Occupational Therapy - Supplies/Other</t>
  </si>
  <si>
    <t>Laboratory &amp; Radiology-Supplies/Other</t>
  </si>
  <si>
    <t>Purchased Physician &amp; Psychiatrist(non-emp)</t>
  </si>
  <si>
    <t>Purchased Physical Therapy (non-employee)</t>
  </si>
  <si>
    <t>Purch.Serv.-Speech Therapy (non-employee)</t>
  </si>
  <si>
    <t>Purch.Serv.-Occup.Therapy (non-employee)</t>
  </si>
  <si>
    <t>Laboratory &amp; Radiology Service</t>
  </si>
  <si>
    <t>014</t>
  </si>
  <si>
    <t>017</t>
  </si>
  <si>
    <t>042</t>
  </si>
  <si>
    <t>043</t>
  </si>
  <si>
    <t>044</t>
  </si>
  <si>
    <t>045</t>
  </si>
  <si>
    <t>046</t>
  </si>
  <si>
    <t>TOTAL ANCILLARIES NOT IN MEDICAID RATE</t>
  </si>
  <si>
    <t>Purch.Serv.-Audiology Therapy(non-employee)</t>
  </si>
  <si>
    <t>311</t>
  </si>
  <si>
    <t>312</t>
  </si>
  <si>
    <t>313</t>
  </si>
  <si>
    <t>314</t>
  </si>
  <si>
    <t>315</t>
  </si>
  <si>
    <t>316</t>
  </si>
  <si>
    <t>450</t>
  </si>
  <si>
    <t>460</t>
  </si>
  <si>
    <t>310</t>
  </si>
  <si>
    <t>470</t>
  </si>
  <si>
    <t>480</t>
  </si>
  <si>
    <t>490</t>
  </si>
  <si>
    <t>TOTAL REC ACT &amp; SOCIAL SERVICES</t>
  </si>
  <si>
    <t>TOTAL REPORTED EXPENSES PER FCP</t>
  </si>
  <si>
    <t>010-090</t>
  </si>
  <si>
    <t>FCP less G/L must = 0</t>
  </si>
  <si>
    <t>Home Office Charges</t>
  </si>
  <si>
    <t>Travel , Seminars, &amp; Admin Training</t>
  </si>
  <si>
    <t>TOTAL PROPERTY &amp; RELATED</t>
  </si>
  <si>
    <t>Payroll Taxes &amp; Benefits</t>
  </si>
  <si>
    <t>Nurse Admin Payroll Tax and Benefits</t>
  </si>
  <si>
    <t>Nurse Dir Care Payroll Tax &amp; Benefits</t>
  </si>
  <si>
    <t>Physician &amp; Psychiatrist-Supplies/Other</t>
  </si>
  <si>
    <t>Speech Therapy - Supplies/Other</t>
  </si>
  <si>
    <t>Hours Worked</t>
  </si>
  <si>
    <t>018</t>
  </si>
  <si>
    <t>019</t>
  </si>
  <si>
    <t>CENSUS (SCH D)</t>
  </si>
  <si>
    <t>OCCUPANCY (SCH D)</t>
  </si>
  <si>
    <t>010-000</t>
  </si>
  <si>
    <t>020-000</t>
  </si>
  <si>
    <t>030-000</t>
  </si>
  <si>
    <t>040-000</t>
  </si>
  <si>
    <t>050-000</t>
  </si>
  <si>
    <t>060-000</t>
  </si>
  <si>
    <t>070-000</t>
  </si>
  <si>
    <t>080-000</t>
  </si>
  <si>
    <t>090-000</t>
  </si>
  <si>
    <t>NET MEDICARE  REVENUE</t>
  </si>
  <si>
    <t>NET VETERANS  REVENUE</t>
  </si>
  <si>
    <t>NET PRIVATE  REVENUE</t>
  </si>
  <si>
    <t>NET OTHER  REVENUE</t>
  </si>
  <si>
    <t>8</t>
  </si>
  <si>
    <t>051</t>
  </si>
  <si>
    <t>Asst Administrator Salary</t>
  </si>
  <si>
    <t>TOTAL GENERAL ADMINISTRATIVE</t>
  </si>
  <si>
    <t>PROPERTY AND RELATED EXPENSES</t>
  </si>
  <si>
    <t>OTHER DAYS</t>
  </si>
  <si>
    <t>NET MISC INCOME</t>
  </si>
  <si>
    <t>TOTAL EXPENSES PER G/L</t>
  </si>
  <si>
    <t>9</t>
  </si>
  <si>
    <t>10</t>
  </si>
  <si>
    <t>Rate</t>
  </si>
  <si>
    <t>Hours Per</t>
  </si>
  <si>
    <t>Avg Hr</t>
  </si>
  <si>
    <t>Audited Days</t>
  </si>
  <si>
    <t>Col 8 / Aud Days</t>
  </si>
  <si>
    <t>Name of Nursing Facility</t>
  </si>
  <si>
    <t>Worker's compensation</t>
  </si>
  <si>
    <t>Professional/General Liability Insurance</t>
  </si>
  <si>
    <t>Gain/loss on asset disposition</t>
  </si>
  <si>
    <t>Col 5/8</t>
  </si>
  <si>
    <t>Registered Nurses</t>
  </si>
  <si>
    <t>Licensed Practical Nurses</t>
  </si>
  <si>
    <t>Certified Nursing Aides</t>
  </si>
  <si>
    <t>Others</t>
  </si>
  <si>
    <t xml:space="preserve"> </t>
  </si>
  <si>
    <t>DAYS</t>
  </si>
  <si>
    <t>n/a</t>
  </si>
  <si>
    <t>Civil Money Penalties (Medicare and Medicaid)</t>
  </si>
  <si>
    <t>Other Taxes (attach schedule)</t>
  </si>
  <si>
    <t>Other Penalties/Fines</t>
  </si>
  <si>
    <t>Transportation Salaries &amp; Wages</t>
  </si>
  <si>
    <t>Transportation Payroll Taxes &amp; Emp Benefits</t>
  </si>
  <si>
    <t>Gifts</t>
  </si>
  <si>
    <t>Bank/Service Charges</t>
  </si>
  <si>
    <t>Public Relations</t>
  </si>
  <si>
    <t>Recruiting Expense</t>
  </si>
  <si>
    <t>TV/Cable/Satellite Expense</t>
  </si>
  <si>
    <t>Beauty &amp; Barber Expense</t>
  </si>
  <si>
    <t>NET MEDICAID - NON UTAH</t>
  </si>
  <si>
    <t>NET MEDICAID REVENUE - UTAH</t>
  </si>
  <si>
    <t>NET MEDICAID REVENUE - NON UTAH</t>
  </si>
  <si>
    <t>07</t>
  </si>
  <si>
    <t>08</t>
  </si>
  <si>
    <t>MEDICAID DAYS - NON UTAH</t>
  </si>
  <si>
    <t>MEDICAID DAYS - UTAH</t>
  </si>
  <si>
    <t xml:space="preserve">TOTAL LICENSED BEDS </t>
  </si>
  <si>
    <t>TOTAL LICENSED BEDS</t>
  </si>
  <si>
    <t>REVENUE (SCH B)</t>
  </si>
  <si>
    <t>EXPENSES (SCH C)</t>
  </si>
  <si>
    <t>Evaluation Costs</t>
  </si>
  <si>
    <t>Instructor Costs</t>
  </si>
  <si>
    <t>Testing Costs</t>
  </si>
  <si>
    <t>Material Costs</t>
  </si>
  <si>
    <t>09</t>
  </si>
  <si>
    <t>NET HOSPICE REVENUE - MEDICAID</t>
  </si>
  <si>
    <t>NET HOSPICE REVENUE - NON MEDICAID</t>
  </si>
  <si>
    <t>NET OTHER REVENUE</t>
  </si>
  <si>
    <t>COST CAT &amp; ACCT</t>
  </si>
  <si>
    <t>Medical Director</t>
  </si>
  <si>
    <t>TOTAL NURSING</t>
  </si>
  <si>
    <t>PROFIT/LOSS TO EXPENSES</t>
  </si>
  <si>
    <t>HOSPICE DAYS - NON MEDICAID</t>
  </si>
  <si>
    <t>HOSPICE DAYS - MEDICAID</t>
  </si>
  <si>
    <r>
      <t xml:space="preserve">TOTAL PATIENT DAYS AVAILABLE </t>
    </r>
    <r>
      <rPr>
        <b/>
        <sz val="10"/>
        <color indexed="8"/>
        <rFont val="Times New Roman"/>
        <family val="1"/>
      </rPr>
      <t>(Total Licensed Beds*Calendar Days in Period)</t>
    </r>
  </si>
  <si>
    <r>
      <t xml:space="preserve">TOTAL OCCUPANCY </t>
    </r>
    <r>
      <rPr>
        <b/>
        <sz val="10"/>
        <color indexed="8"/>
        <rFont val="Times New Roman"/>
        <family val="1"/>
      </rPr>
      <t>(Total Patient Days/Total Patient Days Available)</t>
    </r>
  </si>
  <si>
    <r>
      <t xml:space="preserve">MEDICAID OCCUPANCY </t>
    </r>
    <r>
      <rPr>
        <b/>
        <sz val="10"/>
        <color indexed="8"/>
        <rFont val="Times New Roman"/>
        <family val="1"/>
      </rPr>
      <t>(Medicaid Days-Utah /Total Patient Days Available)</t>
    </r>
  </si>
  <si>
    <r>
      <t xml:space="preserve">MEDICAID OCCUPANCY AS A % OF TOTAL OCCUPANCY </t>
    </r>
    <r>
      <rPr>
        <b/>
        <sz val="10"/>
        <color indexed="8"/>
        <rFont val="Times New Roman"/>
        <family val="1"/>
      </rPr>
      <t>(Medicaid Occupancy/Total Occupancy)</t>
    </r>
  </si>
  <si>
    <t>TOTAL PATIENT DAYS AVAILABLE (Total Licensed Beds*Calendar Days in Period)</t>
  </si>
  <si>
    <t>TOTAL OCCUPANCY (Total Patient Days/Total Patient Days Available)</t>
  </si>
  <si>
    <t>MEDICAID OCCUPANCY (Medicaid Days-Utah /Total Patient Days Available)</t>
  </si>
  <si>
    <t>MEDICAID OCCUPANCY AS A % OF TOTAL OCCUPANCY (Medicaid Occupancy/Total Occupancy)</t>
  </si>
  <si>
    <t>REV  CAT</t>
  </si>
  <si>
    <t>REVENUE (INCL TPL)  (SCH B)</t>
  </si>
  <si>
    <t>Highland Care Center</t>
  </si>
  <si>
    <t>Crestwood Care Center</t>
  </si>
  <si>
    <t>INDUSTRY REVENUE</t>
  </si>
  <si>
    <t xml:space="preserve">OR COST PER/DAY </t>
  </si>
  <si>
    <t>(COL 5/AUDITED DAYS)</t>
  </si>
  <si>
    <t>Hours Paid</t>
  </si>
  <si>
    <t>Building Rent</t>
  </si>
  <si>
    <t>Building Depreciation</t>
  </si>
  <si>
    <t>Buidling Interest Expense</t>
  </si>
  <si>
    <t>"Real Property" Property Tax</t>
  </si>
  <si>
    <t>"Real Property" Property Insurance</t>
  </si>
  <si>
    <t>Vehicle Depreciation</t>
  </si>
  <si>
    <t>Vehicle Interest Expense</t>
  </si>
  <si>
    <t>Vehicle Property Tax</t>
  </si>
  <si>
    <t>Vehicle Insurance</t>
  </si>
  <si>
    <t>Equipment Leases (Operating Leases Only)</t>
  </si>
  <si>
    <t>Equipment Depreciation</t>
  </si>
  <si>
    <t>Equipment Interest Expense</t>
  </si>
  <si>
    <t>Personal Property Tax</t>
  </si>
  <si>
    <t>Miscellaneous</t>
  </si>
  <si>
    <t>Furniture &amp; Equipment less than Capitalization $ Threshold</t>
  </si>
  <si>
    <t>Repair &amp; Maintenance - Vehicles</t>
  </si>
  <si>
    <t>Repair &amp; Maintenance -  Equipment</t>
  </si>
  <si>
    <t>Repair &amp; Maintenance - Buidling &amp; Grounds</t>
  </si>
  <si>
    <t xml:space="preserve">Miscellaneous </t>
  </si>
  <si>
    <t>NET MEDICARE HMO REVENUE</t>
  </si>
  <si>
    <t>Total Hours Worked</t>
  </si>
  <si>
    <t>Total Hours Paid</t>
  </si>
  <si>
    <t>350</t>
  </si>
  <si>
    <t>Other Direct Care (i.e. psychologists, podiatrists, optometrists)</t>
  </si>
  <si>
    <t>360</t>
  </si>
  <si>
    <t>Dental Services</t>
  </si>
  <si>
    <t>370</t>
  </si>
  <si>
    <t>Emergency Ambulance</t>
  </si>
  <si>
    <t>380</t>
  </si>
  <si>
    <t>Eye Glasses, Dentures, Hearing Aids</t>
  </si>
  <si>
    <t>390</t>
  </si>
  <si>
    <t>Special Equipment Approved by Medicaid**</t>
  </si>
  <si>
    <t>400</t>
  </si>
  <si>
    <t>Prosthetic Devices***</t>
  </si>
  <si>
    <t>Prescription Drugs****</t>
  </si>
  <si>
    <t>TOTAL PLANT OPERATION &amp; MAINTENANCE</t>
  </si>
  <si>
    <t>MEDICARE HMO DAYS</t>
  </si>
  <si>
    <t>MEDICAID CERTIFIED BEDS</t>
  </si>
  <si>
    <t>HOURS WORKED</t>
  </si>
  <si>
    <t>HOURS PAID</t>
  </si>
  <si>
    <t>112</t>
  </si>
  <si>
    <t>113</t>
  </si>
  <si>
    <t>114</t>
  </si>
  <si>
    <t>115</t>
  </si>
  <si>
    <t>116</t>
  </si>
  <si>
    <t>117</t>
  </si>
  <si>
    <t>C</t>
  </si>
  <si>
    <t>Repair &amp; Maintenance - Vehicles (include vehicle fuel)</t>
  </si>
  <si>
    <t>Misc. Costs</t>
  </si>
  <si>
    <t>Nurs Aide Trg Costs</t>
  </si>
  <si>
    <t>Miscellaneous Nursing Costs</t>
  </si>
  <si>
    <t>NF - SUMMARY</t>
  </si>
  <si>
    <t>% OF</t>
  </si>
  <si>
    <t>NET MEDICARE-HMO  REVENUE</t>
  </si>
  <si>
    <t>Building Interest Expense</t>
  </si>
  <si>
    <t>"RealProperty" Property Tax*</t>
  </si>
  <si>
    <t>"Real Property" Property Insurance*</t>
  </si>
  <si>
    <t>Vechicle Insurance</t>
  </si>
  <si>
    <t xml:space="preserve">Personal Property Tax </t>
  </si>
  <si>
    <t>Miscellaneous (Attach Detail Schedule)</t>
  </si>
  <si>
    <t>Repair &amp; Maintenance - Building &amp; Grounds</t>
  </si>
  <si>
    <t>Repair &amp; Maintenance - Equipment</t>
  </si>
  <si>
    <t>Miscellaneous Nursing (Attach Detail Schedule)</t>
  </si>
  <si>
    <t>Speech Therapy-Staff Salaries</t>
  </si>
  <si>
    <t>Speech Therapy Payroll tax &amp; Benefit</t>
  </si>
  <si>
    <t>Audiology Therapy-Staff Salaries</t>
  </si>
  <si>
    <t>Occupational Therapy-Staff Salaries</t>
  </si>
  <si>
    <t>Laboratory &amp; Radiology-Staff Salaries</t>
  </si>
  <si>
    <t>Laboratory &amp; Radiology Payroll tax &amp; Benefits</t>
  </si>
  <si>
    <t>Physical Therapy -Supplies/Other</t>
  </si>
  <si>
    <t>Speech Therapy-Supplies/Other</t>
  </si>
  <si>
    <t>Audiology Therapy-Supplies/Other</t>
  </si>
  <si>
    <t>Occupational Therapy-Supplies/Other</t>
  </si>
  <si>
    <t>Purch. Serv.-Speech Therapy (non-employee)</t>
  </si>
  <si>
    <t>Purch. Serv.-Aud.Therapy(non-employee)</t>
  </si>
  <si>
    <t>Purch. Serv.-Occup.Therapy(non-employee)</t>
  </si>
  <si>
    <t>Other direct care (i.e. psychologists, podiatrists, optometrists)</t>
  </si>
  <si>
    <t>Special Equipment Approved by Medicaid</t>
  </si>
  <si>
    <t>Prosthetic Devices</t>
  </si>
  <si>
    <t>Prescription Drugs</t>
  </si>
  <si>
    <t>Miscellaneous (Attach Detail Schedule if greater than $100)</t>
  </si>
  <si>
    <t>MEDICARE-HMO DAYS</t>
  </si>
  <si>
    <r>
      <t xml:space="preserve">TOTAL PATIENT DAYS AVAILABLE </t>
    </r>
    <r>
      <rPr>
        <b/>
        <sz val="10"/>
        <color indexed="8"/>
        <rFont val="NewCenturySchlbk"/>
        <family val="1"/>
      </rPr>
      <t>(Total Licensed Beds*Calendar Days in Period)</t>
    </r>
  </si>
  <si>
    <r>
      <t xml:space="preserve">TOTAL OCCUPANCY </t>
    </r>
    <r>
      <rPr>
        <b/>
        <sz val="10"/>
        <color indexed="8"/>
        <rFont val="NewCenturySchlbk"/>
        <family val="1"/>
      </rPr>
      <t>(Total Patient Days/Total Patient Days Available)</t>
    </r>
  </si>
  <si>
    <r>
      <t xml:space="preserve">MEDICAID OCCUPANCY </t>
    </r>
    <r>
      <rPr>
        <b/>
        <sz val="10"/>
        <color indexed="8"/>
        <rFont val="NewCenturySchlbk"/>
        <family val="1"/>
      </rPr>
      <t>(Medicaid Days-Utah /Total Patient Days Available)</t>
    </r>
  </si>
  <si>
    <r>
      <t xml:space="preserve">MEDICAID OCCUPANCY AS A % OF TOTAL OCCUPANCY </t>
    </r>
    <r>
      <rPr>
        <b/>
        <sz val="10"/>
        <color indexed="8"/>
        <rFont val="NewCenturySchlbk"/>
        <family val="1"/>
      </rPr>
      <t>(Medicaid Occupancy/Total Occupancy)</t>
    </r>
  </si>
  <si>
    <t>Private Revenue Per Day</t>
  </si>
  <si>
    <t>Q1</t>
  </si>
  <si>
    <t>Q2</t>
  </si>
  <si>
    <t>Q3</t>
  </si>
  <si>
    <t>Q4</t>
  </si>
  <si>
    <t>Rev</t>
  </si>
  <si>
    <t>Exp</t>
  </si>
  <si>
    <t>Days</t>
  </si>
  <si>
    <t>Beds</t>
  </si>
  <si>
    <t>Total Days</t>
  </si>
  <si>
    <t>Repair &amp; Maintenance - Transportation Equipment</t>
  </si>
  <si>
    <t>Miscellaneous Nursing</t>
  </si>
  <si>
    <t>Canyon Rim Care Center</t>
  </si>
  <si>
    <t>North Canyon Care Center</t>
  </si>
  <si>
    <t>Pioneer Care Center</t>
  </si>
  <si>
    <t>Richfield Care Center</t>
  </si>
  <si>
    <t>Willow Wood Care Center</t>
  </si>
  <si>
    <t>MIDTOWN MANOR</t>
  </si>
  <si>
    <t>PARKWAY HEALTH CENTER</t>
  </si>
  <si>
    <t>UINTAH CARE CENTER</t>
  </si>
  <si>
    <t>???????</t>
  </si>
  <si>
    <t>Avalon Valley Rehabilitation Center</t>
  </si>
  <si>
    <t>Canyonlands Care Center</t>
  </si>
  <si>
    <t>EMERY COUNTY NURSING HOME</t>
  </si>
  <si>
    <t>Heritage Care Center</t>
  </si>
  <si>
    <t>Heritage Hills Health Care Center</t>
  </si>
  <si>
    <t>LIFE CARE CENTER OF BOUNTIFUL</t>
  </si>
  <si>
    <t>MILLARD COUNTY CARE &amp; REHAB</t>
  </si>
  <si>
    <t>Mountain View Health Services</t>
  </si>
  <si>
    <t>Sunshine Terrace Foundation</t>
  </si>
  <si>
    <t>Uintah Basin Rehabilitation and Senior Villa</t>
  </si>
  <si>
    <t>Washington Terrace Care &amp; Rehabilitation Center</t>
  </si>
  <si>
    <t>Willow Glen Health &amp; Rehab, LLC</t>
  </si>
  <si>
    <t>Woodland Park Rehabilitation and Care Center</t>
  </si>
  <si>
    <t>Stonehenge of Richfield</t>
  </si>
  <si>
    <t>AUDIT ADJUSTMENT NOTES</t>
  </si>
  <si>
    <t>`</t>
  </si>
  <si>
    <t>Office Salaries and Wages            AUDIT ADJ.  NOTES, 1, 2</t>
  </si>
  <si>
    <t>HOSPICE DAYS - MEDICAID           (1)</t>
  </si>
  <si>
    <t>HOSPICE DAYS - NON MEDICAID            (1)</t>
  </si>
  <si>
    <t>Retainer</t>
  </si>
  <si>
    <t>per visit</t>
  </si>
  <si>
    <t>dba: Avalon West Health &amp; Rehabilitation</t>
  </si>
  <si>
    <t>Community Living Center</t>
  </si>
  <si>
    <t xml:space="preserve">MEDICAID DAYS - NON UTAH                                      </t>
  </si>
  <si>
    <t xml:space="preserve">OTHER DAYS                                                            </t>
  </si>
  <si>
    <r>
      <t xml:space="preserve">Fairview Care Center East  - </t>
    </r>
    <r>
      <rPr>
        <sz val="14"/>
        <rFont val="NewCenturySchlbk"/>
      </rPr>
      <t>Robert Adams, New Owner</t>
    </r>
  </si>
  <si>
    <t>??</t>
  </si>
  <si>
    <t>Ogden Veteran's Home, George E. Wahlen V. H.</t>
  </si>
  <si>
    <t>SEASONS</t>
  </si>
  <si>
    <t>VA Salt Lake (William E Christofferson Salt Lake Veterans Home)</t>
  </si>
  <si>
    <t>Stonehenge of American Fork</t>
  </si>
  <si>
    <t>Country Life Care Center</t>
  </si>
  <si>
    <t>Avalon Care Center - Bountiful</t>
  </si>
  <si>
    <t>TOOELE</t>
  </si>
  <si>
    <r>
      <rPr>
        <i/>
        <sz val="10"/>
        <rFont val="NewCenturySchlbk"/>
      </rPr>
      <t xml:space="preserve">  </t>
    </r>
    <r>
      <rPr>
        <sz val="10"/>
        <rFont val="NewCenturySchlbk"/>
        <family val="1"/>
      </rPr>
      <t xml:space="preserve">   Registered Nurses</t>
    </r>
  </si>
  <si>
    <t xml:space="preserve"> Licensed Practical Nurses</t>
  </si>
  <si>
    <t xml:space="preserve"> Certified Nursing Aides</t>
  </si>
  <si>
    <t>Bennion dba Avalon West</t>
  </si>
  <si>
    <t>Rocky Mountain Care - RIVERTON</t>
  </si>
  <si>
    <t>CENTRAL UTAH VETERANS HOME - PAYSON</t>
  </si>
  <si>
    <t>Southern Utah Veterans Home - Ivins</t>
  </si>
  <si>
    <t>Legal: Avalon Care Center - VA Ivins, LLC</t>
  </si>
  <si>
    <t>1)</t>
  </si>
  <si>
    <t>Audit Adjustment Notes:</t>
  </si>
  <si>
    <r>
      <t>1) Licensed beds are 30; only 8 beds are MEDICAID CERTIFIED</t>
    </r>
    <r>
      <rPr>
        <sz val="10"/>
        <rFont val="NewCenturySchlbk"/>
      </rPr>
      <t xml:space="preserve"> because of Medicaid bed moratium</t>
    </r>
  </si>
  <si>
    <t>2)</t>
  </si>
  <si>
    <t>Hrs Worked</t>
  </si>
  <si>
    <t>Hrs Paid</t>
  </si>
  <si>
    <t>Mountain View</t>
  </si>
  <si>
    <t>Heber</t>
  </si>
  <si>
    <t>BVH Clearfield</t>
  </si>
  <si>
    <t>RMC Clearfield</t>
  </si>
  <si>
    <t>HRS WORK</t>
  </si>
  <si>
    <t>HOURS PD</t>
  </si>
  <si>
    <t>WILLOW SPRINGS</t>
  </si>
  <si>
    <t xml:space="preserve">HOSPICE DAYS - NON MEDICAID    </t>
  </si>
  <si>
    <t xml:space="preserve">MEDICAID DAYS - UTAH   </t>
  </si>
  <si>
    <t xml:space="preserve"> Others</t>
  </si>
  <si>
    <t xml:space="preserve">NET HOSPICE REVENUE - NON MEDICAID   </t>
  </si>
  <si>
    <t xml:space="preserve">NET HOSPICE REVENUE - MEDICAID    </t>
  </si>
  <si>
    <t xml:space="preserve">NET MEDICAID REVENUE - UTAH       </t>
  </si>
  <si>
    <t>DESK REVIEW/AUDIT ADJUSTMENT NOTES</t>
  </si>
  <si>
    <r>
      <t>1)</t>
    </r>
    <r>
      <rPr>
        <sz val="10"/>
        <rFont val="NewCenturySchlbk"/>
      </rPr>
      <t xml:space="preserve"> TO SHOW REMOVAL OF RELATED PARTY RENT AND SUBSTITUTE RELATED LESSOR'S DEPRECIATION AND INTEREST EXPENSE;</t>
    </r>
  </si>
  <si>
    <t xml:space="preserve">AND TO SHOW REDISTRIBUTION OF RELATED PARTY EQUIPMENT DEPRECIATION ENTRY TO RELATED PARTY EXPENSE FOR EQUIPMENT </t>
  </si>
  <si>
    <t>[$1,268 + $4,466 = $5,734] AND TO VEHICLE DEPRECIATION [$1,940] FOR TRINITY OWNED VEHICLE.</t>
  </si>
  <si>
    <t>AJDUSTED 5/29/15 TO MEDICAID CERTIFIED BEDS!  dm</t>
  </si>
  <si>
    <t xml:space="preserve">HOSPICE DAYS - NON MEDICAID </t>
  </si>
  <si>
    <t>WAS WESTSIDE COMMUNITY NURSING CENTER UNTIL 1/14/15</t>
  </si>
  <si>
    <t>was Deseret Health &amp; Rehab at Ogden; CHOW 5/8/15</t>
  </si>
  <si>
    <t>Stonehenge of Ogden</t>
  </si>
  <si>
    <t>(MISSION AT HILLSIDE REHABILITATION)</t>
  </si>
  <si>
    <t>RMC CLEARFIELD -BVH</t>
  </si>
  <si>
    <t>RMC Cottage on Vine -BVH</t>
  </si>
  <si>
    <t>RMC Mountain View -BVH</t>
  </si>
  <si>
    <t xml:space="preserve"> RMC Willow Springs -BVH</t>
  </si>
  <si>
    <r>
      <t xml:space="preserve">CALENDAR DAYS IN PERIOD      </t>
    </r>
    <r>
      <rPr>
        <b/>
        <sz val="10"/>
        <color indexed="8"/>
        <rFont val="NewCenturySchlbk"/>
      </rPr>
      <t>CHANGE FORMULA</t>
    </r>
  </si>
  <si>
    <t>NEXT YEAR</t>
  </si>
  <si>
    <t>CHANGE CALENDAR DAYS FORMULA</t>
  </si>
  <si>
    <t xml:space="preserve">MEDICAID DAYS - UTAH  </t>
  </si>
  <si>
    <t xml:space="preserve">MEDICARE-HMO DAYS  </t>
  </si>
  <si>
    <t>Per Visit</t>
  </si>
  <si>
    <t>LIFE CARE CENTER OF SALT LAKE CITY</t>
  </si>
  <si>
    <t>RMC LOGAN -BVH</t>
  </si>
  <si>
    <t>CHOWED AGAIN 11/1/15 to Lomond Peak -BV</t>
  </si>
  <si>
    <t>RED CLIFFS REGIONAL HEALTH &amp; REHAB -BV</t>
  </si>
  <si>
    <r>
      <t>SANDY HEALTH &amp; REHAB -BV</t>
    </r>
    <r>
      <rPr>
        <sz val="14"/>
        <rFont val="Times New Roman"/>
        <family val="1"/>
      </rPr>
      <t xml:space="preserve">   [Plum]</t>
    </r>
  </si>
  <si>
    <t>Spring Creek Healthcare Center -BV</t>
  </si>
  <si>
    <t>Stonehenge of Orem</t>
  </si>
  <si>
    <t>UTAH VALLEY REHAB &amp; HEALTHCARE    (was Trinity Mission Health &amp; Rehab of Provo, LLC)</t>
  </si>
  <si>
    <t>FCP:  NAME CHANGE 6/1/16</t>
  </si>
  <si>
    <t>FOUR CORNERS REGIONAL -BV</t>
  </si>
  <si>
    <t>Full Name:  Mt Ogden Health &amp; Rehabilitation Center [-BV] (Ensign)</t>
  </si>
  <si>
    <t>Mt. Olympus Rehab Center -BV</t>
  </si>
  <si>
    <t>PARKDALE - BV</t>
  </si>
  <si>
    <r>
      <rPr>
        <b/>
        <sz val="10"/>
        <rFont val="NewCenturySchlbk"/>
      </rPr>
      <t xml:space="preserve">A) </t>
    </r>
    <r>
      <rPr>
        <sz val="10"/>
        <rFont val="NewCenturySchlbk"/>
        <family val="1"/>
      </rPr>
      <t>Medical Director</t>
    </r>
  </si>
  <si>
    <r>
      <rPr>
        <b/>
        <sz val="10"/>
        <rFont val="NewCenturySchlbk"/>
      </rPr>
      <t xml:space="preserve">B) </t>
    </r>
    <r>
      <rPr>
        <sz val="10"/>
        <rFont val="NewCenturySchlbk"/>
        <family val="1"/>
      </rPr>
      <t>Registered Nurses</t>
    </r>
  </si>
  <si>
    <r>
      <rPr>
        <b/>
        <sz val="10"/>
        <rFont val="NewCenturySchlbk"/>
      </rPr>
      <t xml:space="preserve">C) </t>
    </r>
    <r>
      <rPr>
        <sz val="10"/>
        <rFont val="NewCenturySchlbk"/>
        <family val="1"/>
      </rPr>
      <t>Licensed Practical Nurses</t>
    </r>
  </si>
  <si>
    <r>
      <rPr>
        <b/>
        <sz val="10"/>
        <rFont val="NewCenturySchlbk"/>
      </rPr>
      <t xml:space="preserve">D) </t>
    </r>
    <r>
      <rPr>
        <sz val="10"/>
        <rFont val="NewCenturySchlbk"/>
        <family val="1"/>
      </rPr>
      <t>Certified Nursing Aides</t>
    </r>
  </si>
  <si>
    <r>
      <rPr>
        <b/>
        <sz val="10"/>
        <rFont val="NewCenturySchlbk"/>
      </rPr>
      <t xml:space="preserve">E) </t>
    </r>
    <r>
      <rPr>
        <sz val="10"/>
        <rFont val="NewCenturySchlbk"/>
        <family val="1"/>
      </rPr>
      <t>Others</t>
    </r>
  </si>
  <si>
    <r>
      <rPr>
        <b/>
        <sz val="10"/>
        <rFont val="NewCenturySchlbk"/>
      </rPr>
      <t xml:space="preserve">A) </t>
    </r>
    <r>
      <rPr>
        <sz val="10"/>
        <rFont val="NewCenturySchlbk"/>
        <family val="1"/>
      </rPr>
      <t>Registered Nurses</t>
    </r>
  </si>
  <si>
    <r>
      <rPr>
        <b/>
        <sz val="10"/>
        <rFont val="NewCenturySchlbk"/>
      </rPr>
      <t xml:space="preserve">B) </t>
    </r>
    <r>
      <rPr>
        <sz val="10"/>
        <rFont val="NewCenturySchlbk"/>
        <family val="1"/>
      </rPr>
      <t>Licensed Practical Nurses</t>
    </r>
  </si>
  <si>
    <r>
      <rPr>
        <b/>
        <sz val="10"/>
        <rFont val="NewCenturySchlbk"/>
      </rPr>
      <t xml:space="preserve">C) </t>
    </r>
    <r>
      <rPr>
        <sz val="10"/>
        <rFont val="NewCenturySchlbk"/>
        <family val="1"/>
      </rPr>
      <t>Certified Nursing Aides</t>
    </r>
  </si>
  <si>
    <r>
      <rPr>
        <b/>
        <sz val="10"/>
        <rFont val="NewCenturySchlbk"/>
      </rPr>
      <t xml:space="preserve">D) </t>
    </r>
    <r>
      <rPr>
        <sz val="10"/>
        <rFont val="NewCenturySchlbk"/>
        <family val="1"/>
      </rPr>
      <t>Others</t>
    </r>
  </si>
  <si>
    <t xml:space="preserve">NET HOSPICE REVENUE - MEDICAID   </t>
  </si>
  <si>
    <t xml:space="preserve">NET HOSPICE REVENUE - NON MEDICAID  </t>
  </si>
  <si>
    <t xml:space="preserve">Payroll Taxes &amp; Emp Benefits </t>
  </si>
  <si>
    <t xml:space="preserve">NET HOSPICE REVENUE - MEDICAID </t>
  </si>
  <si>
    <t>PINE CREEK -BV</t>
  </si>
  <si>
    <t>schedules revised 7/2016</t>
  </si>
  <si>
    <t>1) is Desk review ADJ to Manor Care</t>
  </si>
  <si>
    <t>ADJUSTED AGAIN 1/4/17 TO 95 MDCD BEDS!</t>
  </si>
  <si>
    <t>Desk Rev ADJ -move benefits</t>
  </si>
  <si>
    <t>to 070-013B.</t>
  </si>
  <si>
    <t>to ADJ 116,398 to 070-050.</t>
  </si>
  <si>
    <t>Desk Review ADJ to correct total</t>
  </si>
  <si>
    <t>Desk Rev. ADJ, to bring MDCD Beds to License.</t>
  </si>
  <si>
    <t xml:space="preserve">    Note made for FCP for FY2014 and on!</t>
  </si>
  <si>
    <t>Desk Review: remove unallowable expense</t>
  </si>
  <si>
    <t xml:space="preserve">Coral Desert </t>
  </si>
  <si>
    <t xml:space="preserve">1) </t>
  </si>
  <si>
    <t>Alpine Meadow Rehab and Nursing</t>
  </si>
  <si>
    <t>City Creek Post Acute -BV</t>
  </si>
  <si>
    <t>Copper Ridge Health Care -BV</t>
  </si>
  <si>
    <t>Holladay Healthcare Cntr  -BV Ensign</t>
  </si>
  <si>
    <t>Hurricane -BV En</t>
  </si>
  <si>
    <t>Bella Terra Cedar City</t>
  </si>
  <si>
    <t>Bella Terra St. George</t>
  </si>
  <si>
    <t xml:space="preserve">Little Cottonwood -BV  </t>
  </si>
  <si>
    <t>LOMOND PEAK -BV</t>
  </si>
  <si>
    <t>MEADOW BROOK R &amp; N -BVH</t>
  </si>
  <si>
    <t>Millcreek Rehab &amp; Nurs  -BV</t>
  </si>
  <si>
    <t>DBA:  MISSION at BEAR RIVER REHABILITATION CENTER</t>
  </si>
  <si>
    <t>MT OGDEN -BV</t>
  </si>
  <si>
    <t>Garfield County Nursing Home</t>
  </si>
  <si>
    <t>For FY 2017, use Prov ID for both Orchard Park &amp; Cascades at Orch. Pk.</t>
  </si>
  <si>
    <t>Orem Rehabilitation and Nursing Center / OREM REHAB -BV</t>
  </si>
  <si>
    <t>OREM REHAB -BV  En</t>
  </si>
  <si>
    <t>PARAMOUNT -BV</t>
  </si>
  <si>
    <t>Ensign</t>
  </si>
  <si>
    <t>PINNACLE -BV</t>
  </si>
  <si>
    <t>PROVO -BV</t>
  </si>
  <si>
    <t>Provo Rehabilitation and Nursing</t>
  </si>
  <si>
    <t>DW: South Davis Community Care Center</t>
  </si>
  <si>
    <t>South Davis  -BV</t>
  </si>
  <si>
    <t>FY17 Nursing Facility Summary</t>
  </si>
  <si>
    <t>schedules revised 7/2017</t>
  </si>
  <si>
    <r>
      <t>SOUTH OGDEN  -BV (PLUM)  start date 11/2/2015{</t>
    </r>
    <r>
      <rPr>
        <sz val="12"/>
        <rFont val="Times New Roman"/>
        <family val="1"/>
      </rPr>
      <t xml:space="preserve">full name South Odgen Post Acute -BV} (Was MANOR CARE of So. OGDEN) </t>
    </r>
  </si>
  <si>
    <t>Rocky Mt Care Hunter Hollow -BVH</t>
  </si>
  <si>
    <t>SPANISH FORK -BV</t>
  </si>
  <si>
    <t>St. Joseph Villa -BV</t>
  </si>
  <si>
    <t>STONEHENGE of SPRINGVILLE  (was Art City)</t>
  </si>
  <si>
    <t>(Data Warehouse: Utah State Veterans NH)</t>
  </si>
  <si>
    <t>Draper Rehabilitation and Care Center -BV</t>
  </si>
  <si>
    <t>Licensed beds: see below Days Summary</t>
  </si>
  <si>
    <t>IRON COUNTY NURSING HOME/STONEHENGE OF CEDAR CITY as of 6/16/17</t>
  </si>
  <si>
    <t>Brookdale Salt Lake City NH</t>
  </si>
  <si>
    <t>COL. 4 contains</t>
  </si>
  <si>
    <t>Purchased by West 1020 Healthcare Inc. (Ensign) 5/1/17</t>
  </si>
  <si>
    <t>FACILITY CLOSED AS OF MAY 31, 2017.</t>
  </si>
  <si>
    <t>Add in per day for MONTH OF MAY 2017 ONLY.</t>
  </si>
  <si>
    <t>FACILITY CLOSED 5/31/17.</t>
  </si>
  <si>
    <t>ONLY 31 DAYS BECAUSE FACILITY PURCHASED 4/30/17;</t>
  </si>
  <si>
    <t>formula added in additional 3,069 total days</t>
  </si>
  <si>
    <t>Rehab 5/1 - 5/31/17; THEN FACILITY CLOSED.</t>
  </si>
  <si>
    <t>(206+206)/2=206</t>
  </si>
  <si>
    <t>dm  9/8/17</t>
  </si>
  <si>
    <t>Adjustment to Beds</t>
  </si>
  <si>
    <r>
      <t xml:space="preserve">All beds are dual certified, so </t>
    </r>
    <r>
      <rPr>
        <b/>
        <sz val="10"/>
        <rFont val="NewCenturySchlbk"/>
      </rPr>
      <t>50 MDCD beds</t>
    </r>
    <r>
      <rPr>
        <sz val="10"/>
        <rFont val="NewCenturySchlbk"/>
      </rPr>
      <t xml:space="preserve"> not 8!</t>
    </r>
  </si>
  <si>
    <t xml:space="preserve">  ??Desk Review: no MDCD beds, but 35 MDCD days--how come??</t>
  </si>
  <si>
    <t>Desk Review Adj:</t>
  </si>
  <si>
    <t># MDCD Beds</t>
  </si>
  <si>
    <t>St. George Rehabilitation - Ensign &amp; St. George -BV  Ensign</t>
  </si>
  <si>
    <t>Desk Review ADJ: 122 Lic. beds, not 130.</t>
  </si>
  <si>
    <t>Desk Review ADJ: 122 dual cert. beds, not 130.</t>
  </si>
  <si>
    <t>12/1/16 - 6/30/17</t>
  </si>
  <si>
    <t>*(1224)</t>
  </si>
  <si>
    <t>*365 x 122 = 44,530.</t>
  </si>
  <si>
    <t xml:space="preserve">  212 to account for period 12/1/16 - 6/30/17</t>
  </si>
  <si>
    <t>=((192x2)+193)/3</t>
  </si>
  <si>
    <t>Mthly Retainer</t>
  </si>
  <si>
    <t>{Plum}</t>
  </si>
  <si>
    <t>Monthly Retainer</t>
  </si>
  <si>
    <t>Col. 4 has data from</t>
  </si>
  <si>
    <t>6/1/17 - 6/30/17</t>
  </si>
  <si>
    <t>Added days from 6/2 - 6/30/17</t>
  </si>
  <si>
    <t>Formula used additional days to compute total patient days available.</t>
  </si>
  <si>
    <t>EVANGELINE NEEDS TO CORRECT THE "FROM" DATE- NOT 7/1/17, BUT 7/1 16!!!</t>
  </si>
  <si>
    <t>Mission at Community Rehab -GVH</t>
  </si>
  <si>
    <t>Mission Bear River Vlly - GVH</t>
  </si>
  <si>
    <r>
      <t xml:space="preserve">Audit ADJUSTMENTS: </t>
    </r>
    <r>
      <rPr>
        <b/>
        <sz val="10"/>
        <rFont val="NewCenturySchlbk"/>
      </rPr>
      <t>50 Beds,</t>
    </r>
    <r>
      <rPr>
        <sz val="10"/>
        <rFont val="NewCenturySchlbk"/>
      </rPr>
      <t xml:space="preserve"> not 30   DM 9/8/17</t>
    </r>
  </si>
  <si>
    <r>
      <t xml:space="preserve">Desk Review: BHFLCRA shows </t>
    </r>
    <r>
      <rPr>
        <b/>
        <u/>
        <sz val="10"/>
        <rFont val="NewCenturySchlbk"/>
      </rPr>
      <t>34</t>
    </r>
    <r>
      <rPr>
        <b/>
        <sz val="10"/>
        <rFont val="NewCenturySchlbk"/>
      </rPr>
      <t xml:space="preserve"> beds, not 36.??</t>
    </r>
  </si>
  <si>
    <t>CORRECTED 9/15/17.</t>
  </si>
  <si>
    <t>Hillside Rehab Center &amp; GVH</t>
  </si>
  <si>
    <t>Col 4 has data from</t>
  </si>
  <si>
    <t>Col 3 of Hillside -GVH</t>
  </si>
  <si>
    <t>4/1/17 - 6/30/17</t>
  </si>
  <si>
    <t>Added Days from 4/1 - 6/30/17</t>
  </si>
  <si>
    <t>CASCADES at ORCHARD PARK   BVH</t>
  </si>
  <si>
    <t>CASCADES at RIVERWALK   BVH</t>
  </si>
  <si>
    <t>NOTE: THIS FCP IS FOR THE ENTIRE YEAR OF FY 2017, IN SPITE OF CHOW.</t>
  </si>
  <si>
    <r>
      <t xml:space="preserve">ADJUSTED AGAIN 9/18/17 TO </t>
    </r>
    <r>
      <rPr>
        <b/>
        <u/>
        <sz val="10"/>
        <rFont val="NewCenturySchlbk"/>
      </rPr>
      <t>90</t>
    </r>
    <r>
      <rPr>
        <b/>
        <sz val="10"/>
        <rFont val="NewCenturySchlbk"/>
      </rPr>
      <t xml:space="preserve"> MDCD BEDS!</t>
    </r>
  </si>
  <si>
    <r>
      <t xml:space="preserve">Heritage Park Rehab and Hlthcare   &amp; </t>
    </r>
    <r>
      <rPr>
        <u/>
        <sz val="18"/>
        <rFont val="Times New Roman"/>
        <family val="1"/>
      </rPr>
      <t>BVH</t>
    </r>
  </si>
  <si>
    <t>Col. 4 contains data</t>
  </si>
  <si>
    <t>from Heritage Park -BVH</t>
  </si>
  <si>
    <t>((277x2)+254)/3</t>
  </si>
  <si>
    <t>6/1/-6/30/17 FCP shows only 160 total beds and MDCD beds…</t>
  </si>
  <si>
    <t>Add 30 days to bring total days = 365</t>
  </si>
  <si>
    <t>Harrison Pointe &amp; BV  En   (was Wasatch Care)</t>
  </si>
  <si>
    <t>12/1/16 - 6/3017</t>
  </si>
  <si>
    <t>Added 212 days to bring total to 365.</t>
  </si>
  <si>
    <t>Col. 3 RMC Riverton BVH</t>
  </si>
  <si>
    <t>Col. 3 St. George -BV</t>
  </si>
  <si>
    <t>Col 3 Utah Valley data</t>
  </si>
  <si>
    <t>Col. 4 contains data from</t>
  </si>
  <si>
    <t>Col. 3 Harrison Pointe -BV</t>
  </si>
  <si>
    <t>((183x2)+183)/3</t>
  </si>
  <si>
    <r>
      <t xml:space="preserve">&amp; Crestwood Rehab &amp; </t>
    </r>
    <r>
      <rPr>
        <b/>
        <sz val="18"/>
        <rFont val="NewCenturySchlbk"/>
      </rPr>
      <t>Crestwood Rehab,  BVH</t>
    </r>
  </si>
  <si>
    <t>Data, Col. 1, Crestwood Care…</t>
  </si>
  <si>
    <t>7/1/16 - 7/31/16</t>
  </si>
  <si>
    <t>Crestwood Rehab</t>
  </si>
  <si>
    <t xml:space="preserve"> 8/1/16 - 11/30/16</t>
  </si>
  <si>
    <t xml:space="preserve">Data in Col. 2 </t>
  </si>
  <si>
    <t>Data in Col. 4 from</t>
  </si>
  <si>
    <t>Col. 3 of Crestwood</t>
  </si>
  <si>
    <t>Rehab,   BVH</t>
  </si>
  <si>
    <t>Data in Cols. 7 &amp; 8 a composite of Crestwood Care,</t>
  </si>
  <si>
    <t>Crestwood Rehab, &amp; Crestwood   BVH</t>
  </si>
  <si>
    <t xml:space="preserve">…from Col 3, </t>
  </si>
  <si>
    <t>from Col. 3</t>
  </si>
  <si>
    <r>
      <t xml:space="preserve">THIS IS THE AMOUNT OF EXPENSE </t>
    </r>
    <r>
      <rPr>
        <b/>
        <u/>
        <sz val="10"/>
        <rFont val="NewCenturySchlbk"/>
      </rPr>
      <t>AFTER</t>
    </r>
    <r>
      <rPr>
        <sz val="10"/>
        <rFont val="NewCenturySchlbk"/>
      </rPr>
      <t xml:space="preserve"> PROVIDER ADJUSTMENTS [+$7,340] FOR CRESTWOOD CARE</t>
    </r>
  </si>
  <si>
    <t>PROVIDER ADJUSTMENTS ALREADY INCORPORATED.</t>
  </si>
  <si>
    <t>this was an error acknowledged by Ian Drew email 9/19/17!</t>
  </si>
  <si>
    <t>Added 122 days for 8/1/16 - 11/30/16</t>
  </si>
  <si>
    <t>122 days added
by formula&gt;&gt;&gt;</t>
  </si>
  <si>
    <t>(300+(188*2))/3</t>
  </si>
  <si>
    <t>CHECK FIGURES&gt;&gt;</t>
  </si>
  <si>
    <t>((192*2)+217)/3</t>
  </si>
  <si>
    <t>Added 212 days for 12/1/16 - 6/30/17</t>
  </si>
  <si>
    <r>
      <t xml:space="preserve">DESK REVIEW ADJ: </t>
    </r>
    <r>
      <rPr>
        <b/>
        <sz val="10"/>
        <rFont val="NewCenturySchlbk"/>
      </rPr>
      <t>10 MDCD BEDS, not 108</t>
    </r>
  </si>
  <si>
    <t>Monthly</t>
  </si>
  <si>
    <t>Days added for period 4/1 - 6/30/17</t>
  </si>
  <si>
    <r>
      <t xml:space="preserve">NOTE: private per day here after purchase is a </t>
    </r>
    <r>
      <rPr>
        <b/>
        <sz val="10"/>
        <rFont val="NewCenturySchlbk"/>
      </rPr>
      <t>mistake.</t>
    </r>
    <r>
      <rPr>
        <sz val="10"/>
        <rFont val="NewCenturySchlbk"/>
      </rPr>
      <t xml:space="preserve">  Should be in Q4.</t>
    </r>
  </si>
  <si>
    <t>DM: corrected FCP rec'd 9/14/17.</t>
  </si>
  <si>
    <t>Audit Adj: 81 MDCD Beds, not 119; corrcted FCP 9/14.</t>
  </si>
  <si>
    <t>*Audit ADJ: reduce #beds to 122 x 153 = 18,666, not 130 x 153 = 19,890</t>
  </si>
  <si>
    <t>CHANGED PER RESUBMITTED FCP TO 104</t>
  </si>
  <si>
    <r>
      <rPr>
        <b/>
        <sz val="10"/>
        <rFont val="NewCenturySchlbk"/>
      </rPr>
      <t xml:space="preserve">LICENSED </t>
    </r>
    <r>
      <rPr>
        <b/>
        <u/>
        <sz val="10"/>
        <rFont val="NewCenturySchlbk"/>
      </rPr>
      <t>&amp; MEDICAID BEDS.</t>
    </r>
  </si>
  <si>
    <t>DESK REVIEW ADJ:  dm 9/22/17</t>
  </si>
  <si>
    <t>Desk Review: need PRIVATE DAYS! For 6/2 - 6/30</t>
  </si>
  <si>
    <t>SOLD 5 DUAL CERT. BEDS TO BROOKDALE.</t>
  </si>
  <si>
    <r>
      <t xml:space="preserve">Desk Review Adj for </t>
    </r>
    <r>
      <rPr>
        <b/>
        <sz val="10"/>
        <rFont val="NewCenturySchlbk"/>
      </rPr>
      <t>76 dual certified beds, not 52,</t>
    </r>
  </si>
  <si>
    <t>has been put on hold!   9/26/17</t>
  </si>
  <si>
    <t>NOTE: this number of Licensed</t>
  </si>
  <si>
    <t>&amp; Medicaid beds is for the Nursing Home, and is correct.</t>
  </si>
  <si>
    <t>(see "Nursing Home Beds.xlsx" in folder LTC Facilities 2016)</t>
  </si>
  <si>
    <r>
      <t xml:space="preserve">DESK REVIEW:  TOTAL LICENSED BEDS = </t>
    </r>
    <r>
      <rPr>
        <b/>
        <sz val="10"/>
        <rFont val="NewCenturySchlbk"/>
      </rPr>
      <t>180</t>
    </r>
    <r>
      <rPr>
        <sz val="10"/>
        <rFont val="NewCenturySchlbk"/>
      </rPr>
      <t>, NOT 156.</t>
    </r>
  </si>
  <si>
    <t>dm 9/28/17</t>
  </si>
  <si>
    <t>Col. 3 of Alpine Rehab -GVH</t>
  </si>
  <si>
    <t>Desk Rev: disallow cable TV expense</t>
  </si>
  <si>
    <t xml:space="preserve">CELLS WITH THIS </t>
  </si>
  <si>
    <t>COLOR HAVE AUDIT ADJ'S</t>
  </si>
  <si>
    <t>2) remove cable TV exp.</t>
  </si>
  <si>
    <r>
      <t xml:space="preserve">Auditor's Note:  Most of the dollar amounts in Column 4 are due to facilities changing ownership during the reporting period.  The original facility's FCP figures are posted in Columns 1 &amp; 2 and the second owner's figures are posted in Column 4.  </t>
    </r>
    <r>
      <rPr>
        <b/>
        <u/>
        <sz val="10"/>
        <color rgb="FF0066CC"/>
        <rFont val="Times New Roman"/>
        <family val="1"/>
      </rPr>
      <t>Adjustments from reviews</t>
    </r>
    <r>
      <rPr>
        <b/>
        <sz val="10"/>
        <color rgb="FF0066CC"/>
        <rFont val="Times New Roman"/>
        <family val="1"/>
      </rPr>
      <t xml:space="preserve"> are also found in Column 4; in the individual facility summary sheet, cells which have those adjustments OR cells which include those adjustments </t>
    </r>
    <r>
      <rPr>
        <b/>
        <u/>
        <sz val="10"/>
        <color rgb="FF0066CC"/>
        <rFont val="Times New Roman"/>
        <family val="1"/>
      </rPr>
      <t>and the amounts from a second owner</t>
    </r>
    <r>
      <rPr>
        <b/>
        <sz val="10"/>
        <color rgb="FF0066CC"/>
        <rFont val="Times New Roman"/>
        <family val="1"/>
      </rPr>
      <t xml:space="preserve"> have a light blue background - if there is a second number of the formula there it is the adjustment from Carver Florek &amp; James (CFJ), CPAs or a Desk Review adjustment.</t>
    </r>
  </si>
  <si>
    <t>1) Move Non-Emerg Patient Transport to G&amp;A</t>
  </si>
  <si>
    <t>1) Add Non-Emerg Patient Transport to G&amp;A</t>
  </si>
  <si>
    <t>Cells with this Background have Audit Adjs.</t>
  </si>
  <si>
    <t>1) D.R. move H.O. Exp. To 010-070</t>
  </si>
  <si>
    <t>1) D.R. add H.O. Exp.</t>
  </si>
  <si>
    <t>1A) move rental EQ from 070-110 to 030-230</t>
  </si>
  <si>
    <t>1B) move DME from 070-110 to 030-240</t>
  </si>
  <si>
    <t>1)DME to 030-240 &amp; Rental to 030-230</t>
  </si>
  <si>
    <t>-2575.85-11644</t>
  </si>
  <si>
    <t>1) D R: move ($737) charity revenue to Private Rev. K Adjustments.</t>
  </si>
  <si>
    <t>PBC: Recreation Trans to 090.</t>
  </si>
  <si>
    <t xml:space="preserve">PBC: Recreation Trans. T          m            </t>
  </si>
  <si>
    <t>PBC: Recreation Transp.</t>
  </si>
  <si>
    <t>2) PBC:  move $64.82 to 090-490 Recreation Transp,</t>
  </si>
  <si>
    <t>2) Recreation Transp.</t>
  </si>
  <si>
    <t>PBC: Recreation Transp. 010-490 to 090-490</t>
  </si>
  <si>
    <t>1) DR Adjust: 010-490 remove meals pd for only 4 employees -unallowable.</t>
  </si>
  <si>
    <t>1) Prov Adjust: move Nurse Admin to 070</t>
  </si>
  <si>
    <t>1) PBC: move Recreation Transp. 010-490 to 090-490</t>
  </si>
  <si>
    <t xml:space="preserve"> 2) PBC Adj: move Nurse Admin to 070</t>
  </si>
  <si>
    <t>1) PBC: move Nurse Admin to 070</t>
  </si>
  <si>
    <t>1) PBC: move Recreation Transp from 010-490 to 090-490</t>
  </si>
  <si>
    <t>2) Move Nurse Admin to 070</t>
  </si>
  <si>
    <t>3) Move Nurse Admin to 070</t>
  </si>
  <si>
    <t>3)</t>
  </si>
  <si>
    <t>1) Move Nurse Admin to 070</t>
  </si>
  <si>
    <t>1) PBC: Move Nurse Admin to 070</t>
  </si>
  <si>
    <t>have this color</t>
  </si>
  <si>
    <r>
      <t xml:space="preserve">1) to move </t>
    </r>
    <r>
      <rPr>
        <sz val="10"/>
        <color rgb="FFFF0000"/>
        <rFont val="NewCenturySchlbk"/>
      </rPr>
      <t>(28,149)</t>
    </r>
    <r>
      <rPr>
        <sz val="10"/>
        <rFont val="NewCenturySchlbk"/>
        <family val="1"/>
      </rPr>
      <t xml:space="preserve"> to Nurse Admin</t>
    </r>
  </si>
  <si>
    <t>1) PBC: to move Nurse Admin costs to 070,  25,003 &amp; 3,146</t>
  </si>
  <si>
    <t xml:space="preserve">1) Move Nurse Admin to 070 </t>
  </si>
  <si>
    <t>1) PBC : moved Nurse Admin to 070</t>
  </si>
  <si>
    <t>1) PBC: move Nurse Admin costs to 070.</t>
  </si>
  <si>
    <t>1) DR Adj: REMOVE COSTS FOR MEALS/ENTERTAIN, ADM, and MEALS/ENTERTAIN A&amp;G</t>
  </si>
  <si>
    <t>DR: Remove $ spent for resident cigarettes</t>
  </si>
  <si>
    <t>1)DR Adj: move DON salary to 070-012 B)</t>
  </si>
  <si>
    <t>2) DR Adj: move Tax/Benefits to 070-013 B)</t>
  </si>
  <si>
    <t>DR Adj: remove moving expenses for old &amp; ndw administrators.</t>
  </si>
  <si>
    <t>DR ADJ: remove TV Exp., patient rooms</t>
  </si>
  <si>
    <t>disllow $520.68.</t>
  </si>
  <si>
    <t>2) DR: reclassify 27.62 to 010-110.</t>
  </si>
  <si>
    <t>2) DR: reclassify 27.62 to 010-110;</t>
  </si>
  <si>
    <t>DR: Remove Meals &amp; Meeting Exp.</t>
  </si>
  <si>
    <t>DR: Remove Meals/Entertain</t>
  </si>
  <si>
    <t>DR: disallow Meals/entertain &amp; Mtg Exp.</t>
  </si>
  <si>
    <t>DR</t>
  </si>
  <si>
    <t>DR Adj: move MDCD drugs to MDCD UT.</t>
  </si>
  <si>
    <t xml:space="preserve">MEDICAID CERTIFIED BEDS           </t>
  </si>
  <si>
    <r>
      <t xml:space="preserve">Dr AdJ: FIXED MDCD BEDS TO 155, </t>
    </r>
    <r>
      <rPr>
        <u/>
        <sz val="10"/>
        <color rgb="FFFF0000"/>
        <rFont val="Arial"/>
        <family val="2"/>
      </rPr>
      <t>NOT 56,775!</t>
    </r>
  </si>
  <si>
    <t>DR: remove Meals/Enteritain/Mtg. Exp</t>
  </si>
  <si>
    <t>Desk Review ADJ: increase Medicaid Beds to License.  DM 9/25/17</t>
  </si>
  <si>
    <t>Remove Meals/Entertain, ADM &amp; Mtg Exp., A&amp;G</t>
  </si>
  <si>
    <t>DR: remove Meals/Entertain A&amp;G, ADM</t>
  </si>
  <si>
    <t>Moved Pat Transport from 090-490.</t>
  </si>
  <si>
    <t>Moved Pat Transport to 010-90.</t>
  </si>
  <si>
    <t>DR: move Data Process to 010-150</t>
  </si>
  <si>
    <t>DR: moved Data Process to 010-150</t>
  </si>
  <si>
    <t>DR: move data processing to 010-150</t>
  </si>
  <si>
    <t>Moved data process to 010-150</t>
  </si>
  <si>
    <t>back to St. of Am. Fork, and 1 bed lost in transfer due ot 70 % rule.</t>
  </si>
  <si>
    <t xml:space="preserve">MDCD beds: for a time in 2017, St. of Orem had 2 MDCD beds; 1 bed transferred </t>
  </si>
  <si>
    <t>DM 3/14/18</t>
  </si>
  <si>
    <t>36-2=34</t>
  </si>
  <si>
    <t>DR: Remove TV/Cable exp.</t>
  </si>
  <si>
    <t>DR: remove TV/Cable Exp.</t>
  </si>
  <si>
    <t>DR: Remove A&amp;G Meals/Entetrtain &amp; Mtng Exp.</t>
  </si>
  <si>
    <t>TO CAP ICE MAKER</t>
  </si>
  <si>
    <t>CAP BARIATIC BED</t>
  </si>
  <si>
    <t>CAP Furnace</t>
  </si>
  <si>
    <t>DEPR ICE MAKER, Bariatic Bed, Furnace</t>
  </si>
  <si>
    <t>AUDIT ADJ</t>
  </si>
  <si>
    <t>1) PBC: Recreation Transp…&amp; AUDIT ADJ</t>
  </si>
  <si>
    <t>AUJDIT ADJ</t>
  </si>
  <si>
    <t>AUDIT ADJS</t>
  </si>
  <si>
    <t>A</t>
  </si>
  <si>
    <t>A = Audit Adjustment</t>
  </si>
  <si>
    <t>A = Audit Adj</t>
  </si>
  <si>
    <t>A - AUDIT ADJ</t>
  </si>
  <si>
    <t>A=Audit Adj</t>
  </si>
  <si>
    <t>A = AUDIT ADJ</t>
  </si>
  <si>
    <t>Alpine Valley Care Center &amp; Alpine Rehab -GVH (Mission at Alpine Rehab)</t>
  </si>
  <si>
    <t>CELLS WITH THIS COLOR HAVE AUDIT ADJUSTMENTS</t>
  </si>
  <si>
    <t>AUDIT  ADJ</t>
  </si>
  <si>
    <t>A= AUDIT ADJ</t>
  </si>
  <si>
    <t>AUDIT ADJs CELL COLOR</t>
  </si>
  <si>
    <t>AUDIT ADJ CELLS HAVE THIS COLOR</t>
  </si>
  <si>
    <t>COLOR HAVE AUDIT ADJ</t>
  </si>
  <si>
    <t>CELLS WITH THIS</t>
  </si>
  <si>
    <t>Cells with Audit Adjs</t>
  </si>
  <si>
    <t>DR: remove Meals/Entertain A&amp;G</t>
  </si>
  <si>
    <t>DR: remove Meals/Entertain A&amp;G, ADM, Mtng</t>
  </si>
  <si>
    <t xml:space="preserve">DR: remove Meals/Entertain A&amp;G, M/E Adm, </t>
  </si>
  <si>
    <t xml:space="preserve">        and Mtng Exp A&amp;G.</t>
  </si>
  <si>
    <t>CELLS WITH THIS COLOR</t>
  </si>
  <si>
    <t>HAVE AUDIT ADJS</t>
  </si>
  <si>
    <t>DR: remove cable TV expense to patient rooms</t>
  </si>
  <si>
    <t>DR: remove TV/Cable expense, unallowable</t>
  </si>
  <si>
    <t>DR: remove TV/cable expense - unallowable</t>
  </si>
  <si>
    <r>
      <t xml:space="preserve">per ph call with Jaunice, 4/30/18, &amp; with Jason Lund, rent to underlying </t>
    </r>
    <r>
      <rPr>
        <b/>
        <u/>
        <sz val="10"/>
        <rFont val="Times New Roman"/>
        <family val="1"/>
      </rPr>
      <t>unrelated</t>
    </r>
    <r>
      <rPr>
        <b/>
        <sz val="10"/>
        <rFont val="Times New Roman"/>
        <family val="1"/>
      </rPr>
      <t xml:space="preserve"> trust is allowable</t>
    </r>
  </si>
  <si>
    <t>USE SUBMISSION (2), WHICH HAS ADJ!!</t>
  </si>
  <si>
    <t>REV CAT</t>
  </si>
  <si>
    <r>
      <t xml:space="preserve">TOTAL PATIENT DAYS AVAILABLE </t>
    </r>
    <r>
      <rPr>
        <b/>
        <sz val="11"/>
        <color indexed="8"/>
        <rFont val="Calibri"/>
        <family val="2"/>
        <scheme val="minor"/>
      </rPr>
      <t>(Total Licensed Beds*Calendar Days in Period)</t>
    </r>
  </si>
  <si>
    <r>
      <t xml:space="preserve">TOTAL OCCUPANCY </t>
    </r>
    <r>
      <rPr>
        <b/>
        <sz val="11"/>
        <color indexed="8"/>
        <rFont val="Calibri"/>
        <family val="2"/>
        <scheme val="minor"/>
      </rPr>
      <t>(Total Patient Days/Total Patient Days Available)</t>
    </r>
  </si>
  <si>
    <r>
      <t xml:space="preserve">MEDICAID OCCUPANCY </t>
    </r>
    <r>
      <rPr>
        <b/>
        <sz val="11"/>
        <color indexed="8"/>
        <rFont val="Calibri"/>
        <family val="2"/>
        <scheme val="minor"/>
      </rPr>
      <t>(Medicaid Days-Utah /Total Patient Days Available)</t>
    </r>
  </si>
  <si>
    <r>
      <t xml:space="preserve">MEDICAID OCCUPANCY AS A % OF TOTAL OCCUPANCY </t>
    </r>
    <r>
      <rPr>
        <b/>
        <sz val="11"/>
        <color indexed="8"/>
        <rFont val="Calibri"/>
        <family val="2"/>
        <scheme val="minor"/>
      </rPr>
      <t>(Medicaid Occupancy/Total Occupancy)</t>
    </r>
  </si>
  <si>
    <t>Late Adj. 6/13/18</t>
  </si>
  <si>
    <t>SEE NOTE (1)</t>
  </si>
  <si>
    <t>(1) Corrected Errors in reporting Medicaid beds.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</si>
</sst>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0.0000"/>
    <numFmt numFmtId="167" formatCode="#,##0.0_);[Red]\(#,##0.0\)"/>
    <numFmt numFmtId="168" formatCode="#,##0.0000000000_);\(#,##0.0000000000\)"/>
    <numFmt numFmtId="169" formatCode="0_);[Red]\(0\)"/>
    <numFmt numFmtId="170" formatCode="0_);\(0\)"/>
    <numFmt numFmtId="171" formatCode="[$$-409]#,##0_);[Red]\([$$-409]#,##0\)"/>
  </numFmts>
  <fonts count="91">
    <font>
      <sz val="12"/>
      <name val="NewCenturySchlbk"/>
    </font>
    <font>
      <sz val="12"/>
      <name val="NewCenturySchlbk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10"/>
      <name val="NewCenturySchlbk"/>
      <family val="1"/>
    </font>
    <font>
      <sz val="18"/>
      <name val="Times New Roman"/>
      <family val="1"/>
    </font>
    <font>
      <b/>
      <sz val="12"/>
      <name val="Times New Roman"/>
      <family val="1"/>
    </font>
    <font>
      <b/>
      <sz val="10"/>
      <name val="NewCenturySchlbk"/>
      <family val="1"/>
    </font>
    <font>
      <sz val="8"/>
      <name val="Times New Roman"/>
      <family val="1"/>
    </font>
    <font>
      <sz val="12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</font>
    <font>
      <b/>
      <sz val="18"/>
      <name val="Times New Roman"/>
      <family val="1"/>
    </font>
    <font>
      <sz val="10"/>
      <color indexed="8"/>
      <name val="Arial"/>
      <family val="2"/>
    </font>
    <font>
      <sz val="8"/>
      <name val="NewCenturySchlbk"/>
      <family val="1"/>
    </font>
    <font>
      <sz val="16"/>
      <name val="NewCenturySchlbk"/>
      <family val="1"/>
    </font>
    <font>
      <u/>
      <sz val="10"/>
      <name val="Times New Roman"/>
      <family val="1"/>
    </font>
    <font>
      <sz val="8"/>
      <name val="Helv"/>
    </font>
    <font>
      <sz val="18"/>
      <name val="NewCenturySchlbk"/>
      <family val="1"/>
    </font>
    <font>
      <sz val="10"/>
      <color indexed="8"/>
      <name val="NewCenturySchlbk"/>
      <family val="1"/>
    </font>
    <font>
      <sz val="10"/>
      <color indexed="9"/>
      <name val="NewCenturySchlbk"/>
      <family val="1"/>
    </font>
    <font>
      <u/>
      <sz val="9"/>
      <name val="NewCenturySchlbk"/>
      <family val="1"/>
    </font>
    <font>
      <sz val="10"/>
      <name val="Helv"/>
    </font>
    <font>
      <sz val="10"/>
      <color indexed="10"/>
      <name val="NewCenturySchlbk"/>
      <family val="1"/>
    </font>
    <font>
      <b/>
      <sz val="10"/>
      <color indexed="8"/>
      <name val="NewCenturySchlbk"/>
      <family val="1"/>
    </font>
    <font>
      <sz val="10"/>
      <name val="NewCenturySchlbk"/>
    </font>
    <font>
      <b/>
      <sz val="10"/>
      <name val="Times New Roman"/>
      <family val="1"/>
    </font>
    <font>
      <sz val="10"/>
      <name val="Arial"/>
      <family val="2"/>
    </font>
    <font>
      <sz val="10"/>
      <color indexed="8"/>
      <name val="NewCenturySchlbk"/>
    </font>
    <font>
      <sz val="10"/>
      <name val="Times New Roman"/>
      <family val="1"/>
    </font>
    <font>
      <sz val="10"/>
      <color indexed="8"/>
      <name val="Helv"/>
    </font>
    <font>
      <sz val="10"/>
      <color indexed="9"/>
      <name val="NewCenturySchlbk"/>
    </font>
    <font>
      <sz val="9"/>
      <name val="Helv"/>
    </font>
    <font>
      <sz val="12"/>
      <color indexed="10"/>
      <name val="NewCenturySchlbk"/>
      <family val="1"/>
    </font>
    <font>
      <b/>
      <sz val="10"/>
      <name val="NewCenturySchlbk"/>
    </font>
    <font>
      <b/>
      <sz val="12"/>
      <name val="NewCenturySchlbk"/>
    </font>
    <font>
      <b/>
      <sz val="14"/>
      <name val="NewCenturySchlbk"/>
    </font>
    <font>
      <sz val="10"/>
      <color rgb="FFFF0000"/>
      <name val="NewCenturySchlbk"/>
      <family val="1"/>
    </font>
    <font>
      <sz val="10"/>
      <color rgb="FFFF0000"/>
      <name val="Times New Roman"/>
      <family val="1"/>
    </font>
    <font>
      <sz val="10"/>
      <color theme="3" tint="-0.24994659260841701"/>
      <name val="Cambria"/>
      <family val="1"/>
    </font>
    <font>
      <b/>
      <sz val="10"/>
      <color rgb="FFFF0000"/>
      <name val="NewCenturySchlbk"/>
    </font>
    <font>
      <b/>
      <sz val="12"/>
      <color rgb="FFFF0000"/>
      <name val="NewCenturySchlbk"/>
    </font>
    <font>
      <sz val="12"/>
      <color rgb="FFFF0000"/>
      <name val="NewCenturySchlbk"/>
      <family val="1"/>
    </font>
    <font>
      <sz val="16"/>
      <name val="Times New Roman"/>
      <family val="1"/>
    </font>
    <font>
      <sz val="10"/>
      <name val="Cambria"/>
      <family val="1"/>
    </font>
    <font>
      <sz val="12"/>
      <name val="Cambria"/>
      <family val="1"/>
    </font>
    <font>
      <sz val="8"/>
      <color indexed="8"/>
      <name val="Helv"/>
    </font>
    <font>
      <b/>
      <u/>
      <sz val="10"/>
      <color rgb="FFFF0000"/>
      <name val="NewCenturySchlbk"/>
    </font>
    <font>
      <sz val="10"/>
      <color theme="5" tint="-0.499984740745262"/>
      <name val="Cambria"/>
      <family val="1"/>
    </font>
    <font>
      <sz val="12"/>
      <color rgb="FFFF0000"/>
      <name val="NewCenturySchlbk"/>
    </font>
    <font>
      <u/>
      <sz val="10"/>
      <color rgb="FFFF0000"/>
      <name val="NewCenturySchlbk"/>
    </font>
    <font>
      <sz val="10"/>
      <color rgb="FFFF0000"/>
      <name val="NewCenturySchlbk"/>
    </font>
    <font>
      <b/>
      <u/>
      <sz val="10"/>
      <name val="NewCenturySchlbk"/>
    </font>
    <font>
      <sz val="12"/>
      <name val="Cambria"/>
      <family val="1"/>
      <scheme val="major"/>
    </font>
    <font>
      <sz val="10"/>
      <color rgb="FF003300"/>
      <name val="NewCenturySchlbk"/>
      <family val="1"/>
    </font>
    <font>
      <i/>
      <sz val="10"/>
      <name val="NewCenturySchlbk"/>
    </font>
    <font>
      <sz val="12"/>
      <color rgb="FFFF0000"/>
      <name val="Cambria"/>
      <family val="1"/>
      <scheme val="major"/>
    </font>
    <font>
      <b/>
      <sz val="10"/>
      <color rgb="FF0066CC"/>
      <name val="Times New Roman"/>
      <family val="1"/>
    </font>
    <font>
      <b/>
      <u/>
      <sz val="10"/>
      <color rgb="FF0066CC"/>
      <name val="Times New Roman"/>
      <family val="1"/>
    </font>
    <font>
      <sz val="14"/>
      <name val="Times New Roman"/>
      <family val="1"/>
    </font>
    <font>
      <sz val="14"/>
      <name val="NewCenturySchlbk"/>
    </font>
    <font>
      <b/>
      <sz val="10"/>
      <name val="Helv"/>
    </font>
    <font>
      <u/>
      <sz val="10"/>
      <name val="NewCenturySchlbk"/>
      <family val="1"/>
    </font>
    <font>
      <b/>
      <sz val="13"/>
      <name val="NewCenturySchlbk"/>
    </font>
    <font>
      <u val="double"/>
      <sz val="10"/>
      <name val="NewCenturySchlbk"/>
      <family val="1"/>
    </font>
    <font>
      <sz val="14"/>
      <color rgb="FFFF0000"/>
      <name val="Times New Roman"/>
      <family val="1"/>
    </font>
    <font>
      <b/>
      <sz val="12"/>
      <color rgb="FFFF0000"/>
      <name val="Cambria"/>
      <family val="1"/>
    </font>
    <font>
      <b/>
      <sz val="11"/>
      <color rgb="FFFF0000"/>
      <name val="Cambria"/>
      <family val="1"/>
    </font>
    <font>
      <u/>
      <sz val="10"/>
      <color rgb="FFFF0000"/>
      <name val="NewCenturySchlbk"/>
      <family val="1"/>
    </font>
    <font>
      <b/>
      <sz val="10"/>
      <color rgb="FFFF0000"/>
      <name val="NewCenturySchlbk"/>
      <family val="1"/>
    </font>
    <font>
      <b/>
      <sz val="10"/>
      <color indexed="8"/>
      <name val="NewCenturySchlbk"/>
    </font>
    <font>
      <sz val="14"/>
      <color rgb="FFFF0000"/>
      <name val="NewCenturySchlbk"/>
      <family val="1"/>
    </font>
    <font>
      <u/>
      <sz val="10"/>
      <name val="NewCenturySchlbk"/>
    </font>
    <font>
      <b/>
      <sz val="12"/>
      <color indexed="10"/>
      <name val="NewCenturySchlbk"/>
    </font>
    <font>
      <b/>
      <sz val="12"/>
      <name val="Cambria"/>
      <family val="1"/>
    </font>
    <font>
      <sz val="11"/>
      <name val="NewCenturySchlbk"/>
    </font>
    <font>
      <sz val="14"/>
      <name val="NewCenturySchlbk"/>
      <family val="1"/>
    </font>
    <font>
      <u/>
      <sz val="18"/>
      <name val="Times New Roman"/>
      <family val="1"/>
    </font>
    <font>
      <b/>
      <sz val="18"/>
      <name val="NewCenturySchlbk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Times New Roman"/>
      <family val="1"/>
    </font>
    <font>
      <sz val="10"/>
      <color theme="1"/>
      <name val="Helv"/>
    </font>
    <font>
      <b/>
      <u/>
      <sz val="10"/>
      <name val="Times New Roman"/>
      <family val="1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4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CFC9A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</cellStyleXfs>
  <cellXfs count="682">
    <xf numFmtId="0" fontId="0" fillId="0" borderId="0" xfId="0"/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11" fillId="0" borderId="1" xfId="0" applyFont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6" fontId="8" fillId="2" borderId="0" xfId="0" applyNumberFormat="1" applyFont="1" applyFill="1" applyBorder="1"/>
    <xf numFmtId="0" fontId="4" fillId="2" borderId="0" xfId="0" applyFont="1" applyFill="1" applyAlignment="1">
      <alignment horizontal="left" wrapText="1"/>
    </xf>
    <xf numFmtId="0" fontId="4" fillId="2" borderId="0" xfId="0" applyFont="1" applyFill="1" applyBorder="1" applyAlignment="1">
      <alignment horizontal="left"/>
    </xf>
    <xf numFmtId="7" fontId="11" fillId="0" borderId="0" xfId="0" applyNumberFormat="1" applyFont="1" applyBorder="1" applyAlignment="1">
      <alignment horizontal="center"/>
    </xf>
    <xf numFmtId="6" fontId="8" fillId="2" borderId="2" xfId="0" applyNumberFormat="1" applyFont="1" applyFill="1" applyBorder="1"/>
    <xf numFmtId="6" fontId="8" fillId="4" borderId="3" xfId="0" applyNumberFormat="1" applyFont="1" applyFill="1" applyBorder="1"/>
    <xf numFmtId="38" fontId="8" fillId="4" borderId="3" xfId="0" applyNumberFormat="1" applyFont="1" applyFill="1" applyBorder="1"/>
    <xf numFmtId="38" fontId="8" fillId="2" borderId="4" xfId="0" applyNumberFormat="1" applyFont="1" applyFill="1" applyBorder="1"/>
    <xf numFmtId="6" fontId="8" fillId="2" borderId="4" xfId="0" applyNumberFormat="1" applyFont="1" applyFill="1" applyBorder="1"/>
    <xf numFmtId="6" fontId="8" fillId="4" borderId="5" xfId="0" applyNumberFormat="1" applyFont="1" applyFill="1" applyBorder="1"/>
    <xf numFmtId="6" fontId="8" fillId="2" borderId="6" xfId="0" applyNumberFormat="1" applyFont="1" applyFill="1" applyBorder="1"/>
    <xf numFmtId="10" fontId="8" fillId="4" borderId="3" xfId="0" applyNumberFormat="1" applyFont="1" applyFill="1" applyBorder="1"/>
    <xf numFmtId="7" fontId="11" fillId="2" borderId="0" xfId="0" applyNumberFormat="1" applyFont="1" applyFill="1" applyBorder="1" applyAlignment="1">
      <alignment horizontal="center"/>
    </xf>
    <xf numFmtId="10" fontId="8" fillId="2" borderId="0" xfId="0" applyNumberFormat="1" applyFont="1" applyFill="1" applyBorder="1" applyAlignment="1">
      <alignment horizontal="center"/>
    </xf>
    <xf numFmtId="0" fontId="4" fillId="2" borderId="0" xfId="0" applyFont="1" applyFill="1" applyAlignment="1" applyProtection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10" fontId="11" fillId="4" borderId="3" xfId="0" applyNumberFormat="1" applyFont="1" applyFill="1" applyBorder="1"/>
    <xf numFmtId="7" fontId="3" fillId="3" borderId="0" xfId="0" applyNumberFormat="1" applyFont="1" applyFill="1" applyBorder="1" applyAlignment="1">
      <alignment horizontal="center"/>
    </xf>
    <xf numFmtId="37" fontId="8" fillId="4" borderId="3" xfId="1" applyNumberFormat="1" applyFont="1" applyFill="1" applyBorder="1"/>
    <xf numFmtId="14" fontId="3" fillId="0" borderId="0" xfId="0" applyNumberFormat="1" applyFont="1" applyAlignment="1" applyProtection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2" borderId="0" xfId="0" quotePrefix="1" applyFont="1" applyFill="1" applyAlignment="1">
      <alignment horizontal="right"/>
    </xf>
    <xf numFmtId="14" fontId="3" fillId="0" borderId="0" xfId="0" applyNumberFormat="1" applyFont="1" applyAlignment="1" applyProtection="1">
      <alignment horizontal="right" wrapText="1"/>
    </xf>
    <xf numFmtId="17" fontId="3" fillId="0" borderId="0" xfId="0" applyNumberFormat="1" applyFont="1" applyAlignment="1">
      <alignment horizontal="right"/>
    </xf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left" wrapText="1"/>
    </xf>
    <xf numFmtId="49" fontId="3" fillId="0" borderId="0" xfId="0" applyNumberFormat="1" applyFont="1" applyAlignment="1" applyProtection="1">
      <alignment horizontal="right"/>
    </xf>
    <xf numFmtId="0" fontId="3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2" fillId="2" borderId="0" xfId="0" applyFont="1" applyFill="1" applyAlignment="1">
      <alignment wrapText="1"/>
    </xf>
    <xf numFmtId="0" fontId="2" fillId="2" borderId="0" xfId="0" quotePrefix="1" applyFont="1" applyFill="1" applyAlignment="1">
      <alignment horizontal="right"/>
    </xf>
    <xf numFmtId="0" fontId="3" fillId="2" borderId="0" xfId="0" applyFont="1" applyFill="1" applyBorder="1" applyAlignment="1">
      <alignment horizontal="right"/>
    </xf>
    <xf numFmtId="6" fontId="3" fillId="0" borderId="0" xfId="0" applyNumberFormat="1" applyFont="1" applyAlignment="1">
      <alignment horizontal="centerContinuous"/>
    </xf>
    <xf numFmtId="10" fontId="3" fillId="0" borderId="0" xfId="0" applyNumberFormat="1" applyFont="1"/>
    <xf numFmtId="14" fontId="3" fillId="0" borderId="3" xfId="0" applyNumberFormat="1" applyFont="1" applyBorder="1" applyAlignment="1">
      <alignment horizontal="center"/>
    </xf>
    <xf numFmtId="6" fontId="3" fillId="0" borderId="0" xfId="0" applyNumberFormat="1" applyFont="1" applyAlignment="1" applyProtection="1">
      <alignment horizontal="centerContinuous"/>
    </xf>
    <xf numFmtId="0" fontId="3" fillId="0" borderId="0" xfId="0" quotePrefix="1" applyFont="1" applyAlignment="1">
      <alignment horizontal="center"/>
    </xf>
    <xf numFmtId="14" fontId="3" fillId="0" borderId="0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0" borderId="0" xfId="0" quotePrefix="1" applyNumberFormat="1" applyFont="1" applyAlignment="1">
      <alignment horizontal="center"/>
    </xf>
    <xf numFmtId="6" fontId="3" fillId="0" borderId="0" xfId="0" quotePrefix="1" applyNumberFormat="1" applyFont="1" applyAlignment="1" applyProtection="1">
      <alignment horizontal="centerContinuous"/>
    </xf>
    <xf numFmtId="6" fontId="3" fillId="0" borderId="0" xfId="0" quotePrefix="1" applyNumberFormat="1" applyFont="1" applyAlignment="1" applyProtection="1">
      <alignment horizontal="center"/>
    </xf>
    <xf numFmtId="6" fontId="3" fillId="0" borderId="0" xfId="0" quotePrefix="1" applyNumberFormat="1" applyFont="1" applyAlignment="1">
      <alignment horizontal="centerContinuous"/>
    </xf>
    <xf numFmtId="0" fontId="3" fillId="0" borderId="0" xfId="0" applyFont="1" applyAlignment="1">
      <alignment horizontal="right"/>
    </xf>
    <xf numFmtId="1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0" fontId="11" fillId="0" borderId="0" xfId="0" applyFont="1"/>
    <xf numFmtId="14" fontId="3" fillId="0" borderId="9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6" fontId="3" fillId="2" borderId="0" xfId="0" applyNumberFormat="1" applyFont="1" applyFill="1"/>
    <xf numFmtId="6" fontId="3" fillId="2" borderId="0" xfId="0" applyNumberFormat="1" applyFont="1" applyFill="1" applyProtection="1"/>
    <xf numFmtId="7" fontId="11" fillId="0" borderId="0" xfId="0" applyNumberFormat="1" applyFont="1" applyBorder="1"/>
    <xf numFmtId="6" fontId="3" fillId="2" borderId="0" xfId="0" applyNumberFormat="1" applyFont="1" applyFill="1" applyBorder="1"/>
    <xf numFmtId="0" fontId="3" fillId="2" borderId="0" xfId="0" applyFont="1" applyFill="1" applyBorder="1"/>
    <xf numFmtId="7" fontId="11" fillId="2" borderId="0" xfId="2" applyNumberFormat="1" applyFont="1" applyFill="1" applyBorder="1"/>
    <xf numFmtId="0" fontId="11" fillId="2" borderId="0" xfId="0" applyFont="1" applyFill="1" applyBorder="1"/>
    <xf numFmtId="8" fontId="11" fillId="2" borderId="0" xfId="2" applyNumberFormat="1" applyFont="1" applyFill="1" applyBorder="1"/>
    <xf numFmtId="10" fontId="11" fillId="2" borderId="0" xfId="2" applyNumberFormat="1" applyFont="1" applyFill="1" applyBorder="1"/>
    <xf numFmtId="0" fontId="18" fillId="2" borderId="0" xfId="0" applyFont="1" applyFill="1" applyAlignment="1">
      <alignment horizontal="left"/>
    </xf>
    <xf numFmtId="10" fontId="11" fillId="2" borderId="2" xfId="2" applyNumberFormat="1" applyFont="1" applyFill="1" applyBorder="1"/>
    <xf numFmtId="6" fontId="3" fillId="2" borderId="6" xfId="0" applyNumberFormat="1" applyFont="1" applyFill="1" applyBorder="1"/>
    <xf numFmtId="6" fontId="3" fillId="2" borderId="6" xfId="0" applyNumberFormat="1" applyFont="1" applyFill="1" applyBorder="1" applyProtection="1"/>
    <xf numFmtId="0" fontId="11" fillId="0" borderId="0" xfId="0" quotePrefix="1" applyFont="1" applyBorder="1" applyAlignment="1">
      <alignment horizontal="center"/>
    </xf>
    <xf numFmtId="6" fontId="3" fillId="0" borderId="0" xfId="0" applyNumberFormat="1" applyFont="1" applyFill="1" applyBorder="1"/>
    <xf numFmtId="37" fontId="3" fillId="2" borderId="0" xfId="1" applyNumberFormat="1" applyFont="1" applyFill="1"/>
    <xf numFmtId="37" fontId="3" fillId="2" borderId="0" xfId="0" applyNumberFormat="1" applyFont="1" applyFill="1"/>
    <xf numFmtId="37" fontId="3" fillId="2" borderId="0" xfId="0" applyNumberFormat="1" applyFont="1" applyFill="1" applyProtection="1"/>
    <xf numFmtId="37" fontId="3" fillId="2" borderId="0" xfId="0" applyNumberFormat="1" applyFont="1" applyFill="1" applyBorder="1"/>
    <xf numFmtId="37" fontId="3" fillId="2" borderId="0" xfId="0" applyNumberFormat="1" applyFont="1" applyFill="1" applyBorder="1" applyProtection="1"/>
    <xf numFmtId="37" fontId="3" fillId="2" borderId="4" xfId="1" applyNumberFormat="1" applyFont="1" applyFill="1" applyBorder="1"/>
    <xf numFmtId="10" fontId="3" fillId="2" borderId="0" xfId="0" applyNumberFormat="1" applyFont="1" applyFill="1" applyBorder="1" applyProtection="1"/>
    <xf numFmtId="7" fontId="11" fillId="0" borderId="0" xfId="0" quotePrefix="1" applyNumberFormat="1" applyFont="1" applyAlignment="1">
      <alignment horizontal="center"/>
    </xf>
    <xf numFmtId="0" fontId="11" fillId="0" borderId="0" xfId="0" quotePrefix="1" applyFont="1" applyAlignment="1">
      <alignment horizontal="center"/>
    </xf>
    <xf numFmtId="167" fontId="3" fillId="0" borderId="0" xfId="0" applyNumberFormat="1" applyFont="1" applyAlignment="1">
      <alignment horizontal="centerContinuous"/>
    </xf>
    <xf numFmtId="10" fontId="3" fillId="2" borderId="0" xfId="0" applyNumberFormat="1" applyFont="1" applyFill="1" applyBorder="1"/>
    <xf numFmtId="7" fontId="11" fillId="3" borderId="0" xfId="2" applyNumberFormat="1" applyFont="1" applyFill="1" applyBorder="1"/>
    <xf numFmtId="7" fontId="11" fillId="3" borderId="0" xfId="2" applyNumberFormat="1" applyFont="1" applyFill="1" applyBorder="1" applyAlignment="1">
      <alignment horizontal="center"/>
    </xf>
    <xf numFmtId="10" fontId="11" fillId="4" borderId="3" xfId="2" applyNumberFormat="1" applyFont="1" applyFill="1" applyBorder="1"/>
    <xf numFmtId="0" fontId="3" fillId="3" borderId="0" xfId="0" applyFont="1" applyFill="1" applyBorder="1"/>
    <xf numFmtId="10" fontId="11" fillId="2" borderId="0" xfId="0" applyNumberFormat="1" applyFont="1" applyFill="1" applyBorder="1"/>
    <xf numFmtId="0" fontId="3" fillId="3" borderId="0" xfId="0" applyFont="1" applyFill="1" applyBorder="1" applyAlignment="1"/>
    <xf numFmtId="3" fontId="11" fillId="2" borderId="0" xfId="2" applyNumberFormat="1" applyFont="1" applyFill="1" applyBorder="1"/>
    <xf numFmtId="168" fontId="11" fillId="3" borderId="0" xfId="2" applyNumberFormat="1" applyFont="1" applyFill="1" applyBorder="1" applyAlignment="1">
      <alignment horizontal="left"/>
    </xf>
    <xf numFmtId="0" fontId="11" fillId="2" borderId="0" xfId="0" applyFont="1" applyFill="1"/>
    <xf numFmtId="7" fontId="11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37" fontId="11" fillId="2" borderId="4" xfId="0" applyNumberFormat="1" applyFont="1" applyFill="1" applyBorder="1"/>
    <xf numFmtId="6" fontId="11" fillId="2" borderId="0" xfId="0" applyNumberFormat="1" applyFont="1" applyFill="1"/>
    <xf numFmtId="7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Alignment="1">
      <alignment horizontal="center"/>
    </xf>
    <xf numFmtId="7" fontId="11" fillId="2" borderId="0" xfId="0" quotePrefix="1" applyNumberFormat="1" applyFont="1" applyFill="1" applyBorder="1" applyAlignment="1">
      <alignment horizontal="center"/>
    </xf>
    <xf numFmtId="3" fontId="2" fillId="0" borderId="1" xfId="0" applyNumberFormat="1" applyFont="1" applyBorder="1"/>
    <xf numFmtId="7" fontId="11" fillId="2" borderId="10" xfId="0" applyNumberFormat="1" applyFont="1" applyFill="1" applyBorder="1" applyAlignment="1">
      <alignment horizontal="center" wrapText="1"/>
    </xf>
    <xf numFmtId="3" fontId="2" fillId="0" borderId="10" xfId="0" quotePrefix="1" applyNumberFormat="1" applyFont="1" applyBorder="1" applyAlignment="1">
      <alignment horizontal="center"/>
    </xf>
    <xf numFmtId="3" fontId="2" fillId="0" borderId="9" xfId="0" applyNumberFormat="1" applyFont="1" applyBorder="1"/>
    <xf numFmtId="165" fontId="11" fillId="4" borderId="3" xfId="0" applyNumberFormat="1" applyFont="1" applyFill="1" applyBorder="1"/>
    <xf numFmtId="8" fontId="11" fillId="3" borderId="0" xfId="2" applyNumberFormat="1" applyFont="1" applyFill="1" applyBorder="1"/>
    <xf numFmtId="0" fontId="11" fillId="3" borderId="0" xfId="0" applyFont="1" applyFill="1" applyBorder="1"/>
    <xf numFmtId="165" fontId="11" fillId="4" borderId="3" xfId="0" applyNumberFormat="1" applyFont="1" applyFill="1" applyBorder="1" applyAlignment="1">
      <alignment horizontal="right"/>
    </xf>
    <xf numFmtId="3" fontId="8" fillId="0" borderId="0" xfId="0" applyNumberFormat="1" applyFont="1" applyBorder="1"/>
    <xf numFmtId="3" fontId="11" fillId="0" borderId="0" xfId="0" applyNumberFormat="1" applyFont="1" applyBorder="1"/>
    <xf numFmtId="7" fontId="11" fillId="2" borderId="0" xfId="0" applyNumberFormat="1" applyFont="1" applyFill="1" applyBorder="1"/>
    <xf numFmtId="3" fontId="11" fillId="4" borderId="3" xfId="2" applyNumberFormat="1" applyFont="1" applyFill="1" applyBorder="1"/>
    <xf numFmtId="3" fontId="11" fillId="2" borderId="10" xfId="2" applyNumberFormat="1" applyFont="1" applyFill="1" applyBorder="1"/>
    <xf numFmtId="165" fontId="11" fillId="4" borderId="3" xfId="2" applyNumberFormat="1" applyFont="1" applyFill="1" applyBorder="1"/>
    <xf numFmtId="2" fontId="11" fillId="4" borderId="3" xfId="2" applyNumberFormat="1" applyFont="1" applyFill="1" applyBorder="1"/>
    <xf numFmtId="2" fontId="11" fillId="2" borderId="0" xfId="2" applyNumberFormat="1" applyFont="1" applyFill="1" applyBorder="1"/>
    <xf numFmtId="3" fontId="11" fillId="2" borderId="0" xfId="0" applyNumberFormat="1" applyFont="1" applyFill="1" applyBorder="1"/>
    <xf numFmtId="2" fontId="3" fillId="2" borderId="0" xfId="0" applyNumberFormat="1" applyFont="1" applyFill="1"/>
    <xf numFmtId="2" fontId="11" fillId="3" borderId="0" xfId="2" applyNumberFormat="1" applyFont="1" applyFill="1" applyBorder="1"/>
    <xf numFmtId="2" fontId="3" fillId="3" borderId="0" xfId="0" applyNumberFormat="1" applyFont="1" applyFill="1" applyBorder="1"/>
    <xf numFmtId="165" fontId="11" fillId="2" borderId="0" xfId="0" applyNumberFormat="1" applyFont="1" applyFill="1" applyBorder="1"/>
    <xf numFmtId="166" fontId="11" fillId="2" borderId="0" xfId="2" applyNumberFormat="1" applyFont="1" applyFill="1" applyBorder="1"/>
    <xf numFmtId="165" fontId="11" fillId="2" borderId="2" xfId="0" applyNumberFormat="1" applyFont="1" applyFill="1" applyBorder="1"/>
    <xf numFmtId="165" fontId="11" fillId="3" borderId="0" xfId="2" applyNumberFormat="1" applyFont="1" applyFill="1" applyBorder="1"/>
    <xf numFmtId="10" fontId="11" fillId="4" borderId="5" xfId="2" applyNumberFormat="1" applyFont="1" applyFill="1" applyBorder="1"/>
    <xf numFmtId="3" fontId="11" fillId="4" borderId="3" xfId="2" applyNumberFormat="1" applyFont="1" applyFill="1" applyBorder="1" applyAlignment="1">
      <alignment horizontal="right"/>
    </xf>
    <xf numFmtId="0" fontId="11" fillId="3" borderId="0" xfId="0" applyFont="1" applyFill="1" applyBorder="1" applyAlignment="1">
      <alignment horizontal="center"/>
    </xf>
    <xf numFmtId="3" fontId="11" fillId="2" borderId="0" xfId="0" applyNumberFormat="1" applyFont="1" applyFill="1"/>
    <xf numFmtId="3" fontId="3" fillId="2" borderId="0" xfId="0" applyNumberFormat="1" applyFont="1" applyFill="1"/>
    <xf numFmtId="3" fontId="3" fillId="2" borderId="0" xfId="0" applyNumberFormat="1" applyFont="1" applyFill="1" applyBorder="1"/>
    <xf numFmtId="3" fontId="3" fillId="3" borderId="0" xfId="0" applyNumberFormat="1" applyFont="1" applyFill="1" applyBorder="1"/>
    <xf numFmtId="0" fontId="19" fillId="0" borderId="0" xfId="0" applyFont="1" applyAlignment="1" applyProtection="1">
      <alignment horizontal="left" vertical="center" wrapText="1"/>
    </xf>
    <xf numFmtId="0" fontId="20" fillId="0" borderId="0" xfId="0" applyFont="1" applyProtection="1"/>
    <xf numFmtId="0" fontId="6" fillId="0" borderId="0" xfId="0" applyFont="1" applyProtection="1"/>
    <xf numFmtId="38" fontId="6" fillId="0" borderId="0" xfId="0" applyNumberFormat="1" applyFont="1" applyProtection="1"/>
    <xf numFmtId="0" fontId="6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left"/>
    </xf>
    <xf numFmtId="6" fontId="6" fillId="0" borderId="0" xfId="0" applyNumberFormat="1" applyFont="1" applyAlignment="1" applyProtection="1">
      <alignment horizontal="centerContinuous"/>
    </xf>
    <xf numFmtId="14" fontId="6" fillId="0" borderId="0" xfId="0" applyNumberFormat="1" applyFont="1" applyAlignment="1" applyProtection="1">
      <alignment horizontal="right"/>
    </xf>
    <xf numFmtId="14" fontId="6" fillId="0" borderId="3" xfId="0" applyNumberFormat="1" applyFont="1" applyBorder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left"/>
    </xf>
    <xf numFmtId="0" fontId="6" fillId="0" borderId="0" xfId="0" quotePrefix="1" applyFont="1" applyAlignment="1" applyProtection="1">
      <alignment horizontal="center"/>
    </xf>
    <xf numFmtId="164" fontId="6" fillId="0" borderId="0" xfId="0" applyNumberFormat="1" applyFont="1" applyProtection="1"/>
    <xf numFmtId="14" fontId="6" fillId="0" borderId="0" xfId="0" applyNumberFormat="1" applyFont="1" applyAlignment="1" applyProtection="1">
      <alignment horizontal="center"/>
    </xf>
    <xf numFmtId="14" fontId="6" fillId="0" borderId="0" xfId="0" quotePrefix="1" applyNumberFormat="1" applyFont="1" applyAlignment="1" applyProtection="1">
      <alignment horizontal="center"/>
    </xf>
    <xf numFmtId="6" fontId="6" fillId="0" borderId="0" xfId="0" quotePrefix="1" applyNumberFormat="1" applyFont="1" applyAlignment="1" applyProtection="1">
      <alignment horizontal="centerContinuous"/>
    </xf>
    <xf numFmtId="6" fontId="6" fillId="0" borderId="0" xfId="0" quotePrefix="1" applyNumberFormat="1" applyFont="1" applyAlignment="1" applyProtection="1">
      <alignment horizontal="center"/>
    </xf>
    <xf numFmtId="38" fontId="6" fillId="0" borderId="0" xfId="0" applyNumberFormat="1" applyFont="1" applyAlignment="1" applyProtection="1">
      <alignment horizontal="center"/>
    </xf>
    <xf numFmtId="14" fontId="6" fillId="0" borderId="1" xfId="0" applyNumberFormat="1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38" fontId="6" fillId="0" borderId="1" xfId="0" applyNumberFormat="1" applyFont="1" applyBorder="1" applyProtection="1"/>
    <xf numFmtId="38" fontId="6" fillId="0" borderId="1" xfId="0" applyNumberFormat="1" applyFont="1" applyBorder="1" applyAlignment="1" applyProtection="1">
      <alignment horizontal="center"/>
    </xf>
    <xf numFmtId="14" fontId="6" fillId="0" borderId="9" xfId="0" applyNumberFormat="1" applyFont="1" applyBorder="1" applyAlignment="1" applyProtection="1">
      <alignment horizontal="center"/>
    </xf>
    <xf numFmtId="0" fontId="6" fillId="0" borderId="9" xfId="0" applyFont="1" applyBorder="1" applyAlignment="1" applyProtection="1">
      <alignment horizontal="center"/>
    </xf>
    <xf numFmtId="38" fontId="6" fillId="0" borderId="9" xfId="0" applyNumberFormat="1" applyFont="1" applyBorder="1" applyAlignment="1" applyProtection="1">
      <alignment horizontal="center"/>
    </xf>
    <xf numFmtId="0" fontId="6" fillId="2" borderId="0" xfId="0" applyFont="1" applyFill="1" applyAlignment="1" applyProtection="1">
      <alignment horizontal="right"/>
    </xf>
    <xf numFmtId="0" fontId="2" fillId="2" borderId="0" xfId="0" applyFont="1" applyFill="1" applyAlignment="1" applyProtection="1">
      <alignment horizontal="center"/>
    </xf>
    <xf numFmtId="6" fontId="6" fillId="2" borderId="0" xfId="0" applyNumberFormat="1" applyFont="1" applyFill="1" applyProtection="1"/>
    <xf numFmtId="0" fontId="6" fillId="2" borderId="0" xfId="0" applyFont="1" applyFill="1" applyAlignment="1" applyProtection="1">
      <alignment horizontal="center"/>
    </xf>
    <xf numFmtId="0" fontId="6" fillId="2" borderId="0" xfId="0" applyFont="1" applyFill="1" applyProtection="1"/>
    <xf numFmtId="38" fontId="6" fillId="2" borderId="0" xfId="0" applyNumberFormat="1" applyFont="1" applyFill="1" applyProtection="1"/>
    <xf numFmtId="0" fontId="6" fillId="2" borderId="0" xfId="0" quotePrefix="1" applyFont="1" applyFill="1" applyAlignment="1" applyProtection="1">
      <alignment horizontal="right"/>
    </xf>
    <xf numFmtId="0" fontId="6" fillId="2" borderId="0" xfId="0" applyFont="1" applyFill="1" applyAlignment="1" applyProtection="1">
      <alignment horizontal="left"/>
    </xf>
    <xf numFmtId="6" fontId="6" fillId="5" borderId="3" xfId="0" applyNumberFormat="1" applyFont="1" applyFill="1" applyBorder="1" applyProtection="1"/>
    <xf numFmtId="10" fontId="6" fillId="5" borderId="3" xfId="2" applyNumberFormat="1" applyFont="1" applyFill="1" applyBorder="1" applyProtection="1"/>
    <xf numFmtId="0" fontId="21" fillId="2" borderId="0" xfId="0" quotePrefix="1" applyFont="1" applyFill="1" applyAlignment="1" applyProtection="1">
      <alignment horizontal="right"/>
    </xf>
    <xf numFmtId="0" fontId="21" fillId="2" borderId="0" xfId="0" quotePrefix="1" applyFont="1" applyFill="1" applyAlignment="1" applyProtection="1">
      <alignment horizontal="left"/>
    </xf>
    <xf numFmtId="6" fontId="21" fillId="5" borderId="3" xfId="0" applyNumberFormat="1" applyFont="1" applyFill="1" applyBorder="1" applyProtection="1"/>
    <xf numFmtId="10" fontId="21" fillId="5" borderId="3" xfId="2" applyNumberFormat="1" applyFont="1" applyFill="1" applyBorder="1" applyProtection="1"/>
    <xf numFmtId="0" fontId="3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>
      <alignment horizontal="left"/>
    </xf>
    <xf numFmtId="0" fontId="2" fillId="0" borderId="0" xfId="0" applyFont="1" applyAlignment="1" applyProtection="1">
      <alignment horizontal="center"/>
    </xf>
    <xf numFmtId="14" fontId="6" fillId="0" borderId="0" xfId="0" applyNumberFormat="1" applyFont="1" applyAlignment="1" applyProtection="1">
      <alignment horizontal="right" wrapText="1"/>
    </xf>
    <xf numFmtId="17" fontId="6" fillId="0" borderId="0" xfId="0" applyNumberFormat="1" applyFont="1" applyAlignment="1" applyProtection="1">
      <alignment horizontal="right"/>
    </xf>
    <xf numFmtId="6" fontId="6" fillId="5" borderId="8" xfId="0" applyNumberFormat="1" applyFont="1" applyFill="1" applyBorder="1" applyProtection="1"/>
    <xf numFmtId="38" fontId="6" fillId="5" borderId="3" xfId="0" applyNumberFormat="1" applyFont="1" applyFill="1" applyBorder="1" applyProtection="1"/>
    <xf numFmtId="10" fontId="6" fillId="5" borderId="9" xfId="2" applyNumberFormat="1" applyFont="1" applyFill="1" applyBorder="1" applyProtection="1"/>
    <xf numFmtId="38" fontId="6" fillId="5" borderId="9" xfId="0" applyNumberFormat="1" applyFont="1" applyFill="1" applyBorder="1" applyProtection="1"/>
    <xf numFmtId="10" fontId="3" fillId="5" borderId="3" xfId="2" applyNumberFormat="1" applyFont="1" applyFill="1" applyBorder="1" applyProtection="1"/>
    <xf numFmtId="10" fontId="2" fillId="2" borderId="0" xfId="0" applyNumberFormat="1" applyFont="1" applyFill="1" applyAlignment="1" applyProtection="1">
      <alignment horizontal="center"/>
    </xf>
    <xf numFmtId="0" fontId="6" fillId="0" borderId="0" xfId="0" quotePrefix="1" applyFont="1" applyAlignment="1" applyProtection="1">
      <alignment horizontal="right"/>
    </xf>
    <xf numFmtId="0" fontId="21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left"/>
    </xf>
    <xf numFmtId="0" fontId="6" fillId="0" borderId="0" xfId="0" quotePrefix="1" applyFont="1" applyBorder="1" applyAlignment="1" applyProtection="1">
      <alignment horizontal="right"/>
    </xf>
    <xf numFmtId="0" fontId="21" fillId="0" borderId="0" xfId="0" quotePrefix="1" applyFont="1" applyBorder="1" applyAlignment="1" applyProtection="1">
      <alignment horizontal="left"/>
    </xf>
    <xf numFmtId="0" fontId="15" fillId="0" borderId="0" xfId="0" quotePrefix="1" applyFont="1" applyBorder="1" applyAlignment="1" applyProtection="1">
      <alignment horizontal="left"/>
    </xf>
    <xf numFmtId="0" fontId="21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6" fontId="6" fillId="2" borderId="0" xfId="0" applyNumberFormat="1" applyFont="1" applyFill="1" applyBorder="1" applyProtection="1"/>
    <xf numFmtId="10" fontId="6" fillId="2" borderId="0" xfId="2" applyNumberFormat="1" applyFont="1" applyFill="1" applyBorder="1" applyProtection="1"/>
    <xf numFmtId="10" fontId="6" fillId="2" borderId="0" xfId="0" applyNumberFormat="1" applyFont="1" applyFill="1" applyProtection="1"/>
    <xf numFmtId="0" fontId="6" fillId="0" borderId="0" xfId="0" applyFont="1" applyBorder="1" applyAlignment="1" applyProtection="1">
      <alignment horizontal="left"/>
    </xf>
    <xf numFmtId="0" fontId="21" fillId="0" borderId="0" xfId="0" quotePrefix="1" applyFont="1" applyAlignment="1" applyProtection="1">
      <alignment horizontal="left"/>
    </xf>
    <xf numFmtId="0" fontId="6" fillId="0" borderId="0" xfId="0" quotePrefix="1" applyFont="1" applyBorder="1" applyAlignment="1" applyProtection="1">
      <alignment horizontal="left"/>
    </xf>
    <xf numFmtId="0" fontId="21" fillId="2" borderId="0" xfId="0" applyFont="1" applyFill="1" applyAlignment="1" applyProtection="1">
      <alignment horizontal="left"/>
    </xf>
    <xf numFmtId="3" fontId="6" fillId="2" borderId="0" xfId="0" applyNumberFormat="1" applyFont="1" applyFill="1" applyBorder="1" applyAlignment="1" applyProtection="1">
      <alignment horizontal="center"/>
    </xf>
    <xf numFmtId="38" fontId="6" fillId="2" borderId="0" xfId="0" applyNumberFormat="1" applyFont="1" applyFill="1" applyBorder="1" applyProtection="1"/>
    <xf numFmtId="6" fontId="22" fillId="2" borderId="0" xfId="0" applyNumberFormat="1" applyFont="1" applyFill="1" applyBorder="1" applyProtection="1"/>
    <xf numFmtId="10" fontId="22" fillId="2" borderId="0" xfId="2" applyNumberFormat="1" applyFont="1" applyFill="1" applyBorder="1" applyProtection="1"/>
    <xf numFmtId="38" fontId="22" fillId="2" borderId="0" xfId="0" applyNumberFormat="1" applyFont="1" applyFill="1" applyBorder="1" applyProtection="1"/>
    <xf numFmtId="38" fontId="6" fillId="2" borderId="4" xfId="0" applyNumberFormat="1" applyFont="1" applyFill="1" applyBorder="1" applyProtection="1"/>
    <xf numFmtId="0" fontId="23" fillId="2" borderId="0" xfId="0" applyFont="1" applyFill="1" applyAlignment="1" applyProtection="1">
      <alignment horizontal="left"/>
    </xf>
    <xf numFmtId="6" fontId="6" fillId="2" borderId="2" xfId="0" applyNumberFormat="1" applyFont="1" applyFill="1" applyBorder="1" applyProtection="1"/>
    <xf numFmtId="10" fontId="6" fillId="2" borderId="2" xfId="2" applyNumberFormat="1" applyFont="1" applyFill="1" applyBorder="1" applyProtection="1"/>
    <xf numFmtId="0" fontId="6" fillId="2" borderId="0" xfId="0" applyFont="1" applyFill="1" applyAlignment="1" applyProtection="1">
      <alignment horizontal="left" wrapText="1"/>
    </xf>
    <xf numFmtId="6" fontId="6" fillId="2" borderId="6" xfId="0" applyNumberFormat="1" applyFont="1" applyFill="1" applyBorder="1" applyProtection="1"/>
    <xf numFmtId="10" fontId="6" fillId="2" borderId="6" xfId="2" applyNumberFormat="1" applyFont="1" applyFill="1" applyBorder="1" applyProtection="1"/>
    <xf numFmtId="49" fontId="6" fillId="0" borderId="0" xfId="0" quotePrefix="1" applyNumberFormat="1" applyFont="1" applyAlignment="1" applyProtection="1">
      <alignment horizontal="right"/>
    </xf>
    <xf numFmtId="5" fontId="24" fillId="5" borderId="3" xfId="0" applyNumberFormat="1" applyFont="1" applyFill="1" applyBorder="1" applyProtection="1"/>
    <xf numFmtId="37" fontId="24" fillId="5" borderId="3" xfId="0" applyNumberFormat="1" applyFont="1" applyFill="1" applyBorder="1" applyAlignment="1" applyProtection="1">
      <alignment horizontal="right"/>
    </xf>
    <xf numFmtId="5" fontId="24" fillId="0" borderId="0" xfId="0" applyNumberFormat="1" applyFont="1" applyFill="1" applyBorder="1" applyProtection="1"/>
    <xf numFmtId="0" fontId="24" fillId="0" borderId="0" xfId="0" applyFont="1" applyBorder="1" applyProtection="1"/>
    <xf numFmtId="0" fontId="24" fillId="0" borderId="0" xfId="0" applyFont="1" applyProtection="1"/>
    <xf numFmtId="0" fontId="13" fillId="0" borderId="0" xfId="0" applyFont="1" applyProtection="1"/>
    <xf numFmtId="37" fontId="24" fillId="0" borderId="0" xfId="0" applyNumberFormat="1" applyFont="1" applyFill="1" applyBorder="1" applyAlignment="1" applyProtection="1">
      <alignment horizontal="right"/>
    </xf>
    <xf numFmtId="5" fontId="24" fillId="0" borderId="0" xfId="0" applyNumberFormat="1" applyFont="1" applyFill="1" applyBorder="1" applyAlignment="1" applyProtection="1">
      <alignment horizontal="center"/>
    </xf>
    <xf numFmtId="49" fontId="6" fillId="0" borderId="0" xfId="0" applyNumberFormat="1" applyFont="1" applyAlignment="1" applyProtection="1">
      <alignment horizontal="right"/>
    </xf>
    <xf numFmtId="49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9" fillId="2" borderId="0" xfId="0" quotePrefix="1" applyFont="1" applyFill="1" applyAlignment="1" applyProtection="1">
      <alignment horizontal="right"/>
    </xf>
    <xf numFmtId="0" fontId="9" fillId="2" borderId="0" xfId="0" applyFont="1" applyFill="1" applyAlignment="1" applyProtection="1">
      <alignment horizontal="left"/>
    </xf>
    <xf numFmtId="6" fontId="6" fillId="0" borderId="0" xfId="0" applyNumberFormat="1" applyFont="1" applyFill="1" applyBorder="1" applyProtection="1"/>
    <xf numFmtId="0" fontId="25" fillId="2" borderId="0" xfId="0" applyFont="1" applyFill="1" applyAlignment="1" applyProtection="1">
      <alignment horizontal="left"/>
    </xf>
    <xf numFmtId="37" fontId="6" fillId="2" borderId="0" xfId="0" applyNumberFormat="1" applyFont="1" applyFill="1" applyProtection="1"/>
    <xf numFmtId="0" fontId="9" fillId="2" borderId="0" xfId="0" applyFont="1" applyFill="1" applyAlignment="1" applyProtection="1">
      <alignment horizontal="center"/>
    </xf>
    <xf numFmtId="37" fontId="6" fillId="5" borderId="3" xfId="1" applyNumberFormat="1" applyFont="1" applyFill="1" applyBorder="1" applyProtection="1"/>
    <xf numFmtId="37" fontId="6" fillId="5" borderId="3" xfId="0" applyNumberFormat="1" applyFont="1" applyFill="1" applyBorder="1" applyProtection="1"/>
    <xf numFmtId="0" fontId="9" fillId="2" borderId="0" xfId="0" applyFont="1" applyFill="1" applyProtection="1"/>
    <xf numFmtId="3" fontId="6" fillId="5" borderId="5" xfId="1" applyNumberFormat="1" applyFont="1" applyFill="1" applyBorder="1" applyProtection="1"/>
    <xf numFmtId="1" fontId="6" fillId="2" borderId="0" xfId="0" applyNumberFormat="1" applyFont="1" applyFill="1" applyProtection="1"/>
    <xf numFmtId="37" fontId="6" fillId="2" borderId="0" xfId="0" applyNumberFormat="1" applyFont="1" applyFill="1" applyBorder="1" applyProtection="1"/>
    <xf numFmtId="0" fontId="26" fillId="2" borderId="0" xfId="0" applyFont="1" applyFill="1" applyAlignment="1" applyProtection="1">
      <alignment horizontal="center"/>
    </xf>
    <xf numFmtId="37" fontId="6" fillId="2" borderId="6" xfId="0" applyNumberFormat="1" applyFont="1" applyFill="1" applyBorder="1" applyProtection="1"/>
    <xf numFmtId="0" fontId="21" fillId="2" borderId="0" xfId="0" applyFont="1" applyFill="1" applyAlignment="1" applyProtection="1">
      <alignment horizontal="left" wrapText="1"/>
    </xf>
    <xf numFmtId="10" fontId="6" fillId="5" borderId="3" xfId="1" applyNumberFormat="1" applyFont="1" applyFill="1" applyBorder="1" applyAlignment="1" applyProtection="1">
      <alignment horizontal="right"/>
    </xf>
    <xf numFmtId="10" fontId="6" fillId="2" borderId="0" xfId="0" applyNumberFormat="1" applyFont="1" applyFill="1" applyBorder="1" applyProtection="1"/>
    <xf numFmtId="38" fontId="7" fillId="0" borderId="0" xfId="0" applyNumberFormat="1" applyFont="1" applyAlignment="1" applyProtection="1">
      <alignment horizontal="left"/>
    </xf>
    <xf numFmtId="38" fontId="6" fillId="2" borderId="0" xfId="0" applyNumberFormat="1" applyFont="1" applyFill="1" applyAlignment="1" applyProtection="1">
      <alignment horizontal="right"/>
    </xf>
    <xf numFmtId="6" fontId="27" fillId="5" borderId="3" xfId="0" applyNumberFormat="1" applyFont="1" applyFill="1" applyBorder="1" applyProtection="1"/>
    <xf numFmtId="0" fontId="27" fillId="0" borderId="0" xfId="0" applyFont="1" applyProtection="1"/>
    <xf numFmtId="38" fontId="27" fillId="0" borderId="0" xfId="0" applyNumberFormat="1" applyFont="1" applyProtection="1"/>
    <xf numFmtId="0" fontId="27" fillId="0" borderId="0" xfId="0" applyFont="1" applyAlignment="1" applyProtection="1">
      <alignment horizontal="right"/>
    </xf>
    <xf numFmtId="0" fontId="28" fillId="0" borderId="0" xfId="0" applyFont="1" applyAlignment="1" applyProtection="1">
      <alignment horizontal="left"/>
    </xf>
    <xf numFmtId="6" fontId="27" fillId="0" borderId="0" xfId="0" applyNumberFormat="1" applyFont="1" applyAlignment="1" applyProtection="1">
      <alignment horizontal="centerContinuous"/>
    </xf>
    <xf numFmtId="14" fontId="27" fillId="0" borderId="0" xfId="0" applyNumberFormat="1" applyFont="1" applyAlignment="1" applyProtection="1">
      <alignment horizontal="right"/>
    </xf>
    <xf numFmtId="0" fontId="27" fillId="0" borderId="0" xfId="0" applyFont="1" applyAlignment="1" applyProtection="1">
      <alignment horizontal="left"/>
    </xf>
    <xf numFmtId="0" fontId="27" fillId="0" borderId="0" xfId="0" quotePrefix="1" applyFont="1" applyAlignment="1" applyProtection="1">
      <alignment horizontal="center"/>
    </xf>
    <xf numFmtId="164" fontId="27" fillId="0" borderId="0" xfId="0" applyNumberFormat="1" applyFont="1" applyProtection="1"/>
    <xf numFmtId="14" fontId="27" fillId="0" borderId="0" xfId="0" applyNumberFormat="1" applyFont="1" applyAlignment="1" applyProtection="1">
      <alignment horizontal="center"/>
    </xf>
    <xf numFmtId="14" fontId="27" fillId="0" borderId="0" xfId="0" quotePrefix="1" applyNumberFormat="1" applyFont="1" applyAlignment="1" applyProtection="1">
      <alignment horizontal="center"/>
    </xf>
    <xf numFmtId="6" fontId="27" fillId="0" borderId="0" xfId="0" quotePrefix="1" applyNumberFormat="1" applyFont="1" applyAlignment="1" applyProtection="1">
      <alignment horizontal="centerContinuous"/>
    </xf>
    <xf numFmtId="6" fontId="27" fillId="0" borderId="0" xfId="0" quotePrefix="1" applyNumberFormat="1" applyFont="1" applyAlignment="1" applyProtection="1">
      <alignment horizontal="center"/>
    </xf>
    <xf numFmtId="38" fontId="27" fillId="0" borderId="0" xfId="0" applyNumberFormat="1" applyFont="1" applyAlignment="1" applyProtection="1">
      <alignment horizontal="center"/>
    </xf>
    <xf numFmtId="14" fontId="27" fillId="0" borderId="1" xfId="0" applyNumberFormat="1" applyFont="1" applyBorder="1" applyAlignment="1" applyProtection="1">
      <alignment horizontal="center"/>
    </xf>
    <xf numFmtId="0" fontId="27" fillId="0" borderId="1" xfId="0" applyFont="1" applyBorder="1" applyAlignment="1" applyProtection="1">
      <alignment horizontal="center"/>
    </xf>
    <xf numFmtId="38" fontId="27" fillId="0" borderId="1" xfId="0" applyNumberFormat="1" applyFont="1" applyBorder="1" applyProtection="1"/>
    <xf numFmtId="38" fontId="27" fillId="0" borderId="1" xfId="0" applyNumberFormat="1" applyFont="1" applyBorder="1" applyAlignment="1" applyProtection="1">
      <alignment horizontal="center"/>
    </xf>
    <xf numFmtId="14" fontId="27" fillId="0" borderId="9" xfId="0" applyNumberFormat="1" applyFont="1" applyBorder="1" applyAlignment="1" applyProtection="1">
      <alignment horizontal="center"/>
    </xf>
    <xf numFmtId="0" fontId="27" fillId="0" borderId="9" xfId="0" applyFont="1" applyBorder="1" applyAlignment="1" applyProtection="1">
      <alignment horizontal="center"/>
    </xf>
    <xf numFmtId="38" fontId="27" fillId="0" borderId="9" xfId="0" applyNumberFormat="1" applyFont="1" applyBorder="1" applyAlignment="1" applyProtection="1">
      <alignment horizontal="center"/>
    </xf>
    <xf numFmtId="0" fontId="27" fillId="2" borderId="0" xfId="0" applyFont="1" applyFill="1" applyAlignment="1" applyProtection="1">
      <alignment horizontal="right"/>
    </xf>
    <xf numFmtId="0" fontId="28" fillId="2" borderId="0" xfId="0" applyFont="1" applyFill="1" applyAlignment="1" applyProtection="1">
      <alignment horizontal="center"/>
    </xf>
    <xf numFmtId="6" fontId="27" fillId="2" borderId="0" xfId="0" applyNumberFormat="1" applyFont="1" applyFill="1" applyProtection="1"/>
    <xf numFmtId="0" fontId="27" fillId="2" borderId="0" xfId="0" applyFont="1" applyFill="1" applyAlignment="1" applyProtection="1">
      <alignment horizontal="center"/>
    </xf>
    <xf numFmtId="0" fontId="27" fillId="2" borderId="0" xfId="0" applyFont="1" applyFill="1" applyProtection="1"/>
    <xf numFmtId="38" fontId="27" fillId="2" borderId="0" xfId="0" applyNumberFormat="1" applyFont="1" applyFill="1" applyProtection="1"/>
    <xf numFmtId="0" fontId="27" fillId="2" borderId="0" xfId="0" quotePrefix="1" applyFont="1" applyFill="1" applyAlignment="1" applyProtection="1">
      <alignment horizontal="right"/>
    </xf>
    <xf numFmtId="0" fontId="27" fillId="2" borderId="0" xfId="0" applyFont="1" applyFill="1" applyAlignment="1" applyProtection="1">
      <alignment horizontal="left"/>
    </xf>
    <xf numFmtId="10" fontId="27" fillId="5" borderId="3" xfId="2" applyNumberFormat="1" applyFont="1" applyFill="1" applyBorder="1" applyProtection="1"/>
    <xf numFmtId="0" fontId="30" fillId="2" borderId="0" xfId="0" quotePrefix="1" applyFont="1" applyFill="1" applyAlignment="1" applyProtection="1">
      <alignment horizontal="right"/>
    </xf>
    <xf numFmtId="0" fontId="30" fillId="2" borderId="0" xfId="0" quotePrefix="1" applyFont="1" applyFill="1" applyAlignment="1" applyProtection="1">
      <alignment horizontal="left"/>
    </xf>
    <xf numFmtId="6" fontId="30" fillId="5" borderId="3" xfId="0" applyNumberFormat="1" applyFont="1" applyFill="1" applyBorder="1" applyProtection="1"/>
    <xf numFmtId="10" fontId="30" fillId="5" borderId="3" xfId="2" applyNumberFormat="1" applyFont="1" applyFill="1" applyBorder="1" applyProtection="1"/>
    <xf numFmtId="0" fontId="28" fillId="2" borderId="0" xfId="0" applyFont="1" applyFill="1" applyAlignment="1" applyProtection="1">
      <alignment horizontal="left"/>
    </xf>
    <xf numFmtId="0" fontId="28" fillId="0" borderId="0" xfId="0" applyFont="1" applyAlignment="1" applyProtection="1">
      <alignment horizontal="center"/>
    </xf>
    <xf numFmtId="14" fontId="27" fillId="0" borderId="0" xfId="0" applyNumberFormat="1" applyFont="1" applyAlignment="1" applyProtection="1">
      <alignment horizontal="right" wrapText="1"/>
    </xf>
    <xf numFmtId="17" fontId="27" fillId="0" borderId="0" xfId="0" applyNumberFormat="1" applyFont="1" applyAlignment="1" applyProtection="1">
      <alignment horizontal="right"/>
    </xf>
    <xf numFmtId="6" fontId="27" fillId="5" borderId="8" xfId="0" applyNumberFormat="1" applyFont="1" applyFill="1" applyBorder="1" applyProtection="1"/>
    <xf numFmtId="10" fontId="27" fillId="5" borderId="9" xfId="2" applyNumberFormat="1" applyFont="1" applyFill="1" applyBorder="1" applyProtection="1"/>
    <xf numFmtId="10" fontId="31" fillId="5" borderId="3" xfId="2" applyNumberFormat="1" applyFont="1" applyFill="1" applyBorder="1" applyProtection="1"/>
    <xf numFmtId="0" fontId="24" fillId="0" borderId="0" xfId="0" quotePrefix="1" applyFont="1" applyAlignment="1" applyProtection="1">
      <alignment horizontal="right"/>
    </xf>
    <xf numFmtId="0" fontId="32" fillId="0" borderId="0" xfId="0" applyFont="1" applyBorder="1" applyAlignment="1" applyProtection="1">
      <alignment horizontal="left"/>
    </xf>
    <xf numFmtId="0" fontId="24" fillId="0" borderId="0" xfId="0" quotePrefix="1" applyFont="1" applyBorder="1" applyAlignment="1" applyProtection="1">
      <alignment horizontal="right"/>
    </xf>
    <xf numFmtId="0" fontId="24" fillId="0" borderId="0" xfId="0" applyFont="1" applyAlignment="1" applyProtection="1">
      <alignment horizontal="right"/>
    </xf>
    <xf numFmtId="0" fontId="32" fillId="0" borderId="0" xfId="0" quotePrefix="1" applyFont="1" applyBorder="1" applyAlignment="1" applyProtection="1">
      <alignment horizontal="left"/>
    </xf>
    <xf numFmtId="0" fontId="32" fillId="0" borderId="0" xfId="0" applyFont="1" applyAlignment="1" applyProtection="1">
      <alignment horizontal="left"/>
    </xf>
    <xf numFmtId="6" fontId="27" fillId="2" borderId="0" xfId="0" applyNumberFormat="1" applyFont="1" applyFill="1" applyBorder="1" applyProtection="1"/>
    <xf numFmtId="10" fontId="27" fillId="2" borderId="0" xfId="2" applyNumberFormat="1" applyFont="1" applyFill="1" applyBorder="1" applyProtection="1"/>
    <xf numFmtId="10" fontId="27" fillId="2" borderId="0" xfId="0" applyNumberFormat="1" applyFont="1" applyFill="1" applyProtection="1"/>
    <xf numFmtId="0" fontId="24" fillId="0" borderId="0" xfId="0" applyFont="1" applyAlignment="1" applyProtection="1">
      <alignment horizontal="left"/>
    </xf>
    <xf numFmtId="0" fontId="24" fillId="0" borderId="0" xfId="0" applyFont="1" applyBorder="1" applyAlignment="1" applyProtection="1">
      <alignment horizontal="left"/>
    </xf>
    <xf numFmtId="0" fontId="32" fillId="0" borderId="0" xfId="0" quotePrefix="1" applyFont="1" applyAlignment="1" applyProtection="1">
      <alignment horizontal="left"/>
    </xf>
    <xf numFmtId="0" fontId="24" fillId="0" borderId="0" xfId="0" quotePrefix="1" applyFont="1" applyBorder="1" applyAlignment="1" applyProtection="1">
      <alignment horizontal="left"/>
    </xf>
    <xf numFmtId="6" fontId="33" fillId="2" borderId="0" xfId="0" applyNumberFormat="1" applyFont="1" applyFill="1" applyBorder="1" applyProtection="1"/>
    <xf numFmtId="10" fontId="33" fillId="2" borderId="0" xfId="2" applyNumberFormat="1" applyFont="1" applyFill="1" applyBorder="1" applyProtection="1"/>
    <xf numFmtId="6" fontId="27" fillId="2" borderId="2" xfId="0" applyNumberFormat="1" applyFont="1" applyFill="1" applyBorder="1" applyProtection="1"/>
    <xf numFmtId="10" fontId="27" fillId="2" borderId="2" xfId="2" applyNumberFormat="1" applyFont="1" applyFill="1" applyBorder="1" applyProtection="1"/>
    <xf numFmtId="6" fontId="27" fillId="2" borderId="6" xfId="0" applyNumberFormat="1" applyFont="1" applyFill="1" applyBorder="1" applyProtection="1"/>
    <xf numFmtId="10" fontId="27" fillId="2" borderId="6" xfId="2" applyNumberFormat="1" applyFont="1" applyFill="1" applyBorder="1" applyProtection="1"/>
    <xf numFmtId="49" fontId="24" fillId="0" borderId="0" xfId="0" quotePrefix="1" applyNumberFormat="1" applyFont="1" applyAlignment="1" applyProtection="1">
      <alignment horizontal="right"/>
    </xf>
    <xf numFmtId="0" fontId="29" fillId="0" borderId="0" xfId="0" applyFont="1" applyProtection="1"/>
    <xf numFmtId="0" fontId="34" fillId="0" borderId="0" xfId="0" applyFont="1" applyAlignment="1" applyProtection="1">
      <alignment horizontal="left"/>
    </xf>
    <xf numFmtId="49" fontId="24" fillId="0" borderId="0" xfId="0" applyNumberFormat="1" applyFont="1" applyAlignment="1" applyProtection="1">
      <alignment horizontal="right"/>
    </xf>
    <xf numFmtId="49" fontId="24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7" fillId="2" borderId="0" xfId="0" applyFont="1" applyFill="1" applyAlignment="1" applyProtection="1">
      <alignment horizontal="left" wrapText="1"/>
    </xf>
    <xf numFmtId="0" fontId="5" fillId="2" borderId="0" xfId="0" applyFont="1" applyFill="1" applyAlignment="1" applyProtection="1">
      <alignment horizontal="left"/>
    </xf>
    <xf numFmtId="37" fontId="27" fillId="2" borderId="0" xfId="0" applyNumberFormat="1" applyFont="1" applyFill="1" applyProtection="1"/>
    <xf numFmtId="37" fontId="27" fillId="5" borderId="3" xfId="1" applyNumberFormat="1" applyFont="1" applyFill="1" applyBorder="1" applyProtection="1"/>
    <xf numFmtId="37" fontId="27" fillId="5" borderId="3" xfId="0" applyNumberFormat="1" applyFont="1" applyFill="1" applyBorder="1" applyProtection="1"/>
    <xf numFmtId="0" fontId="30" fillId="2" borderId="0" xfId="0" applyFont="1" applyFill="1" applyAlignment="1" applyProtection="1">
      <alignment horizontal="left"/>
    </xf>
    <xf numFmtId="0" fontId="28" fillId="2" borderId="0" xfId="0" applyFont="1" applyFill="1" applyProtection="1"/>
    <xf numFmtId="3" fontId="27" fillId="5" borderId="5" xfId="1" applyNumberFormat="1" applyFont="1" applyFill="1" applyBorder="1" applyProtection="1"/>
    <xf numFmtId="1" fontId="27" fillId="2" borderId="0" xfId="0" applyNumberFormat="1" applyFont="1" applyFill="1" applyProtection="1"/>
    <xf numFmtId="37" fontId="27" fillId="2" borderId="0" xfId="0" applyNumberFormat="1" applyFont="1" applyFill="1" applyBorder="1" applyProtection="1"/>
    <xf numFmtId="0" fontId="12" fillId="2" borderId="0" xfId="0" applyFont="1" applyFill="1" applyAlignment="1" applyProtection="1">
      <alignment horizontal="center"/>
    </xf>
    <xf numFmtId="37" fontId="27" fillId="2" borderId="6" xfId="0" applyNumberFormat="1" applyFont="1" applyFill="1" applyBorder="1" applyProtection="1"/>
    <xf numFmtId="0" fontId="4" fillId="2" borderId="0" xfId="0" applyFont="1" applyFill="1" applyAlignment="1" applyProtection="1">
      <alignment horizontal="left" wrapText="1"/>
    </xf>
    <xf numFmtId="10" fontId="27" fillId="5" borderId="3" xfId="1" applyNumberFormat="1" applyFont="1" applyFill="1" applyBorder="1" applyAlignment="1" applyProtection="1">
      <alignment horizontal="right"/>
    </xf>
    <xf numFmtId="10" fontId="27" fillId="2" borderId="0" xfId="0" applyNumberFormat="1" applyFont="1" applyFill="1" applyBorder="1" applyProtection="1"/>
    <xf numFmtId="0" fontId="2" fillId="2" borderId="0" xfId="0" applyFont="1" applyFill="1" applyProtection="1"/>
    <xf numFmtId="0" fontId="6" fillId="0" borderId="0" xfId="0" applyFont="1" applyFill="1" applyProtection="1"/>
    <xf numFmtId="0" fontId="6" fillId="0" borderId="0" xfId="0" quotePrefix="1" applyFont="1" applyFill="1" applyAlignment="1" applyProtection="1">
      <alignment horizontal="center"/>
    </xf>
    <xf numFmtId="10" fontId="6" fillId="0" borderId="0" xfId="2" applyNumberFormat="1" applyFont="1" applyFill="1" applyBorder="1" applyProtection="1"/>
    <xf numFmtId="0" fontId="27" fillId="0" borderId="0" xfId="0" applyFont="1" applyFill="1" applyProtection="1"/>
    <xf numFmtId="0" fontId="27" fillId="0" borderId="0" xfId="0" quotePrefix="1" applyFont="1" applyFill="1" applyAlignment="1" applyProtection="1">
      <alignment horizontal="center"/>
    </xf>
    <xf numFmtId="0" fontId="36" fillId="2" borderId="0" xfId="0" applyFont="1" applyFill="1" applyAlignment="1" applyProtection="1">
      <alignment horizontal="right"/>
    </xf>
    <xf numFmtId="4" fontId="11" fillId="2" borderId="0" xfId="0" applyNumberFormat="1" applyFont="1" applyFill="1"/>
    <xf numFmtId="38" fontId="6" fillId="2" borderId="11" xfId="0" applyNumberFormat="1" applyFont="1" applyFill="1" applyBorder="1" applyAlignment="1" applyProtection="1">
      <alignment horizontal="right"/>
    </xf>
    <xf numFmtId="38" fontId="6" fillId="2" borderId="12" xfId="0" applyNumberFormat="1" applyFont="1" applyFill="1" applyBorder="1" applyProtection="1"/>
    <xf numFmtId="38" fontId="6" fillId="2" borderId="13" xfId="0" applyNumberFormat="1" applyFont="1" applyFill="1" applyBorder="1" applyAlignment="1" applyProtection="1">
      <alignment horizontal="right"/>
    </xf>
    <xf numFmtId="38" fontId="6" fillId="2" borderId="14" xfId="0" applyNumberFormat="1" applyFont="1" applyFill="1" applyBorder="1" applyProtection="1"/>
    <xf numFmtId="0" fontId="6" fillId="2" borderId="13" xfId="0" applyFont="1" applyFill="1" applyBorder="1" applyAlignment="1" applyProtection="1">
      <alignment horizontal="right"/>
    </xf>
    <xf numFmtId="38" fontId="6" fillId="2" borderId="15" xfId="0" applyNumberFormat="1" applyFont="1" applyFill="1" applyBorder="1" applyAlignment="1" applyProtection="1">
      <alignment horizontal="right"/>
    </xf>
    <xf numFmtId="38" fontId="6" fillId="2" borderId="16" xfId="0" applyNumberFormat="1" applyFont="1" applyFill="1" applyBorder="1" applyProtection="1"/>
    <xf numFmtId="38" fontId="7" fillId="0" borderId="0" xfId="0" applyNumberFormat="1" applyFont="1" applyAlignment="1" applyProtection="1">
      <alignment horizontal="center"/>
    </xf>
    <xf numFmtId="0" fontId="7" fillId="0" borderId="0" xfId="0" applyFont="1" applyProtection="1"/>
    <xf numFmtId="6" fontId="6" fillId="0" borderId="0" xfId="0" applyNumberFormat="1" applyFont="1" applyAlignment="1" applyProtection="1">
      <alignment horizontal="left"/>
    </xf>
    <xf numFmtId="6" fontId="41" fillId="0" borderId="0" xfId="0" quotePrefix="1" applyNumberFormat="1" applyFont="1" applyAlignment="1" applyProtection="1">
      <alignment horizontal="center"/>
    </xf>
    <xf numFmtId="14" fontId="41" fillId="0" borderId="1" xfId="0" applyNumberFormat="1" applyFont="1" applyBorder="1" applyAlignment="1" applyProtection="1">
      <alignment horizontal="center"/>
    </xf>
    <xf numFmtId="14" fontId="41" fillId="0" borderId="9" xfId="0" applyNumberFormat="1" applyFont="1" applyBorder="1" applyAlignment="1" applyProtection="1">
      <alignment horizontal="center"/>
    </xf>
    <xf numFmtId="6" fontId="41" fillId="0" borderId="0" xfId="0" applyNumberFormat="1" applyFont="1" applyAlignment="1" applyProtection="1">
      <alignment horizontal="centerContinuous"/>
    </xf>
    <xf numFmtId="6" fontId="41" fillId="2" borderId="0" xfId="0" applyNumberFormat="1" applyFont="1" applyFill="1" applyProtection="1"/>
    <xf numFmtId="6" fontId="41" fillId="5" borderId="3" xfId="0" applyNumberFormat="1" applyFont="1" applyFill="1" applyBorder="1" applyProtection="1"/>
    <xf numFmtId="0" fontId="41" fillId="0" borderId="0" xfId="0" applyFont="1" applyProtection="1"/>
    <xf numFmtId="6" fontId="41" fillId="2" borderId="0" xfId="0" applyNumberFormat="1" applyFont="1" applyFill="1" applyBorder="1" applyProtection="1"/>
    <xf numFmtId="6" fontId="41" fillId="2" borderId="2" xfId="0" applyNumberFormat="1" applyFont="1" applyFill="1" applyBorder="1" applyProtection="1"/>
    <xf numFmtId="6" fontId="41" fillId="2" borderId="6" xfId="0" applyNumberFormat="1" applyFont="1" applyFill="1" applyBorder="1" applyProtection="1"/>
    <xf numFmtId="5" fontId="41" fillId="5" borderId="3" xfId="0" applyNumberFormat="1" applyFont="1" applyFill="1" applyBorder="1" applyProtection="1"/>
    <xf numFmtId="37" fontId="41" fillId="2" borderId="0" xfId="0" applyNumberFormat="1" applyFont="1" applyFill="1" applyProtection="1"/>
    <xf numFmtId="37" fontId="41" fillId="5" borderId="3" xfId="1" applyNumberFormat="1" applyFont="1" applyFill="1" applyBorder="1" applyProtection="1"/>
    <xf numFmtId="3" fontId="41" fillId="5" borderId="5" xfId="1" applyNumberFormat="1" applyFont="1" applyFill="1" applyBorder="1" applyProtection="1"/>
    <xf numFmtId="1" fontId="41" fillId="2" borderId="0" xfId="0" applyNumberFormat="1" applyFont="1" applyFill="1" applyProtection="1"/>
    <xf numFmtId="37" fontId="41" fillId="5" borderId="3" xfId="0" applyNumberFormat="1" applyFont="1" applyFill="1" applyBorder="1" applyProtection="1"/>
    <xf numFmtId="37" fontId="41" fillId="2" borderId="0" xfId="0" applyNumberFormat="1" applyFont="1" applyFill="1" applyBorder="1" applyProtection="1"/>
    <xf numFmtId="10" fontId="41" fillId="2" borderId="0" xfId="0" applyNumberFormat="1" applyFont="1" applyFill="1" applyBorder="1" applyProtection="1"/>
    <xf numFmtId="0" fontId="41" fillId="0" borderId="0" xfId="0" applyFont="1" applyAlignment="1" applyProtection="1">
      <alignment horizontal="right"/>
    </xf>
    <xf numFmtId="6" fontId="39" fillId="0" borderId="7" xfId="0" applyNumberFormat="1" applyFont="1" applyBorder="1" applyAlignment="1" applyProtection="1">
      <alignment horizontal="left"/>
    </xf>
    <xf numFmtId="6" fontId="39" fillId="0" borderId="0" xfId="0" applyNumberFormat="1" applyFont="1" applyAlignment="1" applyProtection="1">
      <alignment horizontal="left"/>
    </xf>
    <xf numFmtId="6" fontId="6" fillId="0" borderId="0" xfId="0" applyNumberFormat="1" applyFont="1" applyAlignment="1" applyProtection="1"/>
    <xf numFmtId="0" fontId="35" fillId="0" borderId="0" xfId="0" applyFont="1" applyBorder="1" applyAlignment="1">
      <alignment horizontal="left" vertical="top"/>
    </xf>
    <xf numFmtId="0" fontId="6" fillId="0" borderId="6" xfId="0" applyFont="1" applyFill="1" applyBorder="1" applyAlignment="1" applyProtection="1">
      <alignment wrapText="1"/>
    </xf>
    <xf numFmtId="37" fontId="36" fillId="2" borderId="0" xfId="0" applyNumberFormat="1" applyFont="1" applyFill="1" applyBorder="1" applyAlignment="1" applyProtection="1">
      <alignment wrapText="1"/>
    </xf>
    <xf numFmtId="6" fontId="7" fillId="0" borderId="0" xfId="0" applyNumberFormat="1" applyFont="1" applyAlignment="1" applyProtection="1"/>
    <xf numFmtId="38" fontId="6" fillId="2" borderId="17" xfId="0" applyNumberFormat="1" applyFont="1" applyFill="1" applyBorder="1" applyProtection="1"/>
    <xf numFmtId="38" fontId="45" fillId="0" borderId="0" xfId="0" applyNumberFormat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6" fontId="8" fillId="0" borderId="0" xfId="0" applyNumberFormat="1" applyFont="1" applyFill="1" applyBorder="1"/>
    <xf numFmtId="14" fontId="6" fillId="0" borderId="0" xfId="0" applyNumberFormat="1" applyFont="1" applyAlignment="1" applyProtection="1">
      <alignment horizontal="left"/>
    </xf>
    <xf numFmtId="38" fontId="11" fillId="0" borderId="0" xfId="0" applyNumberFormat="1" applyFont="1" applyAlignment="1" applyProtection="1">
      <alignment horizontal="left"/>
    </xf>
    <xf numFmtId="0" fontId="35" fillId="0" borderId="0" xfId="0" applyFont="1" applyBorder="1" applyAlignment="1">
      <alignment horizontal="left" vertical="top" wrapText="1"/>
    </xf>
    <xf numFmtId="6" fontId="46" fillId="5" borderId="3" xfId="0" applyNumberFormat="1" applyFont="1" applyFill="1" applyBorder="1" applyProtection="1"/>
    <xf numFmtId="6" fontId="46" fillId="0" borderId="0" xfId="0" quotePrefix="1" applyNumberFormat="1" applyFont="1" applyAlignment="1" applyProtection="1">
      <alignment horizontal="center"/>
    </xf>
    <xf numFmtId="14" fontId="46" fillId="0" borderId="1" xfId="0" applyNumberFormat="1" applyFont="1" applyBorder="1" applyAlignment="1" applyProtection="1">
      <alignment horizontal="center"/>
    </xf>
    <xf numFmtId="14" fontId="46" fillId="0" borderId="9" xfId="0" applyNumberFormat="1" applyFont="1" applyBorder="1" applyAlignment="1" applyProtection="1">
      <alignment horizontal="center"/>
    </xf>
    <xf numFmtId="6" fontId="46" fillId="2" borderId="0" xfId="0" applyNumberFormat="1" applyFont="1" applyFill="1" applyBorder="1" applyProtection="1"/>
    <xf numFmtId="6" fontId="46" fillId="2" borderId="2" xfId="0" applyNumberFormat="1" applyFont="1" applyFill="1" applyBorder="1" applyProtection="1"/>
    <xf numFmtId="5" fontId="46" fillId="5" borderId="3" xfId="0" applyNumberFormat="1" applyFont="1" applyFill="1" applyBorder="1" applyProtection="1"/>
    <xf numFmtId="6" fontId="46" fillId="2" borderId="0" xfId="0" applyNumberFormat="1" applyFont="1" applyFill="1" applyProtection="1"/>
    <xf numFmtId="37" fontId="46" fillId="2" borderId="0" xfId="0" applyNumberFormat="1" applyFont="1" applyFill="1" applyProtection="1"/>
    <xf numFmtId="37" fontId="46" fillId="5" borderId="3" xfId="1" applyNumberFormat="1" applyFont="1" applyFill="1" applyBorder="1" applyProtection="1"/>
    <xf numFmtId="3" fontId="46" fillId="5" borderId="5" xfId="1" applyNumberFormat="1" applyFont="1" applyFill="1" applyBorder="1" applyProtection="1"/>
    <xf numFmtId="37" fontId="46" fillId="2" borderId="0" xfId="0" applyNumberFormat="1" applyFont="1" applyFill="1" applyBorder="1" applyProtection="1"/>
    <xf numFmtId="0" fontId="46" fillId="0" borderId="0" xfId="0" applyFont="1" applyProtection="1"/>
    <xf numFmtId="1" fontId="46" fillId="2" borderId="0" xfId="0" applyNumberFormat="1" applyFont="1" applyFill="1" applyProtection="1"/>
    <xf numFmtId="37" fontId="46" fillId="5" borderId="3" xfId="0" applyNumberFormat="1" applyFont="1" applyFill="1" applyBorder="1" applyProtection="1"/>
    <xf numFmtId="10" fontId="46" fillId="2" borderId="0" xfId="0" applyNumberFormat="1" applyFont="1" applyFill="1" applyBorder="1" applyProtection="1"/>
    <xf numFmtId="6" fontId="46" fillId="0" borderId="0" xfId="0" applyNumberFormat="1" applyFont="1" applyAlignment="1" applyProtection="1">
      <alignment horizontal="centerContinuous"/>
    </xf>
    <xf numFmtId="6" fontId="46" fillId="2" borderId="6" xfId="0" applyNumberFormat="1" applyFont="1" applyFill="1" applyBorder="1" applyProtection="1"/>
    <xf numFmtId="0" fontId="43" fillId="0" borderId="0" xfId="0" applyFont="1" applyAlignment="1" applyProtection="1"/>
    <xf numFmtId="0" fontId="43" fillId="0" borderId="0" xfId="0" applyFont="1" applyAlignment="1"/>
    <xf numFmtId="0" fontId="48" fillId="0" borderId="0" xfId="0" applyFont="1" applyAlignment="1" applyProtection="1">
      <alignment horizontal="left" wrapText="1"/>
    </xf>
    <xf numFmtId="6" fontId="36" fillId="0" borderId="0" xfId="0" applyNumberFormat="1" applyFont="1" applyAlignment="1" applyProtection="1">
      <alignment horizontal="left"/>
    </xf>
    <xf numFmtId="0" fontId="44" fillId="0" borderId="0" xfId="0" applyFont="1" applyAlignment="1"/>
    <xf numFmtId="6" fontId="27" fillId="0" borderId="0" xfId="0" applyNumberFormat="1" applyFont="1" applyAlignment="1" applyProtection="1">
      <alignment horizontal="left"/>
    </xf>
    <xf numFmtId="6" fontId="50" fillId="0" borderId="0" xfId="0" quotePrefix="1" applyNumberFormat="1" applyFont="1" applyAlignment="1" applyProtection="1">
      <alignment horizontal="center"/>
    </xf>
    <xf numFmtId="14" fontId="50" fillId="0" borderId="1" xfId="0" applyNumberFormat="1" applyFont="1" applyBorder="1" applyAlignment="1" applyProtection="1">
      <alignment horizontal="center"/>
    </xf>
    <xf numFmtId="14" fontId="50" fillId="0" borderId="9" xfId="0" applyNumberFormat="1" applyFont="1" applyBorder="1" applyAlignment="1" applyProtection="1">
      <alignment horizontal="center"/>
    </xf>
    <xf numFmtId="6" fontId="50" fillId="2" borderId="0" xfId="0" applyNumberFormat="1" applyFont="1" applyFill="1" applyProtection="1"/>
    <xf numFmtId="6" fontId="50" fillId="5" borderId="3" xfId="0" applyNumberFormat="1" applyFont="1" applyFill="1" applyBorder="1" applyProtection="1"/>
    <xf numFmtId="0" fontId="50" fillId="0" borderId="0" xfId="0" applyFont="1" applyProtection="1"/>
    <xf numFmtId="0" fontId="42" fillId="0" borderId="0" xfId="0" applyFont="1" applyProtection="1"/>
    <xf numFmtId="0" fontId="49" fillId="0" borderId="0" xfId="0" applyFont="1" applyProtection="1"/>
    <xf numFmtId="0" fontId="47" fillId="0" borderId="0" xfId="0" applyFont="1"/>
    <xf numFmtId="0" fontId="38" fillId="0" borderId="0" xfId="0" applyFont="1" applyAlignment="1" applyProtection="1">
      <alignment horizontal="left"/>
    </xf>
    <xf numFmtId="6" fontId="46" fillId="6" borderId="0" xfId="0" applyNumberFormat="1" applyFont="1" applyFill="1" applyProtection="1"/>
    <xf numFmtId="0" fontId="17" fillId="0" borderId="0" xfId="0" applyFont="1" applyProtection="1"/>
    <xf numFmtId="0" fontId="51" fillId="0" borderId="0" xfId="0" applyFont="1"/>
    <xf numFmtId="0" fontId="37" fillId="0" borderId="0" xfId="0" applyFont="1"/>
    <xf numFmtId="0" fontId="54" fillId="0" borderId="0" xfId="0" applyFont="1" applyProtection="1"/>
    <xf numFmtId="0" fontId="55" fillId="0" borderId="0" xfId="0" applyFont="1" applyProtection="1"/>
    <xf numFmtId="0" fontId="37" fillId="0" borderId="0" xfId="0" applyFont="1" applyProtection="1"/>
    <xf numFmtId="0" fontId="39" fillId="0" borderId="0" xfId="0" applyFont="1" applyProtection="1"/>
    <xf numFmtId="0" fontId="36" fillId="0" borderId="0" xfId="0" applyFont="1" applyProtection="1"/>
    <xf numFmtId="170" fontId="6" fillId="2" borderId="0" xfId="0" applyNumberFormat="1" applyFont="1" applyFill="1" applyAlignment="1" applyProtection="1">
      <alignment horizontal="right"/>
    </xf>
    <xf numFmtId="37" fontId="56" fillId="5" borderId="3" xfId="1" applyNumberFormat="1" applyFont="1" applyFill="1" applyBorder="1" applyProtection="1"/>
    <xf numFmtId="3" fontId="56" fillId="5" borderId="5" xfId="1" applyNumberFormat="1" applyFont="1" applyFill="1" applyBorder="1" applyProtection="1"/>
    <xf numFmtId="0" fontId="58" fillId="0" borderId="0" xfId="0" applyFont="1" applyProtection="1"/>
    <xf numFmtId="0" fontId="44" fillId="0" borderId="0" xfId="0" applyFont="1" applyAlignment="1"/>
    <xf numFmtId="0" fontId="39" fillId="0" borderId="0" xfId="0" applyFont="1" applyAlignment="1" applyProtection="1"/>
    <xf numFmtId="6" fontId="6" fillId="0" borderId="0" xfId="0" applyNumberFormat="1" applyFont="1" applyAlignment="1" applyProtection="1">
      <alignment horizontal="center"/>
    </xf>
    <xf numFmtId="0" fontId="6" fillId="0" borderId="0" xfId="0" applyFont="1" applyAlignment="1" applyProtection="1"/>
    <xf numFmtId="0" fontId="6" fillId="0" borderId="0" xfId="0" applyFont="1" applyFill="1" applyAlignment="1" applyProtection="1"/>
    <xf numFmtId="0" fontId="47" fillId="0" borderId="0" xfId="0" applyFont="1" applyAlignment="1"/>
    <xf numFmtId="0" fontId="0" fillId="0" borderId="0" xfId="0" applyAlignment="1"/>
    <xf numFmtId="0" fontId="46" fillId="0" borderId="0" xfId="0" applyFont="1" applyAlignment="1" applyProtection="1"/>
    <xf numFmtId="0" fontId="27" fillId="0" borderId="0" xfId="0" applyFont="1" applyAlignment="1" applyProtection="1"/>
    <xf numFmtId="0" fontId="27" fillId="0" borderId="0" xfId="0" applyFont="1" applyFill="1" applyAlignment="1" applyProtection="1"/>
    <xf numFmtId="38" fontId="7" fillId="0" borderId="0" xfId="0" applyNumberFormat="1" applyFont="1" applyAlignment="1" applyProtection="1"/>
    <xf numFmtId="3" fontId="6" fillId="4" borderId="3" xfId="0" applyNumberFormat="1" applyFont="1" applyFill="1" applyBorder="1" applyProtection="1"/>
    <xf numFmtId="3" fontId="6" fillId="2" borderId="0" xfId="0" applyNumberFormat="1" applyFont="1" applyFill="1" applyBorder="1" applyProtection="1"/>
    <xf numFmtId="3" fontId="6" fillId="9" borderId="3" xfId="0" applyNumberFormat="1" applyFont="1" applyFill="1" applyBorder="1" applyProtection="1"/>
    <xf numFmtId="38" fontId="61" fillId="0" borderId="0" xfId="0" applyNumberFormat="1" applyFont="1" applyAlignment="1" applyProtection="1"/>
    <xf numFmtId="14" fontId="6" fillId="0" borderId="3" xfId="0" applyNumberFormat="1" applyFont="1" applyBorder="1" applyAlignment="1" applyProtection="1">
      <alignment horizontal="center"/>
      <protection locked="0"/>
    </xf>
    <xf numFmtId="6" fontId="6" fillId="10" borderId="3" xfId="0" applyNumberFormat="1" applyFont="1" applyFill="1" applyBorder="1" applyProtection="1"/>
    <xf numFmtId="6" fontId="6" fillId="2" borderId="0" xfId="0" applyNumberFormat="1" applyFont="1" applyFill="1" applyAlignment="1" applyProtection="1">
      <alignment horizontal="right"/>
    </xf>
    <xf numFmtId="0" fontId="36" fillId="0" borderId="0" xfId="0" applyFont="1" applyAlignment="1" applyProtection="1">
      <alignment wrapText="1"/>
    </xf>
    <xf numFmtId="1" fontId="6" fillId="0" borderId="0" xfId="0" applyNumberFormat="1" applyFont="1" applyFill="1" applyProtection="1"/>
    <xf numFmtId="37" fontId="6" fillId="0" borderId="0" xfId="0" applyNumberFormat="1" applyFont="1" applyFill="1" applyProtection="1"/>
    <xf numFmtId="6" fontId="6" fillId="2" borderId="6" xfId="0" applyNumberFormat="1" applyFont="1" applyFill="1" applyBorder="1" applyAlignment="1" applyProtection="1">
      <alignment horizontal="center"/>
    </xf>
    <xf numFmtId="6" fontId="20" fillId="0" borderId="0" xfId="0" applyNumberFormat="1" applyFont="1" applyAlignment="1" applyProtection="1">
      <alignment horizontal="left"/>
    </xf>
    <xf numFmtId="6" fontId="6" fillId="0" borderId="0" xfId="0" applyNumberFormat="1" applyFont="1" applyFill="1" applyAlignment="1" applyProtection="1">
      <alignment horizontal="centerContinuous"/>
    </xf>
    <xf numFmtId="37" fontId="63" fillId="0" borderId="0" xfId="0" applyNumberFormat="1" applyFont="1" applyFill="1" applyBorder="1" applyAlignment="1" applyProtection="1">
      <alignment horizontal="right"/>
    </xf>
    <xf numFmtId="0" fontId="27" fillId="0" borderId="0" xfId="0" applyFont="1" applyFill="1" applyAlignment="1" applyProtection="1">
      <alignment horizontal="right"/>
    </xf>
    <xf numFmtId="0" fontId="6" fillId="0" borderId="0" xfId="0" applyFont="1" applyFill="1" applyAlignment="1" applyProtection="1">
      <alignment horizontal="right"/>
    </xf>
    <xf numFmtId="6" fontId="39" fillId="2" borderId="0" xfId="0" applyNumberFormat="1" applyFont="1" applyFill="1" applyProtection="1"/>
    <xf numFmtId="6" fontId="39" fillId="2" borderId="0" xfId="0" applyNumberFormat="1" applyFont="1" applyFill="1" applyAlignment="1" applyProtection="1">
      <alignment horizontal="right"/>
    </xf>
    <xf numFmtId="37" fontId="36" fillId="2" borderId="0" xfId="0" applyNumberFormat="1" applyFont="1" applyFill="1" applyProtection="1"/>
    <xf numFmtId="37" fontId="36" fillId="5" borderId="3" xfId="0" applyNumberFormat="1" applyFont="1" applyFill="1" applyBorder="1" applyProtection="1"/>
    <xf numFmtId="0" fontId="36" fillId="2" borderId="0" xfId="0" applyFont="1" applyFill="1" applyProtection="1"/>
    <xf numFmtId="0" fontId="36" fillId="0" borderId="0" xfId="0" applyFont="1" applyAlignment="1" applyProtection="1"/>
    <xf numFmtId="0" fontId="36" fillId="0" borderId="0" xfId="0" applyFont="1" applyAlignment="1" applyProtection="1">
      <alignment horizontal="center"/>
    </xf>
    <xf numFmtId="0" fontId="37" fillId="0" borderId="0" xfId="0" applyFont="1" applyAlignment="1">
      <alignment horizontal="center"/>
    </xf>
    <xf numFmtId="3" fontId="6" fillId="2" borderId="0" xfId="0" applyNumberFormat="1" applyFont="1" applyFill="1" applyProtection="1"/>
    <xf numFmtId="3" fontId="15" fillId="0" borderId="0" xfId="0" applyNumberFormat="1" applyFont="1" applyBorder="1" applyAlignment="1" applyProtection="1">
      <alignment horizontal="left"/>
    </xf>
    <xf numFmtId="3" fontId="15" fillId="0" borderId="0" xfId="0" quotePrefix="1" applyNumberFormat="1" applyFont="1" applyBorder="1" applyAlignment="1" applyProtection="1">
      <alignment horizontal="left"/>
    </xf>
    <xf numFmtId="3" fontId="15" fillId="0" borderId="0" xfId="0" applyNumberFormat="1" applyFont="1" applyAlignment="1" applyProtection="1">
      <alignment horizontal="left"/>
    </xf>
    <xf numFmtId="3" fontId="22" fillId="2" borderId="0" xfId="0" applyNumberFormat="1" applyFont="1" applyFill="1" applyBorder="1" applyProtection="1"/>
    <xf numFmtId="3" fontId="6" fillId="2" borderId="17" xfId="0" applyNumberFormat="1" applyFont="1" applyFill="1" applyBorder="1" applyProtection="1"/>
    <xf numFmtId="3" fontId="24" fillId="0" borderId="0" xfId="0" applyNumberFormat="1" applyFont="1" applyFill="1" applyBorder="1" applyAlignment="1" applyProtection="1">
      <alignment horizontal="right"/>
    </xf>
    <xf numFmtId="3" fontId="24" fillId="0" borderId="0" xfId="0" applyNumberFormat="1" applyFont="1" applyFill="1" applyBorder="1" applyAlignment="1" applyProtection="1">
      <alignment horizontal="center"/>
    </xf>
    <xf numFmtId="3" fontId="24" fillId="0" borderId="0" xfId="0" applyNumberFormat="1" applyFont="1" applyFill="1" applyBorder="1" applyProtection="1"/>
    <xf numFmtId="0" fontId="36" fillId="2" borderId="0" xfId="0" applyFont="1" applyFill="1" applyAlignment="1" applyProtection="1">
      <alignment horizontal="center"/>
    </xf>
    <xf numFmtId="0" fontId="64" fillId="0" borderId="0" xfId="0" applyFont="1" applyProtection="1"/>
    <xf numFmtId="0" fontId="36" fillId="0" borderId="0" xfId="2" applyNumberFormat="1" applyFont="1" applyFill="1" applyBorder="1" applyProtection="1"/>
    <xf numFmtId="0" fontId="6" fillId="0" borderId="0" xfId="2" applyNumberFormat="1" applyFont="1" applyFill="1" applyBorder="1" applyProtection="1"/>
    <xf numFmtId="0" fontId="6" fillId="0" borderId="0" xfId="0" applyNumberFormat="1" applyFont="1" applyFill="1" applyAlignment="1" applyProtection="1"/>
    <xf numFmtId="0" fontId="6" fillId="0" borderId="0" xfId="0" applyNumberFormat="1" applyFont="1" applyFill="1" applyProtection="1"/>
    <xf numFmtId="0" fontId="6" fillId="0" borderId="0" xfId="0" quotePrefix="1" applyNumberFormat="1" applyFont="1" applyFill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Alignment="1" applyProtection="1">
      <alignment horizontal="center"/>
    </xf>
    <xf numFmtId="0" fontId="21" fillId="0" borderId="0" xfId="2" applyNumberFormat="1" applyFont="1" applyFill="1" applyBorder="1" applyProtection="1"/>
    <xf numFmtId="0" fontId="3" fillId="0" borderId="0" xfId="2" applyNumberFormat="1" applyFont="1" applyFill="1" applyBorder="1" applyProtection="1"/>
    <xf numFmtId="0" fontId="2" fillId="0" borderId="0" xfId="0" applyNumberFormat="1" applyFont="1" applyFill="1" applyAlignment="1" applyProtection="1">
      <alignment horizontal="center"/>
    </xf>
    <xf numFmtId="0" fontId="22" fillId="0" borderId="0" xfId="2" applyNumberFormat="1" applyFont="1" applyFill="1" applyBorder="1" applyProtection="1"/>
    <xf numFmtId="0" fontId="6" fillId="0" borderId="10" xfId="2" applyNumberFormat="1" applyFont="1" applyFill="1" applyBorder="1" applyProtection="1"/>
    <xf numFmtId="0" fontId="6" fillId="0" borderId="7" xfId="2" applyNumberFormat="1" applyFont="1" applyFill="1" applyBorder="1" applyProtection="1"/>
    <xf numFmtId="0" fontId="65" fillId="0" borderId="0" xfId="0" applyFont="1" applyProtection="1"/>
    <xf numFmtId="6" fontId="20" fillId="0" borderId="0" xfId="0" applyNumberFormat="1" applyFont="1" applyAlignment="1" applyProtection="1"/>
    <xf numFmtId="14" fontId="6" fillId="0" borderId="0" xfId="0" applyNumberFormat="1" applyFont="1" applyAlignment="1" applyProtection="1"/>
    <xf numFmtId="38" fontId="11" fillId="0" borderId="0" xfId="0" applyNumberFormat="1" applyFont="1" applyAlignment="1" applyProtection="1">
      <alignment horizontal="right"/>
    </xf>
    <xf numFmtId="38" fontId="66" fillId="2" borderId="0" xfId="0" applyNumberFormat="1" applyFont="1" applyFill="1" applyProtection="1"/>
    <xf numFmtId="3" fontId="13" fillId="4" borderId="3" xfId="0" applyNumberFormat="1" applyFont="1" applyFill="1" applyBorder="1" applyAlignment="1" applyProtection="1">
      <alignment horizontal="center"/>
      <protection locked="0"/>
    </xf>
    <xf numFmtId="38" fontId="36" fillId="0" borderId="0" xfId="0" applyNumberFormat="1" applyFont="1" applyProtection="1"/>
    <xf numFmtId="3" fontId="0" fillId="0" borderId="0" xfId="0" applyNumberFormat="1"/>
    <xf numFmtId="6" fontId="6" fillId="0" borderId="2" xfId="0" applyNumberFormat="1" applyFont="1" applyFill="1" applyBorder="1" applyProtection="1"/>
    <xf numFmtId="164" fontId="53" fillId="0" borderId="0" xfId="0" applyNumberFormat="1" applyFont="1" applyAlignment="1" applyProtection="1">
      <alignment horizontal="center"/>
    </xf>
    <xf numFmtId="0" fontId="53" fillId="0" borderId="0" xfId="0" applyFont="1" applyAlignment="1" applyProtection="1">
      <alignment horizontal="center"/>
    </xf>
    <xf numFmtId="3" fontId="6" fillId="0" borderId="0" xfId="0" applyNumberFormat="1" applyFont="1" applyProtection="1"/>
    <xf numFmtId="3" fontId="6" fillId="7" borderId="3" xfId="0" applyNumberFormat="1" applyFont="1" applyFill="1" applyBorder="1" applyProtection="1"/>
    <xf numFmtId="3" fontId="13" fillId="7" borderId="3" xfId="0" applyNumberFormat="1" applyFont="1" applyFill="1" applyBorder="1" applyProtection="1"/>
    <xf numFmtId="0" fontId="20" fillId="0" borderId="0" xfId="0" applyFont="1" applyAlignment="1" applyProtection="1"/>
    <xf numFmtId="6" fontId="6" fillId="2" borderId="18" xfId="0" applyNumberFormat="1" applyFont="1" applyFill="1" applyBorder="1" applyProtection="1"/>
    <xf numFmtId="6" fontId="6" fillId="9" borderId="19" xfId="0" applyNumberFormat="1" applyFont="1" applyFill="1" applyBorder="1" applyProtection="1"/>
    <xf numFmtId="3" fontId="6" fillId="2" borderId="19" xfId="0" applyNumberFormat="1" applyFont="1" applyFill="1" applyBorder="1" applyProtection="1"/>
    <xf numFmtId="0" fontId="1" fillId="0" borderId="0" xfId="0" applyFont="1" applyAlignment="1" applyProtection="1">
      <alignment horizontal="left"/>
    </xf>
    <xf numFmtId="6" fontId="36" fillId="0" borderId="0" xfId="0" applyNumberFormat="1" applyFont="1" applyAlignment="1" applyProtection="1">
      <alignment horizontal="center"/>
    </xf>
    <xf numFmtId="6" fontId="6" fillId="0" borderId="18" xfId="0" applyNumberFormat="1" applyFont="1" applyFill="1" applyBorder="1" applyProtection="1"/>
    <xf numFmtId="6" fontId="6" fillId="8" borderId="3" xfId="0" applyNumberFormat="1" applyFont="1" applyFill="1" applyBorder="1" applyProtection="1"/>
    <xf numFmtId="6" fontId="36" fillId="5" borderId="3" xfId="0" applyNumberFormat="1" applyFont="1" applyFill="1" applyBorder="1" applyProtection="1"/>
    <xf numFmtId="0" fontId="6" fillId="0" borderId="0" xfId="0" applyFont="1" applyAlignment="1" applyProtection="1">
      <alignment vertical="center"/>
    </xf>
    <xf numFmtId="38" fontId="61" fillId="0" borderId="0" xfId="0" applyNumberFormat="1" applyFont="1" applyAlignment="1" applyProtection="1">
      <alignment horizontal="left"/>
    </xf>
    <xf numFmtId="37" fontId="6" fillId="0" borderId="0" xfId="0" applyNumberFormat="1" applyFont="1" applyFill="1" applyBorder="1" applyProtection="1"/>
    <xf numFmtId="3" fontId="6" fillId="0" borderId="20" xfId="0" applyNumberFormat="1" applyFont="1" applyFill="1" applyBorder="1" applyProtection="1"/>
    <xf numFmtId="37" fontId="6" fillId="0" borderId="10" xfId="0" applyNumberFormat="1" applyFont="1" applyFill="1" applyBorder="1" applyProtection="1"/>
    <xf numFmtId="10" fontId="6" fillId="0" borderId="10" xfId="0" applyNumberFormat="1" applyFont="1" applyFill="1" applyBorder="1" applyProtection="1"/>
    <xf numFmtId="38" fontId="67" fillId="0" borderId="0" xfId="0" applyNumberFormat="1" applyFont="1" applyAlignment="1" applyProtection="1">
      <alignment horizontal="left"/>
    </xf>
    <xf numFmtId="37" fontId="6" fillId="2" borderId="0" xfId="4" applyNumberFormat="1" applyFont="1" applyFill="1" applyProtection="1"/>
    <xf numFmtId="0" fontId="6" fillId="2" borderId="0" xfId="4" applyNumberFormat="1" applyFont="1" applyFill="1" applyProtection="1"/>
    <xf numFmtId="37" fontId="6" fillId="2" borderId="6" xfId="4" applyNumberFormat="1" applyFont="1" applyFill="1" applyBorder="1" applyProtection="1"/>
    <xf numFmtId="6" fontId="36" fillId="2" borderId="0" xfId="0" applyNumberFormat="1" applyFont="1" applyFill="1" applyProtection="1"/>
    <xf numFmtId="38" fontId="20" fillId="0" borderId="0" xfId="0" applyNumberFormat="1" applyFont="1" applyProtection="1"/>
    <xf numFmtId="6" fontId="42" fillId="0" borderId="0" xfId="0" applyNumberFormat="1" applyFont="1" applyAlignment="1" applyProtection="1">
      <alignment horizontal="left"/>
    </xf>
    <xf numFmtId="0" fontId="35" fillId="0" borderId="0" xfId="0" applyFont="1" applyBorder="1" applyAlignment="1">
      <alignment horizontal="left" vertical="top" wrapText="1"/>
    </xf>
    <xf numFmtId="38" fontId="36" fillId="2" borderId="0" xfId="0" applyNumberFormat="1" applyFont="1" applyFill="1" applyBorder="1" applyProtection="1"/>
    <xf numFmtId="38" fontId="36" fillId="2" borderId="0" xfId="0" applyNumberFormat="1" applyFont="1" applyFill="1" applyProtection="1"/>
    <xf numFmtId="0" fontId="43" fillId="0" borderId="0" xfId="0" applyFont="1" applyAlignment="1">
      <alignment horizontal="center"/>
    </xf>
    <xf numFmtId="0" fontId="68" fillId="0" borderId="0" xfId="0" applyFont="1"/>
    <xf numFmtId="3" fontId="6" fillId="5" borderId="3" xfId="0" applyNumberFormat="1" applyFont="1" applyFill="1" applyBorder="1" applyProtection="1"/>
    <xf numFmtId="0" fontId="69" fillId="0" borderId="0" xfId="0" applyFont="1"/>
    <xf numFmtId="0" fontId="69" fillId="0" borderId="0" xfId="0" applyFont="1" applyProtection="1"/>
    <xf numFmtId="3" fontId="36" fillId="2" borderId="0" xfId="0" applyNumberFormat="1" applyFont="1" applyFill="1" applyBorder="1" applyProtection="1"/>
    <xf numFmtId="38" fontId="6" fillId="9" borderId="19" xfId="0" applyNumberFormat="1" applyFont="1" applyFill="1" applyBorder="1" applyProtection="1"/>
    <xf numFmtId="3" fontId="6" fillId="9" borderId="19" xfId="0" applyNumberFormat="1" applyFont="1" applyFill="1" applyBorder="1" applyProtection="1"/>
    <xf numFmtId="10" fontId="6" fillId="9" borderId="19" xfId="0" applyNumberFormat="1" applyFont="1" applyFill="1" applyBorder="1" applyProtection="1"/>
    <xf numFmtId="0" fontId="36" fillId="0" borderId="0" xfId="0" applyFont="1"/>
    <xf numFmtId="0" fontId="70" fillId="0" borderId="0" xfId="0" applyFont="1" applyProtection="1"/>
    <xf numFmtId="14" fontId="39" fillId="0" borderId="0" xfId="0" applyNumberFormat="1" applyFont="1" applyAlignment="1" applyProtection="1">
      <alignment horizontal="center"/>
    </xf>
    <xf numFmtId="6" fontId="71" fillId="2" borderId="0" xfId="0" applyNumberFormat="1" applyFont="1" applyFill="1" applyProtection="1"/>
    <xf numFmtId="0" fontId="72" fillId="2" borderId="0" xfId="0" applyFont="1" applyFill="1" applyAlignment="1" applyProtection="1">
      <alignment horizontal="right"/>
    </xf>
    <xf numFmtId="0" fontId="71" fillId="2" borderId="0" xfId="0" applyFont="1" applyFill="1" applyAlignment="1" applyProtection="1">
      <alignment horizontal="center"/>
    </xf>
    <xf numFmtId="0" fontId="73" fillId="0" borderId="0" xfId="0" applyFont="1" applyProtection="1"/>
    <xf numFmtId="37" fontId="36" fillId="2" borderId="0" xfId="0" applyNumberFormat="1" applyFont="1" applyFill="1" applyBorder="1" applyProtection="1"/>
    <xf numFmtId="1" fontId="6" fillId="0" borderId="0" xfId="0" applyNumberFormat="1" applyFont="1" applyFill="1" applyAlignment="1" applyProtection="1"/>
    <xf numFmtId="1" fontId="6" fillId="0" borderId="0" xfId="0" quotePrefix="1" applyNumberFormat="1" applyFont="1" applyFill="1" applyAlignment="1" applyProtection="1">
      <alignment horizontal="center"/>
    </xf>
    <xf numFmtId="1" fontId="24" fillId="0" borderId="0" xfId="0" applyNumberFormat="1" applyFont="1" applyFill="1" applyBorder="1" applyProtection="1"/>
    <xf numFmtId="1" fontId="24" fillId="0" borderId="0" xfId="0" applyNumberFormat="1" applyFont="1" applyProtection="1"/>
    <xf numFmtId="1" fontId="13" fillId="0" borderId="0" xfId="0" applyNumberFormat="1" applyFont="1" applyProtection="1"/>
    <xf numFmtId="0" fontId="6" fillId="0" borderId="0" xfId="0" applyNumberFormat="1" applyFont="1" applyProtection="1"/>
    <xf numFmtId="0" fontId="6" fillId="2" borderId="0" xfId="0" applyNumberFormat="1" applyFont="1" applyFill="1" applyProtection="1"/>
    <xf numFmtId="0" fontId="24" fillId="0" borderId="0" xfId="0" applyNumberFormat="1" applyFont="1" applyFill="1" applyBorder="1" applyProtection="1"/>
    <xf numFmtId="0" fontId="24" fillId="0" borderId="0" xfId="0" applyNumberFormat="1" applyFont="1" applyProtection="1"/>
    <xf numFmtId="0" fontId="13" fillId="0" borderId="0" xfId="0" applyNumberFormat="1" applyFont="1" applyProtection="1"/>
    <xf numFmtId="3" fontId="6" fillId="0" borderId="10" xfId="0" applyNumberFormat="1" applyFont="1" applyFill="1" applyBorder="1" applyProtection="1"/>
    <xf numFmtId="0" fontId="75" fillId="0" borderId="0" xfId="0" applyFont="1" applyBorder="1" applyAlignment="1">
      <alignment horizontal="left" vertical="top"/>
    </xf>
    <xf numFmtId="10" fontId="6" fillId="0" borderId="20" xfId="1" applyNumberFormat="1" applyFont="1" applyFill="1" applyBorder="1" applyAlignment="1" applyProtection="1">
      <alignment horizontal="right"/>
    </xf>
    <xf numFmtId="10" fontId="6" fillId="0" borderId="10" xfId="1" applyNumberFormat="1" applyFont="1" applyFill="1" applyBorder="1" applyAlignment="1" applyProtection="1">
      <alignment horizontal="right"/>
    </xf>
    <xf numFmtId="0" fontId="76" fillId="0" borderId="0" xfId="0" applyFont="1"/>
    <xf numFmtId="0" fontId="74" fillId="0" borderId="0" xfId="0" applyFont="1" applyProtection="1"/>
    <xf numFmtId="0" fontId="77" fillId="0" borderId="0" xfId="0" applyFont="1" applyProtection="1"/>
    <xf numFmtId="37" fontId="6" fillId="0" borderId="10" xfId="0" applyNumberFormat="1" applyFont="1" applyFill="1" applyBorder="1" applyAlignment="1" applyProtection="1">
      <alignment horizontal="right"/>
    </xf>
    <xf numFmtId="14" fontId="6" fillId="0" borderId="0" xfId="0" applyNumberFormat="1" applyFont="1" applyAlignment="1" applyProtection="1">
      <alignment horizontal="centerContinuous"/>
    </xf>
    <xf numFmtId="169" fontId="6" fillId="0" borderId="0" xfId="0" applyNumberFormat="1" applyFont="1" applyFill="1" applyAlignment="1" applyProtection="1"/>
    <xf numFmtId="169" fontId="6" fillId="0" borderId="0" xfId="0" applyNumberFormat="1" applyFont="1" applyFill="1" applyProtection="1"/>
    <xf numFmtId="169" fontId="6" fillId="0" borderId="0" xfId="0" quotePrefix="1" applyNumberFormat="1" applyFont="1" applyFill="1" applyAlignment="1" applyProtection="1">
      <alignment horizontal="center"/>
    </xf>
    <xf numFmtId="169" fontId="39" fillId="0" borderId="0" xfId="0" applyNumberFormat="1" applyFont="1" applyFill="1" applyProtection="1"/>
    <xf numFmtId="0" fontId="36" fillId="0" borderId="0" xfId="0" applyFont="1" applyFill="1" applyProtection="1"/>
    <xf numFmtId="0" fontId="51" fillId="0" borderId="0" xfId="0" applyFont="1" applyBorder="1" applyAlignment="1">
      <alignment horizontal="left" vertical="top"/>
    </xf>
    <xf numFmtId="0" fontId="44" fillId="0" borderId="0" xfId="0" quotePrefix="1" applyFont="1" applyBorder="1" applyAlignment="1">
      <alignment horizontal="left" vertical="top"/>
    </xf>
    <xf numFmtId="38" fontId="42" fillId="2" borderId="0" xfId="0" applyNumberFormat="1" applyFont="1" applyFill="1" applyProtection="1"/>
    <xf numFmtId="5" fontId="63" fillId="5" borderId="3" xfId="0" applyNumberFormat="1" applyFont="1" applyFill="1" applyBorder="1" applyProtection="1"/>
    <xf numFmtId="37" fontId="36" fillId="5" borderId="3" xfId="0" applyNumberFormat="1" applyFont="1" applyFill="1" applyBorder="1" applyAlignment="1" applyProtection="1">
      <alignment wrapText="1"/>
    </xf>
    <xf numFmtId="37" fontId="36" fillId="2" borderId="0" xfId="0" applyNumberFormat="1" applyFont="1" applyFill="1" applyAlignment="1" applyProtection="1">
      <alignment horizontal="right"/>
    </xf>
    <xf numFmtId="0" fontId="36" fillId="2" borderId="0" xfId="0" applyFont="1" applyFill="1" applyAlignment="1" applyProtection="1">
      <alignment horizontal="left"/>
    </xf>
    <xf numFmtId="37" fontId="71" fillId="5" borderId="3" xfId="0" applyNumberFormat="1" applyFont="1" applyFill="1" applyBorder="1" applyProtection="1"/>
    <xf numFmtId="37" fontId="36" fillId="5" borderId="3" xfId="1" applyNumberFormat="1" applyFont="1" applyFill="1" applyBorder="1" applyProtection="1"/>
    <xf numFmtId="0" fontId="36" fillId="2" borderId="0" xfId="0" applyFont="1" applyFill="1" applyBorder="1" applyProtection="1"/>
    <xf numFmtId="38" fontId="14" fillId="0" borderId="0" xfId="0" applyNumberFormat="1" applyFont="1" applyAlignment="1" applyProtection="1">
      <alignment horizontal="left"/>
    </xf>
    <xf numFmtId="0" fontId="0" fillId="0" borderId="6" xfId="0" applyBorder="1"/>
    <xf numFmtId="171" fontId="27" fillId="10" borderId="0" xfId="0" applyNumberFormat="1" applyFont="1" applyFill="1"/>
    <xf numFmtId="171" fontId="27" fillId="10" borderId="19" xfId="0" applyNumberFormat="1" applyFont="1" applyFill="1" applyBorder="1"/>
    <xf numFmtId="14" fontId="36" fillId="0" borderId="0" xfId="0" applyNumberFormat="1" applyFont="1" applyAlignment="1" applyProtection="1"/>
    <xf numFmtId="0" fontId="13" fillId="0" borderId="0" xfId="3"/>
    <xf numFmtId="37" fontId="6" fillId="2" borderId="0" xfId="4" applyNumberFormat="1" applyFont="1" applyFill="1" applyProtection="1"/>
    <xf numFmtId="0" fontId="6" fillId="2" borderId="0" xfId="4" applyNumberFormat="1" applyFont="1" applyFill="1" applyProtection="1"/>
    <xf numFmtId="37" fontId="6" fillId="2" borderId="6" xfId="4" applyNumberFormat="1" applyFont="1" applyFill="1" applyBorder="1" applyProtection="1"/>
    <xf numFmtId="6" fontId="6" fillId="0" borderId="3" xfId="0" applyNumberFormat="1" applyFont="1" applyFill="1" applyBorder="1" applyProtection="1"/>
    <xf numFmtId="14" fontId="6" fillId="0" borderId="3" xfId="0" applyNumberFormat="1" applyFont="1" applyFill="1" applyBorder="1" applyAlignment="1" applyProtection="1">
      <alignment horizontal="center"/>
      <protection locked="0"/>
    </xf>
    <xf numFmtId="6" fontId="27" fillId="0" borderId="0" xfId="0" applyNumberFormat="1" applyFont="1" applyFill="1" applyAlignment="1" applyProtection="1">
      <alignment horizontal="centerContinuous"/>
    </xf>
    <xf numFmtId="0" fontId="35" fillId="0" borderId="0" xfId="0" applyFont="1" applyFill="1" applyBorder="1" applyAlignment="1">
      <alignment horizontal="left" vertical="top"/>
    </xf>
    <xf numFmtId="0" fontId="75" fillId="0" borderId="0" xfId="0" applyFont="1" applyFill="1" applyBorder="1" applyAlignment="1">
      <alignment horizontal="left" vertical="top"/>
    </xf>
    <xf numFmtId="14" fontId="27" fillId="0" borderId="0" xfId="0" applyNumberFormat="1" applyFont="1" applyFill="1" applyAlignment="1" applyProtection="1">
      <alignment horizontal="center"/>
    </xf>
    <xf numFmtId="14" fontId="27" fillId="0" borderId="0" xfId="0" quotePrefix="1" applyNumberFormat="1" applyFont="1" applyFill="1" applyAlignment="1" applyProtection="1">
      <alignment horizontal="center"/>
    </xf>
    <xf numFmtId="6" fontId="27" fillId="0" borderId="0" xfId="0" quotePrefix="1" applyNumberFormat="1" applyFont="1" applyFill="1" applyAlignment="1" applyProtection="1">
      <alignment horizontal="centerContinuous"/>
    </xf>
    <xf numFmtId="6" fontId="27" fillId="0" borderId="0" xfId="0" quotePrefix="1" applyNumberFormat="1" applyFont="1" applyFill="1" applyAlignment="1" applyProtection="1">
      <alignment horizontal="center"/>
    </xf>
    <xf numFmtId="14" fontId="6" fillId="0" borderId="19" xfId="0" applyNumberFormat="1" applyFont="1" applyBorder="1" applyAlignment="1" applyProtection="1">
      <alignment horizontal="center"/>
      <protection locked="0"/>
    </xf>
    <xf numFmtId="37" fontId="6" fillId="2" borderId="0" xfId="0" applyNumberFormat="1" applyFont="1" applyFill="1" applyBorder="1" applyAlignment="1" applyProtection="1">
      <alignment horizontal="right"/>
    </xf>
    <xf numFmtId="37" fontId="36" fillId="2" borderId="0" xfId="0" applyNumberFormat="1" applyFont="1" applyFill="1" applyBorder="1" applyAlignment="1" applyProtection="1">
      <alignment horizontal="right"/>
    </xf>
    <xf numFmtId="0" fontId="6" fillId="2" borderId="0" xfId="0" applyFont="1" applyFill="1" applyAlignment="1" applyProtection="1">
      <alignment vertical="top"/>
    </xf>
    <xf numFmtId="0" fontId="6" fillId="0" borderId="0" xfId="0" quotePrefix="1" applyFont="1" applyProtection="1"/>
    <xf numFmtId="6" fontId="6" fillId="9" borderId="19" xfId="0" quotePrefix="1" applyNumberFormat="1" applyFont="1" applyFill="1" applyBorder="1" applyProtection="1"/>
    <xf numFmtId="6" fontId="78" fillId="0" borderId="0" xfId="0" applyNumberFormat="1" applyFont="1" applyAlignment="1" applyProtection="1">
      <alignment horizontal="centerContinuous"/>
    </xf>
    <xf numFmtId="0" fontId="37" fillId="0" borderId="0" xfId="0" applyFont="1" applyAlignment="1" applyProtection="1"/>
    <xf numFmtId="3" fontId="6" fillId="5" borderId="3" xfId="2" applyNumberFormat="1" applyFont="1" applyFill="1" applyBorder="1" applyProtection="1"/>
    <xf numFmtId="38" fontId="39" fillId="0" borderId="0" xfId="0" applyNumberFormat="1" applyFont="1" applyProtection="1"/>
    <xf numFmtId="3" fontId="6" fillId="2" borderId="0" xfId="0" applyNumberFormat="1" applyFont="1" applyFill="1" applyBorder="1" applyAlignment="1" applyProtection="1">
      <alignment wrapText="1"/>
    </xf>
    <xf numFmtId="14" fontId="6" fillId="0" borderId="0" xfId="0" applyNumberFormat="1" applyFont="1" applyFill="1" applyProtection="1"/>
    <xf numFmtId="6" fontId="6" fillId="11" borderId="0" xfId="0" applyNumberFormat="1" applyFont="1" applyFill="1" applyProtection="1"/>
    <xf numFmtId="6" fontId="6" fillId="11" borderId="0" xfId="0" applyNumberFormat="1" applyFont="1" applyFill="1" applyAlignment="1" applyProtection="1">
      <alignment horizontal="center"/>
    </xf>
    <xf numFmtId="6" fontId="6" fillId="11" borderId="3" xfId="0" applyNumberFormat="1" applyFont="1" applyFill="1" applyBorder="1" applyProtection="1"/>
    <xf numFmtId="6" fontId="6" fillId="12" borderId="19" xfId="0" applyNumberFormat="1" applyFont="1" applyFill="1" applyBorder="1" applyProtection="1"/>
    <xf numFmtId="6" fontId="36" fillId="12" borderId="0" xfId="0" applyNumberFormat="1" applyFont="1" applyFill="1" applyAlignment="1" applyProtection="1">
      <alignment horizontal="left"/>
    </xf>
    <xf numFmtId="3" fontId="6" fillId="2" borderId="0" xfId="0" quotePrefix="1" applyNumberFormat="1" applyFont="1" applyFill="1" applyProtection="1"/>
    <xf numFmtId="6" fontId="6" fillId="13" borderId="3" xfId="0" applyNumberFormat="1" applyFont="1" applyFill="1" applyBorder="1" applyProtection="1"/>
    <xf numFmtId="0" fontId="0" fillId="0" borderId="0" xfId="0" applyNumberFormat="1"/>
    <xf numFmtId="0" fontId="36" fillId="2" borderId="0" xfId="0" applyNumberFormat="1" applyFont="1" applyFill="1" applyProtection="1"/>
    <xf numFmtId="0" fontId="9" fillId="2" borderId="0" xfId="0" applyNumberFormat="1" applyFont="1" applyFill="1" applyProtection="1"/>
    <xf numFmtId="0" fontId="22" fillId="2" borderId="0" xfId="0" applyNumberFormat="1" applyFont="1" applyFill="1" applyBorder="1" applyProtection="1"/>
    <xf numFmtId="0" fontId="6" fillId="2" borderId="0" xfId="0" applyNumberFormat="1" applyFont="1" applyFill="1" applyBorder="1" applyProtection="1"/>
    <xf numFmtId="0" fontId="6" fillId="2" borderId="10" xfId="2" applyNumberFormat="1" applyFont="1" applyFill="1" applyBorder="1" applyProtection="1"/>
    <xf numFmtId="0" fontId="6" fillId="2" borderId="7" xfId="2" applyNumberFormat="1" applyFont="1" applyFill="1" applyBorder="1" applyProtection="1"/>
    <xf numFmtId="0" fontId="24" fillId="0" borderId="0" xfId="0" applyNumberFormat="1" applyFont="1" applyFill="1" applyBorder="1" applyAlignment="1" applyProtection="1">
      <alignment horizontal="center"/>
    </xf>
    <xf numFmtId="0" fontId="63" fillId="0" borderId="0" xfId="0" applyNumberFormat="1" applyFont="1" applyFill="1" applyBorder="1" applyAlignment="1" applyProtection="1">
      <alignment horizontal="center"/>
    </xf>
    <xf numFmtId="0" fontId="27" fillId="0" borderId="0" xfId="2" applyNumberFormat="1" applyFont="1" applyFill="1" applyBorder="1" applyProtection="1"/>
    <xf numFmtId="0" fontId="27" fillId="0" borderId="0" xfId="0" applyNumberFormat="1" applyFont="1" applyFill="1" applyBorder="1" applyAlignment="1" applyProtection="1">
      <alignment horizontal="center"/>
    </xf>
    <xf numFmtId="0" fontId="27" fillId="0" borderId="0" xfId="0" applyNumberFormat="1" applyFont="1" applyFill="1" applyProtection="1"/>
    <xf numFmtId="0" fontId="27" fillId="0" borderId="0" xfId="0" applyNumberFormat="1" applyFont="1" applyFill="1" applyAlignment="1" applyProtection="1">
      <alignment horizontal="center"/>
    </xf>
    <xf numFmtId="0" fontId="30" fillId="0" borderId="0" xfId="2" applyNumberFormat="1" applyFont="1" applyFill="1" applyBorder="1" applyProtection="1"/>
    <xf numFmtId="0" fontId="31" fillId="0" borderId="0" xfId="2" applyNumberFormat="1" applyFont="1" applyFill="1" applyBorder="1" applyProtection="1"/>
    <xf numFmtId="0" fontId="33" fillId="0" borderId="0" xfId="2" applyNumberFormat="1" applyFont="1" applyFill="1" applyBorder="1" applyProtection="1"/>
    <xf numFmtId="0" fontId="27" fillId="0" borderId="10" xfId="2" applyNumberFormat="1" applyFont="1" applyFill="1" applyBorder="1" applyProtection="1"/>
    <xf numFmtId="0" fontId="27" fillId="0" borderId="7" xfId="2" applyNumberFormat="1" applyFont="1" applyFill="1" applyBorder="1" applyProtection="1"/>
    <xf numFmtId="0" fontId="36" fillId="0" borderId="0" xfId="0" applyNumberFormat="1" applyFont="1" applyFill="1" applyProtection="1"/>
    <xf numFmtId="0" fontId="6" fillId="0" borderId="0" xfId="0" applyNumberFormat="1" applyFont="1" applyFill="1" applyAlignment="1" applyProtection="1">
      <alignment vertical="top"/>
    </xf>
    <xf numFmtId="0" fontId="6" fillId="0" borderId="0" xfId="0" applyNumberFormat="1" applyFont="1" applyFill="1" applyAlignment="1" applyProtection="1">
      <alignment horizontal="right"/>
    </xf>
    <xf numFmtId="0" fontId="6" fillId="0" borderId="0" xfId="2" quotePrefix="1" applyNumberFormat="1" applyFont="1" applyFill="1" applyBorder="1" applyProtection="1"/>
    <xf numFmtId="0" fontId="36" fillId="0" borderId="0" xfId="0" applyNumberFormat="1" applyFont="1" applyFill="1" applyAlignment="1" applyProtection="1">
      <alignment horizontal="center"/>
    </xf>
    <xf numFmtId="0" fontId="36" fillId="0" borderId="0" xfId="2" quotePrefix="1" applyNumberFormat="1" applyFont="1" applyFill="1" applyBorder="1" applyProtection="1"/>
    <xf numFmtId="0" fontId="52" fillId="2" borderId="0" xfId="0" applyNumberFormat="1" applyFont="1" applyFill="1" applyProtection="1"/>
    <xf numFmtId="6" fontId="36" fillId="0" borderId="0" xfId="0" applyNumberFormat="1" applyFont="1" applyAlignment="1" applyProtection="1">
      <alignment horizontal="centerContinuous"/>
    </xf>
    <xf numFmtId="6" fontId="37" fillId="0" borderId="0" xfId="0" applyNumberFormat="1" applyFont="1" applyAlignment="1" applyProtection="1">
      <alignment horizontal="centerContinuous"/>
    </xf>
    <xf numFmtId="0" fontId="0" fillId="10" borderId="0" xfId="0" applyFill="1"/>
    <xf numFmtId="6" fontId="6" fillId="14" borderId="3" xfId="0" applyNumberFormat="1" applyFont="1" applyFill="1" applyBorder="1" applyProtection="1"/>
    <xf numFmtId="0" fontId="9" fillId="0" borderId="0" xfId="2" applyNumberFormat="1" applyFont="1" applyFill="1" applyBorder="1" applyProtection="1"/>
    <xf numFmtId="0" fontId="2" fillId="0" borderId="0" xfId="2" applyNumberFormat="1" applyFont="1" applyFill="1" applyBorder="1" applyProtection="1"/>
    <xf numFmtId="3" fontId="13" fillId="4" borderId="6" xfId="0" applyNumberFormat="1" applyFont="1" applyFill="1" applyBorder="1" applyAlignment="1" applyProtection="1">
      <alignment horizontal="right"/>
      <protection locked="0"/>
    </xf>
    <xf numFmtId="0" fontId="81" fillId="0" borderId="0" xfId="0" applyFont="1" applyProtection="1"/>
    <xf numFmtId="0" fontId="42" fillId="0" borderId="0" xfId="0" applyFont="1" applyAlignment="1" applyProtection="1">
      <alignment horizontal="left"/>
    </xf>
    <xf numFmtId="0" fontId="42" fillId="0" borderId="0" xfId="0" quotePrefix="1" applyFont="1" applyAlignment="1" applyProtection="1">
      <alignment horizontal="left"/>
    </xf>
    <xf numFmtId="0" fontId="74" fillId="2" borderId="0" xfId="0" applyNumberFormat="1" applyFont="1" applyFill="1" applyProtection="1"/>
    <xf numFmtId="6" fontId="6" fillId="8" borderId="0" xfId="0" applyNumberFormat="1" applyFont="1" applyFill="1" applyAlignment="1" applyProtection="1">
      <alignment horizontal="left"/>
    </xf>
    <xf numFmtId="6" fontId="6" fillId="8" borderId="0" xfId="0" applyNumberFormat="1" applyFont="1" applyFill="1" applyProtection="1"/>
    <xf numFmtId="6" fontId="36" fillId="8" borderId="0" xfId="0" applyNumberFormat="1" applyFont="1" applyFill="1" applyAlignment="1" applyProtection="1">
      <alignment horizontal="left"/>
    </xf>
    <xf numFmtId="6" fontId="6" fillId="8" borderId="0" xfId="0" applyNumberFormat="1" applyFont="1" applyFill="1" applyAlignment="1" applyProtection="1">
      <alignment horizontal="centerContinuous"/>
    </xf>
    <xf numFmtId="6" fontId="6" fillId="8" borderId="0" xfId="0" applyNumberFormat="1" applyFont="1" applyFill="1" applyAlignment="1" applyProtection="1">
      <alignment horizontal="center"/>
    </xf>
    <xf numFmtId="6" fontId="6" fillId="8" borderId="19" xfId="0" applyNumberFormat="1" applyFont="1" applyFill="1" applyBorder="1" applyAlignment="1" applyProtection="1">
      <alignment horizontal="center"/>
    </xf>
    <xf numFmtId="6" fontId="6" fillId="8" borderId="0" xfId="0" applyNumberFormat="1" applyFont="1" applyFill="1" applyAlignment="1" applyProtection="1"/>
    <xf numFmtId="6" fontId="24" fillId="5" borderId="3" xfId="0" applyNumberFormat="1" applyFont="1" applyFill="1" applyBorder="1" applyProtection="1"/>
    <xf numFmtId="6" fontId="0" fillId="0" borderId="0" xfId="0" applyNumberFormat="1"/>
    <xf numFmtId="6" fontId="42" fillId="0" borderId="0" xfId="0" applyNumberFormat="1" applyFont="1" applyProtection="1"/>
    <xf numFmtId="6" fontId="36" fillId="0" borderId="0" xfId="0" applyNumberFormat="1" applyFont="1" applyProtection="1"/>
    <xf numFmtId="5" fontId="24" fillId="10" borderId="3" xfId="0" applyNumberFormat="1" applyFont="1" applyFill="1" applyBorder="1" applyProtection="1"/>
    <xf numFmtId="6" fontId="6" fillId="7" borderId="3" xfId="0" applyNumberFormat="1" applyFont="1" applyFill="1" applyBorder="1" applyProtection="1"/>
    <xf numFmtId="6" fontId="21" fillId="7" borderId="3" xfId="0" applyNumberFormat="1" applyFont="1" applyFill="1" applyBorder="1" applyProtection="1"/>
    <xf numFmtId="6" fontId="24" fillId="7" borderId="3" xfId="0" applyNumberFormat="1" applyFont="1" applyFill="1" applyBorder="1" applyProtection="1"/>
    <xf numFmtId="6" fontId="46" fillId="7" borderId="3" xfId="0" applyNumberFormat="1" applyFont="1" applyFill="1" applyBorder="1" applyProtection="1"/>
    <xf numFmtId="6" fontId="27" fillId="7" borderId="3" xfId="0" applyNumberFormat="1" applyFont="1" applyFill="1" applyBorder="1" applyProtection="1"/>
    <xf numFmtId="6" fontId="50" fillId="7" borderId="3" xfId="0" applyNumberFormat="1" applyFont="1" applyFill="1" applyBorder="1" applyProtection="1"/>
    <xf numFmtId="6" fontId="41" fillId="7" borderId="3" xfId="0" applyNumberFormat="1" applyFont="1" applyFill="1" applyBorder="1" applyProtection="1"/>
    <xf numFmtId="6" fontId="6" fillId="15" borderId="3" xfId="0" applyNumberFormat="1" applyFont="1" applyFill="1" applyBorder="1" applyProtection="1"/>
    <xf numFmtId="6" fontId="86" fillId="5" borderId="3" xfId="0" applyNumberFormat="1" applyFont="1" applyFill="1" applyBorder="1" applyProtection="1"/>
    <xf numFmtId="0" fontId="0" fillId="8" borderId="0" xfId="0" applyFont="1" applyFill="1" applyAlignment="1">
      <alignment horizontal="center"/>
    </xf>
    <xf numFmtId="5" fontId="63" fillId="8" borderId="3" xfId="0" applyNumberFormat="1" applyFont="1" applyFill="1" applyBorder="1" applyProtection="1"/>
    <xf numFmtId="0" fontId="88" fillId="0" borderId="0" xfId="0" applyFont="1" applyProtection="1"/>
    <xf numFmtId="0" fontId="88" fillId="2" borderId="0" xfId="0" applyFont="1" applyFill="1" applyProtection="1"/>
    <xf numFmtId="0" fontId="90" fillId="0" borderId="0" xfId="0" applyFont="1" applyProtection="1"/>
    <xf numFmtId="37" fontId="2" fillId="2" borderId="0" xfId="0" applyNumberFormat="1" applyFont="1" applyFill="1" applyBorder="1" applyAlignment="1" applyProtection="1">
      <alignment horizontal="right"/>
    </xf>
    <xf numFmtId="0" fontId="8" fillId="2" borderId="0" xfId="0" applyFont="1" applyFill="1" applyBorder="1"/>
    <xf numFmtId="6" fontId="14" fillId="0" borderId="0" xfId="0" quotePrefix="1" applyNumberFormat="1" applyFont="1" applyAlignment="1">
      <alignment horizontal="center"/>
    </xf>
    <xf numFmtId="7" fontId="11" fillId="0" borderId="1" xfId="0" applyNumberFormat="1" applyFont="1" applyBorder="1" applyAlignment="1">
      <alignment horizontal="center" wrapText="1"/>
    </xf>
    <xf numFmtId="7" fontId="11" fillId="0" borderId="10" xfId="0" applyNumberFormat="1" applyFont="1" applyBorder="1" applyAlignment="1">
      <alignment horizontal="center" wrapText="1"/>
    </xf>
    <xf numFmtId="7" fontId="11" fillId="0" borderId="9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left" wrapText="1"/>
    </xf>
    <xf numFmtId="0" fontId="0" fillId="0" borderId="0" xfId="0" applyAlignment="1">
      <alignment wrapText="1"/>
    </xf>
  </cellXfs>
  <cellStyles count="8">
    <cellStyle name="Comma" xfId="1" builtinId="3"/>
    <cellStyle name="Comma 2" xfId="4" xr:uid="{00000000-0005-0000-0000-000001000000}"/>
    <cellStyle name="Currency" xfId="2" builtinId="4"/>
    <cellStyle name="Currency 2" xfId="5" xr:uid="{00000000-0005-0000-0000-000003000000}"/>
    <cellStyle name="Excel Built-in Normal" xfId="7" xr:uid="{00000000-0005-0000-0000-000004000000}"/>
    <cellStyle name="Normal" xfId="0" builtinId="0"/>
    <cellStyle name="Normal 2" xfId="3" xr:uid="{00000000-0005-0000-0000-000006000000}"/>
    <cellStyle name="Percent 2" xfId="6" xr:uid="{00000000-0005-0000-0000-000007000000}"/>
  </cellStyles>
  <dxfs count="0"/>
  <tableStyles count="0" defaultTableStyle="TableStyleMedium9" defaultPivotStyle="PivotStyleLight16"/>
  <colors>
    <mruColors>
      <color rgb="FFCCFFFF"/>
      <color rgb="FF99CCFF"/>
      <color rgb="FFCCECFF"/>
      <color rgb="FF66FFFF"/>
      <color rgb="FFDAEEF3"/>
      <color rgb="FFE28CAB"/>
      <color rgb="FFDCAB14"/>
      <color rgb="FFFFFF99"/>
      <color rgb="FF000000"/>
      <color rgb="FFFCFC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112" Type="http://schemas.openxmlformats.org/officeDocument/2006/relationships/externalLink" Target="externalLinks/externalLink24.xml"/><Relationship Id="rId133" Type="http://schemas.openxmlformats.org/officeDocument/2006/relationships/externalLink" Target="externalLinks/externalLink45.xml"/><Relationship Id="rId138" Type="http://schemas.openxmlformats.org/officeDocument/2006/relationships/externalLink" Target="externalLinks/externalLink50.xml"/><Relationship Id="rId154" Type="http://schemas.openxmlformats.org/officeDocument/2006/relationships/externalLink" Target="externalLinks/externalLink66.xml"/><Relationship Id="rId159" Type="http://schemas.openxmlformats.org/officeDocument/2006/relationships/externalLink" Target="externalLinks/externalLink71.xml"/><Relationship Id="rId175" Type="http://schemas.openxmlformats.org/officeDocument/2006/relationships/theme" Target="theme/theme1.xml"/><Relationship Id="rId170" Type="http://schemas.openxmlformats.org/officeDocument/2006/relationships/externalLink" Target="externalLinks/externalLink8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4.xml"/><Relationship Id="rId123" Type="http://schemas.openxmlformats.org/officeDocument/2006/relationships/externalLink" Target="externalLinks/externalLink35.xml"/><Relationship Id="rId128" Type="http://schemas.openxmlformats.org/officeDocument/2006/relationships/externalLink" Target="externalLinks/externalLink40.xml"/><Relationship Id="rId144" Type="http://schemas.openxmlformats.org/officeDocument/2006/relationships/externalLink" Target="externalLinks/externalLink56.xml"/><Relationship Id="rId149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.xml"/><Relationship Id="rId95" Type="http://schemas.openxmlformats.org/officeDocument/2006/relationships/externalLink" Target="externalLinks/externalLink7.xml"/><Relationship Id="rId160" Type="http://schemas.openxmlformats.org/officeDocument/2006/relationships/externalLink" Target="externalLinks/externalLink72.xml"/><Relationship Id="rId165" Type="http://schemas.openxmlformats.org/officeDocument/2006/relationships/externalLink" Target="externalLinks/externalLink77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5.xml"/><Relationship Id="rId118" Type="http://schemas.openxmlformats.org/officeDocument/2006/relationships/externalLink" Target="externalLinks/externalLink30.xml"/><Relationship Id="rId134" Type="http://schemas.openxmlformats.org/officeDocument/2006/relationships/externalLink" Target="externalLinks/externalLink46.xml"/><Relationship Id="rId139" Type="http://schemas.openxmlformats.org/officeDocument/2006/relationships/externalLink" Target="externalLinks/externalLink5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62.xml"/><Relationship Id="rId155" Type="http://schemas.openxmlformats.org/officeDocument/2006/relationships/externalLink" Target="externalLinks/externalLink67.xml"/><Relationship Id="rId171" Type="http://schemas.openxmlformats.org/officeDocument/2006/relationships/externalLink" Target="externalLinks/externalLink83.xml"/><Relationship Id="rId176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5.xml"/><Relationship Id="rId108" Type="http://schemas.openxmlformats.org/officeDocument/2006/relationships/externalLink" Target="externalLinks/externalLink20.xml"/><Relationship Id="rId124" Type="http://schemas.openxmlformats.org/officeDocument/2006/relationships/externalLink" Target="externalLinks/externalLink36.xml"/><Relationship Id="rId129" Type="http://schemas.openxmlformats.org/officeDocument/2006/relationships/externalLink" Target="externalLinks/externalLink4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3.xml"/><Relationship Id="rId96" Type="http://schemas.openxmlformats.org/officeDocument/2006/relationships/externalLink" Target="externalLinks/externalLink8.xml"/><Relationship Id="rId140" Type="http://schemas.openxmlformats.org/officeDocument/2006/relationships/externalLink" Target="externalLinks/externalLink52.xml"/><Relationship Id="rId145" Type="http://schemas.openxmlformats.org/officeDocument/2006/relationships/externalLink" Target="externalLinks/externalLink57.xml"/><Relationship Id="rId161" Type="http://schemas.openxmlformats.org/officeDocument/2006/relationships/externalLink" Target="externalLinks/externalLink73.xml"/><Relationship Id="rId166" Type="http://schemas.openxmlformats.org/officeDocument/2006/relationships/externalLink" Target="externalLinks/externalLink7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6.xml"/><Relationship Id="rId119" Type="http://schemas.openxmlformats.org/officeDocument/2006/relationships/externalLink" Target="externalLinks/externalLink3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6.xml"/><Relationship Id="rId99" Type="http://schemas.openxmlformats.org/officeDocument/2006/relationships/externalLink" Target="externalLinks/externalLink11.xml"/><Relationship Id="rId101" Type="http://schemas.openxmlformats.org/officeDocument/2006/relationships/externalLink" Target="externalLinks/externalLink13.xml"/><Relationship Id="rId122" Type="http://schemas.openxmlformats.org/officeDocument/2006/relationships/externalLink" Target="externalLinks/externalLink34.xml"/><Relationship Id="rId130" Type="http://schemas.openxmlformats.org/officeDocument/2006/relationships/externalLink" Target="externalLinks/externalLink42.xml"/><Relationship Id="rId135" Type="http://schemas.openxmlformats.org/officeDocument/2006/relationships/externalLink" Target="externalLinks/externalLink47.xml"/><Relationship Id="rId143" Type="http://schemas.openxmlformats.org/officeDocument/2006/relationships/externalLink" Target="externalLinks/externalLink55.xml"/><Relationship Id="rId148" Type="http://schemas.openxmlformats.org/officeDocument/2006/relationships/externalLink" Target="externalLinks/externalLink60.xml"/><Relationship Id="rId151" Type="http://schemas.openxmlformats.org/officeDocument/2006/relationships/externalLink" Target="externalLinks/externalLink63.xml"/><Relationship Id="rId156" Type="http://schemas.openxmlformats.org/officeDocument/2006/relationships/externalLink" Target="externalLinks/externalLink68.xml"/><Relationship Id="rId164" Type="http://schemas.openxmlformats.org/officeDocument/2006/relationships/externalLink" Target="externalLinks/externalLink76.xml"/><Relationship Id="rId169" Type="http://schemas.openxmlformats.org/officeDocument/2006/relationships/externalLink" Target="externalLinks/externalLink81.xml"/><Relationship Id="rId177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8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9.xml"/><Relationship Id="rId104" Type="http://schemas.openxmlformats.org/officeDocument/2006/relationships/externalLink" Target="externalLinks/externalLink16.xml"/><Relationship Id="rId120" Type="http://schemas.openxmlformats.org/officeDocument/2006/relationships/externalLink" Target="externalLinks/externalLink32.xml"/><Relationship Id="rId125" Type="http://schemas.openxmlformats.org/officeDocument/2006/relationships/externalLink" Target="externalLinks/externalLink37.xml"/><Relationship Id="rId141" Type="http://schemas.openxmlformats.org/officeDocument/2006/relationships/externalLink" Target="externalLinks/externalLink53.xml"/><Relationship Id="rId146" Type="http://schemas.openxmlformats.org/officeDocument/2006/relationships/externalLink" Target="externalLinks/externalLink58.xml"/><Relationship Id="rId167" Type="http://schemas.openxmlformats.org/officeDocument/2006/relationships/externalLink" Target="externalLinks/externalLink7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4.xml"/><Relationship Id="rId162" Type="http://schemas.openxmlformats.org/officeDocument/2006/relationships/externalLink" Target="externalLinks/externalLink7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22.xml"/><Relationship Id="rId115" Type="http://schemas.openxmlformats.org/officeDocument/2006/relationships/externalLink" Target="externalLinks/externalLink27.xml"/><Relationship Id="rId131" Type="http://schemas.openxmlformats.org/officeDocument/2006/relationships/externalLink" Target="externalLinks/externalLink43.xml"/><Relationship Id="rId136" Type="http://schemas.openxmlformats.org/officeDocument/2006/relationships/externalLink" Target="externalLinks/externalLink48.xml"/><Relationship Id="rId157" Type="http://schemas.openxmlformats.org/officeDocument/2006/relationships/externalLink" Target="externalLinks/externalLink69.xml"/><Relationship Id="rId178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64.xml"/><Relationship Id="rId173" Type="http://schemas.openxmlformats.org/officeDocument/2006/relationships/externalLink" Target="externalLinks/externalLink8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2.xml"/><Relationship Id="rId105" Type="http://schemas.openxmlformats.org/officeDocument/2006/relationships/externalLink" Target="externalLinks/externalLink17.xml"/><Relationship Id="rId126" Type="http://schemas.openxmlformats.org/officeDocument/2006/relationships/externalLink" Target="externalLinks/externalLink38.xml"/><Relationship Id="rId147" Type="http://schemas.openxmlformats.org/officeDocument/2006/relationships/externalLink" Target="externalLinks/externalLink59.xml"/><Relationship Id="rId168" Type="http://schemas.openxmlformats.org/officeDocument/2006/relationships/externalLink" Target="externalLinks/externalLink8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5.xml"/><Relationship Id="rId98" Type="http://schemas.openxmlformats.org/officeDocument/2006/relationships/externalLink" Target="externalLinks/externalLink10.xml"/><Relationship Id="rId121" Type="http://schemas.openxmlformats.org/officeDocument/2006/relationships/externalLink" Target="externalLinks/externalLink33.xml"/><Relationship Id="rId142" Type="http://schemas.openxmlformats.org/officeDocument/2006/relationships/externalLink" Target="externalLinks/externalLink54.xml"/><Relationship Id="rId163" Type="http://schemas.openxmlformats.org/officeDocument/2006/relationships/externalLink" Target="externalLinks/externalLink75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8.xml"/><Relationship Id="rId137" Type="http://schemas.openxmlformats.org/officeDocument/2006/relationships/externalLink" Target="externalLinks/externalLink49.xml"/><Relationship Id="rId158" Type="http://schemas.openxmlformats.org/officeDocument/2006/relationships/externalLink" Target="externalLinks/externalLink7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23.xml"/><Relationship Id="rId132" Type="http://schemas.openxmlformats.org/officeDocument/2006/relationships/externalLink" Target="externalLinks/externalLink44.xml"/><Relationship Id="rId153" Type="http://schemas.openxmlformats.org/officeDocument/2006/relationships/externalLink" Target="externalLinks/externalLink65.xml"/><Relationship Id="rId174" Type="http://schemas.openxmlformats.org/officeDocument/2006/relationships/externalLink" Target="externalLinks/externalLink8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8.xml"/><Relationship Id="rId127" Type="http://schemas.openxmlformats.org/officeDocument/2006/relationships/externalLink" Target="externalLinks/externalLink39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958850</xdr:colOff>
          <xdr:row>0</xdr:row>
          <xdr:rowOff>0</xdr:rowOff>
        </xdr:from>
        <xdr:to>
          <xdr:col>6</xdr:col>
          <xdr:colOff>1028700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5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START MACRO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Alpine%20Meadow%20-BV\Alpine%20Meadow%202017%20FCP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Canyonlands\FCP-FY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Cascades%20at%20Orchard%20Park%20-BV\NF%20FCP%20Forms-FY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Cascades%20at%20Riverwalk\NF%20FCP%20Forms-FY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Central%20UT%20VH-%20Payson\AV-118%20VA%20Payson%20NF%20FCP%20Forms-FY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City%20Creek%20BV\246%20City%20Creek%20FCP%20Forms-FY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Copper%20Ridge%20BV\266%20Copper%20Ridge%20FCP%20Forms-FY17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Coral%20Desert\661%20Coral%20Desert%20FCP%20Forms-FY17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Draper%20BV\256%20Draper%20FCP%20Forms-FY17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Emery%20County\1-NF%20FCP%20Forms-FY17%20-%20Emer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Fairview%20East\FCP%20Forms-FY17-FAIRVIEW%20CARE%20CENTER%20EA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Alpine%20Valley\Alpine%203-31-17%20(filed6.30.17%20FCP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Four%20Corners,%20BV\BV%20Four%20Corners%20FCP%20FY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Garfield%20County\GCNF%20FCP%20Forms-FY17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Harrison%20Pointe\670%20Harrison%20Pointe%20FCP%20Forms-FYE%2011-30-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Heritage%20Care\AV-102%20Heritage%20Care%20NF%20FCP%20Forms-FY17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Heritage%20Hills\AV-900%20Heritage%20Hills%20NF%20FCP%20Forms-FY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Heritage%20Park\NF%20FCP%20Forms-FY17%20-%20Heritage%20Park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Highland\NF%20FCP%20Forms-FY17%20-%20Highland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Hillside\Hillside%203.31.17%20FCP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Holladay%20BV\249%20Holladay%20FCP%20Forms-FY17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Hurricane%20BV\287%20Hurricane%20FCP%20Forms-FY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Avalon%20Bountiful\AV-107%20Bountiful%20NF%20FCP%20Forms-FY17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Iron%20County\NF%20FCP%20Forms-FY17%20-%20Iron%20County%20Nursing%20Home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Life%20Care%20Bountiful\NF%20FCP%20Forms-FY17-Bountiful-State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Life%20Care%20Salt%20Lake\NF%20FCP%20Forms-FY17-SaltLakeCity-State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Little%20Cottonwood%20-BV\Little%20Cottonwood%202017%20FCP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Lomond%20Peak%20-BV\Lomond%20Peak%202017%20FCP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Meadow%20Brook%20-BV\NF%20FCP%20Forms-FY17%2007-01-16%20-%2006-30-17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Midtown%20Manor\FCP%20Forms-FY17-MIDTOWN%20MANOR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Millard%20County\NF%20FCP%20Forms-FY17%20-%20Millard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Millcreek%20-BV\Millcreek%202017%20FCP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Mission%20at%20Bear%20River,%20GVH\Bear%20River%206.30.17%20FC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Avalon%20Valley\AV-902%20Valley%20Rehab%20NF%20FCP%20Forms-FY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Mission%20at%20Community%20Rehab,%20GVH\CL%20FCP%206.30.17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Mountain%20View\MTN%20VIEW%20%20%20-NF%20FCP%20Forms-FY17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7\2017%20FCP\FY17%20NH%20FCPs\Mountain%20View\MTN%20VIEW%20%20%20-NF%20FCP%20Forms-FY17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Mt.%20Ogden%20BV\242%20Mt%20Ogden%20FCP%20Forms-FY17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Mt.%20Olympus,%20BV\BVH_MtOlympus-FCP-FY063017--FIN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North%20Canyon\AV-111%20North%20Canyon%20NF%20FCP%20Forms-FY17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Ogden%20VH%20(George%20E.%20Wahlen)\AV-116%20VA%20Ogden%20NF%20FCP%20Forms-FY17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Orem%20BV\260%20Orem%20FCP%20Forms-FY17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Paramount%20BV\251%20Paramount%20FCP%20Forms-FY17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Parkdale,%20BV\BV%20Parkdale%20FCP%20FY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Bella%20Terra%20Cedar%20City\Bella%20Terra%20Cedar%20City%202017%20FCP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Parkway\NF%20FCP%20Forms-FY17%20-%20Parkway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Pine%20Creek%20-BV\NF%20FCP%20Forms-FY17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Pinnacle%20BV\267%20Pinnacle%20FCP%20Forms-FY17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Pioneer\AV-110%20Pioneer%20NF%20FCP%20Forms-FY17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Provo\265%20Provo%20FCP%20Forms-FY17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Red%20Cliffs,%20BV\BV%20Red%20Cliffs%20FCP%20-FY1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Richfield\AV-104%20Richfield%20NF%20FCP%20Forms-FY17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RMC%20Clearfield%20BVH\Clearfield%20FCP%20Forms%20-%20FYE%2017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RMC%20Cottage%20on%20Vine%20BVH\Cottage%20on%20Vine%20FCP%20Forms%20-%20FYE%2017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RMC%20Hunter%20Hollow%20BVH\Hunter%20Hollow%20FCP%20Forms%20-%20FYE%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Bella%20Terra%20St.%20George\Bella%20Terra%20St.%20George%202017%20FCP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RMC%20Logan%20BVH\Logan%20FCP%20Forms%20-%20FYE%2017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RMC%20Mtn%20View%20BVH\Heber%20FCP%20Forms%20-%20FYE%2017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RMC%20Riverton\RMC%20Riverton%20FCP%20Forms%20-%20FYE%2017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RMC%20Willow%20Springs%20BVH\Tooele%20FCP%20Forms%20-%20FYE%2017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andy,%20BV\BVH_Sandy-FCP-FY063017-FINAL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easons\NF%20FCP%20Forms-FY17%20-%20Season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outh%20Davis%20%20-BV\NF%20FCP%20Forms-FY17%20-%20SDCH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outh%20Ogden,%20BV\BVSouthOgden%20FCP%2006.30.17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outhern%20UT%20VH-%20Ivins\AV-119%20VA%20Ivins%20NF%20FCP%20Forms-FY17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panish%20Fork%20-BV\Spanish%20Fork%202017%20FC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Bennion\AV-101%20Bennion%20NF%20FCP%20Forms-FY17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pring%20Creek,%20BV\BVH_SpringCreek-FCP-FY063017-FINAL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t.%20George\668%20St.%20George%20FCP%20Forms%2011-30-1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t.%20Joseph%20Villa%20BV\277%20St.%20Joseph%20FCP%20Forms-FY17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tonehenge%20Am.%20Fork\NF%20FCP%20Forms-FY17%20-%20American%20Fork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tonehenge%20Ogden\NF%20FCP%20Forms-FY17%20-%20Ogden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tonehenge%20Orem\NF%20FCP%20Forms-FY17%20-%20Orem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tonehenge%20Richfield\NF%20FCP%20Forms-FY17%20-%20Richfield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tonehenge%20Springville\NF%20FCP%20Forms-FY17%20-%20Springville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Sunshine%20Terrace\NF%20FCP%20Forms-FY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Uintah%20Basin\NF%20FCP%20Uintah%20Basin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Brookdale\Brookdale%20Salt%20Lake%20City%20NF%20FCP%20Forms-FY17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Uintah%20Care\FCP%20Report%20Uintah%20Care%20Center-FY17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Utah%20Valley\NF%20FCP%20Forms-FY17%20-%20Utah%20Valley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VA%20Salt%20Lake,%20W.E.C.%20SLVH\AV-114%20VA%20SLC%20NF%20FCP%20Forms-FY17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Washington%20Terrace\522088947006%20Washington%20Terrace%20NF%20FCP%20Forms-FY17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Willow%20Glen\AV-115%20Willow%20Glen%20NF%20FCP%20Forms-FY17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Willow%20Wood\AV-105%20Willow%20Wood%20NF%20FCP%20Forms-FY17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Woodland%20Park\AV-106%20Woodland%20Park%20NF%20FCP%20Forms-FY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New%20NT_Drive\Audit%20Unit\LONG%20TERM%20CARE%20FACILITIES\LTC%20Facilities%202017\2017%20FCP\FY17%20NH%20FCPs\Canyon%20Rim\AV-117%20Canyon%20Rim%20NF%20FCP%20Forms-FY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1982922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78855</v>
          </cell>
          <cell r="G37">
            <v>0</v>
          </cell>
        </row>
        <row r="42">
          <cell r="E42">
            <v>114896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5630</v>
          </cell>
          <cell r="G67">
            <v>0</v>
          </cell>
        </row>
        <row r="85">
          <cell r="C85">
            <v>160</v>
          </cell>
          <cell r="E85">
            <v>193.15217391304347</v>
          </cell>
          <cell r="G85">
            <v>185</v>
          </cell>
          <cell r="I85">
            <v>191.64804469273744</v>
          </cell>
        </row>
      </sheetData>
      <sheetData sheetId="6"/>
      <sheetData sheetId="7">
        <row r="10">
          <cell r="D10">
            <v>72904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11669</v>
          </cell>
          <cell r="F12">
            <v>0</v>
          </cell>
        </row>
        <row r="13">
          <cell r="D13">
            <v>33476</v>
          </cell>
          <cell r="F13">
            <v>-24186</v>
          </cell>
        </row>
        <row r="14">
          <cell r="D14">
            <v>0</v>
          </cell>
          <cell r="F14">
            <v>0</v>
          </cell>
        </row>
        <row r="15">
          <cell r="D15">
            <v>405722</v>
          </cell>
          <cell r="F15">
            <v>-405722</v>
          </cell>
        </row>
        <row r="16">
          <cell r="D16">
            <v>42932</v>
          </cell>
          <cell r="F16">
            <v>7113</v>
          </cell>
        </row>
        <row r="17">
          <cell r="D17">
            <v>1093</v>
          </cell>
          <cell r="F17">
            <v>-1093</v>
          </cell>
        </row>
        <row r="18">
          <cell r="D18">
            <v>8468</v>
          </cell>
          <cell r="F18">
            <v>0</v>
          </cell>
        </row>
        <row r="19">
          <cell r="D19">
            <v>14340</v>
          </cell>
          <cell r="F19">
            <v>0</v>
          </cell>
        </row>
        <row r="20">
          <cell r="D20">
            <v>10746</v>
          </cell>
          <cell r="F20">
            <v>0</v>
          </cell>
        </row>
        <row r="21">
          <cell r="D21">
            <v>48786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4685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154273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2400</v>
          </cell>
          <cell r="F30">
            <v>-2400</v>
          </cell>
        </row>
        <row r="31">
          <cell r="D31">
            <v>5607</v>
          </cell>
          <cell r="F31">
            <v>5513</v>
          </cell>
        </row>
        <row r="32">
          <cell r="D32">
            <v>29698</v>
          </cell>
          <cell r="F32">
            <v>-10771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1891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8069</v>
          </cell>
          <cell r="F41">
            <v>0</v>
          </cell>
        </row>
        <row r="42">
          <cell r="D42">
            <v>762</v>
          </cell>
          <cell r="F42">
            <v>0</v>
          </cell>
        </row>
        <row r="43">
          <cell r="D43">
            <v>4816</v>
          </cell>
          <cell r="F43">
            <v>-4816</v>
          </cell>
        </row>
        <row r="44">
          <cell r="D44">
            <v>0</v>
          </cell>
          <cell r="F44">
            <v>0</v>
          </cell>
        </row>
        <row r="45">
          <cell r="D45">
            <v>18881</v>
          </cell>
          <cell r="F45">
            <v>0</v>
          </cell>
        </row>
        <row r="57">
          <cell r="D57">
            <v>134272</v>
          </cell>
          <cell r="F57">
            <v>-130290</v>
          </cell>
        </row>
        <row r="58">
          <cell r="D58">
            <v>0</v>
          </cell>
          <cell r="F58">
            <v>37719</v>
          </cell>
        </row>
        <row r="59">
          <cell r="D59">
            <v>0</v>
          </cell>
          <cell r="F59">
            <v>79491</v>
          </cell>
        </row>
        <row r="60">
          <cell r="D60">
            <v>4038</v>
          </cell>
          <cell r="F60">
            <v>0</v>
          </cell>
        </row>
        <row r="61">
          <cell r="D61">
            <v>0</v>
          </cell>
          <cell r="F61">
            <v>4045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1569</v>
          </cell>
        </row>
        <row r="66">
          <cell r="D66">
            <v>0</v>
          </cell>
          <cell r="F66">
            <v>0</v>
          </cell>
        </row>
        <row r="67">
          <cell r="D67">
            <v>0</v>
          </cell>
          <cell r="F67">
            <v>8160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4700</v>
          </cell>
          <cell r="F75">
            <v>0</v>
          </cell>
        </row>
        <row r="76">
          <cell r="D76">
            <v>418</v>
          </cell>
          <cell r="F76">
            <v>195</v>
          </cell>
        </row>
        <row r="77">
          <cell r="D77">
            <v>11049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18494</v>
          </cell>
          <cell r="F80">
            <v>0</v>
          </cell>
        </row>
        <row r="81">
          <cell r="D81">
            <v>125455</v>
          </cell>
          <cell r="F81">
            <v>-112000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21112</v>
          </cell>
          <cell r="F84">
            <v>0</v>
          </cell>
        </row>
        <row r="85">
          <cell r="D85">
            <v>3512</v>
          </cell>
          <cell r="F85">
            <v>0</v>
          </cell>
        </row>
        <row r="89">
          <cell r="D89">
            <v>67847</v>
          </cell>
          <cell r="F89">
            <v>0</v>
          </cell>
        </row>
        <row r="90">
          <cell r="D90">
            <v>5924</v>
          </cell>
          <cell r="F90">
            <v>2812</v>
          </cell>
        </row>
        <row r="91">
          <cell r="D91">
            <v>4575</v>
          </cell>
          <cell r="F91">
            <v>0</v>
          </cell>
        </row>
        <row r="92">
          <cell r="D92">
            <v>43809</v>
          </cell>
          <cell r="F92">
            <v>0</v>
          </cell>
        </row>
        <row r="93">
          <cell r="D93">
            <v>13557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5938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2107</v>
          </cell>
          <cell r="F102">
            <v>0</v>
          </cell>
        </row>
        <row r="103">
          <cell r="D103">
            <v>445</v>
          </cell>
          <cell r="F103">
            <v>0</v>
          </cell>
        </row>
        <row r="115">
          <cell r="D115">
            <v>34340</v>
          </cell>
          <cell r="F115">
            <v>0</v>
          </cell>
        </row>
        <row r="116">
          <cell r="D116">
            <v>2964</v>
          </cell>
          <cell r="F116">
            <v>1423</v>
          </cell>
        </row>
        <row r="117">
          <cell r="D117">
            <v>4720</v>
          </cell>
          <cell r="F117">
            <v>0</v>
          </cell>
        </row>
        <row r="118">
          <cell r="D118">
            <v>1474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83200</v>
          </cell>
          <cell r="F124">
            <v>0</v>
          </cell>
        </row>
        <row r="125">
          <cell r="D125">
            <v>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0</v>
          </cell>
          <cell r="F128">
            <v>0</v>
          </cell>
        </row>
        <row r="130">
          <cell r="D130">
            <v>0</v>
          </cell>
          <cell r="F130">
            <v>10363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0</v>
          </cell>
        </row>
        <row r="136">
          <cell r="D136">
            <v>88169</v>
          </cell>
          <cell r="F136">
            <v>-2028</v>
          </cell>
        </row>
        <row r="137">
          <cell r="D137">
            <v>109236</v>
          </cell>
          <cell r="F137">
            <v>2028</v>
          </cell>
        </row>
        <row r="138">
          <cell r="D138">
            <v>161768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23322</v>
          </cell>
          <cell r="F141">
            <v>-12340</v>
          </cell>
        </row>
        <row r="142">
          <cell r="D142">
            <v>0</v>
          </cell>
          <cell r="F142">
            <v>13606</v>
          </cell>
        </row>
        <row r="143">
          <cell r="D143">
            <v>13669</v>
          </cell>
          <cell r="F143">
            <v>6704</v>
          </cell>
        </row>
        <row r="144">
          <cell r="D144">
            <v>0</v>
          </cell>
          <cell r="F144">
            <v>0</v>
          </cell>
        </row>
        <row r="146">
          <cell r="D146">
            <v>8800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2858</v>
          </cell>
          <cell r="F150">
            <v>0</v>
          </cell>
        </row>
        <row r="151">
          <cell r="D151">
            <v>22048</v>
          </cell>
          <cell r="F151">
            <v>0</v>
          </cell>
        </row>
        <row r="152">
          <cell r="D152">
            <v>13995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3171</v>
          </cell>
          <cell r="F194">
            <v>0</v>
          </cell>
        </row>
        <row r="195">
          <cell r="D195">
            <v>1364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5899</v>
          </cell>
          <cell r="F197">
            <v>0</v>
          </cell>
        </row>
        <row r="198">
          <cell r="D198">
            <v>851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7324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34316</v>
          </cell>
          <cell r="F211">
            <v>0</v>
          </cell>
        </row>
        <row r="212">
          <cell r="D212">
            <v>2823</v>
          </cell>
          <cell r="F212">
            <v>1422</v>
          </cell>
        </row>
        <row r="213">
          <cell r="D213">
            <v>7600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3560</v>
          </cell>
          <cell r="F216">
            <v>0</v>
          </cell>
        </row>
        <row r="221">
          <cell r="D221">
            <v>1985941</v>
          </cell>
        </row>
      </sheetData>
      <sheetData sheetId="8"/>
      <sheetData sheetId="9"/>
      <sheetData sheetId="10">
        <row r="9">
          <cell r="C9">
            <v>7126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424</v>
          </cell>
          <cell r="I9">
            <v>662</v>
          </cell>
          <cell r="J9">
            <v>0</v>
          </cell>
          <cell r="K9">
            <v>0</v>
          </cell>
        </row>
        <row r="22">
          <cell r="N22">
            <v>26</v>
          </cell>
        </row>
        <row r="24">
          <cell r="N24">
            <v>26</v>
          </cell>
        </row>
        <row r="28">
          <cell r="N28">
            <v>8684</v>
          </cell>
        </row>
        <row r="30">
          <cell r="N30">
            <v>0.9456471672040534</v>
          </cell>
        </row>
        <row r="32">
          <cell r="N32">
            <v>0.82058959005066789</v>
          </cell>
        </row>
        <row r="34">
          <cell r="N34">
            <v>0.86775450560155876</v>
          </cell>
        </row>
      </sheetData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1736102.31</v>
          </cell>
          <cell r="G10">
            <v>-4635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1105854.3399999999</v>
          </cell>
          <cell r="G37">
            <v>0</v>
          </cell>
        </row>
        <row r="42">
          <cell r="E42">
            <v>27934.440000000002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5247.37</v>
          </cell>
          <cell r="G67">
            <v>0</v>
          </cell>
        </row>
        <row r="85">
          <cell r="C85">
            <v>223.19505013673657</v>
          </cell>
          <cell r="E85">
            <v>216.97846615252786</v>
          </cell>
          <cell r="G85">
            <v>229.54995877988458</v>
          </cell>
          <cell r="I85">
            <v>224.96680327868853</v>
          </cell>
        </row>
      </sheetData>
      <sheetData sheetId="6"/>
      <sheetData sheetId="7">
        <row r="10">
          <cell r="D10">
            <v>100550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156885</v>
          </cell>
          <cell r="F12">
            <v>0</v>
          </cell>
        </row>
        <row r="13">
          <cell r="D13">
            <v>84355.562341534373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1104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14485.17</v>
          </cell>
          <cell r="F17">
            <v>-2000</v>
          </cell>
        </row>
        <row r="18">
          <cell r="D18">
            <v>4980.66</v>
          </cell>
          <cell r="F18">
            <v>0</v>
          </cell>
        </row>
        <row r="19">
          <cell r="D19">
            <v>12672.56</v>
          </cell>
          <cell r="F19">
            <v>0</v>
          </cell>
        </row>
        <row r="20">
          <cell r="D20">
            <v>5809.27</v>
          </cell>
          <cell r="F20">
            <v>0</v>
          </cell>
        </row>
        <row r="21">
          <cell r="D21">
            <v>10079.61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11748.31</v>
          </cell>
          <cell r="F23">
            <v>0</v>
          </cell>
        </row>
        <row r="24">
          <cell r="D24">
            <v>5801.04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223355.44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5070.0300000000007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212.29</v>
          </cell>
          <cell r="F39">
            <v>0</v>
          </cell>
        </row>
        <row r="40">
          <cell r="D40">
            <v>4105.53</v>
          </cell>
          <cell r="F40">
            <v>0</v>
          </cell>
        </row>
        <row r="41">
          <cell r="D41">
            <v>7065.79</v>
          </cell>
          <cell r="F41">
            <v>0</v>
          </cell>
        </row>
        <row r="42">
          <cell r="D42">
            <v>1183</v>
          </cell>
          <cell r="F42">
            <v>0</v>
          </cell>
        </row>
        <row r="43">
          <cell r="D43">
            <v>5482.39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1947.27</v>
          </cell>
          <cell r="F45">
            <v>0</v>
          </cell>
        </row>
        <row r="57">
          <cell r="D57">
            <v>0</v>
          </cell>
          <cell r="F57">
            <v>0</v>
          </cell>
        </row>
        <row r="58">
          <cell r="D58">
            <v>258705</v>
          </cell>
          <cell r="F58">
            <v>0</v>
          </cell>
        </row>
        <row r="59">
          <cell r="D59">
            <v>89787.5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5476.98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1667.54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26316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0</v>
          </cell>
          <cell r="F75">
            <v>0</v>
          </cell>
        </row>
        <row r="76">
          <cell r="D76">
            <v>0</v>
          </cell>
          <cell r="F76">
            <v>0</v>
          </cell>
        </row>
        <row r="77">
          <cell r="D77">
            <v>39267.160000000003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8400.58</v>
          </cell>
          <cell r="F79">
            <v>0</v>
          </cell>
        </row>
        <row r="80">
          <cell r="D80">
            <v>0</v>
          </cell>
          <cell r="F80">
            <v>0</v>
          </cell>
        </row>
        <row r="81">
          <cell r="D81">
            <v>32217.312000000002</v>
          </cell>
          <cell r="F81">
            <v>0</v>
          </cell>
        </row>
        <row r="82">
          <cell r="D82">
            <v>8054.3280000000004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73663.350000000006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234091</v>
          </cell>
          <cell r="F91">
            <v>0</v>
          </cell>
        </row>
        <row r="92">
          <cell r="D92">
            <v>21231.47</v>
          </cell>
          <cell r="F92">
            <v>0</v>
          </cell>
        </row>
        <row r="93">
          <cell r="D93">
            <v>0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41951</v>
          </cell>
          <cell r="F101">
            <v>0</v>
          </cell>
        </row>
        <row r="102">
          <cell r="D102">
            <v>6051.7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140380.24</v>
          </cell>
          <cell r="F115">
            <v>0</v>
          </cell>
        </row>
        <row r="116">
          <cell r="D116">
            <v>37143.800000000003</v>
          </cell>
          <cell r="F116">
            <v>0</v>
          </cell>
        </row>
        <row r="117">
          <cell r="D117">
            <v>26336.28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82586.399999999994</v>
          </cell>
          <cell r="F124">
            <v>0</v>
          </cell>
        </row>
        <row r="125">
          <cell r="D125">
            <v>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0</v>
          </cell>
          <cell r="F128">
            <v>0</v>
          </cell>
        </row>
        <row r="130">
          <cell r="D130">
            <v>23955.357341044793</v>
          </cell>
          <cell r="F130">
            <v>0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0</v>
          </cell>
        </row>
        <row r="136">
          <cell r="D136">
            <v>531305.97</v>
          </cell>
          <cell r="F136">
            <v>0</v>
          </cell>
        </row>
        <row r="137">
          <cell r="D137">
            <v>129901.51999999999</v>
          </cell>
          <cell r="F137">
            <v>0</v>
          </cell>
        </row>
        <row r="138">
          <cell r="D138">
            <v>665028.52999999991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130352.09</v>
          </cell>
          <cell r="F141">
            <v>0</v>
          </cell>
        </row>
        <row r="142">
          <cell r="D142">
            <v>28284.369483837894</v>
          </cell>
          <cell r="F142">
            <v>0</v>
          </cell>
        </row>
        <row r="143">
          <cell r="D143">
            <v>208783.05059030937</v>
          </cell>
          <cell r="F143">
            <v>0</v>
          </cell>
        </row>
        <row r="144">
          <cell r="D144">
            <v>0</v>
          </cell>
          <cell r="F144">
            <v>0</v>
          </cell>
        </row>
        <row r="146">
          <cell r="D146">
            <v>15000</v>
          </cell>
          <cell r="F146">
            <v>0</v>
          </cell>
        </row>
        <row r="147">
          <cell r="D147">
            <v>80460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0</v>
          </cell>
          <cell r="F150">
            <v>0</v>
          </cell>
        </row>
        <row r="151">
          <cell r="D151">
            <v>100642.65</v>
          </cell>
          <cell r="F151">
            <v>0</v>
          </cell>
        </row>
        <row r="152">
          <cell r="D152">
            <v>16084.96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7271.84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1572.29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1693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5717.1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67482.399999999994</v>
          </cell>
          <cell r="F211">
            <v>0</v>
          </cell>
        </row>
        <row r="212">
          <cell r="D212">
            <v>20925.259999999998</v>
          </cell>
          <cell r="F212">
            <v>0</v>
          </cell>
        </row>
        <row r="213">
          <cell r="D213">
            <v>2650</v>
          </cell>
          <cell r="F213">
            <v>0</v>
          </cell>
        </row>
        <row r="214">
          <cell r="D214">
            <v>1442.74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0</v>
          </cell>
          <cell r="F216">
            <v>0</v>
          </cell>
        </row>
        <row r="221">
          <cell r="D221">
            <v>3828774</v>
          </cell>
        </row>
      </sheetData>
      <sheetData sheetId="8"/>
      <sheetData sheetId="9"/>
      <sheetData sheetId="10">
        <row r="9">
          <cell r="C9">
            <v>6762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4941</v>
          </cell>
          <cell r="I9">
            <v>179</v>
          </cell>
          <cell r="J9">
            <v>0</v>
          </cell>
          <cell r="K9">
            <v>0</v>
          </cell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13140</v>
          </cell>
        </row>
        <row r="30">
          <cell r="N30">
            <v>0.90426179604261792</v>
          </cell>
        </row>
        <row r="32">
          <cell r="N32">
            <v>0.5146118721461187</v>
          </cell>
        </row>
        <row r="34">
          <cell r="N34">
            <v>0.56909611176569597</v>
          </cell>
        </row>
      </sheetData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C-2 (2)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1680824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2077112</v>
          </cell>
          <cell r="G21">
            <v>0</v>
          </cell>
        </row>
        <row r="27">
          <cell r="E27">
            <v>455881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391618</v>
          </cell>
          <cell r="G37">
            <v>0</v>
          </cell>
        </row>
        <row r="42">
          <cell r="E42">
            <v>217595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141397</v>
          </cell>
          <cell r="G67">
            <v>0</v>
          </cell>
        </row>
        <row r="85">
          <cell r="C85">
            <v>121.27659574468085</v>
          </cell>
          <cell r="E85">
            <v>276.71739130434781</v>
          </cell>
          <cell r="G85">
            <v>383.01960784313724</v>
          </cell>
          <cell r="I85">
            <v>242.51623931623931</v>
          </cell>
        </row>
      </sheetData>
      <sheetData sheetId="6"/>
      <sheetData sheetId="7">
        <row r="10">
          <cell r="D10">
            <v>113778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242412</v>
          </cell>
          <cell r="F12">
            <v>-66645</v>
          </cell>
        </row>
        <row r="13">
          <cell r="D13">
            <v>155907</v>
          </cell>
          <cell r="F13">
            <v>-98850</v>
          </cell>
        </row>
        <row r="14">
          <cell r="D14">
            <v>0</v>
          </cell>
          <cell r="F14">
            <v>0</v>
          </cell>
        </row>
        <row r="15">
          <cell r="D15">
            <v>13118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1141</v>
          </cell>
          <cell r="F17">
            <v>-1141</v>
          </cell>
        </row>
        <row r="18">
          <cell r="D18">
            <v>11495</v>
          </cell>
          <cell r="F18">
            <v>0</v>
          </cell>
        </row>
        <row r="19">
          <cell r="D19">
            <v>18187</v>
          </cell>
          <cell r="F19">
            <v>0</v>
          </cell>
        </row>
        <row r="20">
          <cell r="D20">
            <v>13473</v>
          </cell>
          <cell r="F20">
            <v>0</v>
          </cell>
        </row>
        <row r="21">
          <cell r="D21">
            <v>86666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6452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215191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34275</v>
          </cell>
          <cell r="F31">
            <v>0</v>
          </cell>
        </row>
        <row r="32">
          <cell r="D32">
            <v>20850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22762</v>
          </cell>
          <cell r="F36">
            <v>0</v>
          </cell>
        </row>
        <row r="37">
          <cell r="D37">
            <v>0</v>
          </cell>
          <cell r="F37">
            <v>3232</v>
          </cell>
        </row>
        <row r="38">
          <cell r="D38">
            <v>0</v>
          </cell>
          <cell r="F38">
            <v>0</v>
          </cell>
        </row>
        <row r="39">
          <cell r="D39">
            <v>2700</v>
          </cell>
          <cell r="F39">
            <v>0</v>
          </cell>
        </row>
        <row r="40">
          <cell r="D40">
            <v>16710</v>
          </cell>
          <cell r="F40">
            <v>-16710</v>
          </cell>
        </row>
        <row r="41">
          <cell r="D41">
            <v>42309</v>
          </cell>
          <cell r="F41">
            <v>0</v>
          </cell>
        </row>
        <row r="42">
          <cell r="D42">
            <v>4050</v>
          </cell>
          <cell r="F42">
            <v>0</v>
          </cell>
        </row>
        <row r="43">
          <cell r="D43">
            <v>10557</v>
          </cell>
          <cell r="F43">
            <v>-6127</v>
          </cell>
        </row>
        <row r="44">
          <cell r="D44">
            <v>0</v>
          </cell>
          <cell r="F44">
            <v>0</v>
          </cell>
        </row>
        <row r="45">
          <cell r="D45">
            <v>6186</v>
          </cell>
          <cell r="F45">
            <v>0</v>
          </cell>
        </row>
        <row r="57">
          <cell r="D57">
            <v>225341</v>
          </cell>
          <cell r="F57">
            <v>0</v>
          </cell>
        </row>
        <row r="58">
          <cell r="D58">
            <v>0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36095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7205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4484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53471</v>
          </cell>
          <cell r="F75">
            <v>0</v>
          </cell>
        </row>
        <row r="76">
          <cell r="D76">
            <v>4179</v>
          </cell>
          <cell r="F76">
            <v>3083</v>
          </cell>
        </row>
        <row r="77">
          <cell r="D77">
            <v>16986</v>
          </cell>
          <cell r="F77">
            <v>0</v>
          </cell>
        </row>
        <row r="78">
          <cell r="D78">
            <v>10767</v>
          </cell>
          <cell r="F78">
            <v>0</v>
          </cell>
        </row>
        <row r="79">
          <cell r="D79">
            <v>2052</v>
          </cell>
          <cell r="F79">
            <v>0</v>
          </cell>
        </row>
        <row r="80">
          <cell r="D80">
            <v>24643</v>
          </cell>
          <cell r="F80">
            <v>0</v>
          </cell>
        </row>
        <row r="81">
          <cell r="D81">
            <v>9848</v>
          </cell>
          <cell r="F81">
            <v>0</v>
          </cell>
        </row>
        <row r="82">
          <cell r="D82">
            <v>3832</v>
          </cell>
          <cell r="F82">
            <v>0</v>
          </cell>
        </row>
        <row r="83">
          <cell r="D83">
            <v>8247</v>
          </cell>
          <cell r="F83">
            <v>0</v>
          </cell>
        </row>
        <row r="84">
          <cell r="D84">
            <v>51130</v>
          </cell>
          <cell r="F84">
            <v>0</v>
          </cell>
        </row>
        <row r="85">
          <cell r="D85">
            <v>136</v>
          </cell>
          <cell r="F85">
            <v>0</v>
          </cell>
        </row>
        <row r="89">
          <cell r="D89">
            <v>152293</v>
          </cell>
          <cell r="F89">
            <v>0</v>
          </cell>
        </row>
        <row r="90">
          <cell r="D90">
            <v>12263</v>
          </cell>
          <cell r="F90">
            <v>8782</v>
          </cell>
        </row>
        <row r="91">
          <cell r="D91">
            <v>14267</v>
          </cell>
          <cell r="F91">
            <v>0</v>
          </cell>
        </row>
        <row r="92">
          <cell r="D92">
            <v>124097</v>
          </cell>
          <cell r="F92">
            <v>0</v>
          </cell>
        </row>
        <row r="93">
          <cell r="D93">
            <v>14308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15484</v>
          </cell>
          <cell r="F98">
            <v>0</v>
          </cell>
        </row>
        <row r="99">
          <cell r="D99">
            <v>1308</v>
          </cell>
          <cell r="F99">
            <v>893</v>
          </cell>
        </row>
        <row r="100">
          <cell r="D100">
            <v>4034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23335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49081</v>
          </cell>
          <cell r="F115">
            <v>0</v>
          </cell>
        </row>
        <row r="116">
          <cell r="D116">
            <v>4227</v>
          </cell>
          <cell r="F116">
            <v>2830</v>
          </cell>
        </row>
        <row r="117">
          <cell r="D117">
            <v>17425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239895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40941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34053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5812</v>
          </cell>
        </row>
        <row r="136">
          <cell r="D136">
            <v>381485</v>
          </cell>
          <cell r="F136">
            <v>0</v>
          </cell>
        </row>
        <row r="137">
          <cell r="D137">
            <v>187860</v>
          </cell>
          <cell r="F137">
            <v>0</v>
          </cell>
        </row>
        <row r="138">
          <cell r="D138">
            <v>508363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123746</v>
          </cell>
          <cell r="F141">
            <v>-19427</v>
          </cell>
        </row>
        <row r="142">
          <cell r="D142">
            <v>0</v>
          </cell>
          <cell r="F142">
            <v>26667</v>
          </cell>
        </row>
        <row r="143">
          <cell r="D143">
            <v>42781</v>
          </cell>
          <cell r="F143">
            <v>29314</v>
          </cell>
        </row>
        <row r="144">
          <cell r="D144">
            <v>0</v>
          </cell>
          <cell r="F144">
            <v>0</v>
          </cell>
        </row>
        <row r="146">
          <cell r="D146">
            <v>39585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15752</v>
          </cell>
          <cell r="F150">
            <v>0</v>
          </cell>
        </row>
        <row r="151">
          <cell r="D151">
            <v>122770</v>
          </cell>
          <cell r="F151">
            <v>0</v>
          </cell>
        </row>
        <row r="152">
          <cell r="D152">
            <v>27388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272880</v>
          </cell>
          <cell r="F194">
            <v>0</v>
          </cell>
        </row>
        <row r="195">
          <cell r="D195">
            <v>77441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302694</v>
          </cell>
          <cell r="F197">
            <v>0</v>
          </cell>
        </row>
        <row r="198">
          <cell r="D198">
            <v>52788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175613</v>
          </cell>
          <cell r="F205">
            <v>0</v>
          </cell>
        </row>
        <row r="206">
          <cell r="D206">
            <v>8471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62651</v>
          </cell>
          <cell r="F211">
            <v>0</v>
          </cell>
        </row>
        <row r="212">
          <cell r="D212">
            <v>5220</v>
          </cell>
          <cell r="F212">
            <v>3613</v>
          </cell>
        </row>
        <row r="213">
          <cell r="D213">
            <v>12542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6435</v>
          </cell>
          <cell r="F216">
            <v>0</v>
          </cell>
        </row>
        <row r="221">
          <cell r="D221">
            <v>4636058</v>
          </cell>
        </row>
      </sheetData>
      <sheetData sheetId="8"/>
      <sheetData sheetId="9"/>
      <sheetData sheetId="10"/>
      <sheetData sheetId="11">
        <row r="9">
          <cell r="C9">
            <v>9162</v>
          </cell>
          <cell r="D9">
            <v>0</v>
          </cell>
          <cell r="E9">
            <v>3771</v>
          </cell>
          <cell r="F9">
            <v>982</v>
          </cell>
          <cell r="G9">
            <v>0</v>
          </cell>
          <cell r="H9">
            <v>1410</v>
          </cell>
          <cell r="I9">
            <v>1040</v>
          </cell>
          <cell r="J9">
            <v>0</v>
          </cell>
          <cell r="K9">
            <v>0</v>
          </cell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18980</v>
          </cell>
        </row>
        <row r="30">
          <cell r="N30">
            <v>0.86222339304531082</v>
          </cell>
        </row>
        <row r="32">
          <cell r="N32">
            <v>0.48271865121180191</v>
          </cell>
        </row>
        <row r="34">
          <cell r="N34">
            <v>0.55985334555453714</v>
          </cell>
        </row>
      </sheetData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C-2 (2)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726054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4050585</v>
          </cell>
          <cell r="G21">
            <v>0</v>
          </cell>
        </row>
        <row r="27">
          <cell r="E27">
            <v>2185262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433740</v>
          </cell>
          <cell r="G37">
            <v>-13241</v>
          </cell>
        </row>
        <row r="42">
          <cell r="E42">
            <v>20540</v>
          </cell>
          <cell r="G42">
            <v>13241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61088</v>
          </cell>
          <cell r="G67">
            <v>0</v>
          </cell>
        </row>
        <row r="85">
          <cell r="C85">
            <v>448.36296296296297</v>
          </cell>
          <cell r="E85">
            <v>116.68217054263566</v>
          </cell>
          <cell r="G85">
            <v>187.83833718244804</v>
          </cell>
          <cell r="I85">
            <v>391.65527488855867</v>
          </cell>
        </row>
      </sheetData>
      <sheetData sheetId="6"/>
      <sheetData sheetId="7">
        <row r="10">
          <cell r="D10">
            <v>135955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384314</v>
          </cell>
          <cell r="F12">
            <v>-128160</v>
          </cell>
        </row>
        <row r="13">
          <cell r="D13">
            <v>194985</v>
          </cell>
          <cell r="F13">
            <v>-125878</v>
          </cell>
        </row>
        <row r="14">
          <cell r="D14">
            <v>0</v>
          </cell>
          <cell r="F14">
            <v>0</v>
          </cell>
        </row>
        <row r="15">
          <cell r="D15">
            <v>12616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3627</v>
          </cell>
          <cell r="F17">
            <v>-3627</v>
          </cell>
        </row>
        <row r="18">
          <cell r="D18">
            <v>12169</v>
          </cell>
          <cell r="F18">
            <v>0</v>
          </cell>
        </row>
        <row r="19">
          <cell r="D19">
            <v>26958</v>
          </cell>
          <cell r="F19">
            <v>0</v>
          </cell>
        </row>
        <row r="20">
          <cell r="D20">
            <v>18531</v>
          </cell>
          <cell r="F20">
            <v>0</v>
          </cell>
        </row>
        <row r="21">
          <cell r="D21">
            <v>90175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5135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105225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43564</v>
          </cell>
          <cell r="F31">
            <v>0</v>
          </cell>
        </row>
        <row r="32">
          <cell r="D32">
            <v>21621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46020</v>
          </cell>
          <cell r="F36">
            <v>3766</v>
          </cell>
        </row>
        <row r="37">
          <cell r="D37">
            <v>0</v>
          </cell>
          <cell r="F37">
            <v>6414</v>
          </cell>
        </row>
        <row r="38">
          <cell r="D38">
            <v>0</v>
          </cell>
          <cell r="F38">
            <v>0</v>
          </cell>
        </row>
        <row r="39">
          <cell r="D39">
            <v>2279</v>
          </cell>
          <cell r="F39">
            <v>0</v>
          </cell>
        </row>
        <row r="40">
          <cell r="D40">
            <v>9585</v>
          </cell>
          <cell r="F40">
            <v>-9585</v>
          </cell>
        </row>
        <row r="41">
          <cell r="D41">
            <v>63442</v>
          </cell>
          <cell r="F41">
            <v>0</v>
          </cell>
        </row>
        <row r="42">
          <cell r="D42">
            <v>8972</v>
          </cell>
          <cell r="F42">
            <v>0</v>
          </cell>
        </row>
        <row r="43">
          <cell r="D43">
            <v>17126</v>
          </cell>
          <cell r="F43">
            <v>-14099</v>
          </cell>
        </row>
        <row r="44">
          <cell r="D44">
            <v>0</v>
          </cell>
          <cell r="F44">
            <v>0</v>
          </cell>
        </row>
        <row r="45">
          <cell r="D45">
            <v>8411</v>
          </cell>
          <cell r="F45">
            <v>0</v>
          </cell>
        </row>
        <row r="57">
          <cell r="D57">
            <v>779500</v>
          </cell>
          <cell r="F57">
            <v>0</v>
          </cell>
        </row>
        <row r="58">
          <cell r="D58">
            <v>0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166223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7992</v>
          </cell>
          <cell r="F65">
            <v>0</v>
          </cell>
        </row>
        <row r="66">
          <cell r="D66">
            <v>25944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291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59670</v>
          </cell>
          <cell r="F75">
            <v>0</v>
          </cell>
        </row>
        <row r="76">
          <cell r="D76">
            <v>4640</v>
          </cell>
          <cell r="F76">
            <v>2896</v>
          </cell>
        </row>
        <row r="77">
          <cell r="D77">
            <v>9022</v>
          </cell>
          <cell r="F77">
            <v>0</v>
          </cell>
        </row>
        <row r="78">
          <cell r="D78">
            <v>10451</v>
          </cell>
          <cell r="F78">
            <v>0</v>
          </cell>
        </row>
        <row r="79">
          <cell r="D79">
            <v>6059</v>
          </cell>
          <cell r="F79">
            <v>0</v>
          </cell>
        </row>
        <row r="80">
          <cell r="D80">
            <v>20006</v>
          </cell>
          <cell r="F80">
            <v>0</v>
          </cell>
        </row>
        <row r="81">
          <cell r="D81">
            <v>2160</v>
          </cell>
          <cell r="F81">
            <v>0</v>
          </cell>
        </row>
        <row r="82">
          <cell r="D82">
            <v>5140</v>
          </cell>
          <cell r="F82">
            <v>0</v>
          </cell>
        </row>
        <row r="83">
          <cell r="D83">
            <v>17412</v>
          </cell>
          <cell r="F83">
            <v>0</v>
          </cell>
        </row>
        <row r="84">
          <cell r="D84">
            <v>163936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198212</v>
          </cell>
          <cell r="F89">
            <v>0</v>
          </cell>
        </row>
        <row r="90">
          <cell r="D90">
            <v>16480</v>
          </cell>
          <cell r="F90">
            <v>9619</v>
          </cell>
        </row>
        <row r="91">
          <cell r="D91">
            <v>36221</v>
          </cell>
          <cell r="F91">
            <v>0</v>
          </cell>
        </row>
        <row r="92">
          <cell r="D92">
            <v>144533</v>
          </cell>
          <cell r="F92">
            <v>0</v>
          </cell>
        </row>
        <row r="93">
          <cell r="D93">
            <v>16114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651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2845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83533</v>
          </cell>
          <cell r="F115">
            <v>0</v>
          </cell>
        </row>
        <row r="116">
          <cell r="D116">
            <v>6763</v>
          </cell>
          <cell r="F116">
            <v>4054</v>
          </cell>
        </row>
        <row r="117">
          <cell r="D117">
            <v>26524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298860</v>
          </cell>
          <cell r="F125">
            <v>12002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121834</v>
          </cell>
          <cell r="F128">
            <v>9970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40350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17108</v>
          </cell>
        </row>
        <row r="136">
          <cell r="D136">
            <v>781360</v>
          </cell>
          <cell r="F136">
            <v>-39793</v>
          </cell>
        </row>
        <row r="137">
          <cell r="D137">
            <v>171762</v>
          </cell>
          <cell r="F137">
            <v>14055</v>
          </cell>
        </row>
        <row r="138">
          <cell r="D138">
            <v>739502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115685</v>
          </cell>
          <cell r="F141">
            <v>-19109</v>
          </cell>
        </row>
        <row r="142">
          <cell r="D142">
            <v>0</v>
          </cell>
          <cell r="F142">
            <v>24170</v>
          </cell>
        </row>
        <row r="143">
          <cell r="D143">
            <v>60710</v>
          </cell>
          <cell r="F143">
            <v>35886</v>
          </cell>
        </row>
        <row r="144">
          <cell r="D144">
            <v>0</v>
          </cell>
          <cell r="F144">
            <v>0</v>
          </cell>
        </row>
        <row r="146">
          <cell r="D146">
            <v>54000</v>
          </cell>
          <cell r="F146">
            <v>0</v>
          </cell>
        </row>
        <row r="147">
          <cell r="D147">
            <v>67122</v>
          </cell>
          <cell r="F147">
            <v>0</v>
          </cell>
        </row>
        <row r="148">
          <cell r="D148">
            <v>10876</v>
          </cell>
          <cell r="F148">
            <v>0</v>
          </cell>
        </row>
        <row r="149">
          <cell r="D149">
            <v>25237</v>
          </cell>
          <cell r="F149">
            <v>0</v>
          </cell>
        </row>
        <row r="150">
          <cell r="D150">
            <v>12660</v>
          </cell>
          <cell r="F150">
            <v>0</v>
          </cell>
        </row>
        <row r="151">
          <cell r="D151">
            <v>179732</v>
          </cell>
          <cell r="F151">
            <v>0</v>
          </cell>
        </row>
        <row r="152">
          <cell r="D152">
            <v>48429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593729</v>
          </cell>
          <cell r="F194">
            <v>0</v>
          </cell>
        </row>
        <row r="195">
          <cell r="D195">
            <v>104702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589268</v>
          </cell>
          <cell r="F197">
            <v>0</v>
          </cell>
        </row>
        <row r="198">
          <cell r="D198">
            <v>117075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447183</v>
          </cell>
          <cell r="F205">
            <v>0</v>
          </cell>
        </row>
        <row r="206">
          <cell r="D206">
            <v>7513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92528</v>
          </cell>
          <cell r="F211">
            <v>0</v>
          </cell>
        </row>
        <row r="212">
          <cell r="D212">
            <v>7805</v>
          </cell>
          <cell r="F212">
            <v>4490</v>
          </cell>
        </row>
        <row r="213">
          <cell r="D213">
            <v>4324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4333</v>
          </cell>
          <cell r="F216">
            <v>0</v>
          </cell>
        </row>
        <row r="221">
          <cell r="D221">
            <v>7677261</v>
          </cell>
        </row>
      </sheetData>
      <sheetData sheetId="8"/>
      <sheetData sheetId="9"/>
      <sheetData sheetId="10"/>
      <sheetData sheetId="11">
        <row r="9">
          <cell r="C9">
            <v>3598</v>
          </cell>
          <cell r="D9">
            <v>0</v>
          </cell>
          <cell r="E9">
            <v>7217</v>
          </cell>
          <cell r="F9">
            <v>5688</v>
          </cell>
          <cell r="G9">
            <v>0</v>
          </cell>
          <cell r="H9">
            <v>1370</v>
          </cell>
          <cell r="I9">
            <v>510</v>
          </cell>
          <cell r="J9">
            <v>0</v>
          </cell>
          <cell r="K9">
            <v>0</v>
          </cell>
        </row>
        <row r="22">
          <cell r="N22">
            <v>120</v>
          </cell>
        </row>
        <row r="24">
          <cell r="N24">
            <v>54</v>
          </cell>
        </row>
        <row r="28">
          <cell r="N28">
            <v>43800</v>
          </cell>
        </row>
        <row r="30">
          <cell r="N30">
            <v>0.41970319634703196</v>
          </cell>
        </row>
        <row r="32">
          <cell r="N32">
            <v>8.2146118721461187E-2</v>
          </cell>
        </row>
        <row r="34">
          <cell r="N34">
            <v>0.19572431050427025</v>
          </cell>
        </row>
      </sheetData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10-490"/>
      <sheetName val="70-490"/>
      <sheetName val="90-490"/>
      <sheetName val="1012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573830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1853814</v>
          </cell>
          <cell r="G21">
            <v>0</v>
          </cell>
        </row>
        <row r="27">
          <cell r="E27">
            <v>221510</v>
          </cell>
          <cell r="G27">
            <v>0</v>
          </cell>
        </row>
        <row r="32">
          <cell r="E32">
            <v>6986603</v>
          </cell>
          <cell r="G32">
            <v>-2346014</v>
          </cell>
        </row>
        <row r="37">
          <cell r="E37">
            <v>2028455</v>
          </cell>
          <cell r="G37">
            <v>2346014</v>
          </cell>
        </row>
        <row r="42">
          <cell r="E42">
            <v>0</v>
          </cell>
          <cell r="G42">
            <v>0</v>
          </cell>
        </row>
        <row r="47">
          <cell r="E47">
            <v>34522</v>
          </cell>
          <cell r="G47">
            <v>0</v>
          </cell>
        </row>
        <row r="52">
          <cell r="E52">
            <v>563422</v>
          </cell>
          <cell r="G52">
            <v>0</v>
          </cell>
        </row>
        <row r="67">
          <cell r="E67">
            <v>13902</v>
          </cell>
          <cell r="G67">
            <v>-15541</v>
          </cell>
        </row>
        <row r="85">
          <cell r="C85">
            <v>228.95789263620037</v>
          </cell>
          <cell r="E85">
            <v>228.95796045785639</v>
          </cell>
          <cell r="G85">
            <v>228.95789473684209</v>
          </cell>
          <cell r="I85">
            <v>228.95770528683914</v>
          </cell>
        </row>
      </sheetData>
      <sheetData sheetId="6"/>
      <sheetData sheetId="7">
        <row r="10">
          <cell r="D10">
            <v>0</v>
          </cell>
          <cell r="F10">
            <v>153643</v>
          </cell>
        </row>
        <row r="11">
          <cell r="D11">
            <v>0</v>
          </cell>
          <cell r="F11">
            <v>0</v>
          </cell>
        </row>
        <row r="12">
          <cell r="D12">
            <v>431259</v>
          </cell>
          <cell r="F12">
            <v>-153643</v>
          </cell>
        </row>
        <row r="13">
          <cell r="D13">
            <v>47040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736472</v>
          </cell>
        </row>
        <row r="16">
          <cell r="D16">
            <v>736472</v>
          </cell>
          <cell r="F16">
            <v>-736472</v>
          </cell>
        </row>
        <row r="17">
          <cell r="D17">
            <v>17736</v>
          </cell>
          <cell r="F17">
            <v>-17736</v>
          </cell>
        </row>
        <row r="18">
          <cell r="D18">
            <v>82028</v>
          </cell>
          <cell r="F18">
            <v>0</v>
          </cell>
        </row>
        <row r="19">
          <cell r="D19">
            <v>5644</v>
          </cell>
          <cell r="F19">
            <v>0</v>
          </cell>
        </row>
        <row r="20">
          <cell r="D20">
            <v>68557</v>
          </cell>
          <cell r="F20">
            <v>0</v>
          </cell>
        </row>
        <row r="21">
          <cell r="D21">
            <v>5531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31892</v>
          </cell>
          <cell r="F23">
            <v>0</v>
          </cell>
        </row>
        <row r="24">
          <cell r="D24">
            <v>31450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0</v>
          </cell>
          <cell r="F26">
            <v>0</v>
          </cell>
        </row>
        <row r="27">
          <cell r="D27">
            <v>349</v>
          </cell>
          <cell r="F27">
            <v>-675</v>
          </cell>
        </row>
        <row r="28">
          <cell r="D28">
            <v>0</v>
          </cell>
          <cell r="F28">
            <v>0</v>
          </cell>
        </row>
        <row r="29">
          <cell r="D29">
            <v>32046</v>
          </cell>
          <cell r="F29">
            <v>-32046</v>
          </cell>
        </row>
        <row r="30">
          <cell r="D30">
            <v>2400</v>
          </cell>
          <cell r="F30">
            <v>-2400</v>
          </cell>
        </row>
        <row r="31">
          <cell r="D31">
            <v>0</v>
          </cell>
          <cell r="F31">
            <v>0</v>
          </cell>
        </row>
        <row r="32">
          <cell r="D32">
            <v>82320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10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106395</v>
          </cell>
          <cell r="F36">
            <v>0</v>
          </cell>
        </row>
        <row r="37">
          <cell r="D37">
            <v>22439</v>
          </cell>
          <cell r="F37">
            <v>0</v>
          </cell>
        </row>
        <row r="38">
          <cell r="D38">
            <v>594</v>
          </cell>
          <cell r="F38">
            <v>-594</v>
          </cell>
        </row>
        <row r="39">
          <cell r="D39">
            <v>22224</v>
          </cell>
          <cell r="F39">
            <v>0</v>
          </cell>
        </row>
        <row r="40">
          <cell r="D40">
            <v>19629</v>
          </cell>
          <cell r="F40">
            <v>-19629</v>
          </cell>
        </row>
        <row r="41">
          <cell r="D41">
            <v>62422</v>
          </cell>
          <cell r="F41">
            <v>0</v>
          </cell>
        </row>
        <row r="42">
          <cell r="D42">
            <v>899</v>
          </cell>
          <cell r="F42">
            <v>0</v>
          </cell>
        </row>
        <row r="43">
          <cell r="D43">
            <v>26504</v>
          </cell>
          <cell r="F43">
            <v>-26504</v>
          </cell>
        </row>
        <row r="44">
          <cell r="D44">
            <v>0</v>
          </cell>
          <cell r="F44">
            <v>0</v>
          </cell>
        </row>
        <row r="45">
          <cell r="D45">
            <v>436846</v>
          </cell>
          <cell r="F45">
            <v>-402246</v>
          </cell>
        </row>
        <row r="57">
          <cell r="D57">
            <v>0</v>
          </cell>
          <cell r="F57">
            <v>0</v>
          </cell>
        </row>
        <row r="58">
          <cell r="D58">
            <v>1160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17294</v>
          </cell>
          <cell r="F61">
            <v>0</v>
          </cell>
        </row>
        <row r="62">
          <cell r="D62">
            <v>397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2000</v>
          </cell>
          <cell r="F65">
            <v>0</v>
          </cell>
        </row>
        <row r="66">
          <cell r="D66">
            <v>91708</v>
          </cell>
          <cell r="F66">
            <v>0</v>
          </cell>
        </row>
        <row r="67">
          <cell r="D67">
            <v>39286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-603</v>
          </cell>
          <cell r="F69">
            <v>0</v>
          </cell>
        </row>
        <row r="70">
          <cell r="D70">
            <v>-80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85740</v>
          </cell>
          <cell r="F75">
            <v>0</v>
          </cell>
        </row>
        <row r="76">
          <cell r="D76">
            <v>13211</v>
          </cell>
          <cell r="F76">
            <v>0</v>
          </cell>
        </row>
        <row r="77">
          <cell r="D77">
            <v>21105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27922</v>
          </cell>
          <cell r="F79">
            <v>0</v>
          </cell>
        </row>
        <row r="80">
          <cell r="D80">
            <v>11641</v>
          </cell>
          <cell r="F80">
            <v>0</v>
          </cell>
        </row>
        <row r="81">
          <cell r="D81">
            <v>57845</v>
          </cell>
          <cell r="F81">
            <v>0</v>
          </cell>
        </row>
        <row r="82">
          <cell r="D82">
            <v>38421</v>
          </cell>
          <cell r="F82">
            <v>0</v>
          </cell>
        </row>
        <row r="83">
          <cell r="D83">
            <v>6547</v>
          </cell>
          <cell r="F83">
            <v>0</v>
          </cell>
        </row>
        <row r="84">
          <cell r="D84">
            <v>239733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398399</v>
          </cell>
          <cell r="F89">
            <v>0</v>
          </cell>
        </row>
        <row r="90">
          <cell r="D90">
            <v>48293</v>
          </cell>
          <cell r="F90">
            <v>0</v>
          </cell>
        </row>
        <row r="91">
          <cell r="D91">
            <v>25948</v>
          </cell>
          <cell r="F91">
            <v>0</v>
          </cell>
        </row>
        <row r="92">
          <cell r="D92">
            <v>357930</v>
          </cell>
          <cell r="F92">
            <v>50</v>
          </cell>
        </row>
        <row r="93">
          <cell r="D93">
            <v>24756</v>
          </cell>
          <cell r="F93">
            <v>0</v>
          </cell>
        </row>
        <row r="94">
          <cell r="D94">
            <v>455</v>
          </cell>
          <cell r="F94">
            <v>0</v>
          </cell>
        </row>
        <row r="98">
          <cell r="D98">
            <v>58043</v>
          </cell>
          <cell r="F98">
            <v>0</v>
          </cell>
        </row>
        <row r="99">
          <cell r="D99">
            <v>13967</v>
          </cell>
          <cell r="F99">
            <v>0</v>
          </cell>
        </row>
        <row r="100">
          <cell r="D100">
            <v>403</v>
          </cell>
          <cell r="F100">
            <v>0</v>
          </cell>
        </row>
        <row r="101">
          <cell r="D101">
            <v>242</v>
          </cell>
          <cell r="F101">
            <v>0</v>
          </cell>
        </row>
        <row r="102">
          <cell r="D102">
            <v>8756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225643</v>
          </cell>
          <cell r="F115">
            <v>0</v>
          </cell>
        </row>
        <row r="116">
          <cell r="D116">
            <v>41821</v>
          </cell>
          <cell r="F116">
            <v>0</v>
          </cell>
        </row>
        <row r="117">
          <cell r="D117">
            <v>77148</v>
          </cell>
          <cell r="F117">
            <v>0</v>
          </cell>
        </row>
        <row r="118">
          <cell r="D118">
            <v>240</v>
          </cell>
          <cell r="F118">
            <v>0</v>
          </cell>
        </row>
        <row r="119">
          <cell r="D119">
            <v>77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606659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44054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61326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5025</v>
          </cell>
          <cell r="F134">
            <v>0</v>
          </cell>
        </row>
        <row r="136">
          <cell r="D136">
            <v>955739</v>
          </cell>
          <cell r="F136">
            <v>0</v>
          </cell>
        </row>
        <row r="137">
          <cell r="D137">
            <v>832294</v>
          </cell>
          <cell r="F137">
            <v>0</v>
          </cell>
        </row>
        <row r="138">
          <cell r="D138">
            <v>1732413</v>
          </cell>
          <cell r="F138">
            <v>79102</v>
          </cell>
        </row>
        <row r="139">
          <cell r="D139">
            <v>79102</v>
          </cell>
          <cell r="F139">
            <v>-79102</v>
          </cell>
        </row>
        <row r="141">
          <cell r="D141">
            <v>785046</v>
          </cell>
          <cell r="F141">
            <v>-576603</v>
          </cell>
        </row>
        <row r="142">
          <cell r="D142">
            <v>0</v>
          </cell>
          <cell r="F142">
            <v>181520</v>
          </cell>
        </row>
        <row r="143">
          <cell r="D143">
            <v>0</v>
          </cell>
          <cell r="F143">
            <v>395084</v>
          </cell>
        </row>
        <row r="144">
          <cell r="D144">
            <v>0</v>
          </cell>
          <cell r="F144">
            <v>0</v>
          </cell>
        </row>
        <row r="146">
          <cell r="D146">
            <v>49613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503</v>
          </cell>
          <cell r="F150">
            <v>0</v>
          </cell>
        </row>
        <row r="151">
          <cell r="D151">
            <v>134306</v>
          </cell>
          <cell r="F151">
            <v>0</v>
          </cell>
        </row>
        <row r="152">
          <cell r="D152">
            <v>14856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4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3072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37759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44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80124</v>
          </cell>
          <cell r="F193">
            <v>0</v>
          </cell>
        </row>
        <row r="194">
          <cell r="D194">
            <v>382756</v>
          </cell>
          <cell r="F194">
            <v>0</v>
          </cell>
        </row>
        <row r="195">
          <cell r="D195">
            <v>207381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352816</v>
          </cell>
          <cell r="F197">
            <v>0</v>
          </cell>
        </row>
        <row r="198">
          <cell r="D198">
            <v>69745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532512</v>
          </cell>
          <cell r="F205">
            <v>0</v>
          </cell>
        </row>
        <row r="206">
          <cell r="D206">
            <v>15136</v>
          </cell>
          <cell r="F206">
            <v>0</v>
          </cell>
        </row>
        <row r="207">
          <cell r="D207">
            <v>903</v>
          </cell>
          <cell r="F207">
            <v>0</v>
          </cell>
        </row>
        <row r="211">
          <cell r="D211">
            <v>265172</v>
          </cell>
          <cell r="F211">
            <v>0</v>
          </cell>
        </row>
        <row r="212">
          <cell r="D212">
            <v>74851</v>
          </cell>
          <cell r="F212">
            <v>0</v>
          </cell>
        </row>
        <row r="213">
          <cell r="D213">
            <v>9616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14877</v>
          </cell>
          <cell r="F216">
            <v>0</v>
          </cell>
        </row>
        <row r="221">
          <cell r="D221">
            <v>11555838</v>
          </cell>
        </row>
      </sheetData>
      <sheetData sheetId="8"/>
      <sheetData sheetId="9"/>
      <sheetData sheetId="10">
        <row r="9">
          <cell r="C9">
            <v>3143</v>
          </cell>
          <cell r="D9">
            <v>0</v>
          </cell>
          <cell r="E9">
            <v>3116</v>
          </cell>
          <cell r="F9">
            <v>347</v>
          </cell>
          <cell r="G9">
            <v>11352</v>
          </cell>
          <cell r="H9">
            <v>19106</v>
          </cell>
          <cell r="I9">
            <v>0</v>
          </cell>
          <cell r="J9">
            <v>142</v>
          </cell>
          <cell r="K9">
            <v>1216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0.97468290208016239</v>
          </cell>
        </row>
        <row r="32">
          <cell r="N32">
            <v>7.9731100963977675E-2</v>
          </cell>
        </row>
        <row r="34">
          <cell r="N34">
            <v>8.1802092551142569E-2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4148927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1133402</v>
          </cell>
          <cell r="G21">
            <v>0</v>
          </cell>
        </row>
        <row r="27">
          <cell r="E27">
            <v>592633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139094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299598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3500</v>
          </cell>
          <cell r="G67">
            <v>0</v>
          </cell>
        </row>
        <row r="85">
          <cell r="C85">
            <v>184.984375</v>
          </cell>
          <cell r="E85">
            <v>199.93191489361703</v>
          </cell>
          <cell r="G85">
            <v>214.74458874458875</v>
          </cell>
          <cell r="I85">
            <v>218.90697674418604</v>
          </cell>
        </row>
      </sheetData>
      <sheetData sheetId="7"/>
      <sheetData sheetId="8">
        <row r="10">
          <cell r="D10">
            <v>228150</v>
          </cell>
          <cell r="F10">
            <v>13838</v>
          </cell>
        </row>
        <row r="11">
          <cell r="D11">
            <v>0</v>
          </cell>
          <cell r="F11">
            <v>0</v>
          </cell>
        </row>
        <row r="12">
          <cell r="D12">
            <v>159724</v>
          </cell>
          <cell r="F12">
            <v>9685</v>
          </cell>
        </row>
        <row r="13">
          <cell r="D13">
            <v>554091</v>
          </cell>
          <cell r="F13">
            <v>-500961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336651</v>
          </cell>
          <cell r="F16">
            <v>156593</v>
          </cell>
        </row>
        <row r="17">
          <cell r="D17">
            <v>0</v>
          </cell>
          <cell r="F17">
            <v>0</v>
          </cell>
        </row>
        <row r="18">
          <cell r="D18">
            <v>12241</v>
          </cell>
          <cell r="F18">
            <v>0</v>
          </cell>
        </row>
        <row r="19">
          <cell r="D19">
            <v>18434</v>
          </cell>
          <cell r="F19">
            <v>-931</v>
          </cell>
        </row>
        <row r="20">
          <cell r="D20">
            <v>17426</v>
          </cell>
          <cell r="F20">
            <v>0</v>
          </cell>
        </row>
        <row r="21">
          <cell r="D21">
            <v>13921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744</v>
          </cell>
          <cell r="F23">
            <v>0</v>
          </cell>
        </row>
        <row r="24">
          <cell r="D24">
            <v>45844</v>
          </cell>
          <cell r="F24">
            <v>-9600</v>
          </cell>
        </row>
        <row r="25">
          <cell r="D25">
            <v>0</v>
          </cell>
          <cell r="F25">
            <v>0</v>
          </cell>
        </row>
        <row r="26">
          <cell r="D26">
            <v>367018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104974</v>
          </cell>
          <cell r="F29">
            <v>-104974</v>
          </cell>
        </row>
        <row r="30">
          <cell r="D30">
            <v>0</v>
          </cell>
          <cell r="F30">
            <v>0</v>
          </cell>
        </row>
        <row r="31">
          <cell r="D31">
            <v>46663</v>
          </cell>
          <cell r="F31">
            <v>-29175</v>
          </cell>
        </row>
        <row r="32">
          <cell r="D32">
            <v>85360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10439</v>
          </cell>
          <cell r="F39">
            <v>0</v>
          </cell>
        </row>
        <row r="40">
          <cell r="D40">
            <v>8501</v>
          </cell>
          <cell r="F40">
            <v>0</v>
          </cell>
        </row>
        <row r="41">
          <cell r="D41">
            <v>17016</v>
          </cell>
          <cell r="F41">
            <v>0</v>
          </cell>
        </row>
        <row r="42">
          <cell r="D42">
            <v>4762</v>
          </cell>
          <cell r="F42">
            <v>0</v>
          </cell>
        </row>
        <row r="43">
          <cell r="D43">
            <v>5909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30466</v>
          </cell>
          <cell r="F45">
            <v>-3463</v>
          </cell>
        </row>
        <row r="57">
          <cell r="D57">
            <v>545447</v>
          </cell>
          <cell r="F57">
            <v>0</v>
          </cell>
        </row>
        <row r="58">
          <cell r="D58">
            <v>2951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40613</v>
          </cell>
          <cell r="F60">
            <v>0</v>
          </cell>
        </row>
        <row r="61">
          <cell r="D61">
            <v>6603</v>
          </cell>
          <cell r="F61">
            <v>0</v>
          </cell>
        </row>
        <row r="62">
          <cell r="D62">
            <v>1240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9995</v>
          </cell>
          <cell r="F65">
            <v>0</v>
          </cell>
        </row>
        <row r="66">
          <cell r="D66">
            <v>14247</v>
          </cell>
          <cell r="F66">
            <v>0</v>
          </cell>
        </row>
        <row r="67">
          <cell r="D67">
            <v>61804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8285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37657</v>
          </cell>
          <cell r="F75">
            <v>2284</v>
          </cell>
        </row>
        <row r="76">
          <cell r="D76">
            <v>0</v>
          </cell>
          <cell r="F76">
            <v>5139</v>
          </cell>
        </row>
        <row r="77">
          <cell r="D77">
            <v>11847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4240</v>
          </cell>
          <cell r="F79">
            <v>0</v>
          </cell>
        </row>
        <row r="80">
          <cell r="D80">
            <v>9407</v>
          </cell>
          <cell r="F80">
            <v>0</v>
          </cell>
        </row>
        <row r="81">
          <cell r="D81">
            <v>5717</v>
          </cell>
          <cell r="F81">
            <v>0</v>
          </cell>
        </row>
        <row r="82">
          <cell r="D82">
            <v>2175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112245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163612</v>
          </cell>
          <cell r="F89">
            <v>9924</v>
          </cell>
        </row>
        <row r="90">
          <cell r="D90">
            <v>0</v>
          </cell>
          <cell r="F90">
            <v>22328</v>
          </cell>
        </row>
        <row r="91">
          <cell r="D91">
            <v>18823</v>
          </cell>
          <cell r="F91">
            <v>0</v>
          </cell>
        </row>
        <row r="92">
          <cell r="D92">
            <v>168815</v>
          </cell>
          <cell r="F92">
            <v>0</v>
          </cell>
        </row>
        <row r="93">
          <cell r="D93">
            <v>13263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20507</v>
          </cell>
          <cell r="F98">
            <v>1244</v>
          </cell>
        </row>
        <row r="99">
          <cell r="D99">
            <v>0</v>
          </cell>
          <cell r="F99">
            <v>2798</v>
          </cell>
        </row>
        <row r="100">
          <cell r="D100">
            <v>821</v>
          </cell>
          <cell r="F100">
            <v>0</v>
          </cell>
        </row>
        <row r="101">
          <cell r="D101">
            <v>688</v>
          </cell>
          <cell r="F101">
            <v>0</v>
          </cell>
        </row>
        <row r="102">
          <cell r="D102">
            <v>3127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90207</v>
          </cell>
          <cell r="F115">
            <v>5471</v>
          </cell>
        </row>
        <row r="116">
          <cell r="D116">
            <v>0</v>
          </cell>
          <cell r="F116">
            <v>12310</v>
          </cell>
        </row>
        <row r="117">
          <cell r="D117">
            <v>29513</v>
          </cell>
          <cell r="F117">
            <v>0</v>
          </cell>
        </row>
        <row r="118">
          <cell r="D118">
            <v>210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160498</v>
          </cell>
          <cell r="F125">
            <v>9735</v>
          </cell>
        </row>
        <row r="126">
          <cell r="D126">
            <v>1120</v>
          </cell>
          <cell r="F126">
            <v>68</v>
          </cell>
        </row>
        <row r="127">
          <cell r="D127">
            <v>0</v>
          </cell>
          <cell r="F127">
            <v>0</v>
          </cell>
        </row>
        <row r="128">
          <cell r="D128">
            <v>32154</v>
          </cell>
          <cell r="F128">
            <v>1950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21903</v>
          </cell>
        </row>
        <row r="132">
          <cell r="D132">
            <v>0</v>
          </cell>
          <cell r="F132">
            <v>153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4388</v>
          </cell>
        </row>
        <row r="136">
          <cell r="D136">
            <v>426816</v>
          </cell>
          <cell r="F136">
            <v>25888</v>
          </cell>
        </row>
        <row r="137">
          <cell r="D137">
            <v>260754</v>
          </cell>
          <cell r="F137">
            <v>15816</v>
          </cell>
        </row>
        <row r="138">
          <cell r="D138">
            <v>579407</v>
          </cell>
          <cell r="F138">
            <v>35143</v>
          </cell>
        </row>
        <row r="139">
          <cell r="D139">
            <v>65394</v>
          </cell>
          <cell r="F139">
            <v>3966</v>
          </cell>
        </row>
        <row r="141">
          <cell r="D141">
            <v>0</v>
          </cell>
          <cell r="F141">
            <v>58246</v>
          </cell>
        </row>
        <row r="142">
          <cell r="D142">
            <v>0</v>
          </cell>
          <cell r="F142">
            <v>35584</v>
          </cell>
        </row>
        <row r="143">
          <cell r="D143">
            <v>0</v>
          </cell>
          <cell r="F143">
            <v>79069</v>
          </cell>
        </row>
        <row r="144">
          <cell r="D144">
            <v>0</v>
          </cell>
          <cell r="F144">
            <v>8925</v>
          </cell>
        </row>
        <row r="146">
          <cell r="D146">
            <v>23925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39453</v>
          </cell>
          <cell r="F149">
            <v>0</v>
          </cell>
        </row>
        <row r="150">
          <cell r="D150">
            <v>17972</v>
          </cell>
          <cell r="F150">
            <v>0</v>
          </cell>
        </row>
        <row r="151">
          <cell r="D151">
            <v>75489</v>
          </cell>
          <cell r="F151">
            <v>0</v>
          </cell>
        </row>
        <row r="152">
          <cell r="D152">
            <v>3529</v>
          </cell>
          <cell r="F152">
            <v>0</v>
          </cell>
        </row>
        <row r="153">
          <cell r="D153">
            <v>109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1395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150514</v>
          </cell>
          <cell r="F177">
            <v>9129</v>
          </cell>
        </row>
        <row r="178">
          <cell r="D178">
            <v>0</v>
          </cell>
          <cell r="F178">
            <v>20540</v>
          </cell>
        </row>
        <row r="179">
          <cell r="D179">
            <v>33356</v>
          </cell>
          <cell r="F179">
            <v>2023</v>
          </cell>
        </row>
        <row r="180">
          <cell r="D180">
            <v>0</v>
          </cell>
          <cell r="F180">
            <v>4552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102268</v>
          </cell>
          <cell r="F183">
            <v>6203</v>
          </cell>
        </row>
        <row r="184">
          <cell r="D184">
            <v>0</v>
          </cell>
          <cell r="F184">
            <v>13956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332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36450</v>
          </cell>
          <cell r="F198">
            <v>-5631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146721</v>
          </cell>
          <cell r="F205">
            <v>0</v>
          </cell>
        </row>
        <row r="206">
          <cell r="D206">
            <v>7035</v>
          </cell>
          <cell r="F206">
            <v>0</v>
          </cell>
        </row>
        <row r="207">
          <cell r="D207">
            <v>14851</v>
          </cell>
          <cell r="F207">
            <v>-1875</v>
          </cell>
        </row>
        <row r="211">
          <cell r="D211">
            <v>85324</v>
          </cell>
          <cell r="F211">
            <v>5175</v>
          </cell>
        </row>
        <row r="212">
          <cell r="D212">
            <v>0</v>
          </cell>
          <cell r="F212">
            <v>11644</v>
          </cell>
        </row>
        <row r="213">
          <cell r="D213">
            <v>3082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5123</v>
          </cell>
          <cell r="F216">
            <v>0</v>
          </cell>
        </row>
        <row r="221">
          <cell r="D221">
            <v>5725464</v>
          </cell>
        </row>
      </sheetData>
      <sheetData sheetId="9"/>
      <sheetData sheetId="10"/>
      <sheetData sheetId="11"/>
      <sheetData sheetId="12">
        <row r="9">
          <cell r="C9">
            <v>17287</v>
          </cell>
          <cell r="D9">
            <v>0</v>
          </cell>
          <cell r="E9">
            <v>2280</v>
          </cell>
          <cell r="F9">
            <v>1558</v>
          </cell>
          <cell r="G9">
            <v>0</v>
          </cell>
          <cell r="H9">
            <v>680</v>
          </cell>
          <cell r="I9">
            <v>0</v>
          </cell>
          <cell r="J9">
            <v>1637</v>
          </cell>
          <cell r="K9">
            <v>0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0.59467275494672756</v>
          </cell>
        </row>
        <row r="32">
          <cell r="N32">
            <v>0.43853373921867073</v>
          </cell>
        </row>
        <row r="34">
          <cell r="N34">
            <v>0.73743707874754716</v>
          </cell>
        </row>
      </sheetData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5047428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593980</v>
          </cell>
          <cell r="G21">
            <v>0</v>
          </cell>
        </row>
        <row r="27">
          <cell r="E27">
            <v>1366106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377590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486496</v>
          </cell>
          <cell r="G47">
            <v>0</v>
          </cell>
        </row>
        <row r="52">
          <cell r="E52">
            <v>-737</v>
          </cell>
          <cell r="G52">
            <v>0</v>
          </cell>
        </row>
        <row r="67">
          <cell r="E67">
            <v>2570</v>
          </cell>
          <cell r="G67">
            <v>0</v>
          </cell>
        </row>
        <row r="85">
          <cell r="C85">
            <v>180.72571428571428</v>
          </cell>
          <cell r="E85">
            <v>198.07374631268436</v>
          </cell>
          <cell r="G85">
            <v>185.6544901065449</v>
          </cell>
          <cell r="I85">
            <v>186.82293762575452</v>
          </cell>
        </row>
      </sheetData>
      <sheetData sheetId="7"/>
      <sheetData sheetId="8">
        <row r="10">
          <cell r="D10">
            <v>181803</v>
          </cell>
          <cell r="F10">
            <v>10600</v>
          </cell>
        </row>
        <row r="11">
          <cell r="D11">
            <v>0</v>
          </cell>
          <cell r="F11">
            <v>0</v>
          </cell>
        </row>
        <row r="12">
          <cell r="D12">
            <v>243642</v>
          </cell>
          <cell r="F12">
            <v>14203</v>
          </cell>
        </row>
        <row r="13">
          <cell r="D13">
            <v>710616</v>
          </cell>
          <cell r="F13">
            <v>-649630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391508</v>
          </cell>
          <cell r="F16">
            <v>161483</v>
          </cell>
        </row>
        <row r="17">
          <cell r="D17">
            <v>0</v>
          </cell>
          <cell r="F17">
            <v>0</v>
          </cell>
        </row>
        <row r="18">
          <cell r="D18">
            <v>8852</v>
          </cell>
          <cell r="F18">
            <v>0</v>
          </cell>
        </row>
        <row r="19">
          <cell r="D19">
            <v>21265</v>
          </cell>
          <cell r="F19">
            <v>-1624</v>
          </cell>
        </row>
        <row r="20">
          <cell r="D20">
            <v>37818</v>
          </cell>
          <cell r="F20">
            <v>0</v>
          </cell>
        </row>
        <row r="21">
          <cell r="D21">
            <v>14919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1507</v>
          </cell>
          <cell r="F23">
            <v>0</v>
          </cell>
        </row>
        <row r="24">
          <cell r="D24">
            <v>58282</v>
          </cell>
          <cell r="F24">
            <v>-13200</v>
          </cell>
        </row>
        <row r="25">
          <cell r="D25">
            <v>0</v>
          </cell>
          <cell r="F25">
            <v>0</v>
          </cell>
        </row>
        <row r="26">
          <cell r="D26">
            <v>484441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58522</v>
          </cell>
          <cell r="F29">
            <v>-58522</v>
          </cell>
        </row>
        <row r="30">
          <cell r="D30">
            <v>0</v>
          </cell>
          <cell r="F30">
            <v>0</v>
          </cell>
        </row>
        <row r="31">
          <cell r="D31">
            <v>85330</v>
          </cell>
          <cell r="F31">
            <v>0</v>
          </cell>
        </row>
        <row r="32">
          <cell r="D32">
            <v>105600</v>
          </cell>
          <cell r="F32">
            <v>-12031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100040</v>
          </cell>
          <cell r="F35">
            <v>-100040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8994</v>
          </cell>
          <cell r="F39">
            <v>0</v>
          </cell>
        </row>
        <row r="40">
          <cell r="D40">
            <v>9621</v>
          </cell>
          <cell r="F40">
            <v>0</v>
          </cell>
        </row>
        <row r="41">
          <cell r="D41">
            <v>32558</v>
          </cell>
          <cell r="F41">
            <v>0</v>
          </cell>
        </row>
        <row r="42">
          <cell r="D42">
            <v>17527</v>
          </cell>
          <cell r="F42">
            <v>0</v>
          </cell>
        </row>
        <row r="43">
          <cell r="D43">
            <v>16915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35342</v>
          </cell>
          <cell r="F45">
            <v>-859</v>
          </cell>
        </row>
        <row r="57">
          <cell r="D57">
            <v>709082</v>
          </cell>
          <cell r="F57">
            <v>0</v>
          </cell>
        </row>
        <row r="58">
          <cell r="D58">
            <v>672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67206</v>
          </cell>
          <cell r="F60">
            <v>0</v>
          </cell>
        </row>
        <row r="61">
          <cell r="D61">
            <v>8377</v>
          </cell>
          <cell r="F61">
            <v>0</v>
          </cell>
        </row>
        <row r="62">
          <cell r="D62">
            <v>8484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8728</v>
          </cell>
          <cell r="F65">
            <v>0</v>
          </cell>
        </row>
        <row r="66">
          <cell r="D66">
            <v>6266</v>
          </cell>
          <cell r="F66">
            <v>0</v>
          </cell>
        </row>
        <row r="67">
          <cell r="D67">
            <v>60348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6568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61862</v>
          </cell>
          <cell r="F75">
            <v>3607</v>
          </cell>
        </row>
        <row r="76">
          <cell r="D76">
            <v>0</v>
          </cell>
          <cell r="F76">
            <v>8724</v>
          </cell>
        </row>
        <row r="77">
          <cell r="D77">
            <v>21634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5891</v>
          </cell>
          <cell r="F79">
            <v>0</v>
          </cell>
        </row>
        <row r="80">
          <cell r="D80">
            <v>26812</v>
          </cell>
          <cell r="F80">
            <v>0</v>
          </cell>
        </row>
        <row r="81">
          <cell r="D81">
            <v>15695</v>
          </cell>
          <cell r="F81">
            <v>0</v>
          </cell>
        </row>
        <row r="82">
          <cell r="D82">
            <v>624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122015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197572</v>
          </cell>
          <cell r="F89">
            <v>11520</v>
          </cell>
        </row>
        <row r="90">
          <cell r="D90">
            <v>0</v>
          </cell>
          <cell r="F90">
            <v>27863</v>
          </cell>
        </row>
        <row r="91">
          <cell r="D91">
            <v>8730</v>
          </cell>
          <cell r="F91">
            <v>0</v>
          </cell>
        </row>
        <row r="92">
          <cell r="D92">
            <v>188520</v>
          </cell>
          <cell r="F92">
            <v>0</v>
          </cell>
        </row>
        <row r="93">
          <cell r="D93">
            <v>28219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26677</v>
          </cell>
          <cell r="F98">
            <v>1555</v>
          </cell>
        </row>
        <row r="99">
          <cell r="D99">
            <v>0</v>
          </cell>
          <cell r="F99">
            <v>3762</v>
          </cell>
        </row>
        <row r="100">
          <cell r="D100">
            <v>4739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2840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119282</v>
          </cell>
          <cell r="F115">
            <v>6955</v>
          </cell>
        </row>
        <row r="116">
          <cell r="D116">
            <v>0</v>
          </cell>
          <cell r="F116">
            <v>16821</v>
          </cell>
        </row>
        <row r="117">
          <cell r="D117">
            <v>17626</v>
          </cell>
          <cell r="F117">
            <v>0</v>
          </cell>
        </row>
        <row r="118">
          <cell r="D118">
            <v>2441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144060</v>
          </cell>
          <cell r="F125">
            <v>8400</v>
          </cell>
        </row>
        <row r="126">
          <cell r="D126">
            <v>59715</v>
          </cell>
          <cell r="F126">
            <v>3482</v>
          </cell>
        </row>
        <row r="127">
          <cell r="D127">
            <v>0</v>
          </cell>
          <cell r="F127">
            <v>0</v>
          </cell>
        </row>
        <row r="128">
          <cell r="D128">
            <v>91214</v>
          </cell>
          <cell r="F128">
            <v>5318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20316</v>
          </cell>
        </row>
        <row r="132">
          <cell r="D132">
            <v>0</v>
          </cell>
          <cell r="F132">
            <v>8421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12864</v>
          </cell>
        </row>
        <row r="136">
          <cell r="D136">
            <v>634876</v>
          </cell>
          <cell r="F136">
            <v>37017</v>
          </cell>
        </row>
        <row r="137">
          <cell r="D137">
            <v>275944</v>
          </cell>
          <cell r="F137">
            <v>16089</v>
          </cell>
        </row>
        <row r="138">
          <cell r="D138">
            <v>523809</v>
          </cell>
          <cell r="F138">
            <v>30541</v>
          </cell>
        </row>
        <row r="139">
          <cell r="D139">
            <v>189786</v>
          </cell>
          <cell r="F139">
            <v>11066</v>
          </cell>
        </row>
        <row r="141">
          <cell r="D141">
            <v>0</v>
          </cell>
          <cell r="F141">
            <v>89534</v>
          </cell>
        </row>
        <row r="142">
          <cell r="D142">
            <v>0</v>
          </cell>
          <cell r="F142">
            <v>38915</v>
          </cell>
        </row>
        <row r="143">
          <cell r="D143">
            <v>0</v>
          </cell>
          <cell r="F143">
            <v>73870</v>
          </cell>
        </row>
        <row r="144">
          <cell r="D144">
            <v>0</v>
          </cell>
          <cell r="F144">
            <v>26765</v>
          </cell>
        </row>
        <row r="146">
          <cell r="D146">
            <v>35888</v>
          </cell>
          <cell r="F146">
            <v>0</v>
          </cell>
        </row>
        <row r="147">
          <cell r="D147">
            <v>36769</v>
          </cell>
          <cell r="F147">
            <v>0</v>
          </cell>
        </row>
        <row r="148">
          <cell r="D148">
            <v>2056</v>
          </cell>
          <cell r="F148">
            <v>0</v>
          </cell>
        </row>
        <row r="149">
          <cell r="D149">
            <v>135824</v>
          </cell>
          <cell r="F149">
            <v>0</v>
          </cell>
        </row>
        <row r="150">
          <cell r="D150">
            <v>13124</v>
          </cell>
          <cell r="F150">
            <v>0</v>
          </cell>
        </row>
        <row r="151">
          <cell r="D151">
            <v>133417</v>
          </cell>
          <cell r="F151">
            <v>0</v>
          </cell>
        </row>
        <row r="152">
          <cell r="D152">
            <v>2407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5515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239157</v>
          </cell>
          <cell r="F177">
            <v>13944</v>
          </cell>
        </row>
        <row r="178">
          <cell r="D178">
            <v>0</v>
          </cell>
          <cell r="F178">
            <v>33727</v>
          </cell>
        </row>
        <row r="179">
          <cell r="D179">
            <v>24771</v>
          </cell>
          <cell r="F179">
            <v>1444</v>
          </cell>
        </row>
        <row r="180">
          <cell r="D180">
            <v>0</v>
          </cell>
          <cell r="F180">
            <v>3494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98672</v>
          </cell>
          <cell r="F183">
            <v>5753</v>
          </cell>
        </row>
        <row r="184">
          <cell r="D184">
            <v>0</v>
          </cell>
          <cell r="F184">
            <v>13915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828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124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1516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29964</v>
          </cell>
          <cell r="F198">
            <v>-828</v>
          </cell>
        </row>
        <row r="199">
          <cell r="D199">
            <v>1944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184275</v>
          </cell>
          <cell r="F205">
            <v>0</v>
          </cell>
        </row>
        <row r="206">
          <cell r="D206">
            <v>959</v>
          </cell>
          <cell r="F206">
            <v>0</v>
          </cell>
        </row>
        <row r="207">
          <cell r="D207">
            <v>43773</v>
          </cell>
          <cell r="F207">
            <v>-350</v>
          </cell>
        </row>
        <row r="211">
          <cell r="D211">
            <v>132147</v>
          </cell>
          <cell r="F211">
            <v>7705</v>
          </cell>
        </row>
        <row r="212">
          <cell r="D212">
            <v>0</v>
          </cell>
          <cell r="F212">
            <v>18636</v>
          </cell>
        </row>
        <row r="213">
          <cell r="D213">
            <v>3278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8794</v>
          </cell>
          <cell r="F216">
            <v>0</v>
          </cell>
        </row>
        <row r="221">
          <cell r="D221">
            <v>7406618</v>
          </cell>
        </row>
      </sheetData>
      <sheetData sheetId="9"/>
      <sheetData sheetId="10"/>
      <sheetData sheetId="11"/>
      <sheetData sheetId="12">
        <row r="9">
          <cell r="C9">
            <v>21232</v>
          </cell>
          <cell r="D9">
            <v>0</v>
          </cell>
          <cell r="E9">
            <v>1138</v>
          </cell>
          <cell r="F9">
            <v>3039</v>
          </cell>
          <cell r="G9">
            <v>0</v>
          </cell>
          <cell r="H9">
            <v>2018</v>
          </cell>
          <cell r="I9">
            <v>0</v>
          </cell>
          <cell r="J9">
            <v>2610</v>
          </cell>
          <cell r="K9">
            <v>0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0.68577625570776257</v>
          </cell>
        </row>
        <row r="32">
          <cell r="N32">
            <v>0.48474885844748861</v>
          </cell>
        </row>
        <row r="34">
          <cell r="N34">
            <v>0.70686153743716085</v>
          </cell>
        </row>
      </sheetData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2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62399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6177408</v>
          </cell>
          <cell r="G21">
            <v>0</v>
          </cell>
        </row>
        <row r="27">
          <cell r="E27">
            <v>2116818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46660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177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594</v>
          </cell>
          <cell r="G67">
            <v>0</v>
          </cell>
        </row>
        <row r="85">
          <cell r="C85">
            <v>195</v>
          </cell>
          <cell r="E85">
            <v>377.14285714285717</v>
          </cell>
          <cell r="G85">
            <v>518.89473684210532</v>
          </cell>
          <cell r="I85">
            <v>59.086956521739133</v>
          </cell>
        </row>
      </sheetData>
      <sheetData sheetId="7" refreshError="1"/>
      <sheetData sheetId="8">
        <row r="10">
          <cell r="D10">
            <v>250751</v>
          </cell>
          <cell r="F10">
            <v>14959</v>
          </cell>
        </row>
        <row r="11">
          <cell r="D11">
            <v>0</v>
          </cell>
          <cell r="F11">
            <v>0</v>
          </cell>
        </row>
        <row r="12">
          <cell r="D12">
            <v>331406</v>
          </cell>
          <cell r="F12">
            <v>19768</v>
          </cell>
        </row>
        <row r="13">
          <cell r="D13">
            <v>921013</v>
          </cell>
          <cell r="F13">
            <v>-820925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420007</v>
          </cell>
          <cell r="F16">
            <v>178716</v>
          </cell>
        </row>
        <row r="17">
          <cell r="D17">
            <v>0</v>
          </cell>
        </row>
        <row r="18">
          <cell r="D18">
            <v>15744</v>
          </cell>
          <cell r="F18">
            <v>-633</v>
          </cell>
        </row>
        <row r="19">
          <cell r="D19">
            <v>10244</v>
          </cell>
        </row>
        <row r="20">
          <cell r="D20">
            <v>30809</v>
          </cell>
        </row>
        <row r="21">
          <cell r="D21">
            <v>334</v>
          </cell>
        </row>
        <row r="22">
          <cell r="D22">
            <v>0</v>
          </cell>
        </row>
        <row r="23">
          <cell r="D23">
            <v>13660</v>
          </cell>
        </row>
        <row r="24">
          <cell r="D24">
            <v>45660</v>
          </cell>
          <cell r="F24">
            <v>-7200</v>
          </cell>
        </row>
        <row r="25">
          <cell r="D25">
            <v>0</v>
          </cell>
        </row>
        <row r="26">
          <cell r="D26">
            <v>9333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181930</v>
          </cell>
          <cell r="F29">
            <v>-181930</v>
          </cell>
        </row>
        <row r="30">
          <cell r="D30">
            <v>0</v>
          </cell>
          <cell r="F30">
            <v>0</v>
          </cell>
        </row>
        <row r="31">
          <cell r="D31">
            <v>82572</v>
          </cell>
        </row>
        <row r="32">
          <cell r="D32">
            <v>57600</v>
          </cell>
          <cell r="F32">
            <v>-25840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150</v>
          </cell>
          <cell r="F38">
            <v>-150</v>
          </cell>
        </row>
        <row r="39">
          <cell r="D39">
            <v>2324</v>
          </cell>
        </row>
        <row r="40">
          <cell r="D40">
            <v>25715</v>
          </cell>
        </row>
        <row r="41">
          <cell r="D41">
            <v>14603</v>
          </cell>
        </row>
        <row r="42">
          <cell r="D42">
            <v>4550</v>
          </cell>
        </row>
        <row r="43">
          <cell r="D43">
            <v>9500</v>
          </cell>
        </row>
        <row r="44">
          <cell r="D44">
            <v>0</v>
          </cell>
        </row>
        <row r="45">
          <cell r="D45">
            <v>3966</v>
          </cell>
        </row>
        <row r="57">
          <cell r="D57">
            <v>724928</v>
          </cell>
        </row>
        <row r="58">
          <cell r="D58">
            <v>5806</v>
          </cell>
        </row>
        <row r="59">
          <cell r="D59">
            <v>0</v>
          </cell>
        </row>
        <row r="60">
          <cell r="D60">
            <v>48907</v>
          </cell>
        </row>
        <row r="61">
          <cell r="D61">
            <v>6039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3953</v>
          </cell>
        </row>
        <row r="66">
          <cell r="D66">
            <v>1131</v>
          </cell>
        </row>
        <row r="67">
          <cell r="D67">
            <v>62945</v>
          </cell>
        </row>
        <row r="68">
          <cell r="D68">
            <v>0</v>
          </cell>
        </row>
        <row r="69">
          <cell r="D69">
            <v>3119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42981</v>
          </cell>
          <cell r="F75">
            <v>2564</v>
          </cell>
        </row>
        <row r="76">
          <cell r="D76">
            <v>0</v>
          </cell>
          <cell r="F76">
            <v>7261</v>
          </cell>
        </row>
        <row r="77">
          <cell r="D77">
            <v>13974</v>
          </cell>
        </row>
        <row r="78">
          <cell r="D78">
            <v>0</v>
          </cell>
        </row>
        <row r="79">
          <cell r="D79">
            <v>1122</v>
          </cell>
        </row>
        <row r="80">
          <cell r="D80">
            <v>22520</v>
          </cell>
        </row>
        <row r="81">
          <cell r="D81">
            <v>13369</v>
          </cell>
        </row>
        <row r="82">
          <cell r="D82">
            <v>262</v>
          </cell>
        </row>
        <row r="83">
          <cell r="D83">
            <v>0</v>
          </cell>
        </row>
        <row r="84">
          <cell r="D84">
            <v>96597</v>
          </cell>
        </row>
        <row r="85">
          <cell r="D85">
            <v>0</v>
          </cell>
        </row>
        <row r="89">
          <cell r="D89">
            <v>166774</v>
          </cell>
          <cell r="F89">
            <v>9950</v>
          </cell>
        </row>
        <row r="90">
          <cell r="D90">
            <v>0</v>
          </cell>
          <cell r="F90">
            <v>28172</v>
          </cell>
        </row>
        <row r="91">
          <cell r="D91">
            <v>2928</v>
          </cell>
        </row>
        <row r="92">
          <cell r="D92">
            <v>134787</v>
          </cell>
        </row>
        <row r="93">
          <cell r="D93">
            <v>10905</v>
          </cell>
        </row>
        <row r="94">
          <cell r="D94">
            <v>0</v>
          </cell>
        </row>
        <row r="98">
          <cell r="D98">
            <v>19783</v>
          </cell>
          <cell r="F98">
            <v>1180</v>
          </cell>
        </row>
        <row r="99">
          <cell r="D99">
            <v>0</v>
          </cell>
          <cell r="F99">
            <v>3342</v>
          </cell>
        </row>
        <row r="100">
          <cell r="D100">
            <v>7808</v>
          </cell>
        </row>
        <row r="101">
          <cell r="D101">
            <v>0</v>
          </cell>
        </row>
        <row r="102">
          <cell r="D102">
            <v>11196</v>
          </cell>
        </row>
        <row r="103">
          <cell r="D103">
            <v>146</v>
          </cell>
        </row>
        <row r="115">
          <cell r="D115">
            <v>73763</v>
          </cell>
          <cell r="F115">
            <v>4401</v>
          </cell>
        </row>
        <row r="116">
          <cell r="D116">
            <v>0</v>
          </cell>
          <cell r="F116">
            <v>12461</v>
          </cell>
        </row>
        <row r="117">
          <cell r="D117">
            <v>30845</v>
          </cell>
        </row>
        <row r="118">
          <cell r="D118">
            <v>1481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89542</v>
          </cell>
          <cell r="F125">
            <v>5342</v>
          </cell>
        </row>
        <row r="126">
          <cell r="D126">
            <v>135673</v>
          </cell>
          <cell r="F126">
            <v>8094</v>
          </cell>
        </row>
        <row r="127">
          <cell r="D127">
            <v>0</v>
          </cell>
          <cell r="F127">
            <v>0</v>
          </cell>
        </row>
        <row r="128">
          <cell r="D128">
            <v>62647</v>
          </cell>
          <cell r="F128">
            <v>3737</v>
          </cell>
        </row>
        <row r="130">
          <cell r="F130">
            <v>0</v>
          </cell>
        </row>
        <row r="131">
          <cell r="F131">
            <v>15126</v>
          </cell>
        </row>
        <row r="132">
          <cell r="F132">
            <v>22918</v>
          </cell>
        </row>
        <row r="133">
          <cell r="F133">
            <v>0</v>
          </cell>
        </row>
        <row r="134">
          <cell r="F134">
            <v>10583</v>
          </cell>
        </row>
        <row r="136">
          <cell r="D136">
            <v>629282</v>
          </cell>
          <cell r="F136">
            <v>37542</v>
          </cell>
        </row>
        <row r="137">
          <cell r="D137">
            <v>165172</v>
          </cell>
          <cell r="F137">
            <v>9854</v>
          </cell>
        </row>
        <row r="138">
          <cell r="D138">
            <v>522543</v>
          </cell>
          <cell r="F138">
            <v>31174</v>
          </cell>
        </row>
        <row r="139">
          <cell r="D139">
            <v>141058</v>
          </cell>
          <cell r="F139">
            <v>8415</v>
          </cell>
        </row>
        <row r="141">
          <cell r="F141">
            <v>106302</v>
          </cell>
        </row>
        <row r="142">
          <cell r="F142">
            <v>27902</v>
          </cell>
        </row>
        <row r="143">
          <cell r="F143">
            <v>88272</v>
          </cell>
        </row>
        <row r="144">
          <cell r="F144">
            <v>23828</v>
          </cell>
        </row>
        <row r="146">
          <cell r="D146">
            <v>30000</v>
          </cell>
        </row>
        <row r="150">
          <cell r="D150">
            <v>1260</v>
          </cell>
        </row>
        <row r="151">
          <cell r="D151">
            <v>71163</v>
          </cell>
        </row>
        <row r="152">
          <cell r="D152">
            <v>3617</v>
          </cell>
        </row>
        <row r="161">
          <cell r="D161">
            <v>7040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762838</v>
          </cell>
          <cell r="F177">
            <v>45510</v>
          </cell>
        </row>
        <row r="178">
          <cell r="D178">
            <v>0</v>
          </cell>
          <cell r="F178">
            <v>128865</v>
          </cell>
        </row>
        <row r="179">
          <cell r="D179">
            <v>61384</v>
          </cell>
          <cell r="F179">
            <v>3662</v>
          </cell>
        </row>
        <row r="180">
          <cell r="D180">
            <v>0</v>
          </cell>
          <cell r="F180">
            <v>10370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474637</v>
          </cell>
          <cell r="F183">
            <v>28316</v>
          </cell>
        </row>
        <row r="184">
          <cell r="D184">
            <v>0</v>
          </cell>
          <cell r="F184">
            <v>80179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7268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729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55116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692360</v>
          </cell>
        </row>
        <row r="206">
          <cell r="D206">
            <v>8397</v>
          </cell>
        </row>
        <row r="207">
          <cell r="D207">
            <v>38426</v>
          </cell>
          <cell r="F207">
            <v>-1631</v>
          </cell>
        </row>
        <row r="211">
          <cell r="D211">
            <v>28832</v>
          </cell>
          <cell r="F211">
            <v>1720</v>
          </cell>
        </row>
        <row r="212">
          <cell r="F212">
            <v>4871</v>
          </cell>
        </row>
        <row r="213">
          <cell r="D213">
            <v>4260</v>
          </cell>
        </row>
        <row r="216">
          <cell r="D216">
            <v>9927</v>
          </cell>
        </row>
        <row r="221">
          <cell r="D221">
            <v>7943111</v>
          </cell>
        </row>
      </sheetData>
      <sheetData sheetId="9" refreshError="1"/>
      <sheetData sheetId="10" refreshError="1"/>
      <sheetData sheetId="11" refreshError="1"/>
      <sheetData sheetId="12">
        <row r="9">
          <cell r="C9">
            <v>385</v>
          </cell>
          <cell r="E9">
            <v>12263</v>
          </cell>
          <cell r="F9">
            <v>4710</v>
          </cell>
          <cell r="H9">
            <v>116</v>
          </cell>
          <cell r="J9">
            <v>1</v>
          </cell>
        </row>
        <row r="22">
          <cell r="N22">
            <v>60</v>
          </cell>
        </row>
        <row r="24">
          <cell r="N24">
            <v>5</v>
          </cell>
        </row>
        <row r="28">
          <cell r="N28">
            <v>21900</v>
          </cell>
        </row>
        <row r="30">
          <cell r="N30">
            <v>0.79794520547945202</v>
          </cell>
        </row>
        <row r="32">
          <cell r="N32">
            <v>1.7579908675799085E-2</v>
          </cell>
        </row>
        <row r="34">
          <cell r="N34">
            <v>2.2031473533619454E-2</v>
          </cell>
        </row>
      </sheetData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2993746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663842</v>
          </cell>
          <cell r="G21">
            <v>0</v>
          </cell>
        </row>
        <row r="27">
          <cell r="E27">
            <v>827784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307836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447437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196</v>
          </cell>
          <cell r="G67">
            <v>0</v>
          </cell>
        </row>
        <row r="85">
          <cell r="C85">
            <v>204.31236897274633</v>
          </cell>
          <cell r="E85">
            <v>232.60704697986574</v>
          </cell>
          <cell r="G85">
            <v>255.37147540983605</v>
          </cell>
          <cell r="I85">
            <v>218.75541666666666</v>
          </cell>
        </row>
      </sheetData>
      <sheetData sheetId="7"/>
      <sheetData sheetId="8">
        <row r="10">
          <cell r="D10">
            <v>171310</v>
          </cell>
          <cell r="F10">
            <v>11061</v>
          </cell>
        </row>
        <row r="11">
          <cell r="D11">
            <v>0</v>
          </cell>
          <cell r="F11">
            <v>0</v>
          </cell>
        </row>
        <row r="12">
          <cell r="D12">
            <v>172898</v>
          </cell>
          <cell r="F12">
            <v>11161</v>
          </cell>
        </row>
        <row r="13">
          <cell r="D13">
            <v>488411</v>
          </cell>
          <cell r="F13">
            <v>-442564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261396</v>
          </cell>
          <cell r="F16">
            <v>125492</v>
          </cell>
        </row>
        <row r="17">
          <cell r="D17">
            <v>0</v>
          </cell>
          <cell r="F17">
            <v>0</v>
          </cell>
        </row>
        <row r="18">
          <cell r="D18">
            <v>10377</v>
          </cell>
          <cell r="F18">
            <v>0</v>
          </cell>
        </row>
        <row r="19">
          <cell r="D19">
            <v>16652</v>
          </cell>
          <cell r="F19">
            <v>-707</v>
          </cell>
        </row>
        <row r="20">
          <cell r="D20">
            <v>14378</v>
          </cell>
          <cell r="F20">
            <v>0</v>
          </cell>
        </row>
        <row r="21">
          <cell r="D21">
            <v>14984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1819</v>
          </cell>
          <cell r="F23">
            <v>0</v>
          </cell>
        </row>
        <row r="24">
          <cell r="D24">
            <v>44417</v>
          </cell>
          <cell r="F24">
            <v>-10200</v>
          </cell>
        </row>
        <row r="25">
          <cell r="D25">
            <v>0</v>
          </cell>
          <cell r="F25">
            <v>0</v>
          </cell>
        </row>
        <row r="26">
          <cell r="D26">
            <v>301252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71310</v>
          </cell>
          <cell r="F29">
            <v>-71310</v>
          </cell>
        </row>
        <row r="30">
          <cell r="D30">
            <v>0</v>
          </cell>
          <cell r="F30">
            <v>0</v>
          </cell>
        </row>
        <row r="31">
          <cell r="D31">
            <v>57506</v>
          </cell>
          <cell r="F31">
            <v>0</v>
          </cell>
        </row>
        <row r="32">
          <cell r="D32">
            <v>81600</v>
          </cell>
          <cell r="F32">
            <v>-27890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12066</v>
          </cell>
          <cell r="F39">
            <v>0</v>
          </cell>
        </row>
        <row r="40">
          <cell r="D40">
            <v>4481</v>
          </cell>
          <cell r="F40">
            <v>0</v>
          </cell>
        </row>
        <row r="41">
          <cell r="D41">
            <v>25747</v>
          </cell>
          <cell r="F41">
            <v>0</v>
          </cell>
        </row>
        <row r="42">
          <cell r="D42">
            <v>3949</v>
          </cell>
          <cell r="F42">
            <v>0</v>
          </cell>
        </row>
        <row r="43">
          <cell r="D43">
            <v>10530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27480</v>
          </cell>
          <cell r="F45">
            <v>-170</v>
          </cell>
        </row>
        <row r="57">
          <cell r="D57">
            <v>424235</v>
          </cell>
          <cell r="F57">
            <v>0</v>
          </cell>
        </row>
        <row r="58">
          <cell r="D58">
            <v>163171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28108</v>
          </cell>
          <cell r="F60">
            <v>0</v>
          </cell>
        </row>
        <row r="61">
          <cell r="D61">
            <v>8869</v>
          </cell>
          <cell r="F61">
            <v>0</v>
          </cell>
        </row>
        <row r="62">
          <cell r="D62">
            <v>10353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6514</v>
          </cell>
          <cell r="F65">
            <v>0</v>
          </cell>
        </row>
        <row r="66">
          <cell r="D66">
            <v>498</v>
          </cell>
          <cell r="F66">
            <v>0</v>
          </cell>
        </row>
        <row r="67">
          <cell r="D67">
            <v>82534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5698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42610</v>
          </cell>
          <cell r="F75">
            <v>2751</v>
          </cell>
        </row>
        <row r="76">
          <cell r="D76">
            <v>0</v>
          </cell>
          <cell r="F76">
            <v>5583</v>
          </cell>
        </row>
        <row r="77">
          <cell r="D77">
            <v>12990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5987</v>
          </cell>
          <cell r="F79">
            <v>0</v>
          </cell>
        </row>
        <row r="80">
          <cell r="D80">
            <v>22792</v>
          </cell>
          <cell r="F80">
            <v>0</v>
          </cell>
        </row>
        <row r="81">
          <cell r="D81">
            <v>13183</v>
          </cell>
          <cell r="F81">
            <v>0</v>
          </cell>
        </row>
        <row r="82">
          <cell r="D82">
            <v>3676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73963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145559</v>
          </cell>
          <cell r="F89">
            <v>9398</v>
          </cell>
        </row>
        <row r="90">
          <cell r="D90">
            <v>0</v>
          </cell>
          <cell r="F90">
            <v>19073</v>
          </cell>
        </row>
        <row r="91">
          <cell r="D91">
            <v>15651</v>
          </cell>
          <cell r="F91">
            <v>0</v>
          </cell>
        </row>
        <row r="92">
          <cell r="D92">
            <v>135798</v>
          </cell>
          <cell r="F92">
            <v>0</v>
          </cell>
        </row>
        <row r="93">
          <cell r="D93">
            <v>17328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28789</v>
          </cell>
          <cell r="F98">
            <v>1859</v>
          </cell>
        </row>
        <row r="99">
          <cell r="D99">
            <v>0</v>
          </cell>
          <cell r="F99">
            <v>3773</v>
          </cell>
        </row>
        <row r="100">
          <cell r="D100">
            <v>5248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2339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79788</v>
          </cell>
          <cell r="F115">
            <v>5152</v>
          </cell>
        </row>
        <row r="116">
          <cell r="D116">
            <v>0</v>
          </cell>
          <cell r="F116">
            <v>10455</v>
          </cell>
        </row>
        <row r="117">
          <cell r="D117">
            <v>19775</v>
          </cell>
          <cell r="F117">
            <v>0</v>
          </cell>
        </row>
        <row r="118">
          <cell r="D118">
            <v>305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84388</v>
          </cell>
          <cell r="F125">
            <v>5449</v>
          </cell>
        </row>
        <row r="126">
          <cell r="D126">
            <v>49114</v>
          </cell>
          <cell r="F126">
            <v>3171</v>
          </cell>
        </row>
        <row r="127">
          <cell r="D127">
            <v>0</v>
          </cell>
          <cell r="F127">
            <v>0</v>
          </cell>
        </row>
        <row r="128">
          <cell r="D128">
            <v>17989</v>
          </cell>
          <cell r="F128">
            <v>1162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11058</v>
          </cell>
        </row>
        <row r="132">
          <cell r="D132">
            <v>0</v>
          </cell>
          <cell r="F132">
            <v>6436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2357</v>
          </cell>
        </row>
        <row r="136">
          <cell r="D136">
            <v>453433</v>
          </cell>
          <cell r="F136">
            <v>29277</v>
          </cell>
        </row>
        <row r="137">
          <cell r="D137">
            <v>134946</v>
          </cell>
          <cell r="F137">
            <v>8713</v>
          </cell>
        </row>
        <row r="138">
          <cell r="D138">
            <v>394860</v>
          </cell>
          <cell r="F138">
            <v>25495</v>
          </cell>
        </row>
        <row r="139">
          <cell r="D139">
            <v>137988</v>
          </cell>
          <cell r="F139">
            <v>8910</v>
          </cell>
        </row>
        <row r="141">
          <cell r="D141">
            <v>0</v>
          </cell>
          <cell r="F141">
            <v>59415</v>
          </cell>
        </row>
        <row r="142">
          <cell r="D142">
            <v>0</v>
          </cell>
          <cell r="F142">
            <v>17683</v>
          </cell>
        </row>
        <row r="143">
          <cell r="D143">
            <v>0</v>
          </cell>
          <cell r="F143">
            <v>51740</v>
          </cell>
        </row>
        <row r="144">
          <cell r="D144">
            <v>0</v>
          </cell>
          <cell r="F144">
            <v>18081</v>
          </cell>
        </row>
        <row r="146">
          <cell r="D146">
            <v>25575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207894</v>
          </cell>
          <cell r="F149">
            <v>0</v>
          </cell>
        </row>
        <row r="150">
          <cell r="D150">
            <v>11617</v>
          </cell>
          <cell r="F150">
            <v>0</v>
          </cell>
        </row>
        <row r="151">
          <cell r="D151">
            <v>73302</v>
          </cell>
          <cell r="F151">
            <v>0</v>
          </cell>
        </row>
        <row r="152">
          <cell r="D152">
            <v>1053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11287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121720</v>
          </cell>
          <cell r="F177">
            <v>7859</v>
          </cell>
        </row>
        <row r="178">
          <cell r="D178">
            <v>0</v>
          </cell>
          <cell r="F178">
            <v>15950</v>
          </cell>
        </row>
        <row r="179">
          <cell r="D179">
            <v>47654</v>
          </cell>
          <cell r="F179">
            <v>3077</v>
          </cell>
        </row>
        <row r="180">
          <cell r="D180">
            <v>0</v>
          </cell>
          <cell r="F180">
            <v>6244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124967</v>
          </cell>
          <cell r="F183">
            <v>8069</v>
          </cell>
        </row>
        <row r="184">
          <cell r="D184">
            <v>0</v>
          </cell>
          <cell r="F184">
            <v>16375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679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234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1929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23723</v>
          </cell>
          <cell r="F198">
            <v>-3369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101855</v>
          </cell>
          <cell r="F205">
            <v>-8</v>
          </cell>
        </row>
        <row r="206">
          <cell r="D206">
            <v>1204</v>
          </cell>
          <cell r="F206">
            <v>0</v>
          </cell>
        </row>
        <row r="207">
          <cell r="D207">
            <v>16854</v>
          </cell>
          <cell r="F207">
            <v>-833</v>
          </cell>
        </row>
        <row r="211">
          <cell r="D211">
            <v>82895</v>
          </cell>
          <cell r="F211">
            <v>5352</v>
          </cell>
        </row>
        <row r="212">
          <cell r="D212">
            <v>0</v>
          </cell>
          <cell r="F212">
            <v>10862</v>
          </cell>
        </row>
        <row r="213">
          <cell r="D213">
            <v>4451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6901</v>
          </cell>
          <cell r="F216">
            <v>0</v>
          </cell>
        </row>
        <row r="221">
          <cell r="D221">
            <v>5286836</v>
          </cell>
        </row>
      </sheetData>
      <sheetData sheetId="9"/>
      <sheetData sheetId="10"/>
      <sheetData sheetId="11"/>
      <sheetData sheetId="12">
        <row r="9">
          <cell r="C9">
            <v>12247</v>
          </cell>
          <cell r="D9">
            <v>0</v>
          </cell>
          <cell r="E9">
            <v>1181</v>
          </cell>
          <cell r="F9">
            <v>1900</v>
          </cell>
          <cell r="G9">
            <v>0</v>
          </cell>
          <cell r="H9">
            <v>1379</v>
          </cell>
          <cell r="I9">
            <v>0</v>
          </cell>
          <cell r="J9">
            <v>2471</v>
          </cell>
          <cell r="K9">
            <v>0</v>
          </cell>
        </row>
        <row r="22">
          <cell r="N22">
            <v>93</v>
          </cell>
        </row>
        <row r="24">
          <cell r="N24">
            <v>93</v>
          </cell>
        </row>
        <row r="28">
          <cell r="N28">
            <v>33945</v>
          </cell>
        </row>
        <row r="30">
          <cell r="N30">
            <v>0.56497275003682423</v>
          </cell>
        </row>
        <row r="32">
          <cell r="N32">
            <v>0.36078951244660479</v>
          </cell>
        </row>
        <row r="34">
          <cell r="N34">
            <v>0.63859630826989255</v>
          </cell>
        </row>
      </sheetData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1342660.81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653094.63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223153.19</v>
          </cell>
          <cell r="G37">
            <v>0</v>
          </cell>
        </row>
        <row r="42">
          <cell r="E42">
            <v>61266.6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160157.94</v>
          </cell>
          <cell r="G67">
            <v>0</v>
          </cell>
        </row>
        <row r="85">
          <cell r="C85">
            <v>153.82865889212826</v>
          </cell>
          <cell r="E85">
            <v>134.07411627906976</v>
          </cell>
          <cell r="G85">
            <v>123.55691011235956</v>
          </cell>
          <cell r="I85">
            <v>175.38732142857143</v>
          </cell>
        </row>
      </sheetData>
      <sheetData sheetId="6"/>
      <sheetData sheetId="7"/>
      <sheetData sheetId="8">
        <row r="10">
          <cell r="D10">
            <v>66063.960000000006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35543.75</v>
          </cell>
          <cell r="F12">
            <v>0</v>
          </cell>
        </row>
        <row r="13">
          <cell r="D13">
            <v>245887.17</v>
          </cell>
          <cell r="F13">
            <v>-217571.65870034092</v>
          </cell>
        </row>
        <row r="14">
          <cell r="D14">
            <v>4000</v>
          </cell>
          <cell r="F14">
            <v>0</v>
          </cell>
        </row>
        <row r="15">
          <cell r="D15">
            <v>38400</v>
          </cell>
          <cell r="F15">
            <v>-38400</v>
          </cell>
        </row>
        <row r="16">
          <cell r="D16">
            <v>0</v>
          </cell>
          <cell r="F16">
            <v>94348</v>
          </cell>
        </row>
        <row r="17">
          <cell r="D17">
            <v>2054.46</v>
          </cell>
          <cell r="F17">
            <v>-2054</v>
          </cell>
        </row>
        <row r="18">
          <cell r="D18">
            <v>14950.45</v>
          </cell>
          <cell r="F18">
            <v>0</v>
          </cell>
        </row>
        <row r="19">
          <cell r="D19">
            <v>12283.03</v>
          </cell>
          <cell r="F19">
            <v>0</v>
          </cell>
        </row>
        <row r="20">
          <cell r="D20">
            <v>6765.63</v>
          </cell>
          <cell r="F20">
            <v>0</v>
          </cell>
        </row>
        <row r="21">
          <cell r="D21">
            <v>11113.9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6512.51</v>
          </cell>
          <cell r="F23">
            <v>0</v>
          </cell>
        </row>
        <row r="24">
          <cell r="D24">
            <v>27807.39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141524.48000000001</v>
          </cell>
          <cell r="F26">
            <v>0</v>
          </cell>
        </row>
        <row r="27">
          <cell r="D27">
            <v>1.62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68870.179999999993</v>
          </cell>
          <cell r="F29">
            <v>-68870.179999999993</v>
          </cell>
        </row>
        <row r="30">
          <cell r="D30">
            <v>0</v>
          </cell>
          <cell r="F30">
            <v>0</v>
          </cell>
        </row>
        <row r="31">
          <cell r="D31">
            <v>52930.239999999998</v>
          </cell>
          <cell r="F31">
            <v>0</v>
          </cell>
        </row>
        <row r="32">
          <cell r="D32">
            <v>34369.54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1801.47</v>
          </cell>
          <cell r="F39">
            <v>0</v>
          </cell>
        </row>
        <row r="40">
          <cell r="D40">
            <v>5099.46</v>
          </cell>
          <cell r="F40">
            <v>-5099.46</v>
          </cell>
        </row>
        <row r="41">
          <cell r="D41">
            <v>0</v>
          </cell>
          <cell r="F41">
            <v>0</v>
          </cell>
        </row>
        <row r="42">
          <cell r="D42">
            <v>1530.11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85.74</v>
          </cell>
          <cell r="F45">
            <v>0</v>
          </cell>
        </row>
        <row r="57">
          <cell r="D57">
            <v>42000</v>
          </cell>
          <cell r="F57">
            <v>-42000</v>
          </cell>
        </row>
        <row r="58">
          <cell r="D58">
            <v>112990.89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4279</v>
          </cell>
          <cell r="F61">
            <v>0</v>
          </cell>
        </row>
        <row r="62">
          <cell r="D62">
            <v>4756.28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2682</v>
          </cell>
          <cell r="F65">
            <v>0</v>
          </cell>
        </row>
        <row r="66">
          <cell r="D66">
            <v>8651.94</v>
          </cell>
          <cell r="F66">
            <v>0</v>
          </cell>
        </row>
        <row r="67">
          <cell r="D67">
            <v>10523.98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27159.3</v>
          </cell>
          <cell r="F75">
            <v>0</v>
          </cell>
        </row>
        <row r="76">
          <cell r="D76">
            <v>0</v>
          </cell>
          <cell r="F76">
            <v>7568.6133074038507</v>
          </cell>
        </row>
        <row r="77">
          <cell r="D77">
            <v>1437.64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9880.8700000000008</v>
          </cell>
          <cell r="F79">
            <v>0</v>
          </cell>
        </row>
        <row r="80">
          <cell r="D80">
            <v>16641.3</v>
          </cell>
          <cell r="F80">
            <v>0</v>
          </cell>
        </row>
        <row r="81">
          <cell r="D81">
            <v>13264.48</v>
          </cell>
          <cell r="F81">
            <v>0</v>
          </cell>
        </row>
        <row r="82">
          <cell r="D82">
            <v>840.31</v>
          </cell>
          <cell r="F82">
            <v>0</v>
          </cell>
        </row>
        <row r="83">
          <cell r="D83">
            <v>5970.77</v>
          </cell>
          <cell r="F83">
            <v>0</v>
          </cell>
        </row>
        <row r="84">
          <cell r="D84">
            <v>57092.97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97434.59</v>
          </cell>
          <cell r="F89">
            <v>0</v>
          </cell>
        </row>
        <row r="90">
          <cell r="D90">
            <v>0</v>
          </cell>
          <cell r="F90">
            <v>27152.567793552786</v>
          </cell>
        </row>
        <row r="91">
          <cell r="D91">
            <v>7684.66</v>
          </cell>
          <cell r="F91">
            <v>0</v>
          </cell>
        </row>
        <row r="92">
          <cell r="D92">
            <v>69875.25</v>
          </cell>
          <cell r="F92">
            <v>0</v>
          </cell>
        </row>
        <row r="93">
          <cell r="D93">
            <v>10703.48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22186.31</v>
          </cell>
          <cell r="F98">
            <v>0</v>
          </cell>
        </row>
        <row r="99">
          <cell r="D99">
            <v>0</v>
          </cell>
          <cell r="F99">
            <v>6182.766165114238</v>
          </cell>
        </row>
        <row r="100">
          <cell r="D100">
            <v>3046.53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640.76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26197.7</v>
          </cell>
          <cell r="F115">
            <v>0</v>
          </cell>
        </row>
        <row r="116">
          <cell r="D116">
            <v>0</v>
          </cell>
          <cell r="F116">
            <v>7300.6395909826051</v>
          </cell>
        </row>
        <row r="117">
          <cell r="D117">
            <v>6094.49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60371.1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17475.27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16823.906022710773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4869.9178945140457</v>
          </cell>
        </row>
        <row r="136">
          <cell r="D136">
            <v>81358.92</v>
          </cell>
          <cell r="F136">
            <v>0</v>
          </cell>
        </row>
        <row r="137">
          <cell r="D137">
            <v>138701.38</v>
          </cell>
          <cell r="F137">
            <v>0</v>
          </cell>
        </row>
        <row r="138">
          <cell r="D138">
            <v>276085.28000000003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22672.68319095136</v>
          </cell>
        </row>
        <row r="142">
          <cell r="D142">
            <v>0</v>
          </cell>
          <cell r="F142">
            <v>38652.583476867163</v>
          </cell>
        </row>
        <row r="143">
          <cell r="D143">
            <v>0</v>
          </cell>
          <cell r="F143">
            <v>76938.018438852188</v>
          </cell>
        </row>
        <row r="144">
          <cell r="D144">
            <v>0</v>
          </cell>
          <cell r="F144">
            <v>0</v>
          </cell>
        </row>
        <row r="146">
          <cell r="D146">
            <v>15000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4846.47</v>
          </cell>
          <cell r="F150">
            <v>0</v>
          </cell>
        </row>
        <row r="151">
          <cell r="D151">
            <v>40342.230000000003</v>
          </cell>
          <cell r="F151">
            <v>0</v>
          </cell>
        </row>
        <row r="152">
          <cell r="D152">
            <v>452.08</v>
          </cell>
          <cell r="F152">
            <v>0</v>
          </cell>
        </row>
        <row r="153">
          <cell r="D153">
            <v>2454.88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3796</v>
          </cell>
          <cell r="F157">
            <v>0</v>
          </cell>
        </row>
        <row r="158">
          <cell r="D158">
            <v>525</v>
          </cell>
          <cell r="F158">
            <v>0</v>
          </cell>
        </row>
        <row r="159">
          <cell r="D159">
            <v>646.36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39792.559999999998</v>
          </cell>
          <cell r="F194">
            <v>0</v>
          </cell>
        </row>
        <row r="195">
          <cell r="D195">
            <v>728.2</v>
          </cell>
          <cell r="F195">
            <v>0</v>
          </cell>
        </row>
        <row r="196">
          <cell r="D196">
            <v>67571.39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2609.4699999999998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69731.75</v>
          </cell>
          <cell r="F205">
            <v>0</v>
          </cell>
        </row>
        <row r="206">
          <cell r="D206">
            <v>5853.05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33766.82</v>
          </cell>
          <cell r="F211">
            <v>0</v>
          </cell>
        </row>
        <row r="212">
          <cell r="D212">
            <v>0</v>
          </cell>
          <cell r="F212">
            <v>9409.9628193919016</v>
          </cell>
        </row>
        <row r="213">
          <cell r="D213">
            <v>11965.01</v>
          </cell>
          <cell r="F213">
            <v>0</v>
          </cell>
        </row>
        <row r="214">
          <cell r="D214">
            <v>4044.75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1732.63</v>
          </cell>
          <cell r="F216">
            <v>0</v>
          </cell>
        </row>
        <row r="221">
          <cell r="D221">
            <v>2219481.19</v>
          </cell>
        </row>
      </sheetData>
      <sheetData sheetId="9"/>
      <sheetData sheetId="10"/>
      <sheetData sheetId="11"/>
      <sheetData sheetId="12">
        <row r="9">
          <cell r="C9">
            <v>5660</v>
          </cell>
          <cell r="D9">
            <v>0</v>
          </cell>
          <cell r="E9">
            <v>1646</v>
          </cell>
          <cell r="F9">
            <v>48</v>
          </cell>
          <cell r="G9">
            <v>0</v>
          </cell>
          <cell r="H9">
            <v>1521</v>
          </cell>
          <cell r="I9">
            <v>364</v>
          </cell>
          <cell r="J9">
            <v>8</v>
          </cell>
          <cell r="K9">
            <v>0</v>
          </cell>
        </row>
        <row r="22">
          <cell r="N22">
            <v>51</v>
          </cell>
        </row>
        <row r="24">
          <cell r="N24">
            <v>51</v>
          </cell>
        </row>
        <row r="28">
          <cell r="N28">
            <v>18615</v>
          </cell>
        </row>
        <row r="30">
          <cell r="N30">
            <v>0.49674993284985225</v>
          </cell>
        </row>
        <row r="32">
          <cell r="N32">
            <v>0.30405586892291164</v>
          </cell>
        </row>
        <row r="34">
          <cell r="N34">
            <v>0.61209040769979461</v>
          </cell>
        </row>
      </sheetData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B - OTHER INC DETAIL"/>
      <sheetName val="C- MISC REC DETAIL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2044659.43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136875</v>
          </cell>
          <cell r="G37">
            <v>0</v>
          </cell>
        </row>
        <row r="42">
          <cell r="E42">
            <v>170531.76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53659.66</v>
          </cell>
          <cell r="G67">
            <v>0</v>
          </cell>
        </row>
        <row r="85">
          <cell r="C85">
            <v>144.35146443514645</v>
          </cell>
          <cell r="E85">
            <v>160.46511627906978</v>
          </cell>
          <cell r="G85">
            <v>187.5</v>
          </cell>
          <cell r="I85">
            <v>187.5</v>
          </cell>
        </row>
      </sheetData>
      <sheetData sheetId="6"/>
      <sheetData sheetId="7">
        <row r="10">
          <cell r="D10">
            <v>28682.84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24571.5</v>
          </cell>
          <cell r="F12">
            <v>0</v>
          </cell>
        </row>
        <row r="13">
          <cell r="D13">
            <v>6038.84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3267.54</v>
          </cell>
          <cell r="F17">
            <v>0</v>
          </cell>
        </row>
        <row r="18">
          <cell r="D18">
            <v>6598.21</v>
          </cell>
          <cell r="F18">
            <v>0</v>
          </cell>
        </row>
        <row r="19">
          <cell r="D19">
            <v>3453.64</v>
          </cell>
          <cell r="F19">
            <v>0</v>
          </cell>
        </row>
        <row r="20">
          <cell r="D20">
            <v>18061.39</v>
          </cell>
          <cell r="F20">
            <v>0</v>
          </cell>
        </row>
        <row r="21">
          <cell r="D21">
            <v>1600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2181.6799999999998</v>
          </cell>
          <cell r="F23">
            <v>-1318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242720.48</v>
          </cell>
          <cell r="F26">
            <v>0</v>
          </cell>
        </row>
        <row r="27">
          <cell r="D27">
            <v>7487.63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17263.8</v>
          </cell>
          <cell r="F29">
            <v>-17263.8</v>
          </cell>
        </row>
        <row r="30">
          <cell r="D30">
            <v>0</v>
          </cell>
          <cell r="F30">
            <v>0</v>
          </cell>
        </row>
        <row r="31">
          <cell r="D31">
            <v>12851.01</v>
          </cell>
          <cell r="F31">
            <v>0</v>
          </cell>
        </row>
        <row r="32">
          <cell r="D32">
            <v>19296.919999999998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2172.85</v>
          </cell>
          <cell r="F39">
            <v>0</v>
          </cell>
        </row>
        <row r="40">
          <cell r="D40">
            <v>700</v>
          </cell>
          <cell r="F40">
            <v>0</v>
          </cell>
        </row>
        <row r="41">
          <cell r="D41">
            <v>4816.67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0</v>
          </cell>
          <cell r="F45">
            <v>0</v>
          </cell>
        </row>
        <row r="57">
          <cell r="D57">
            <v>100368</v>
          </cell>
          <cell r="F57">
            <v>-100368</v>
          </cell>
        </row>
        <row r="58">
          <cell r="D58">
            <v>1789</v>
          </cell>
          <cell r="F58">
            <v>18881</v>
          </cell>
        </row>
        <row r="59">
          <cell r="D59">
            <v>0</v>
          </cell>
          <cell r="F59">
            <v>62371</v>
          </cell>
        </row>
        <row r="60">
          <cell r="D60">
            <v>0</v>
          </cell>
          <cell r="F60">
            <v>9742.02</v>
          </cell>
        </row>
        <row r="61">
          <cell r="D61">
            <v>0</v>
          </cell>
          <cell r="F61">
            <v>0</v>
          </cell>
        </row>
        <row r="62">
          <cell r="D62">
            <v>1899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4444.43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39076</v>
          </cell>
          <cell r="F67">
            <v>0</v>
          </cell>
        </row>
        <row r="68">
          <cell r="D68">
            <v>21013</v>
          </cell>
          <cell r="F68">
            <v>-21013</v>
          </cell>
        </row>
        <row r="69">
          <cell r="D69">
            <v>497.93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76950.460000000006</v>
          </cell>
          <cell r="F75">
            <v>0</v>
          </cell>
        </row>
        <row r="76">
          <cell r="D76">
            <v>9227.44</v>
          </cell>
          <cell r="F76">
            <v>0</v>
          </cell>
        </row>
        <row r="77">
          <cell r="D77">
            <v>24855.06</v>
          </cell>
          <cell r="F77">
            <v>0</v>
          </cell>
        </row>
        <row r="78">
          <cell r="D78">
            <v>3721.3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13587.66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5282.84</v>
          </cell>
          <cell r="F83">
            <v>0</v>
          </cell>
        </row>
        <row r="84">
          <cell r="D84">
            <v>35774.629999999997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150122.64000000001</v>
          </cell>
          <cell r="F89">
            <v>0</v>
          </cell>
        </row>
        <row r="90">
          <cell r="D90">
            <v>18989.95</v>
          </cell>
          <cell r="F90">
            <v>0</v>
          </cell>
        </row>
        <row r="91">
          <cell r="D91">
            <v>6339.44</v>
          </cell>
          <cell r="F91">
            <v>0</v>
          </cell>
        </row>
        <row r="92">
          <cell r="D92">
            <v>143766.74</v>
          </cell>
          <cell r="F92">
            <v>0</v>
          </cell>
        </row>
        <row r="93">
          <cell r="D93">
            <v>18331.93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21603</v>
          </cell>
          <cell r="F98">
            <v>0</v>
          </cell>
        </row>
        <row r="99">
          <cell r="D99">
            <v>1761.17</v>
          </cell>
          <cell r="F99">
            <v>0</v>
          </cell>
        </row>
        <row r="100">
          <cell r="D100">
            <v>1373.16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28973.82</v>
          </cell>
          <cell r="F115">
            <v>0</v>
          </cell>
        </row>
        <row r="116">
          <cell r="D116">
            <v>12272.85</v>
          </cell>
          <cell r="F116">
            <v>0</v>
          </cell>
        </row>
        <row r="117">
          <cell r="D117">
            <v>18997.400000000001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111906.09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93615.95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22800.26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9604.15</v>
          </cell>
          <cell r="F134">
            <v>0</v>
          </cell>
        </row>
        <row r="136">
          <cell r="D136">
            <v>143887.4</v>
          </cell>
          <cell r="F136">
            <v>0</v>
          </cell>
        </row>
        <row r="137">
          <cell r="D137">
            <v>152739.98000000001</v>
          </cell>
          <cell r="F137">
            <v>0</v>
          </cell>
        </row>
        <row r="138">
          <cell r="D138">
            <v>386716.1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18799.7</v>
          </cell>
          <cell r="F141">
            <v>0</v>
          </cell>
        </row>
        <row r="142">
          <cell r="D142">
            <v>15667.2</v>
          </cell>
          <cell r="F142">
            <v>0</v>
          </cell>
        </row>
        <row r="143">
          <cell r="D143">
            <v>38412.379999999997</v>
          </cell>
          <cell r="F143">
            <v>0</v>
          </cell>
        </row>
        <row r="144">
          <cell r="D144">
            <v>0</v>
          </cell>
          <cell r="F144">
            <v>0</v>
          </cell>
        </row>
        <row r="146">
          <cell r="D146">
            <v>7693.04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5148.34</v>
          </cell>
          <cell r="F150">
            <v>0</v>
          </cell>
        </row>
        <row r="151">
          <cell r="D151">
            <v>36171.919999999998</v>
          </cell>
          <cell r="F151">
            <v>0</v>
          </cell>
        </row>
        <row r="152">
          <cell r="D152">
            <v>166.23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236.55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4515.1400000000003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66749.8</v>
          </cell>
          <cell r="F211">
            <v>0</v>
          </cell>
        </row>
        <row r="212">
          <cell r="D212">
            <v>10982.99</v>
          </cell>
          <cell r="F212">
            <v>0</v>
          </cell>
        </row>
        <row r="213">
          <cell r="D213">
            <v>15074.92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143455.62</v>
          </cell>
          <cell r="F216">
            <v>-99614</v>
          </cell>
        </row>
        <row r="221">
          <cell r="D221">
            <v>2447128</v>
          </cell>
        </row>
      </sheetData>
      <sheetData sheetId="8"/>
      <sheetData sheetId="9"/>
      <sheetData sheetId="10">
        <row r="9">
          <cell r="C9">
            <v>11277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816</v>
          </cell>
          <cell r="I9">
            <v>945</v>
          </cell>
          <cell r="J9">
            <v>0</v>
          </cell>
          <cell r="K9">
            <v>0</v>
          </cell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13140</v>
          </cell>
        </row>
        <row r="30">
          <cell r="N30">
            <v>0.99223744292237448</v>
          </cell>
        </row>
        <row r="32">
          <cell r="N32">
            <v>0.85821917808219184</v>
          </cell>
        </row>
        <row r="34">
          <cell r="N34">
            <v>0.8649332719742292</v>
          </cell>
        </row>
      </sheetData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1464924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119796</v>
          </cell>
          <cell r="G21">
            <v>0</v>
          </cell>
        </row>
        <row r="27">
          <cell r="E27">
            <v>178213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148228</v>
          </cell>
          <cell r="G37">
            <v>0</v>
          </cell>
        </row>
        <row r="42">
          <cell r="E42">
            <v>28017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221552</v>
          </cell>
          <cell r="G67">
            <v>-2629</v>
          </cell>
        </row>
      </sheetData>
      <sheetData sheetId="6"/>
      <sheetData sheetId="7">
        <row r="10">
          <cell r="D10">
            <v>49129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25618</v>
          </cell>
          <cell r="F12">
            <v>0</v>
          </cell>
        </row>
        <row r="13">
          <cell r="D13">
            <v>185556</v>
          </cell>
          <cell r="F13">
            <v>-167698.20000000001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176148</v>
          </cell>
          <cell r="F16">
            <v>25117.27</v>
          </cell>
        </row>
        <row r="17">
          <cell r="D17">
            <v>0</v>
          </cell>
          <cell r="F17">
            <v>0</v>
          </cell>
        </row>
        <row r="18">
          <cell r="D18">
            <v>5985</v>
          </cell>
          <cell r="F18">
            <v>0</v>
          </cell>
        </row>
        <row r="19">
          <cell r="D19">
            <v>7388</v>
          </cell>
          <cell r="F19">
            <v>0</v>
          </cell>
        </row>
        <row r="20">
          <cell r="D20">
            <v>3317</v>
          </cell>
          <cell r="F20">
            <v>0</v>
          </cell>
        </row>
        <row r="21">
          <cell r="D21">
            <v>648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6080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179510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86171</v>
          </cell>
          <cell r="F29">
            <v>-86171</v>
          </cell>
        </row>
        <row r="30">
          <cell r="D30">
            <v>0</v>
          </cell>
          <cell r="F30">
            <v>0</v>
          </cell>
        </row>
        <row r="31">
          <cell r="D31">
            <v>28225</v>
          </cell>
          <cell r="F31">
            <v>0</v>
          </cell>
        </row>
        <row r="32">
          <cell r="D32">
            <v>10361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1631</v>
          </cell>
          <cell r="F39">
            <v>0</v>
          </cell>
        </row>
        <row r="40">
          <cell r="D40">
            <v>7006</v>
          </cell>
          <cell r="F40">
            <v>-7006</v>
          </cell>
        </row>
        <row r="41">
          <cell r="D41">
            <v>0</v>
          </cell>
          <cell r="F41">
            <v>0</v>
          </cell>
        </row>
        <row r="42">
          <cell r="D42">
            <v>805</v>
          </cell>
          <cell r="F42">
            <v>0</v>
          </cell>
        </row>
        <row r="43">
          <cell r="D43">
            <v>4628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28936</v>
          </cell>
          <cell r="F45">
            <v>-2629</v>
          </cell>
        </row>
        <row r="57">
          <cell r="D57">
            <v>213293</v>
          </cell>
          <cell r="F57">
            <v>-213293</v>
          </cell>
        </row>
        <row r="58">
          <cell r="D58">
            <v>64378</v>
          </cell>
          <cell r="F58">
            <v>0</v>
          </cell>
        </row>
        <row r="59">
          <cell r="D59">
            <v>0</v>
          </cell>
          <cell r="F59">
            <v>135148.49</v>
          </cell>
        </row>
        <row r="60">
          <cell r="D60">
            <v>0</v>
          </cell>
          <cell r="F60">
            <v>0</v>
          </cell>
        </row>
        <row r="61">
          <cell r="D61">
            <v>3241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2698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23349</v>
          </cell>
          <cell r="F75">
            <v>0</v>
          </cell>
        </row>
        <row r="76">
          <cell r="D76">
            <v>0</v>
          </cell>
          <cell r="F76">
            <v>5578.3099999999995</v>
          </cell>
        </row>
        <row r="77">
          <cell r="D77">
            <v>9672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28546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27236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71295</v>
          </cell>
          <cell r="F89">
            <v>0</v>
          </cell>
        </row>
        <row r="90">
          <cell r="D90">
            <v>0</v>
          </cell>
          <cell r="F90">
            <v>17033.080000000002</v>
          </cell>
        </row>
        <row r="91">
          <cell r="D91">
            <v>0</v>
          </cell>
          <cell r="F91">
            <v>0</v>
          </cell>
        </row>
        <row r="92">
          <cell r="D92">
            <v>57783</v>
          </cell>
          <cell r="F92">
            <v>0</v>
          </cell>
        </row>
        <row r="93">
          <cell r="D93">
            <v>6472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18116</v>
          </cell>
          <cell r="F98">
            <v>0</v>
          </cell>
        </row>
        <row r="99">
          <cell r="D99">
            <v>0</v>
          </cell>
          <cell r="F99">
            <v>4328.09</v>
          </cell>
        </row>
        <row r="100">
          <cell r="D100">
            <v>1962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1133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27814</v>
          </cell>
          <cell r="F115">
            <v>0</v>
          </cell>
        </row>
        <row r="116">
          <cell r="D116">
            <v>0</v>
          </cell>
          <cell r="F116">
            <v>6645.03</v>
          </cell>
        </row>
        <row r="117">
          <cell r="D117">
            <v>6791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87638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7639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20937.580000000002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1825.0300000000002</v>
          </cell>
        </row>
        <row r="136">
          <cell r="D136">
            <v>46147</v>
          </cell>
          <cell r="F136">
            <v>0</v>
          </cell>
        </row>
        <row r="137">
          <cell r="D137">
            <v>136147</v>
          </cell>
          <cell r="F137">
            <v>0</v>
          </cell>
        </row>
        <row r="138">
          <cell r="D138">
            <v>242025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11024.98</v>
          </cell>
        </row>
        <row r="142">
          <cell r="D142">
            <v>0</v>
          </cell>
          <cell r="F142">
            <v>32526.85</v>
          </cell>
        </row>
        <row r="143">
          <cell r="D143">
            <v>0</v>
          </cell>
          <cell r="F143">
            <v>57822.149999999994</v>
          </cell>
        </row>
        <row r="144">
          <cell r="D144">
            <v>0</v>
          </cell>
          <cell r="F144">
            <v>0</v>
          </cell>
        </row>
        <row r="146">
          <cell r="D146">
            <v>18000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3679</v>
          </cell>
          <cell r="F150">
            <v>0</v>
          </cell>
        </row>
        <row r="151">
          <cell r="D151">
            <v>35906</v>
          </cell>
          <cell r="F151">
            <v>0</v>
          </cell>
        </row>
        <row r="152">
          <cell r="D152">
            <v>0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3878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16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171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35576</v>
          </cell>
          <cell r="F194">
            <v>0</v>
          </cell>
        </row>
        <row r="195">
          <cell r="D195">
            <v>1907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23327</v>
          </cell>
          <cell r="F197">
            <v>0</v>
          </cell>
        </row>
        <row r="198">
          <cell r="D198">
            <v>3648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21972</v>
          </cell>
          <cell r="F205">
            <v>0</v>
          </cell>
        </row>
        <row r="206">
          <cell r="D206">
            <v>1290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41761</v>
          </cell>
          <cell r="F211">
            <v>0</v>
          </cell>
        </row>
        <row r="212">
          <cell r="D212">
            <v>0</v>
          </cell>
          <cell r="F212">
            <v>9977.11</v>
          </cell>
        </row>
        <row r="213">
          <cell r="D213">
            <v>5382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1752</v>
          </cell>
          <cell r="F216">
            <v>0</v>
          </cell>
        </row>
        <row r="221">
          <cell r="D221">
            <v>2088782</v>
          </cell>
        </row>
      </sheetData>
      <sheetData sheetId="8"/>
      <sheetData sheetId="9"/>
      <sheetData sheetId="10">
        <row r="9">
          <cell r="C9">
            <v>8639</v>
          </cell>
          <cell r="D9">
            <v>0</v>
          </cell>
          <cell r="E9">
            <v>154</v>
          </cell>
          <cell r="F9">
            <v>338</v>
          </cell>
          <cell r="G9">
            <v>0</v>
          </cell>
          <cell r="H9">
            <v>772</v>
          </cell>
          <cell r="I9">
            <v>163</v>
          </cell>
          <cell r="J9">
            <v>0</v>
          </cell>
          <cell r="K9">
            <v>0</v>
          </cell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14248</v>
          </cell>
        </row>
        <row r="30">
          <cell r="N30">
            <v>0.7064851207186974</v>
          </cell>
        </row>
        <row r="32">
          <cell r="N32">
            <v>0.60633071308253794</v>
          </cell>
        </row>
        <row r="34">
          <cell r="N34">
            <v>0.85823564474468506</v>
          </cell>
        </row>
      </sheetData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3181400.4399999995</v>
          </cell>
          <cell r="G10">
            <v>0</v>
          </cell>
        </row>
        <row r="15">
          <cell r="E15">
            <v>411167.35000000015</v>
          </cell>
          <cell r="G15">
            <v>0</v>
          </cell>
        </row>
        <row r="21">
          <cell r="E21">
            <v>891011.37999999989</v>
          </cell>
          <cell r="G21">
            <v>0</v>
          </cell>
        </row>
        <row r="27">
          <cell r="E27">
            <v>480.10000000000036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127847.76000000001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3200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72315.94</v>
          </cell>
          <cell r="G67">
            <v>-681.28</v>
          </cell>
        </row>
        <row r="85">
          <cell r="C85">
            <v>161.05382198952879</v>
          </cell>
          <cell r="E85">
            <v>159.67261682242992</v>
          </cell>
          <cell r="G85">
            <v>159.18140495867769</v>
          </cell>
          <cell r="I85">
            <v>156.37589743589743</v>
          </cell>
        </row>
      </sheetData>
      <sheetData sheetId="6"/>
      <sheetData sheetId="7">
        <row r="10">
          <cell r="D10">
            <v>102047.87999999999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100977.31</v>
          </cell>
          <cell r="F12">
            <v>0</v>
          </cell>
        </row>
        <row r="13">
          <cell r="D13">
            <v>63713.030000000006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331665.45</v>
          </cell>
          <cell r="F15">
            <v>-331665.45</v>
          </cell>
        </row>
        <row r="16">
          <cell r="D16">
            <v>0</v>
          </cell>
          <cell r="F16">
            <v>196270</v>
          </cell>
        </row>
        <row r="17">
          <cell r="D17">
            <v>259.92</v>
          </cell>
          <cell r="F17">
            <v>0</v>
          </cell>
        </row>
        <row r="18">
          <cell r="D18">
            <v>11077.15</v>
          </cell>
          <cell r="F18">
            <v>0</v>
          </cell>
        </row>
        <row r="19">
          <cell r="D19">
            <v>22726.6</v>
          </cell>
          <cell r="F19">
            <v>979</v>
          </cell>
        </row>
        <row r="20">
          <cell r="D20">
            <v>19105.829999999998</v>
          </cell>
          <cell r="F20">
            <v>0</v>
          </cell>
        </row>
        <row r="21">
          <cell r="D21">
            <v>19339.370000000003</v>
          </cell>
          <cell r="F21">
            <v>10977</v>
          </cell>
        </row>
        <row r="22">
          <cell r="D22">
            <v>0</v>
          </cell>
          <cell r="F22">
            <v>0</v>
          </cell>
        </row>
        <row r="23">
          <cell r="D23">
            <v>28142.249999999996</v>
          </cell>
          <cell r="F23">
            <v>15451</v>
          </cell>
        </row>
        <row r="24">
          <cell r="D24">
            <v>42029.26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342856.69999999995</v>
          </cell>
          <cell r="F26">
            <v>366.40000000002328</v>
          </cell>
        </row>
        <row r="27">
          <cell r="D27">
            <v>0</v>
          </cell>
          <cell r="F27">
            <v>8628.7199999999993</v>
          </cell>
        </row>
        <row r="28">
          <cell r="D28">
            <v>0</v>
          </cell>
          <cell r="F28">
            <v>0</v>
          </cell>
        </row>
        <row r="29">
          <cell r="D29">
            <v>65283.85</v>
          </cell>
          <cell r="F29">
            <v>-65283.85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99989.7</v>
          </cell>
          <cell r="F32">
            <v>3856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15319.54</v>
          </cell>
          <cell r="F39">
            <v>3572</v>
          </cell>
        </row>
        <row r="40">
          <cell r="D40">
            <v>3501.93</v>
          </cell>
          <cell r="F40">
            <v>-3501.93</v>
          </cell>
        </row>
        <row r="41">
          <cell r="D41">
            <v>22274.959999999999</v>
          </cell>
          <cell r="F41">
            <v>23377</v>
          </cell>
        </row>
        <row r="42">
          <cell r="D42">
            <v>0</v>
          </cell>
          <cell r="F42">
            <v>1945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20145.990000000002</v>
          </cell>
          <cell r="F45">
            <v>459</v>
          </cell>
        </row>
        <row r="57">
          <cell r="D57">
            <v>911040</v>
          </cell>
          <cell r="F57">
            <v>-911040</v>
          </cell>
        </row>
        <row r="58">
          <cell r="D58">
            <v>2322.84</v>
          </cell>
          <cell r="F58">
            <v>57497.88</v>
          </cell>
        </row>
        <row r="59">
          <cell r="D59">
            <v>0</v>
          </cell>
          <cell r="F59">
            <v>137743.63</v>
          </cell>
        </row>
        <row r="60">
          <cell r="D60">
            <v>35688.050000000003</v>
          </cell>
          <cell r="F60">
            <v>-3240.28</v>
          </cell>
        </row>
        <row r="61">
          <cell r="D61">
            <v>10145.81</v>
          </cell>
          <cell r="F61">
            <v>1324</v>
          </cell>
        </row>
        <row r="62">
          <cell r="D62">
            <v>9488.14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813.48</v>
          </cell>
          <cell r="F67">
            <v>11235.7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3580.6600000000003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61799.45</v>
          </cell>
          <cell r="F75">
            <v>0</v>
          </cell>
        </row>
        <row r="76">
          <cell r="D76">
            <v>24365.72</v>
          </cell>
          <cell r="F76">
            <v>0</v>
          </cell>
        </row>
        <row r="77">
          <cell r="D77">
            <v>11449</v>
          </cell>
          <cell r="F77">
            <v>0</v>
          </cell>
        </row>
        <row r="78">
          <cell r="D78">
            <v>4977.9500000000007</v>
          </cell>
          <cell r="F78">
            <v>854</v>
          </cell>
        </row>
        <row r="79">
          <cell r="D79">
            <v>39135.85</v>
          </cell>
          <cell r="F79">
            <v>0</v>
          </cell>
        </row>
        <row r="80">
          <cell r="D80">
            <v>12747.09</v>
          </cell>
          <cell r="F80">
            <v>0</v>
          </cell>
        </row>
        <row r="81">
          <cell r="D81">
            <v>4051.1500000000005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127031.06</v>
          </cell>
          <cell r="F84">
            <v>556</v>
          </cell>
        </row>
        <row r="85">
          <cell r="D85">
            <v>0</v>
          </cell>
          <cell r="F85">
            <v>0</v>
          </cell>
        </row>
        <row r="89">
          <cell r="D89">
            <v>142562.64000000001</v>
          </cell>
          <cell r="F89">
            <v>0</v>
          </cell>
        </row>
        <row r="90">
          <cell r="D90">
            <v>35169.969999999994</v>
          </cell>
          <cell r="F90">
            <v>0</v>
          </cell>
        </row>
        <row r="91">
          <cell r="D91">
            <v>19856.45</v>
          </cell>
          <cell r="F91">
            <v>0</v>
          </cell>
        </row>
        <row r="92">
          <cell r="D92">
            <v>162223.76</v>
          </cell>
          <cell r="F92">
            <v>-103</v>
          </cell>
        </row>
        <row r="93">
          <cell r="D93">
            <v>8190.7199999999993</v>
          </cell>
          <cell r="F93">
            <v>0</v>
          </cell>
        </row>
        <row r="94">
          <cell r="D94">
            <v>9805.8799999999974</v>
          </cell>
          <cell r="F94">
            <v>0</v>
          </cell>
        </row>
        <row r="98">
          <cell r="D98">
            <v>32521</v>
          </cell>
          <cell r="F98">
            <v>0</v>
          </cell>
        </row>
        <row r="99">
          <cell r="D99">
            <v>11210.91</v>
          </cell>
          <cell r="F99">
            <v>0</v>
          </cell>
        </row>
        <row r="100">
          <cell r="D100">
            <v>12783.470000000001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4646.4799999999996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86863.98000000001</v>
          </cell>
          <cell r="F115">
            <v>0</v>
          </cell>
        </row>
        <row r="116">
          <cell r="D116">
            <v>23193.750000000004</v>
          </cell>
          <cell r="F116">
            <v>0</v>
          </cell>
        </row>
        <row r="117">
          <cell r="D117">
            <v>15818.14</v>
          </cell>
          <cell r="F117">
            <v>0</v>
          </cell>
        </row>
        <row r="118">
          <cell r="D118">
            <v>738.14</v>
          </cell>
          <cell r="F118">
            <v>0</v>
          </cell>
        </row>
        <row r="119">
          <cell r="D119">
            <v>78.099999999999994</v>
          </cell>
          <cell r="F119">
            <v>0</v>
          </cell>
        </row>
        <row r="124">
          <cell r="D124">
            <v>108699.76</v>
          </cell>
          <cell r="F124">
            <v>0</v>
          </cell>
        </row>
        <row r="125">
          <cell r="D125">
            <v>39677.399999999994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51684.160000000003</v>
          </cell>
          <cell r="F128">
            <v>32233</v>
          </cell>
        </row>
        <row r="130">
          <cell r="D130">
            <v>23327.389188913286</v>
          </cell>
          <cell r="F130">
            <v>0</v>
          </cell>
        </row>
        <row r="131">
          <cell r="D131">
            <v>8514.9236006058145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8745.1200000000008</v>
          </cell>
          <cell r="F134">
            <v>0</v>
          </cell>
        </row>
        <row r="136">
          <cell r="D136">
            <v>216004.44</v>
          </cell>
          <cell r="F136">
            <v>0</v>
          </cell>
        </row>
        <row r="137">
          <cell r="D137">
            <v>147401.51</v>
          </cell>
          <cell r="F137">
            <v>0</v>
          </cell>
        </row>
        <row r="138">
          <cell r="D138">
            <v>392420.49</v>
          </cell>
          <cell r="F138">
            <v>0</v>
          </cell>
        </row>
        <row r="139">
          <cell r="D139">
            <v>110245.02</v>
          </cell>
          <cell r="F139">
            <v>0</v>
          </cell>
        </row>
        <row r="141">
          <cell r="D141">
            <v>46355.388810548146</v>
          </cell>
          <cell r="F141">
            <v>0</v>
          </cell>
        </row>
        <row r="142">
          <cell r="D142">
            <v>31632.934523530632</v>
          </cell>
          <cell r="F142">
            <v>0</v>
          </cell>
        </row>
        <row r="143">
          <cell r="D143">
            <v>84214.955910979508</v>
          </cell>
          <cell r="F143">
            <v>0</v>
          </cell>
        </row>
        <row r="144">
          <cell r="D144">
            <v>23659.007965422639</v>
          </cell>
          <cell r="F144">
            <v>0</v>
          </cell>
        </row>
        <row r="146">
          <cell r="D146">
            <v>17173.440000000002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15766.66</v>
          </cell>
          <cell r="F150">
            <v>0</v>
          </cell>
        </row>
        <row r="151">
          <cell r="D151">
            <v>61714.81</v>
          </cell>
          <cell r="F151">
            <v>0</v>
          </cell>
        </row>
        <row r="152">
          <cell r="D152">
            <v>8347.58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201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9711.14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9920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1157.67</v>
          </cell>
          <cell r="F183">
            <v>0</v>
          </cell>
        </row>
        <row r="184">
          <cell r="D184">
            <v>92.49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60.77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408.84000000000003</v>
          </cell>
          <cell r="F191">
            <v>0</v>
          </cell>
        </row>
        <row r="192">
          <cell r="D192">
            <v>5833.91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162390.60000000003</v>
          </cell>
          <cell r="F194">
            <v>0</v>
          </cell>
        </row>
        <row r="195">
          <cell r="D195">
            <v>47375.13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26507.91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35000.01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16778.439999999999</v>
          </cell>
          <cell r="F207">
            <v>0</v>
          </cell>
        </row>
        <row r="211">
          <cell r="D211">
            <v>58357.549999999996</v>
          </cell>
          <cell r="F211">
            <v>0</v>
          </cell>
        </row>
        <row r="212">
          <cell r="D212">
            <v>10419.310000000001</v>
          </cell>
          <cell r="F212">
            <v>0</v>
          </cell>
        </row>
        <row r="213">
          <cell r="D213">
            <v>10800.5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11354.279999999999</v>
          </cell>
          <cell r="F216">
            <v>0</v>
          </cell>
        </row>
        <row r="221">
          <cell r="D221">
            <v>4923210.2399999993</v>
          </cell>
        </row>
      </sheetData>
      <sheetData sheetId="8"/>
      <sheetData sheetId="9"/>
      <sheetData sheetId="10">
        <row r="9">
          <cell r="C9">
            <v>15002</v>
          </cell>
          <cell r="D9">
            <v>2544</v>
          </cell>
          <cell r="E9">
            <v>1988</v>
          </cell>
          <cell r="F9">
            <v>1</v>
          </cell>
          <cell r="G9">
            <v>0</v>
          </cell>
          <cell r="H9">
            <v>803</v>
          </cell>
          <cell r="I9">
            <v>0</v>
          </cell>
          <cell r="J9">
            <v>8</v>
          </cell>
          <cell r="K9">
            <v>0</v>
          </cell>
        </row>
        <row r="22">
          <cell r="N22">
            <v>104</v>
          </cell>
        </row>
        <row r="24">
          <cell r="N24">
            <v>104</v>
          </cell>
        </row>
        <row r="28">
          <cell r="N28">
            <v>37960</v>
          </cell>
        </row>
        <row r="30">
          <cell r="N30">
            <v>0.53598524762908328</v>
          </cell>
        </row>
        <row r="32">
          <cell r="N32">
            <v>0.46222339304531085</v>
          </cell>
        </row>
        <row r="34">
          <cell r="N34">
            <v>0.86238081195320937</v>
          </cell>
        </row>
      </sheetData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313854</v>
          </cell>
          <cell r="G10">
            <v>9916.0400000000009</v>
          </cell>
        </row>
        <row r="15">
          <cell r="E15">
            <v>0</v>
          </cell>
          <cell r="G15">
            <v>0</v>
          </cell>
        </row>
        <row r="21">
          <cell r="E21">
            <v>127372.35</v>
          </cell>
          <cell r="G21">
            <v>-127372.35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109740.96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239901.72</v>
          </cell>
          <cell r="G52">
            <v>-239901.72</v>
          </cell>
        </row>
        <row r="67">
          <cell r="E67">
            <v>0</v>
          </cell>
          <cell r="G67">
            <v>0</v>
          </cell>
        </row>
        <row r="85">
          <cell r="G85">
            <v>199.83434482758619</v>
          </cell>
          <cell r="I85">
            <v>199.18846153846152</v>
          </cell>
        </row>
      </sheetData>
      <sheetData sheetId="6"/>
      <sheetData sheetId="7">
        <row r="10">
          <cell r="D10">
            <v>0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548.72</v>
          </cell>
          <cell r="F12">
            <v>0</v>
          </cell>
        </row>
        <row r="13">
          <cell r="D13">
            <v>204.05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28394.699999999997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0</v>
          </cell>
          <cell r="F17">
            <v>0</v>
          </cell>
        </row>
        <row r="18">
          <cell r="D18">
            <v>0</v>
          </cell>
          <cell r="F18">
            <v>0</v>
          </cell>
        </row>
        <row r="19">
          <cell r="D19">
            <v>3430.6</v>
          </cell>
          <cell r="F19">
            <v>0</v>
          </cell>
        </row>
        <row r="20">
          <cell r="D20">
            <v>2444.4299999999998</v>
          </cell>
          <cell r="F20">
            <v>0</v>
          </cell>
        </row>
        <row r="21">
          <cell r="D21">
            <v>0</v>
          </cell>
          <cell r="F21">
            <v>0</v>
          </cell>
        </row>
        <row r="22">
          <cell r="D22">
            <v>3608.2799999999997</v>
          </cell>
          <cell r="F22">
            <v>0</v>
          </cell>
        </row>
        <row r="23">
          <cell r="D23">
            <v>616.79999999999995</v>
          </cell>
          <cell r="F23">
            <v>0</v>
          </cell>
        </row>
        <row r="24">
          <cell r="D24">
            <v>68569.5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67613.86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2090.8200000000002</v>
          </cell>
          <cell r="F31">
            <v>0</v>
          </cell>
        </row>
        <row r="32">
          <cell r="D32">
            <v>4961.1599999999989</v>
          </cell>
          <cell r="F32">
            <v>0</v>
          </cell>
        </row>
        <row r="33">
          <cell r="D33">
            <v>398.96</v>
          </cell>
          <cell r="F33">
            <v>-398.96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0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58473.5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702.84</v>
          </cell>
          <cell r="F45">
            <v>0</v>
          </cell>
        </row>
        <row r="57">
          <cell r="D57">
            <v>0</v>
          </cell>
          <cell r="F57">
            <v>0</v>
          </cell>
        </row>
        <row r="58">
          <cell r="D58">
            <v>56054.12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2568.91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0</v>
          </cell>
          <cell r="F75">
            <v>0</v>
          </cell>
        </row>
        <row r="76">
          <cell r="D76">
            <v>0</v>
          </cell>
          <cell r="F76">
            <v>0</v>
          </cell>
        </row>
        <row r="77">
          <cell r="D77">
            <v>722.18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176.94</v>
          </cell>
          <cell r="F79">
            <v>0</v>
          </cell>
        </row>
        <row r="80">
          <cell r="D80">
            <v>76134.5</v>
          </cell>
          <cell r="F80">
            <v>0</v>
          </cell>
        </row>
        <row r="81">
          <cell r="D81">
            <v>94.42</v>
          </cell>
          <cell r="F81">
            <v>0</v>
          </cell>
        </row>
        <row r="82">
          <cell r="D82">
            <v>17.78</v>
          </cell>
          <cell r="F82">
            <v>0</v>
          </cell>
        </row>
        <row r="83">
          <cell r="D83">
            <v>14.99</v>
          </cell>
          <cell r="F83">
            <v>0</v>
          </cell>
        </row>
        <row r="84">
          <cell r="D84">
            <v>0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111002.44</v>
          </cell>
          <cell r="F91">
            <v>0</v>
          </cell>
        </row>
        <row r="92">
          <cell r="D92">
            <v>219.03</v>
          </cell>
          <cell r="F92">
            <v>0</v>
          </cell>
        </row>
        <row r="93">
          <cell r="D93">
            <v>0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447.49</v>
          </cell>
          <cell r="F100">
            <v>0</v>
          </cell>
        </row>
        <row r="101">
          <cell r="D101">
            <v>19965.599999999999</v>
          </cell>
          <cell r="F101">
            <v>0</v>
          </cell>
        </row>
        <row r="102">
          <cell r="D102">
            <v>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13082.29</v>
          </cell>
          <cell r="F115">
            <v>0</v>
          </cell>
        </row>
        <row r="116">
          <cell r="D116">
            <v>4864.8100000000004</v>
          </cell>
          <cell r="F116">
            <v>0</v>
          </cell>
        </row>
        <row r="117">
          <cell r="D117">
            <v>3537.69</v>
          </cell>
          <cell r="F117">
            <v>0</v>
          </cell>
        </row>
        <row r="118">
          <cell r="D118">
            <v>21678.58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39424.019999999997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0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14660.3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0</v>
          </cell>
        </row>
        <row r="136">
          <cell r="D136">
            <v>149276.99</v>
          </cell>
          <cell r="F136">
            <v>0</v>
          </cell>
        </row>
        <row r="137">
          <cell r="D137">
            <v>9998.2199999999993</v>
          </cell>
          <cell r="F137">
            <v>0</v>
          </cell>
        </row>
        <row r="138">
          <cell r="D138">
            <v>165161.06</v>
          </cell>
          <cell r="F138">
            <v>0</v>
          </cell>
        </row>
        <row r="139">
          <cell r="D139">
            <v>30581.85</v>
          </cell>
          <cell r="F139">
            <v>0</v>
          </cell>
        </row>
        <row r="141">
          <cell r="D141">
            <v>55510.43</v>
          </cell>
          <cell r="F141">
            <v>0</v>
          </cell>
        </row>
        <row r="142">
          <cell r="D142">
            <v>3717.96</v>
          </cell>
          <cell r="F142">
            <v>0</v>
          </cell>
        </row>
        <row r="143">
          <cell r="D143">
            <v>61417.55</v>
          </cell>
          <cell r="F143">
            <v>0</v>
          </cell>
        </row>
        <row r="144">
          <cell r="D144">
            <v>11372.23</v>
          </cell>
          <cell r="F144">
            <v>0</v>
          </cell>
        </row>
        <row r="146">
          <cell r="D146">
            <v>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23749.040000000001</v>
          </cell>
          <cell r="F150">
            <v>0</v>
          </cell>
        </row>
        <row r="151">
          <cell r="D151">
            <v>12817.4</v>
          </cell>
          <cell r="F151">
            <v>0</v>
          </cell>
        </row>
        <row r="152">
          <cell r="D152">
            <v>536.85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0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0</v>
          </cell>
          <cell r="F211">
            <v>0</v>
          </cell>
        </row>
        <row r="212">
          <cell r="D212">
            <v>0</v>
          </cell>
          <cell r="F212">
            <v>0</v>
          </cell>
        </row>
        <row r="213">
          <cell r="D213">
            <v>10742.45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0</v>
          </cell>
          <cell r="F216">
            <v>0</v>
          </cell>
        </row>
        <row r="221">
          <cell r="D221">
            <v>1141605.8500000001</v>
          </cell>
        </row>
      </sheetData>
      <sheetData sheetId="8"/>
      <sheetData sheetId="9"/>
      <sheetData sheetId="10">
        <row r="9">
          <cell r="C9">
            <v>1700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550</v>
          </cell>
          <cell r="I9">
            <v>0</v>
          </cell>
          <cell r="J9">
            <v>0</v>
          </cell>
          <cell r="K9">
            <v>1321</v>
          </cell>
        </row>
        <row r="22">
          <cell r="N22">
            <v>21</v>
          </cell>
        </row>
        <row r="24">
          <cell r="N24">
            <v>21</v>
          </cell>
        </row>
        <row r="28">
          <cell r="N28">
            <v>3801</v>
          </cell>
        </row>
        <row r="30">
          <cell r="N30">
            <v>0.93948960799789527</v>
          </cell>
        </row>
        <row r="32">
          <cell r="N32">
            <v>0.44725072349381739</v>
          </cell>
        </row>
        <row r="34">
          <cell r="N34">
            <v>0.47605712685522261</v>
          </cell>
        </row>
      </sheetData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2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712638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286347</v>
          </cell>
          <cell r="G21">
            <v>0</v>
          </cell>
        </row>
        <row r="27">
          <cell r="E27">
            <v>192340</v>
          </cell>
          <cell r="G27">
            <v>0</v>
          </cell>
        </row>
        <row r="32">
          <cell r="E32">
            <v>222</v>
          </cell>
          <cell r="G32">
            <v>0</v>
          </cell>
        </row>
        <row r="37">
          <cell r="E37">
            <v>50454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131647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1420</v>
          </cell>
          <cell r="G67">
            <v>0</v>
          </cell>
        </row>
      </sheetData>
      <sheetData sheetId="7"/>
      <sheetData sheetId="8">
        <row r="10">
          <cell r="D10">
            <v>16296</v>
          </cell>
          <cell r="F10">
            <v>957</v>
          </cell>
        </row>
        <row r="11">
          <cell r="D11">
            <v>0</v>
          </cell>
          <cell r="F11">
            <v>0</v>
          </cell>
        </row>
        <row r="12">
          <cell r="D12">
            <v>62284</v>
          </cell>
          <cell r="F12">
            <v>3655</v>
          </cell>
        </row>
        <row r="13">
          <cell r="D13">
            <v>181841</v>
          </cell>
          <cell r="F13">
            <v>-166129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65720</v>
          </cell>
          <cell r="F16">
            <v>38863</v>
          </cell>
        </row>
        <row r="17">
          <cell r="D17">
            <v>0</v>
          </cell>
          <cell r="F17">
            <v>0</v>
          </cell>
        </row>
        <row r="18">
          <cell r="D18">
            <v>8376</v>
          </cell>
          <cell r="F18">
            <v>0</v>
          </cell>
        </row>
        <row r="19">
          <cell r="D19">
            <v>3848</v>
          </cell>
          <cell r="F19">
            <v>-434</v>
          </cell>
        </row>
        <row r="20">
          <cell r="D20">
            <v>10744</v>
          </cell>
          <cell r="F20">
            <v>0</v>
          </cell>
        </row>
        <row r="21">
          <cell r="D21">
            <v>282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677</v>
          </cell>
          <cell r="F23">
            <v>0</v>
          </cell>
        </row>
        <row r="24">
          <cell r="D24">
            <v>17038</v>
          </cell>
          <cell r="F24">
            <v>-3150</v>
          </cell>
        </row>
        <row r="25">
          <cell r="D25">
            <v>0</v>
          </cell>
          <cell r="F25">
            <v>0</v>
          </cell>
        </row>
        <row r="26">
          <cell r="D26">
            <v>87853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154399</v>
          </cell>
          <cell r="F29">
            <v>-154399</v>
          </cell>
        </row>
        <row r="30">
          <cell r="D30">
            <v>0</v>
          </cell>
          <cell r="F30">
            <v>0</v>
          </cell>
        </row>
        <row r="31">
          <cell r="D31">
            <v>20483</v>
          </cell>
          <cell r="F31">
            <v>0</v>
          </cell>
        </row>
        <row r="32">
          <cell r="D32">
            <v>25200</v>
          </cell>
          <cell r="F32">
            <v>-9113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2702</v>
          </cell>
          <cell r="F39">
            <v>0</v>
          </cell>
        </row>
        <row r="40">
          <cell r="D40">
            <v>523</v>
          </cell>
          <cell r="F40">
            <v>0</v>
          </cell>
        </row>
        <row r="41">
          <cell r="D41">
            <v>4246</v>
          </cell>
          <cell r="F41">
            <v>0</v>
          </cell>
        </row>
        <row r="42">
          <cell r="D42">
            <v>2294</v>
          </cell>
          <cell r="F42">
            <v>0</v>
          </cell>
        </row>
        <row r="43">
          <cell r="D43">
            <v>2360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1875</v>
          </cell>
          <cell r="F45">
            <v>-1301</v>
          </cell>
        </row>
        <row r="57">
          <cell r="D57">
            <v>97056</v>
          </cell>
          <cell r="F57">
            <v>-97056</v>
          </cell>
        </row>
        <row r="58">
          <cell r="D58">
            <v>0</v>
          </cell>
          <cell r="F58">
            <v>18664</v>
          </cell>
        </row>
        <row r="59">
          <cell r="D59">
            <v>0</v>
          </cell>
          <cell r="F59">
            <v>0</v>
          </cell>
        </row>
        <row r="60">
          <cell r="D60">
            <v>5268</v>
          </cell>
          <cell r="F60">
            <v>0</v>
          </cell>
        </row>
        <row r="61">
          <cell r="D61">
            <v>1599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730</v>
          </cell>
          <cell r="F65">
            <v>0</v>
          </cell>
        </row>
        <row r="66">
          <cell r="D66">
            <v>1723</v>
          </cell>
          <cell r="F66">
            <v>0</v>
          </cell>
        </row>
        <row r="67">
          <cell r="D67">
            <v>0</v>
          </cell>
          <cell r="F67">
            <v>23476</v>
          </cell>
        </row>
        <row r="68">
          <cell r="D68">
            <v>0</v>
          </cell>
          <cell r="F68">
            <v>0</v>
          </cell>
        </row>
        <row r="69">
          <cell r="D69">
            <v>1936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18595</v>
          </cell>
          <cell r="F75">
            <v>1092</v>
          </cell>
        </row>
        <row r="76">
          <cell r="D76">
            <v>0</v>
          </cell>
          <cell r="F76">
            <v>3615</v>
          </cell>
        </row>
        <row r="77">
          <cell r="D77">
            <v>2753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3902</v>
          </cell>
          <cell r="F79">
            <v>0</v>
          </cell>
        </row>
        <row r="80">
          <cell r="D80">
            <v>6420</v>
          </cell>
          <cell r="F80">
            <v>0</v>
          </cell>
        </row>
        <row r="81">
          <cell r="D81">
            <v>5109</v>
          </cell>
          <cell r="F81">
            <v>0</v>
          </cell>
        </row>
        <row r="82">
          <cell r="D82">
            <v>1899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26230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45215</v>
          </cell>
          <cell r="F89">
            <v>2655</v>
          </cell>
        </row>
        <row r="90">
          <cell r="D90">
            <v>0</v>
          </cell>
          <cell r="F90">
            <v>8789</v>
          </cell>
        </row>
        <row r="91">
          <cell r="D91">
            <v>7912</v>
          </cell>
          <cell r="F91">
            <v>0</v>
          </cell>
        </row>
        <row r="92">
          <cell r="D92">
            <v>40852</v>
          </cell>
          <cell r="F92">
            <v>0</v>
          </cell>
        </row>
        <row r="93">
          <cell r="D93">
            <v>5301</v>
          </cell>
          <cell r="F93">
            <v>0</v>
          </cell>
        </row>
        <row r="94">
          <cell r="D94">
            <v>472</v>
          </cell>
          <cell r="F94">
            <v>0</v>
          </cell>
        </row>
        <row r="98">
          <cell r="D98">
            <v>4889</v>
          </cell>
          <cell r="F98">
            <v>287</v>
          </cell>
        </row>
        <row r="99">
          <cell r="D99">
            <v>0</v>
          </cell>
          <cell r="F99">
            <v>950</v>
          </cell>
        </row>
        <row r="100">
          <cell r="D100">
            <v>716</v>
          </cell>
          <cell r="F100">
            <v>0</v>
          </cell>
        </row>
        <row r="101">
          <cell r="D101">
            <v>1608</v>
          </cell>
          <cell r="F101">
            <v>0</v>
          </cell>
        </row>
        <row r="102">
          <cell r="D102">
            <v>3882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8771</v>
          </cell>
          <cell r="F115">
            <v>515</v>
          </cell>
        </row>
        <row r="116">
          <cell r="D116">
            <v>0</v>
          </cell>
          <cell r="F116">
            <v>1705</v>
          </cell>
        </row>
        <row r="117">
          <cell r="D117">
            <v>5224</v>
          </cell>
          <cell r="F117">
            <v>0</v>
          </cell>
        </row>
        <row r="118">
          <cell r="D118">
            <v>1350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80503</v>
          </cell>
          <cell r="F125">
            <v>4728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10185</v>
          </cell>
          <cell r="F128">
            <v>598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15648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1980</v>
          </cell>
        </row>
        <row r="136">
          <cell r="D136">
            <v>98926</v>
          </cell>
          <cell r="F136">
            <v>5810</v>
          </cell>
        </row>
        <row r="137">
          <cell r="D137">
            <v>80565</v>
          </cell>
          <cell r="F137">
            <v>4731</v>
          </cell>
        </row>
        <row r="138">
          <cell r="D138">
            <v>138085</v>
          </cell>
          <cell r="F138">
            <v>8109</v>
          </cell>
        </row>
        <row r="139">
          <cell r="D139">
            <v>4442</v>
          </cell>
          <cell r="F139">
            <v>261</v>
          </cell>
        </row>
        <row r="141">
          <cell r="D141">
            <v>0</v>
          </cell>
          <cell r="F141">
            <v>19229</v>
          </cell>
        </row>
        <row r="142">
          <cell r="D142">
            <v>0</v>
          </cell>
          <cell r="F142">
            <v>15660</v>
          </cell>
        </row>
        <row r="143">
          <cell r="D143">
            <v>0</v>
          </cell>
          <cell r="F143">
            <v>26841</v>
          </cell>
        </row>
        <row r="144">
          <cell r="D144">
            <v>0</v>
          </cell>
          <cell r="F144">
            <v>863</v>
          </cell>
        </row>
        <row r="146">
          <cell r="D146">
            <v>14000</v>
          </cell>
          <cell r="F146">
            <v>0</v>
          </cell>
        </row>
        <row r="147">
          <cell r="D147">
            <v>7549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5293</v>
          </cell>
          <cell r="F149">
            <v>0</v>
          </cell>
        </row>
        <row r="150">
          <cell r="D150">
            <v>710</v>
          </cell>
          <cell r="F150">
            <v>0</v>
          </cell>
        </row>
        <row r="151">
          <cell r="D151">
            <v>20927</v>
          </cell>
          <cell r="F151">
            <v>0</v>
          </cell>
        </row>
        <row r="152">
          <cell r="D152">
            <v>1133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7355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52876</v>
          </cell>
          <cell r="F177">
            <v>3105</v>
          </cell>
        </row>
        <row r="178">
          <cell r="D178">
            <v>0</v>
          </cell>
          <cell r="F178">
            <v>10278</v>
          </cell>
        </row>
        <row r="179">
          <cell r="D179">
            <v>4068</v>
          </cell>
          <cell r="F179">
            <v>239</v>
          </cell>
        </row>
        <row r="180">
          <cell r="D180">
            <v>0</v>
          </cell>
          <cell r="F180">
            <v>790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50841</v>
          </cell>
          <cell r="F183">
            <v>2986</v>
          </cell>
        </row>
        <row r="184">
          <cell r="D184">
            <v>0</v>
          </cell>
          <cell r="F184">
            <v>9882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14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13304</v>
          </cell>
          <cell r="F198">
            <v>-807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34878</v>
          </cell>
          <cell r="F205">
            <v>0</v>
          </cell>
        </row>
        <row r="206">
          <cell r="D206">
            <v>184</v>
          </cell>
          <cell r="F206">
            <v>0</v>
          </cell>
        </row>
        <row r="207">
          <cell r="D207">
            <v>5714</v>
          </cell>
          <cell r="F207">
            <v>0</v>
          </cell>
        </row>
        <row r="211">
          <cell r="D211">
            <v>30094</v>
          </cell>
          <cell r="F211">
            <v>1767</v>
          </cell>
        </row>
        <row r="212">
          <cell r="D212">
            <v>0</v>
          </cell>
          <cell r="F212">
            <v>5849</v>
          </cell>
        </row>
        <row r="213">
          <cell r="D213">
            <v>1334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1101</v>
          </cell>
          <cell r="F216">
            <v>0</v>
          </cell>
        </row>
        <row r="221">
          <cell r="D221">
            <v>1632534</v>
          </cell>
        </row>
      </sheetData>
      <sheetData sheetId="9"/>
      <sheetData sheetId="10"/>
      <sheetData sheetId="11"/>
      <sheetData sheetId="12">
        <row r="9">
          <cell r="C9">
            <v>3703</v>
          </cell>
          <cell r="D9">
            <v>0</v>
          </cell>
          <cell r="E9">
            <v>548</v>
          </cell>
          <cell r="F9">
            <v>556</v>
          </cell>
          <cell r="G9">
            <v>0</v>
          </cell>
          <cell r="H9">
            <v>359</v>
          </cell>
          <cell r="I9">
            <v>0</v>
          </cell>
          <cell r="J9">
            <v>731</v>
          </cell>
          <cell r="K9">
            <v>0</v>
          </cell>
        </row>
        <row r="22">
          <cell r="N22">
            <v>63</v>
          </cell>
        </row>
        <row r="24">
          <cell r="N24">
            <v>63</v>
          </cell>
        </row>
        <row r="28">
          <cell r="N28">
            <v>9639</v>
          </cell>
        </row>
        <row r="30">
          <cell r="N30">
            <v>0.61178545492270986</v>
          </cell>
        </row>
        <row r="32">
          <cell r="N32">
            <v>0.38416848220769789</v>
          </cell>
        </row>
        <row r="34">
          <cell r="N34">
            <v>0.6279464134305579</v>
          </cell>
        </row>
      </sheetData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upp-1012"/>
      <sheetName val="Supp-10-490"/>
      <sheetName val="Supp-70-490"/>
      <sheetName val="Supp-80-490"/>
      <sheetName val="Supp-90-490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1873357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567750</v>
          </cell>
          <cell r="G21">
            <v>0</v>
          </cell>
        </row>
        <row r="27">
          <cell r="E27">
            <v>440585</v>
          </cell>
          <cell r="G27">
            <v>0</v>
          </cell>
        </row>
        <row r="32">
          <cell r="E32">
            <v>484765</v>
          </cell>
          <cell r="G32">
            <v>0</v>
          </cell>
        </row>
        <row r="37">
          <cell r="E37">
            <v>463495</v>
          </cell>
          <cell r="G37">
            <v>0</v>
          </cell>
        </row>
        <row r="42">
          <cell r="E42">
            <v>740703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223949</v>
          </cell>
          <cell r="G52">
            <v>-97130</v>
          </cell>
        </row>
        <row r="67">
          <cell r="E67">
            <v>112532</v>
          </cell>
          <cell r="G67">
            <v>-8432</v>
          </cell>
        </row>
        <row r="85">
          <cell r="C85">
            <v>197.84983677910773</v>
          </cell>
          <cell r="E85">
            <v>197.71858407079645</v>
          </cell>
          <cell r="G85">
            <v>197.49820788530465</v>
          </cell>
          <cell r="I85">
            <v>197.69018932874354</v>
          </cell>
        </row>
      </sheetData>
      <sheetData sheetId="6"/>
      <sheetData sheetId="7">
        <row r="10">
          <cell r="D10">
            <v>0</v>
          </cell>
          <cell r="F10">
            <v>123200</v>
          </cell>
        </row>
        <row r="11">
          <cell r="D11">
            <v>0</v>
          </cell>
          <cell r="F11">
            <v>0</v>
          </cell>
        </row>
        <row r="12">
          <cell r="D12">
            <v>250906</v>
          </cell>
          <cell r="F12">
            <v>-123200</v>
          </cell>
        </row>
        <row r="13">
          <cell r="D13">
            <v>53276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245587</v>
          </cell>
          <cell r="F16">
            <v>26554</v>
          </cell>
        </row>
        <row r="17">
          <cell r="D17">
            <v>1061</v>
          </cell>
          <cell r="F17">
            <v>-1061</v>
          </cell>
        </row>
        <row r="18">
          <cell r="D18">
            <v>16810</v>
          </cell>
          <cell r="F18">
            <v>0</v>
          </cell>
        </row>
        <row r="19">
          <cell r="D19">
            <v>10201</v>
          </cell>
          <cell r="F19">
            <v>0</v>
          </cell>
        </row>
        <row r="20">
          <cell r="D20">
            <v>12177</v>
          </cell>
          <cell r="F20">
            <v>0</v>
          </cell>
        </row>
        <row r="21">
          <cell r="D21">
            <v>20275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5370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7680</v>
          </cell>
          <cell r="F25">
            <v>0</v>
          </cell>
        </row>
        <row r="26">
          <cell r="D26">
            <v>367079</v>
          </cell>
          <cell r="F26">
            <v>0</v>
          </cell>
        </row>
        <row r="27">
          <cell r="D27">
            <v>57238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125190</v>
          </cell>
          <cell r="F29">
            <v>-125190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66350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119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24964</v>
          </cell>
          <cell r="F36">
            <v>0</v>
          </cell>
        </row>
        <row r="37">
          <cell r="D37">
            <v>8734</v>
          </cell>
          <cell r="F37">
            <v>0</v>
          </cell>
        </row>
        <row r="38">
          <cell r="D38">
            <v>22</v>
          </cell>
          <cell r="F38">
            <v>-22</v>
          </cell>
        </row>
        <row r="39">
          <cell r="D39">
            <v>2977</v>
          </cell>
          <cell r="F39">
            <v>0</v>
          </cell>
        </row>
        <row r="40">
          <cell r="D40">
            <v>2203</v>
          </cell>
          <cell r="F40">
            <v>-2203</v>
          </cell>
        </row>
        <row r="41">
          <cell r="D41">
            <v>94476</v>
          </cell>
          <cell r="F41">
            <v>0</v>
          </cell>
        </row>
        <row r="42">
          <cell r="D42">
            <v>233</v>
          </cell>
          <cell r="F42">
            <v>0</v>
          </cell>
        </row>
        <row r="43">
          <cell r="D43">
            <v>17002</v>
          </cell>
          <cell r="F43">
            <v>-17002</v>
          </cell>
        </row>
        <row r="44">
          <cell r="D44">
            <v>0</v>
          </cell>
          <cell r="F44">
            <v>0</v>
          </cell>
        </row>
        <row r="45">
          <cell r="D45">
            <v>7477</v>
          </cell>
          <cell r="F45">
            <v>-3079</v>
          </cell>
        </row>
        <row r="57">
          <cell r="D57">
            <v>0</v>
          </cell>
          <cell r="F57">
            <v>0</v>
          </cell>
        </row>
        <row r="58">
          <cell r="D58">
            <v>127151</v>
          </cell>
          <cell r="F58">
            <v>-4200</v>
          </cell>
        </row>
        <row r="59">
          <cell r="D59">
            <v>55473</v>
          </cell>
          <cell r="F59">
            <v>0</v>
          </cell>
        </row>
        <row r="60">
          <cell r="D60">
            <v>27995</v>
          </cell>
          <cell r="F60">
            <v>0</v>
          </cell>
        </row>
        <row r="61">
          <cell r="D61">
            <v>18191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3733</v>
          </cell>
          <cell r="F65">
            <v>0</v>
          </cell>
        </row>
        <row r="66">
          <cell r="D66">
            <v>36573</v>
          </cell>
          <cell r="F66">
            <v>-888</v>
          </cell>
        </row>
        <row r="67">
          <cell r="D67">
            <v>39478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2964</v>
          </cell>
          <cell r="F69">
            <v>0</v>
          </cell>
        </row>
        <row r="70">
          <cell r="D70">
            <v>-567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75381</v>
          </cell>
          <cell r="F75">
            <v>0</v>
          </cell>
        </row>
        <row r="76">
          <cell r="D76">
            <v>16573</v>
          </cell>
          <cell r="F76">
            <v>0</v>
          </cell>
        </row>
        <row r="77">
          <cell r="D77">
            <v>12128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2054</v>
          </cell>
          <cell r="F79">
            <v>0</v>
          </cell>
        </row>
        <row r="80">
          <cell r="D80">
            <v>16737</v>
          </cell>
          <cell r="F80">
            <v>0</v>
          </cell>
        </row>
        <row r="81">
          <cell r="D81">
            <v>18295</v>
          </cell>
          <cell r="F81">
            <v>0</v>
          </cell>
        </row>
        <row r="82">
          <cell r="D82">
            <v>2757</v>
          </cell>
          <cell r="F82">
            <v>0</v>
          </cell>
        </row>
        <row r="83">
          <cell r="D83">
            <v>5380</v>
          </cell>
          <cell r="F83">
            <v>0</v>
          </cell>
        </row>
        <row r="84">
          <cell r="D84">
            <v>121043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539927</v>
          </cell>
          <cell r="F91">
            <v>0</v>
          </cell>
        </row>
        <row r="92">
          <cell r="D92">
            <v>2602</v>
          </cell>
          <cell r="F92">
            <v>-4053</v>
          </cell>
        </row>
        <row r="93">
          <cell r="D93">
            <v>3669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65416</v>
          </cell>
          <cell r="F101">
            <v>0</v>
          </cell>
        </row>
        <row r="102">
          <cell r="D102">
            <v>6366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11277</v>
          </cell>
          <cell r="F117">
            <v>0</v>
          </cell>
        </row>
        <row r="118">
          <cell r="D118">
            <v>120960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403</v>
          </cell>
          <cell r="F124">
            <v>0</v>
          </cell>
        </row>
        <row r="125">
          <cell r="D125">
            <v>158924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31737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33709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36444</v>
          </cell>
          <cell r="F134">
            <v>0</v>
          </cell>
        </row>
        <row r="136">
          <cell r="D136">
            <v>441558</v>
          </cell>
          <cell r="F136">
            <v>0</v>
          </cell>
        </row>
        <row r="137">
          <cell r="D137">
            <v>399902</v>
          </cell>
          <cell r="F137">
            <v>0</v>
          </cell>
        </row>
        <row r="138">
          <cell r="D138">
            <v>586903</v>
          </cell>
          <cell r="F138">
            <v>23116</v>
          </cell>
        </row>
        <row r="139">
          <cell r="D139">
            <v>23116</v>
          </cell>
          <cell r="F139">
            <v>-23116</v>
          </cell>
        </row>
        <row r="141">
          <cell r="D141">
            <v>274594</v>
          </cell>
          <cell r="F141">
            <v>-191059</v>
          </cell>
        </row>
        <row r="142">
          <cell r="D142">
            <v>0</v>
          </cell>
          <cell r="F142">
            <v>75654</v>
          </cell>
        </row>
        <row r="143">
          <cell r="D143">
            <v>0</v>
          </cell>
          <cell r="F143">
            <v>115405</v>
          </cell>
        </row>
        <row r="144">
          <cell r="D144">
            <v>0</v>
          </cell>
          <cell r="F144">
            <v>0</v>
          </cell>
        </row>
        <row r="146">
          <cell r="D146">
            <v>27040</v>
          </cell>
          <cell r="F146">
            <v>0</v>
          </cell>
        </row>
        <row r="147">
          <cell r="D147">
            <v>25487</v>
          </cell>
          <cell r="F147">
            <v>0</v>
          </cell>
        </row>
        <row r="148">
          <cell r="D148">
            <v>350</v>
          </cell>
          <cell r="F148">
            <v>0</v>
          </cell>
        </row>
        <row r="149">
          <cell r="D149">
            <v>279612</v>
          </cell>
          <cell r="F149">
            <v>0</v>
          </cell>
        </row>
        <row r="150">
          <cell r="D150">
            <v>2788</v>
          </cell>
          <cell r="F150">
            <v>0</v>
          </cell>
        </row>
        <row r="151">
          <cell r="D151">
            <v>98719</v>
          </cell>
          <cell r="F151">
            <v>589.04</v>
          </cell>
        </row>
        <row r="152">
          <cell r="D152">
            <v>1943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1750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14799</v>
          </cell>
          <cell r="F161">
            <v>-96445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276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8217</v>
          </cell>
          <cell r="F193">
            <v>0</v>
          </cell>
        </row>
        <row r="194">
          <cell r="D194">
            <v>173576</v>
          </cell>
          <cell r="F194">
            <v>-6717</v>
          </cell>
        </row>
        <row r="195">
          <cell r="D195">
            <v>27862</v>
          </cell>
          <cell r="F195">
            <v>-1078</v>
          </cell>
        </row>
        <row r="196">
          <cell r="D196">
            <v>0</v>
          </cell>
          <cell r="F196">
            <v>0</v>
          </cell>
        </row>
        <row r="197">
          <cell r="D197">
            <v>127495</v>
          </cell>
          <cell r="F197">
            <v>-4934</v>
          </cell>
        </row>
        <row r="198">
          <cell r="D198">
            <v>28121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168321</v>
          </cell>
          <cell r="F205">
            <v>11520</v>
          </cell>
        </row>
        <row r="206">
          <cell r="D206">
            <v>0</v>
          </cell>
          <cell r="F206">
            <v>0</v>
          </cell>
        </row>
        <row r="207">
          <cell r="D207">
            <v>4991</v>
          </cell>
          <cell r="F207">
            <v>369</v>
          </cell>
        </row>
        <row r="211">
          <cell r="D211">
            <v>97316</v>
          </cell>
          <cell r="F211">
            <v>0</v>
          </cell>
        </row>
        <row r="212">
          <cell r="D212">
            <v>21366</v>
          </cell>
          <cell r="F212">
            <v>0</v>
          </cell>
        </row>
        <row r="213">
          <cell r="D213">
            <v>2457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411</v>
          </cell>
          <cell r="F216">
            <v>0</v>
          </cell>
        </row>
        <row r="221">
          <cell r="D221">
            <v>5829150</v>
          </cell>
        </row>
      </sheetData>
      <sheetData sheetId="8"/>
      <sheetData sheetId="9"/>
      <sheetData sheetId="10">
        <row r="9">
          <cell r="C9">
            <v>10504</v>
          </cell>
          <cell r="D9">
            <v>0</v>
          </cell>
          <cell r="E9">
            <v>1076</v>
          </cell>
          <cell r="F9">
            <v>1164</v>
          </cell>
          <cell r="G9">
            <v>2115</v>
          </cell>
          <cell r="H9">
            <v>2344</v>
          </cell>
          <cell r="I9">
            <v>4244</v>
          </cell>
          <cell r="J9">
            <v>0</v>
          </cell>
          <cell r="K9">
            <v>410</v>
          </cell>
        </row>
        <row r="22">
          <cell r="N22">
            <v>106</v>
          </cell>
        </row>
        <row r="24">
          <cell r="N24">
            <v>106</v>
          </cell>
        </row>
        <row r="28">
          <cell r="N28">
            <v>38690</v>
          </cell>
        </row>
        <row r="30">
          <cell r="N30">
            <v>0.56492633755492372</v>
          </cell>
        </row>
        <row r="32">
          <cell r="N32">
            <v>0.27149134143189457</v>
          </cell>
        </row>
        <row r="34">
          <cell r="N34">
            <v>0.48057830443336236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upp-1012"/>
      <sheetName val="Supp-10-490"/>
      <sheetName val="Supp-70-490"/>
      <sheetName val="Supp-80-490"/>
      <sheetName val="Supp-90-490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2216674</v>
          </cell>
          <cell r="G10">
            <v>0</v>
          </cell>
        </row>
        <row r="15">
          <cell r="E15">
            <v>71200</v>
          </cell>
          <cell r="G15">
            <v>0</v>
          </cell>
        </row>
        <row r="21">
          <cell r="E21">
            <v>697424</v>
          </cell>
          <cell r="G21">
            <v>0</v>
          </cell>
        </row>
        <row r="27">
          <cell r="E27">
            <v>47437</v>
          </cell>
          <cell r="G27">
            <v>0</v>
          </cell>
        </row>
        <row r="32">
          <cell r="E32">
            <v>176193</v>
          </cell>
          <cell r="G32">
            <v>0</v>
          </cell>
        </row>
        <row r="37">
          <cell r="E37">
            <v>124720</v>
          </cell>
          <cell r="G37">
            <v>0</v>
          </cell>
        </row>
        <row r="42">
          <cell r="E42">
            <v>162575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13045</v>
          </cell>
          <cell r="G52">
            <v>0</v>
          </cell>
        </row>
        <row r="67">
          <cell r="E67">
            <v>79568</v>
          </cell>
          <cell r="G67">
            <v>-1928</v>
          </cell>
        </row>
        <row r="85">
          <cell r="C85">
            <v>169.91390728476821</v>
          </cell>
          <cell r="E85">
            <v>169.91812865497076</v>
          </cell>
          <cell r="G85">
            <v>169.92156862745097</v>
          </cell>
          <cell r="I85">
            <v>169.91826923076923</v>
          </cell>
        </row>
      </sheetData>
      <sheetData sheetId="6"/>
      <sheetData sheetId="7">
        <row r="10">
          <cell r="D10">
            <v>0</v>
          </cell>
          <cell r="F10">
            <v>97444</v>
          </cell>
        </row>
        <row r="11">
          <cell r="D11">
            <v>0</v>
          </cell>
          <cell r="F11">
            <v>0</v>
          </cell>
        </row>
        <row r="12">
          <cell r="D12">
            <v>196968</v>
          </cell>
          <cell r="F12">
            <v>-97444</v>
          </cell>
        </row>
        <row r="13">
          <cell r="D13">
            <v>308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179478</v>
          </cell>
          <cell r="F16">
            <v>317308</v>
          </cell>
        </row>
        <row r="17">
          <cell r="D17">
            <v>563</v>
          </cell>
          <cell r="F17">
            <v>-563</v>
          </cell>
        </row>
        <row r="18">
          <cell r="D18">
            <v>20275</v>
          </cell>
          <cell r="F18">
            <v>0</v>
          </cell>
        </row>
        <row r="19">
          <cell r="D19">
            <v>9617</v>
          </cell>
          <cell r="F19">
            <v>0</v>
          </cell>
        </row>
        <row r="20">
          <cell r="D20">
            <v>7299</v>
          </cell>
          <cell r="F20">
            <v>0</v>
          </cell>
        </row>
        <row r="21">
          <cell r="D21">
            <v>12799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8048</v>
          </cell>
          <cell r="F23">
            <v>0</v>
          </cell>
        </row>
        <row r="24">
          <cell r="D24">
            <v>9256</v>
          </cell>
          <cell r="F24">
            <v>0</v>
          </cell>
        </row>
        <row r="25">
          <cell r="D25">
            <v>5356</v>
          </cell>
          <cell r="F25">
            <v>0</v>
          </cell>
        </row>
        <row r="26">
          <cell r="D26">
            <v>254077</v>
          </cell>
          <cell r="F26">
            <v>0</v>
          </cell>
        </row>
        <row r="27">
          <cell r="D27">
            <v>15415</v>
          </cell>
          <cell r="F27">
            <v>0</v>
          </cell>
        </row>
        <row r="28">
          <cell r="D28">
            <v>54564</v>
          </cell>
          <cell r="F28">
            <v>-54564</v>
          </cell>
        </row>
        <row r="29">
          <cell r="D29">
            <v>41668</v>
          </cell>
          <cell r="F29">
            <v>-41668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44710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45</v>
          </cell>
          <cell r="F34">
            <v>0</v>
          </cell>
        </row>
        <row r="35">
          <cell r="D35">
            <v>3291</v>
          </cell>
          <cell r="F35">
            <v>-3291</v>
          </cell>
        </row>
        <row r="36">
          <cell r="D36">
            <v>25722</v>
          </cell>
          <cell r="F36">
            <v>0</v>
          </cell>
        </row>
        <row r="37">
          <cell r="D37">
            <v>647</v>
          </cell>
          <cell r="F37">
            <v>0</v>
          </cell>
        </row>
        <row r="38">
          <cell r="D38">
            <v>475</v>
          </cell>
          <cell r="F38">
            <v>-475</v>
          </cell>
        </row>
        <row r="39">
          <cell r="D39">
            <v>2382</v>
          </cell>
          <cell r="F39">
            <v>0</v>
          </cell>
        </row>
        <row r="40">
          <cell r="D40">
            <v>906</v>
          </cell>
          <cell r="F40">
            <v>-906</v>
          </cell>
        </row>
        <row r="41">
          <cell r="D41">
            <v>48482</v>
          </cell>
          <cell r="F41">
            <v>0</v>
          </cell>
        </row>
        <row r="42">
          <cell r="D42">
            <v>700</v>
          </cell>
          <cell r="F42">
            <v>0</v>
          </cell>
        </row>
        <row r="43">
          <cell r="D43">
            <v>7291</v>
          </cell>
          <cell r="F43">
            <v>-7291</v>
          </cell>
        </row>
        <row r="44">
          <cell r="D44">
            <v>0</v>
          </cell>
          <cell r="F44">
            <v>0</v>
          </cell>
        </row>
        <row r="45">
          <cell r="D45">
            <v>2633</v>
          </cell>
          <cell r="F45">
            <v>-1750</v>
          </cell>
        </row>
        <row r="57">
          <cell r="D57">
            <v>0</v>
          </cell>
          <cell r="F57">
            <v>0</v>
          </cell>
        </row>
        <row r="58">
          <cell r="D58">
            <v>83730</v>
          </cell>
          <cell r="F58">
            <v>0</v>
          </cell>
        </row>
        <row r="59">
          <cell r="D59">
            <v>60095</v>
          </cell>
          <cell r="F59">
            <v>0</v>
          </cell>
        </row>
        <row r="60">
          <cell r="D60">
            <v>10192</v>
          </cell>
          <cell r="F60">
            <v>0</v>
          </cell>
        </row>
        <row r="61">
          <cell r="D61">
            <v>3419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2946</v>
          </cell>
          <cell r="F65">
            <v>0</v>
          </cell>
        </row>
        <row r="66">
          <cell r="D66">
            <v>37368</v>
          </cell>
          <cell r="F66">
            <v>-606</v>
          </cell>
        </row>
        <row r="67">
          <cell r="D67">
            <v>27486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4349</v>
          </cell>
          <cell r="F69">
            <v>0</v>
          </cell>
        </row>
        <row r="70">
          <cell r="D70">
            <v>-429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41580</v>
          </cell>
          <cell r="F75">
            <v>0</v>
          </cell>
        </row>
        <row r="76">
          <cell r="D76">
            <v>6246</v>
          </cell>
          <cell r="F76">
            <v>0</v>
          </cell>
        </row>
        <row r="77">
          <cell r="D77">
            <v>3483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774</v>
          </cell>
          <cell r="F79">
            <v>0</v>
          </cell>
        </row>
        <row r="80">
          <cell r="D80">
            <v>12629</v>
          </cell>
          <cell r="F80">
            <v>0</v>
          </cell>
        </row>
        <row r="81">
          <cell r="D81">
            <v>11044</v>
          </cell>
          <cell r="F81">
            <v>0</v>
          </cell>
        </row>
        <row r="82">
          <cell r="D82">
            <v>12547</v>
          </cell>
          <cell r="F82">
            <v>0</v>
          </cell>
        </row>
        <row r="83">
          <cell r="D83">
            <v>5186</v>
          </cell>
          <cell r="F83">
            <v>0</v>
          </cell>
        </row>
        <row r="84">
          <cell r="D84">
            <v>40316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276861</v>
          </cell>
          <cell r="F91">
            <v>0</v>
          </cell>
        </row>
        <row r="92">
          <cell r="D92">
            <v>2316</v>
          </cell>
          <cell r="F92">
            <v>-1878</v>
          </cell>
        </row>
        <row r="93">
          <cell r="D93">
            <v>1441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45783</v>
          </cell>
          <cell r="F101">
            <v>0</v>
          </cell>
        </row>
        <row r="102">
          <cell r="D102">
            <v>2545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7235</v>
          </cell>
          <cell r="F117">
            <v>0</v>
          </cell>
        </row>
        <row r="118">
          <cell r="D118">
            <v>86787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83</v>
          </cell>
          <cell r="F124">
            <v>0</v>
          </cell>
        </row>
        <row r="125">
          <cell r="D125">
            <v>137192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25996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36443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12828</v>
          </cell>
          <cell r="F134">
            <v>0</v>
          </cell>
        </row>
        <row r="136">
          <cell r="D136">
            <v>241188</v>
          </cell>
          <cell r="F136">
            <v>0</v>
          </cell>
        </row>
        <row r="137">
          <cell r="D137">
            <v>204189</v>
          </cell>
          <cell r="F137">
            <v>0</v>
          </cell>
        </row>
        <row r="138">
          <cell r="D138">
            <v>360027</v>
          </cell>
          <cell r="F138">
            <v>6467</v>
          </cell>
        </row>
        <row r="139">
          <cell r="D139">
            <v>6467</v>
          </cell>
          <cell r="F139">
            <v>-6467</v>
          </cell>
        </row>
        <row r="141">
          <cell r="D141">
            <v>179978</v>
          </cell>
          <cell r="F141">
            <v>-126510</v>
          </cell>
        </row>
        <row r="142">
          <cell r="D142">
            <v>0</v>
          </cell>
          <cell r="F142">
            <v>45265</v>
          </cell>
        </row>
        <row r="143">
          <cell r="D143">
            <v>0</v>
          </cell>
          <cell r="F143">
            <v>81245</v>
          </cell>
        </row>
        <row r="144">
          <cell r="D144">
            <v>0</v>
          </cell>
          <cell r="F144">
            <v>0</v>
          </cell>
        </row>
        <row r="146">
          <cell r="D146">
            <v>14775</v>
          </cell>
          <cell r="F146">
            <v>0</v>
          </cell>
        </row>
        <row r="147">
          <cell r="D147">
            <v>17477</v>
          </cell>
          <cell r="F147">
            <v>0</v>
          </cell>
        </row>
        <row r="148">
          <cell r="D148">
            <v>62884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2022</v>
          </cell>
          <cell r="F150">
            <v>0</v>
          </cell>
        </row>
        <row r="151">
          <cell r="D151">
            <v>53571</v>
          </cell>
          <cell r="F151">
            <v>2561</v>
          </cell>
        </row>
        <row r="152">
          <cell r="D152">
            <v>2173</v>
          </cell>
          <cell r="F152">
            <v>23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2150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9252</v>
          </cell>
          <cell r="F161">
            <v>397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42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2020</v>
          </cell>
          <cell r="F193">
            <v>0</v>
          </cell>
        </row>
        <row r="194">
          <cell r="D194">
            <v>90088</v>
          </cell>
          <cell r="F194">
            <v>-3486</v>
          </cell>
        </row>
        <row r="195">
          <cell r="D195">
            <v>23451</v>
          </cell>
          <cell r="F195">
            <v>-908</v>
          </cell>
        </row>
        <row r="196">
          <cell r="D196">
            <v>0</v>
          </cell>
          <cell r="F196">
            <v>0</v>
          </cell>
        </row>
        <row r="197">
          <cell r="D197">
            <v>77105</v>
          </cell>
          <cell r="F197">
            <v>-2984</v>
          </cell>
        </row>
        <row r="198">
          <cell r="D198">
            <v>8979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115702</v>
          </cell>
          <cell r="F205">
            <v>4877</v>
          </cell>
        </row>
        <row r="206">
          <cell r="D206">
            <v>3133</v>
          </cell>
          <cell r="F206">
            <v>0</v>
          </cell>
        </row>
        <row r="207">
          <cell r="D207">
            <v>395</v>
          </cell>
          <cell r="F207">
            <v>0</v>
          </cell>
        </row>
        <row r="211">
          <cell r="D211">
            <v>88779</v>
          </cell>
          <cell r="F211">
            <v>0</v>
          </cell>
        </row>
        <row r="212">
          <cell r="D212">
            <v>39375</v>
          </cell>
          <cell r="F212">
            <v>0</v>
          </cell>
        </row>
        <row r="213">
          <cell r="D213">
            <v>3452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1930</v>
          </cell>
          <cell r="F216">
            <v>0</v>
          </cell>
        </row>
        <row r="221">
          <cell r="D221">
            <v>3562050</v>
          </cell>
        </row>
      </sheetData>
      <sheetData sheetId="8"/>
      <sheetData sheetId="9"/>
      <sheetData sheetId="10">
        <row r="9">
          <cell r="C9">
            <v>10886</v>
          </cell>
          <cell r="D9">
            <v>335</v>
          </cell>
          <cell r="E9">
            <v>1317</v>
          </cell>
          <cell r="F9">
            <v>90</v>
          </cell>
          <cell r="G9">
            <v>766</v>
          </cell>
          <cell r="H9">
            <v>734</v>
          </cell>
          <cell r="I9">
            <v>795</v>
          </cell>
          <cell r="J9">
            <v>0</v>
          </cell>
          <cell r="K9">
            <v>43</v>
          </cell>
        </row>
        <row r="22">
          <cell r="N22">
            <v>80</v>
          </cell>
        </row>
        <row r="24">
          <cell r="N24">
            <v>80</v>
          </cell>
        </row>
        <row r="28">
          <cell r="N28">
            <v>29200</v>
          </cell>
        </row>
        <row r="30">
          <cell r="N30">
            <v>0.51253424657534241</v>
          </cell>
        </row>
        <row r="32">
          <cell r="N32">
            <v>0.38428082191780821</v>
          </cell>
        </row>
        <row r="34">
          <cell r="N34">
            <v>0.74976613657623958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Cont.)"/>
      <sheetName val="Sch C-2"/>
      <sheetName val="Sch D"/>
      <sheetName val="Summary"/>
      <sheetName val="Misc 10-490"/>
      <sheetName val="Misc 30-490"/>
      <sheetName val="Misc 70-490"/>
      <sheetName val="Misc 80-490"/>
      <sheetName val="Misc 90-490"/>
      <sheetName val="10-12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4864251</v>
          </cell>
          <cell r="G10">
            <v>15344</v>
          </cell>
        </row>
        <row r="15">
          <cell r="E15">
            <v>0</v>
          </cell>
          <cell r="G15">
            <v>0</v>
          </cell>
        </row>
        <row r="21">
          <cell r="E21">
            <v>1618485</v>
          </cell>
          <cell r="G21">
            <v>-5937</v>
          </cell>
        </row>
        <row r="27">
          <cell r="E27">
            <v>605522</v>
          </cell>
          <cell r="G27">
            <v>5480</v>
          </cell>
        </row>
        <row r="32">
          <cell r="E32">
            <v>1158511</v>
          </cell>
          <cell r="G32">
            <v>12586</v>
          </cell>
        </row>
        <row r="37">
          <cell r="E37">
            <v>373052</v>
          </cell>
          <cell r="G37">
            <v>5481</v>
          </cell>
        </row>
        <row r="42">
          <cell r="E42">
            <v>134381</v>
          </cell>
          <cell r="G42">
            <v>700</v>
          </cell>
        </row>
        <row r="47">
          <cell r="E47">
            <v>0</v>
          </cell>
          <cell r="G47">
            <v>0</v>
          </cell>
        </row>
        <row r="52">
          <cell r="E52">
            <v>210987</v>
          </cell>
          <cell r="G52">
            <v>1117</v>
          </cell>
        </row>
        <row r="67">
          <cell r="E67">
            <v>1203973</v>
          </cell>
          <cell r="G67">
            <v>-1121569</v>
          </cell>
        </row>
      </sheetData>
      <sheetData sheetId="6"/>
      <sheetData sheetId="7">
        <row r="10">
          <cell r="D10">
            <v>76008</v>
          </cell>
          <cell r="F10">
            <v>-18647</v>
          </cell>
        </row>
        <row r="11">
          <cell r="D11">
            <v>0</v>
          </cell>
          <cell r="F11">
            <v>0</v>
          </cell>
        </row>
        <row r="12">
          <cell r="D12">
            <v>293581</v>
          </cell>
          <cell r="F12">
            <v>18647</v>
          </cell>
        </row>
        <row r="13">
          <cell r="D13">
            <v>127457</v>
          </cell>
          <cell r="F13">
            <v>-96027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595989</v>
          </cell>
          <cell r="F16">
            <v>312390</v>
          </cell>
        </row>
        <row r="17">
          <cell r="D17">
            <v>23809</v>
          </cell>
          <cell r="F17">
            <v>-23809</v>
          </cell>
        </row>
        <row r="18">
          <cell r="D18">
            <v>45661</v>
          </cell>
          <cell r="F18">
            <v>0</v>
          </cell>
        </row>
        <row r="19">
          <cell r="D19">
            <v>11417</v>
          </cell>
          <cell r="F19">
            <v>-2378</v>
          </cell>
        </row>
        <row r="20">
          <cell r="D20">
            <v>24943</v>
          </cell>
          <cell r="F20">
            <v>0</v>
          </cell>
        </row>
        <row r="21">
          <cell r="D21">
            <v>53750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13147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548520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155826</v>
          </cell>
          <cell r="F29">
            <v>-155826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27362</v>
          </cell>
          <cell r="F32">
            <v>-9125</v>
          </cell>
        </row>
        <row r="33">
          <cell r="D33">
            <v>3356</v>
          </cell>
          <cell r="F33">
            <v>-3356</v>
          </cell>
        </row>
        <row r="34">
          <cell r="D34">
            <v>8810</v>
          </cell>
          <cell r="F34">
            <v>0</v>
          </cell>
        </row>
        <row r="35">
          <cell r="D35">
            <v>6010</v>
          </cell>
          <cell r="F35">
            <v>-6010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12823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20670</v>
          </cell>
          <cell r="F41">
            <v>6775</v>
          </cell>
        </row>
        <row r="42">
          <cell r="D42">
            <v>195</v>
          </cell>
          <cell r="F42">
            <v>0</v>
          </cell>
        </row>
        <row r="43">
          <cell r="D43">
            <v>10710</v>
          </cell>
          <cell r="F43">
            <v>-10710</v>
          </cell>
        </row>
        <row r="44">
          <cell r="D44">
            <v>0</v>
          </cell>
          <cell r="F44">
            <v>0</v>
          </cell>
        </row>
        <row r="45">
          <cell r="D45">
            <v>857114</v>
          </cell>
          <cell r="F45">
            <v>-346274</v>
          </cell>
        </row>
        <row r="57">
          <cell r="D57">
            <v>446379</v>
          </cell>
          <cell r="F57">
            <v>-446379</v>
          </cell>
        </row>
        <row r="58">
          <cell r="D58">
            <v>0</v>
          </cell>
          <cell r="F58">
            <v>73596</v>
          </cell>
        </row>
        <row r="59">
          <cell r="D59">
            <v>561069</v>
          </cell>
          <cell r="F59">
            <v>-329007</v>
          </cell>
        </row>
        <row r="60">
          <cell r="D60">
            <v>33341</v>
          </cell>
          <cell r="F60">
            <v>0</v>
          </cell>
        </row>
        <row r="61">
          <cell r="D61">
            <v>25589</v>
          </cell>
          <cell r="F61">
            <v>-12303</v>
          </cell>
        </row>
        <row r="62">
          <cell r="D62">
            <v>0</v>
          </cell>
          <cell r="F62">
            <v>14210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14559</v>
          </cell>
        </row>
        <row r="66">
          <cell r="D66">
            <v>0</v>
          </cell>
          <cell r="F66">
            <v>0</v>
          </cell>
        </row>
        <row r="67">
          <cell r="D67">
            <v>307444</v>
          </cell>
          <cell r="F67">
            <v>-259123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1323</v>
          </cell>
          <cell r="F71">
            <v>-1323</v>
          </cell>
        </row>
        <row r="75">
          <cell r="D75">
            <v>125099</v>
          </cell>
          <cell r="F75">
            <v>-22832</v>
          </cell>
        </row>
        <row r="76">
          <cell r="D76">
            <v>10750</v>
          </cell>
          <cell r="F76">
            <v>1698</v>
          </cell>
        </row>
        <row r="77">
          <cell r="D77">
            <v>40413</v>
          </cell>
          <cell r="F77">
            <v>-7376</v>
          </cell>
        </row>
        <row r="78">
          <cell r="D78">
            <v>0</v>
          </cell>
          <cell r="F78">
            <v>0</v>
          </cell>
        </row>
        <row r="79">
          <cell r="D79">
            <v>5406</v>
          </cell>
          <cell r="F79">
            <v>-987</v>
          </cell>
        </row>
        <row r="80">
          <cell r="D80">
            <v>7654</v>
          </cell>
          <cell r="F80">
            <v>-1397</v>
          </cell>
        </row>
        <row r="81">
          <cell r="D81">
            <v>22197</v>
          </cell>
          <cell r="F81">
            <v>-4051</v>
          </cell>
        </row>
        <row r="82">
          <cell r="D82">
            <v>0</v>
          </cell>
          <cell r="F82">
            <v>0</v>
          </cell>
        </row>
        <row r="83">
          <cell r="D83">
            <v>13993</v>
          </cell>
          <cell r="F83">
            <v>-2554</v>
          </cell>
        </row>
        <row r="84">
          <cell r="D84">
            <v>192587</v>
          </cell>
          <cell r="F84">
            <v>-35149</v>
          </cell>
        </row>
        <row r="85">
          <cell r="D85">
            <v>25672</v>
          </cell>
          <cell r="F85">
            <v>61960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665148</v>
          </cell>
          <cell r="F91">
            <v>-295510</v>
          </cell>
        </row>
        <row r="92">
          <cell r="D92">
            <v>10512</v>
          </cell>
          <cell r="F92">
            <v>295510</v>
          </cell>
        </row>
        <row r="93">
          <cell r="D93">
            <v>3869</v>
          </cell>
          <cell r="F93">
            <v>0</v>
          </cell>
        </row>
        <row r="94">
          <cell r="D94">
            <v>196</v>
          </cell>
          <cell r="F94">
            <v>286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75</v>
          </cell>
          <cell r="F100">
            <v>0</v>
          </cell>
        </row>
        <row r="101">
          <cell r="D101">
            <v>132567</v>
          </cell>
          <cell r="F101">
            <v>0</v>
          </cell>
        </row>
        <row r="102">
          <cell r="D102">
            <v>0</v>
          </cell>
          <cell r="F102">
            <v>0</v>
          </cell>
        </row>
        <row r="103">
          <cell r="D103">
            <v>479</v>
          </cell>
          <cell r="F103">
            <v>2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311</v>
          </cell>
          <cell r="F117">
            <v>0</v>
          </cell>
        </row>
        <row r="118">
          <cell r="D118">
            <v>198851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403649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116542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38140</v>
          </cell>
          <cell r="F131">
            <v>9839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10578</v>
          </cell>
          <cell r="F134">
            <v>6956</v>
          </cell>
        </row>
        <row r="136">
          <cell r="D136">
            <v>464981</v>
          </cell>
          <cell r="F136">
            <v>22099</v>
          </cell>
        </row>
        <row r="137">
          <cell r="D137">
            <v>598849</v>
          </cell>
          <cell r="F137">
            <v>24235</v>
          </cell>
        </row>
        <row r="138">
          <cell r="D138">
            <v>1212056</v>
          </cell>
          <cell r="F138">
            <v>45871</v>
          </cell>
        </row>
        <row r="139">
          <cell r="D139">
            <v>92205</v>
          </cell>
          <cell r="F139">
            <v>-92205</v>
          </cell>
        </row>
        <row r="141">
          <cell r="D141">
            <v>0</v>
          </cell>
          <cell r="F141">
            <v>65444.731191301835</v>
          </cell>
        </row>
        <row r="142">
          <cell r="D142">
            <v>0</v>
          </cell>
          <cell r="F142">
            <v>83682.717771998272</v>
          </cell>
        </row>
        <row r="143">
          <cell r="D143">
            <v>0</v>
          </cell>
          <cell r="F143">
            <v>150424.55103669991</v>
          </cell>
        </row>
        <row r="144">
          <cell r="D144">
            <v>223987</v>
          </cell>
          <cell r="F144">
            <v>-223987</v>
          </cell>
        </row>
        <row r="146">
          <cell r="D146">
            <v>65119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20430</v>
          </cell>
          <cell r="F150">
            <v>0</v>
          </cell>
        </row>
        <row r="151">
          <cell r="D151">
            <v>191558</v>
          </cell>
          <cell r="F151">
            <v>72</v>
          </cell>
        </row>
        <row r="152">
          <cell r="D152">
            <v>1454</v>
          </cell>
          <cell r="F152">
            <v>0</v>
          </cell>
        </row>
        <row r="153">
          <cell r="D153">
            <v>37332</v>
          </cell>
          <cell r="F153">
            <v>0</v>
          </cell>
        </row>
        <row r="154">
          <cell r="D154">
            <v>871308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196272</v>
          </cell>
          <cell r="F161">
            <v>185876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9623</v>
          </cell>
          <cell r="F188">
            <v>1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9445</v>
          </cell>
          <cell r="F191">
            <v>0</v>
          </cell>
        </row>
        <row r="192">
          <cell r="D192">
            <v>57930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346684</v>
          </cell>
          <cell r="F194">
            <v>-117241</v>
          </cell>
        </row>
        <row r="195">
          <cell r="D195">
            <v>158448</v>
          </cell>
          <cell r="F195">
            <v>-5412</v>
          </cell>
        </row>
        <row r="196">
          <cell r="D196">
            <v>0</v>
          </cell>
          <cell r="F196">
            <v>0</v>
          </cell>
        </row>
        <row r="197">
          <cell r="D197">
            <v>295791</v>
          </cell>
          <cell r="F197">
            <v>-3410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339923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61461</v>
          </cell>
          <cell r="F207">
            <v>0</v>
          </cell>
        </row>
        <row r="211">
          <cell r="D211">
            <v>200079</v>
          </cell>
          <cell r="F211">
            <v>0</v>
          </cell>
        </row>
        <row r="212">
          <cell r="D212">
            <v>18941</v>
          </cell>
          <cell r="F212">
            <v>6401</v>
          </cell>
        </row>
        <row r="213">
          <cell r="D213">
            <v>12325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22603</v>
          </cell>
          <cell r="F216">
            <v>17</v>
          </cell>
        </row>
        <row r="221">
          <cell r="D221">
            <v>11825795</v>
          </cell>
        </row>
      </sheetData>
      <sheetData sheetId="8"/>
      <sheetData sheetId="9"/>
      <sheetData sheetId="10"/>
      <sheetData sheetId="11">
        <row r="9">
          <cell r="C9">
            <v>22247</v>
          </cell>
          <cell r="D9">
            <v>0</v>
          </cell>
          <cell r="E9">
            <v>2748</v>
          </cell>
          <cell r="F9">
            <v>1102</v>
          </cell>
          <cell r="G9">
            <v>3605</v>
          </cell>
          <cell r="H9">
            <v>1652</v>
          </cell>
          <cell r="I9">
            <v>728</v>
          </cell>
          <cell r="J9">
            <v>0</v>
          </cell>
          <cell r="K9">
            <v>918</v>
          </cell>
        </row>
        <row r="22">
          <cell r="N22">
            <v>176</v>
          </cell>
        </row>
        <row r="24">
          <cell r="N24">
            <v>176</v>
          </cell>
        </row>
        <row r="28">
          <cell r="N28">
            <v>58960</v>
          </cell>
        </row>
        <row r="30">
          <cell r="N30">
            <v>0.55970149253731338</v>
          </cell>
        </row>
        <row r="32">
          <cell r="N32">
            <v>0.3773236092265943</v>
          </cell>
        </row>
        <row r="34">
          <cell r="N34">
            <v>0.67415151515151517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1160487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5403858</v>
          </cell>
          <cell r="G21">
            <v>0</v>
          </cell>
        </row>
        <row r="27">
          <cell r="E27">
            <v>1993164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1373107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202404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165517</v>
          </cell>
          <cell r="G67">
            <v>0</v>
          </cell>
        </row>
        <row r="85">
          <cell r="C85">
            <v>282.28125</v>
          </cell>
          <cell r="E85">
            <v>293.44518518518521</v>
          </cell>
          <cell r="G85">
            <v>302.56555023923443</v>
          </cell>
          <cell r="I85">
            <v>297.48119575699133</v>
          </cell>
        </row>
      </sheetData>
      <sheetData sheetId="6"/>
      <sheetData sheetId="7">
        <row r="10">
          <cell r="D10">
            <v>120113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327400</v>
          </cell>
          <cell r="F12">
            <v>0</v>
          </cell>
        </row>
        <row r="13">
          <cell r="D13">
            <v>858706</v>
          </cell>
          <cell r="F13">
            <v>-778247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510786</v>
          </cell>
          <cell r="F16">
            <v>251167</v>
          </cell>
        </row>
        <row r="17">
          <cell r="D17">
            <v>8160</v>
          </cell>
          <cell r="F17">
            <v>0</v>
          </cell>
        </row>
        <row r="18">
          <cell r="D18">
            <v>27638</v>
          </cell>
          <cell r="F18">
            <v>0</v>
          </cell>
        </row>
        <row r="19">
          <cell r="D19">
            <v>23041</v>
          </cell>
          <cell r="F19">
            <v>0</v>
          </cell>
        </row>
        <row r="20">
          <cell r="D20">
            <v>35434</v>
          </cell>
          <cell r="F20">
            <v>0</v>
          </cell>
        </row>
        <row r="21">
          <cell r="D21">
            <v>139237</v>
          </cell>
          <cell r="F21">
            <v>8084</v>
          </cell>
        </row>
        <row r="22">
          <cell r="D22">
            <v>1000</v>
          </cell>
          <cell r="F22">
            <v>0</v>
          </cell>
        </row>
        <row r="23">
          <cell r="D23">
            <v>22026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257390</v>
          </cell>
          <cell r="F26">
            <v>0</v>
          </cell>
        </row>
        <row r="27">
          <cell r="D27">
            <v>61469</v>
          </cell>
          <cell r="F27">
            <v>-1297</v>
          </cell>
        </row>
        <row r="28">
          <cell r="D28">
            <v>0</v>
          </cell>
          <cell r="F28">
            <v>0</v>
          </cell>
        </row>
        <row r="29">
          <cell r="D29">
            <v>126891</v>
          </cell>
          <cell r="F29">
            <v>-126891</v>
          </cell>
        </row>
        <row r="30">
          <cell r="D30">
            <v>0</v>
          </cell>
          <cell r="F30">
            <v>0</v>
          </cell>
        </row>
        <row r="31">
          <cell r="D31">
            <v>87080</v>
          </cell>
          <cell r="F31">
            <v>0</v>
          </cell>
        </row>
        <row r="32">
          <cell r="D32">
            <v>40439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6483</v>
          </cell>
          <cell r="F35">
            <v>-6483</v>
          </cell>
        </row>
        <row r="36">
          <cell r="D36">
            <v>22331</v>
          </cell>
          <cell r="F36">
            <v>0</v>
          </cell>
        </row>
        <row r="37">
          <cell r="D37">
            <v>0</v>
          </cell>
          <cell r="F37">
            <v>4015</v>
          </cell>
        </row>
        <row r="38">
          <cell r="D38">
            <v>0</v>
          </cell>
          <cell r="F38">
            <v>0</v>
          </cell>
        </row>
        <row r="39">
          <cell r="D39">
            <v>18485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98944</v>
          </cell>
          <cell r="F41">
            <v>0</v>
          </cell>
        </row>
        <row r="42">
          <cell r="D42">
            <v>3534</v>
          </cell>
          <cell r="F42">
            <v>0</v>
          </cell>
        </row>
        <row r="43">
          <cell r="D43">
            <v>15570</v>
          </cell>
          <cell r="F43">
            <v>0</v>
          </cell>
        </row>
        <row r="44">
          <cell r="D44">
            <v>63</v>
          </cell>
          <cell r="F44">
            <v>0</v>
          </cell>
        </row>
        <row r="45">
          <cell r="D45">
            <v>1941</v>
          </cell>
          <cell r="F45">
            <v>-1807</v>
          </cell>
        </row>
        <row r="57">
          <cell r="D57">
            <v>1113840</v>
          </cell>
          <cell r="F57">
            <v>-1113840</v>
          </cell>
        </row>
        <row r="58">
          <cell r="D58">
            <v>12119</v>
          </cell>
          <cell r="F58">
            <v>394147</v>
          </cell>
        </row>
        <row r="59">
          <cell r="D59">
            <v>93013</v>
          </cell>
          <cell r="F59">
            <v>393914</v>
          </cell>
        </row>
        <row r="60">
          <cell r="D60">
            <v>50993</v>
          </cell>
          <cell r="F60">
            <v>0</v>
          </cell>
        </row>
        <row r="61">
          <cell r="D61">
            <v>22965</v>
          </cell>
          <cell r="F61">
            <v>0</v>
          </cell>
        </row>
        <row r="62">
          <cell r="D62">
            <v>11978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14672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55096</v>
          </cell>
          <cell r="F67">
            <v>24224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100322</v>
          </cell>
          <cell r="F75">
            <v>0</v>
          </cell>
        </row>
        <row r="76">
          <cell r="D76">
            <v>0</v>
          </cell>
          <cell r="F76">
            <v>18037</v>
          </cell>
        </row>
        <row r="77">
          <cell r="D77">
            <v>13968</v>
          </cell>
          <cell r="F77">
            <v>0</v>
          </cell>
        </row>
        <row r="78">
          <cell r="D78">
            <v>59929</v>
          </cell>
          <cell r="F78">
            <v>0</v>
          </cell>
        </row>
        <row r="79">
          <cell r="D79">
            <v>649</v>
          </cell>
          <cell r="F79">
            <v>0</v>
          </cell>
        </row>
        <row r="80">
          <cell r="D80">
            <v>28208</v>
          </cell>
          <cell r="F80">
            <v>0</v>
          </cell>
        </row>
        <row r="81">
          <cell r="D81">
            <v>17506</v>
          </cell>
          <cell r="F81">
            <v>0</v>
          </cell>
        </row>
        <row r="82">
          <cell r="D82">
            <v>670</v>
          </cell>
          <cell r="F82">
            <v>0</v>
          </cell>
        </row>
        <row r="83">
          <cell r="D83">
            <v>7582</v>
          </cell>
          <cell r="F83">
            <v>0</v>
          </cell>
        </row>
        <row r="84">
          <cell r="D84">
            <v>106706</v>
          </cell>
          <cell r="F84">
            <v>0</v>
          </cell>
        </row>
        <row r="85">
          <cell r="D85">
            <v>3054</v>
          </cell>
          <cell r="F85">
            <v>0</v>
          </cell>
        </row>
        <row r="89">
          <cell r="D89">
            <v>327517</v>
          </cell>
          <cell r="F89">
            <v>0</v>
          </cell>
        </row>
        <row r="90">
          <cell r="D90">
            <v>0</v>
          </cell>
          <cell r="F90">
            <v>58886</v>
          </cell>
        </row>
        <row r="91">
          <cell r="D91">
            <v>18360</v>
          </cell>
          <cell r="F91">
            <v>0</v>
          </cell>
        </row>
        <row r="92">
          <cell r="D92">
            <v>189788</v>
          </cell>
          <cell r="F92">
            <v>0</v>
          </cell>
        </row>
        <row r="93">
          <cell r="D93">
            <v>17832</v>
          </cell>
          <cell r="F93">
            <v>0</v>
          </cell>
        </row>
        <row r="94">
          <cell r="D94">
            <v>2830</v>
          </cell>
          <cell r="F94">
            <v>-532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540</v>
          </cell>
          <cell r="F100">
            <v>0</v>
          </cell>
        </row>
        <row r="101">
          <cell r="D101">
            <v>88695</v>
          </cell>
          <cell r="F101">
            <v>0</v>
          </cell>
        </row>
        <row r="102">
          <cell r="D102">
            <v>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4192</v>
          </cell>
          <cell r="F117">
            <v>0</v>
          </cell>
        </row>
        <row r="118">
          <cell r="D118">
            <v>146149</v>
          </cell>
          <cell r="F118">
            <v>0</v>
          </cell>
        </row>
        <row r="119">
          <cell r="D119">
            <v>16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313738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118496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56408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21305</v>
          </cell>
        </row>
        <row r="136">
          <cell r="D136">
            <v>733104</v>
          </cell>
          <cell r="F136">
            <v>0</v>
          </cell>
        </row>
        <row r="137">
          <cell r="D137">
            <v>370945</v>
          </cell>
          <cell r="F137">
            <v>0</v>
          </cell>
        </row>
        <row r="138">
          <cell r="D138">
            <v>805887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131808</v>
          </cell>
        </row>
        <row r="142">
          <cell r="D142">
            <v>0</v>
          </cell>
          <cell r="F142">
            <v>66694</v>
          </cell>
        </row>
        <row r="143">
          <cell r="D143">
            <v>0</v>
          </cell>
          <cell r="F143">
            <v>144894</v>
          </cell>
        </row>
        <row r="144">
          <cell r="D144">
            <v>0</v>
          </cell>
          <cell r="F144">
            <v>0</v>
          </cell>
        </row>
        <row r="146">
          <cell r="D146">
            <v>83000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9925</v>
          </cell>
          <cell r="F150">
            <v>0</v>
          </cell>
        </row>
        <row r="151">
          <cell r="D151">
            <v>110899</v>
          </cell>
          <cell r="F151">
            <v>0</v>
          </cell>
        </row>
        <row r="152">
          <cell r="D152">
            <v>4358</v>
          </cell>
          <cell r="F152">
            <v>-427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1813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790583</v>
          </cell>
          <cell r="F177">
            <v>0</v>
          </cell>
        </row>
        <row r="178">
          <cell r="D178">
            <v>0</v>
          </cell>
          <cell r="F178">
            <v>142142</v>
          </cell>
        </row>
        <row r="179">
          <cell r="D179">
            <v>132996</v>
          </cell>
          <cell r="F179">
            <v>0</v>
          </cell>
        </row>
        <row r="180">
          <cell r="D180">
            <v>0</v>
          </cell>
          <cell r="F180">
            <v>23912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482167</v>
          </cell>
          <cell r="F183">
            <v>0</v>
          </cell>
        </row>
        <row r="184">
          <cell r="D184">
            <v>0</v>
          </cell>
          <cell r="F184">
            <v>86691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11892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5752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98138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493087</v>
          </cell>
          <cell r="F205">
            <v>0</v>
          </cell>
        </row>
        <row r="206">
          <cell r="D206">
            <v>12761</v>
          </cell>
          <cell r="F206">
            <v>0</v>
          </cell>
        </row>
        <row r="207">
          <cell r="D207">
            <v>31647</v>
          </cell>
          <cell r="F207">
            <v>0</v>
          </cell>
        </row>
        <row r="211">
          <cell r="D211">
            <v>130453</v>
          </cell>
          <cell r="F211">
            <v>0</v>
          </cell>
        </row>
        <row r="212">
          <cell r="D212">
            <v>0</v>
          </cell>
          <cell r="F212">
            <v>23455</v>
          </cell>
        </row>
        <row r="213">
          <cell r="D213">
            <v>10386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9992</v>
          </cell>
          <cell r="F216">
            <v>0</v>
          </cell>
        </row>
        <row r="221">
          <cell r="D221">
            <v>10085369</v>
          </cell>
        </row>
      </sheetData>
      <sheetData sheetId="8"/>
      <sheetData sheetId="9"/>
      <sheetData sheetId="10">
        <row r="9">
          <cell r="C9">
            <v>6736</v>
          </cell>
          <cell r="D9">
            <v>0</v>
          </cell>
          <cell r="E9">
            <v>9137</v>
          </cell>
          <cell r="F9">
            <v>5086</v>
          </cell>
          <cell r="G9">
            <v>0</v>
          </cell>
          <cell r="H9">
            <v>4680</v>
          </cell>
          <cell r="I9">
            <v>0</v>
          </cell>
          <cell r="J9">
            <v>1077</v>
          </cell>
          <cell r="K9">
            <v>0</v>
          </cell>
        </row>
        <row r="22">
          <cell r="N22">
            <v>103</v>
          </cell>
        </row>
        <row r="24">
          <cell r="N24">
            <v>103</v>
          </cell>
        </row>
        <row r="28">
          <cell r="N28">
            <v>37595</v>
          </cell>
        </row>
        <row r="30">
          <cell r="N30">
            <v>0.71062641308684671</v>
          </cell>
        </row>
        <row r="32">
          <cell r="N32">
            <v>0.17917276233541696</v>
          </cell>
        </row>
        <row r="34">
          <cell r="N34">
            <v>0.25213355292708489</v>
          </cell>
        </row>
      </sheetData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1858864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779099</v>
          </cell>
          <cell r="G21">
            <v>0</v>
          </cell>
        </row>
        <row r="27">
          <cell r="E27">
            <v>142934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446599</v>
          </cell>
          <cell r="G37">
            <v>0</v>
          </cell>
        </row>
        <row r="42">
          <cell r="E42">
            <v>353711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182399</v>
          </cell>
          <cell r="G67">
            <v>-8443</v>
          </cell>
        </row>
      </sheetData>
      <sheetData sheetId="6"/>
      <sheetData sheetId="7">
        <row r="10">
          <cell r="D10">
            <v>75808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46523</v>
          </cell>
          <cell r="F12">
            <v>0</v>
          </cell>
        </row>
        <row r="13">
          <cell r="D13">
            <v>306098</v>
          </cell>
          <cell r="F13">
            <v>-282087.24000000005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271698</v>
          </cell>
          <cell r="F16">
            <v>117668</v>
          </cell>
        </row>
        <row r="17">
          <cell r="D17">
            <v>0</v>
          </cell>
          <cell r="F17">
            <v>0</v>
          </cell>
        </row>
        <row r="18">
          <cell r="D18">
            <v>12032</v>
          </cell>
          <cell r="F18">
            <v>0</v>
          </cell>
        </row>
        <row r="19">
          <cell r="D19">
            <v>14423</v>
          </cell>
          <cell r="F19">
            <v>0</v>
          </cell>
        </row>
        <row r="20">
          <cell r="D20">
            <v>5084</v>
          </cell>
          <cell r="F20">
            <v>0</v>
          </cell>
        </row>
        <row r="21">
          <cell r="D21">
            <v>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10497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281303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273902</v>
          </cell>
          <cell r="F29">
            <v>-273902</v>
          </cell>
        </row>
        <row r="30">
          <cell r="D30">
            <v>0</v>
          </cell>
          <cell r="F30">
            <v>0</v>
          </cell>
        </row>
        <row r="31">
          <cell r="D31">
            <v>50137</v>
          </cell>
          <cell r="F31">
            <v>0</v>
          </cell>
        </row>
        <row r="32">
          <cell r="D32">
            <v>14302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1560</v>
          </cell>
          <cell r="F35">
            <v>-1560</v>
          </cell>
        </row>
        <row r="36">
          <cell r="D36">
            <v>17762</v>
          </cell>
          <cell r="F36">
            <v>0</v>
          </cell>
        </row>
        <row r="37">
          <cell r="D37">
            <v>0</v>
          </cell>
          <cell r="F37">
            <v>3486.3199999999997</v>
          </cell>
        </row>
        <row r="38">
          <cell r="D38">
            <v>0</v>
          </cell>
          <cell r="F38">
            <v>0</v>
          </cell>
        </row>
        <row r="39">
          <cell r="D39">
            <v>1215</v>
          </cell>
          <cell r="F39">
            <v>0</v>
          </cell>
        </row>
        <row r="40">
          <cell r="D40">
            <v>6749</v>
          </cell>
          <cell r="F40">
            <v>-6749</v>
          </cell>
        </row>
        <row r="41">
          <cell r="D41">
            <v>0</v>
          </cell>
          <cell r="F41">
            <v>0</v>
          </cell>
        </row>
        <row r="42">
          <cell r="D42">
            <v>5659</v>
          </cell>
          <cell r="F42">
            <v>0</v>
          </cell>
        </row>
        <row r="43">
          <cell r="D43">
            <v>11644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65127</v>
          </cell>
          <cell r="F45">
            <v>-5540</v>
          </cell>
        </row>
        <row r="57">
          <cell r="D57">
            <v>178106</v>
          </cell>
          <cell r="F57">
            <v>-178106</v>
          </cell>
        </row>
        <row r="58">
          <cell r="D58">
            <v>0</v>
          </cell>
          <cell r="F58">
            <v>67363</v>
          </cell>
        </row>
        <row r="59">
          <cell r="D59">
            <v>0</v>
          </cell>
          <cell r="F59">
            <v>115760</v>
          </cell>
        </row>
        <row r="60">
          <cell r="D60">
            <v>0</v>
          </cell>
          <cell r="F60">
            <v>0</v>
          </cell>
        </row>
        <row r="61">
          <cell r="D61">
            <v>4758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4458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160139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29607</v>
          </cell>
          <cell r="F75">
            <v>0</v>
          </cell>
        </row>
        <row r="76">
          <cell r="D76">
            <v>0</v>
          </cell>
          <cell r="F76">
            <v>5811.26</v>
          </cell>
        </row>
        <row r="77">
          <cell r="D77">
            <v>17029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7445</v>
          </cell>
          <cell r="F79">
            <v>0</v>
          </cell>
        </row>
        <row r="80">
          <cell r="D80">
            <v>20831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55004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134699</v>
          </cell>
          <cell r="F89">
            <v>0</v>
          </cell>
        </row>
        <row r="90">
          <cell r="D90">
            <v>0</v>
          </cell>
          <cell r="F90">
            <v>26438.699999999997</v>
          </cell>
        </row>
        <row r="91">
          <cell r="D91">
            <v>0</v>
          </cell>
          <cell r="F91">
            <v>0</v>
          </cell>
        </row>
        <row r="92">
          <cell r="D92">
            <v>113990</v>
          </cell>
          <cell r="F92">
            <v>-2903</v>
          </cell>
        </row>
        <row r="93">
          <cell r="D93">
            <v>9483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24291</v>
          </cell>
          <cell r="F101">
            <v>0</v>
          </cell>
        </row>
        <row r="102">
          <cell r="D102">
            <v>351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9429</v>
          </cell>
          <cell r="F117">
            <v>0</v>
          </cell>
        </row>
        <row r="118">
          <cell r="D118">
            <v>56655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154407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24003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30306.98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4711.3</v>
          </cell>
        </row>
        <row r="136">
          <cell r="D136">
            <v>296979</v>
          </cell>
          <cell r="F136">
            <v>0</v>
          </cell>
        </row>
        <row r="137">
          <cell r="D137">
            <v>186186</v>
          </cell>
          <cell r="F137">
            <v>0</v>
          </cell>
        </row>
        <row r="138">
          <cell r="D138">
            <v>480823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58290.990000000005</v>
          </cell>
        </row>
        <row r="142">
          <cell r="D142">
            <v>0</v>
          </cell>
          <cell r="F142">
            <v>36544.559999999998</v>
          </cell>
        </row>
        <row r="143">
          <cell r="D143">
            <v>0</v>
          </cell>
          <cell r="F143">
            <v>94375.86</v>
          </cell>
        </row>
        <row r="144">
          <cell r="D144">
            <v>0</v>
          </cell>
          <cell r="F144">
            <v>0</v>
          </cell>
        </row>
        <row r="146">
          <cell r="D146">
            <v>32400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10704</v>
          </cell>
          <cell r="F150">
            <v>0</v>
          </cell>
        </row>
        <row r="151">
          <cell r="D151">
            <v>105954</v>
          </cell>
          <cell r="F151">
            <v>0</v>
          </cell>
        </row>
        <row r="152">
          <cell r="D152">
            <v>0</v>
          </cell>
          <cell r="F152">
            <v>0</v>
          </cell>
        </row>
        <row r="153">
          <cell r="D153">
            <v>3058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850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125342</v>
          </cell>
          <cell r="F194">
            <v>0</v>
          </cell>
        </row>
        <row r="195">
          <cell r="D195">
            <v>20659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67319</v>
          </cell>
          <cell r="F197">
            <v>0</v>
          </cell>
        </row>
        <row r="198">
          <cell r="D198">
            <v>18629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80474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112701</v>
          </cell>
          <cell r="F211">
            <v>-48223</v>
          </cell>
        </row>
        <row r="212">
          <cell r="D212">
            <v>0</v>
          </cell>
          <cell r="F212">
            <v>22121</v>
          </cell>
        </row>
        <row r="213">
          <cell r="D213">
            <v>7407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5592</v>
          </cell>
          <cell r="F216">
            <v>-3122</v>
          </cell>
        </row>
        <row r="221">
          <cell r="D221">
            <v>4031285</v>
          </cell>
        </row>
      </sheetData>
      <sheetData sheetId="8"/>
      <sheetData sheetId="9"/>
      <sheetData sheetId="10">
        <row r="9">
          <cell r="C9">
            <v>10560</v>
          </cell>
          <cell r="D9">
            <v>0</v>
          </cell>
          <cell r="E9">
            <v>1455</v>
          </cell>
          <cell r="F9">
            <v>373</v>
          </cell>
          <cell r="G9">
            <v>0</v>
          </cell>
          <cell r="H9">
            <v>2163</v>
          </cell>
          <cell r="I9">
            <v>2001</v>
          </cell>
          <cell r="J9">
            <v>0</v>
          </cell>
          <cell r="K9">
            <v>0</v>
          </cell>
        </row>
        <row r="22">
          <cell r="N22">
            <v>121</v>
          </cell>
        </row>
        <row r="24">
          <cell r="N24">
            <v>121</v>
          </cell>
        </row>
        <row r="28">
          <cell r="N28">
            <v>33154</v>
          </cell>
        </row>
        <row r="30">
          <cell r="N30">
            <v>0.49924594317427762</v>
          </cell>
        </row>
        <row r="32">
          <cell r="N32">
            <v>0.31851360318513605</v>
          </cell>
        </row>
        <row r="34">
          <cell r="N34">
            <v>0.63798936684388596</v>
          </cell>
        </row>
      </sheetData>
      <sheetData sheetId="1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3710496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1467536</v>
          </cell>
          <cell r="G21">
            <v>0</v>
          </cell>
        </row>
        <row r="27">
          <cell r="E27">
            <v>1537991</v>
          </cell>
          <cell r="G27">
            <v>0</v>
          </cell>
        </row>
        <row r="32">
          <cell r="E32">
            <v>477221</v>
          </cell>
          <cell r="G32">
            <v>0</v>
          </cell>
        </row>
        <row r="37">
          <cell r="E37">
            <v>584792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586658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759</v>
          </cell>
          <cell r="G67">
            <v>0</v>
          </cell>
        </row>
        <row r="85">
          <cell r="C85">
            <v>228.76348039215685</v>
          </cell>
          <cell r="E85">
            <v>235.50939457202506</v>
          </cell>
          <cell r="G85">
            <v>229.93572496263079</v>
          </cell>
          <cell r="I85">
            <v>233.54351687388987</v>
          </cell>
        </row>
      </sheetData>
      <sheetData sheetId="7"/>
      <sheetData sheetId="8">
        <row r="10">
          <cell r="D10">
            <v>171188</v>
          </cell>
          <cell r="F10">
            <v>11037</v>
          </cell>
        </row>
        <row r="11">
          <cell r="D11">
            <v>0</v>
          </cell>
          <cell r="F11">
            <v>0</v>
          </cell>
        </row>
        <row r="12">
          <cell r="D12">
            <v>297574</v>
          </cell>
          <cell r="F12">
            <v>19183</v>
          </cell>
        </row>
        <row r="13">
          <cell r="D13">
            <v>768454</v>
          </cell>
          <cell r="F13">
            <v>-707468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417926</v>
          </cell>
          <cell r="F16">
            <v>195859</v>
          </cell>
        </row>
        <row r="17">
          <cell r="D17">
            <v>0</v>
          </cell>
          <cell r="F17">
            <v>0</v>
          </cell>
        </row>
        <row r="18">
          <cell r="D18">
            <v>21086</v>
          </cell>
          <cell r="F18">
            <v>0</v>
          </cell>
        </row>
        <row r="19">
          <cell r="D19">
            <v>21682</v>
          </cell>
          <cell r="F19">
            <v>-334</v>
          </cell>
        </row>
        <row r="20">
          <cell r="D20">
            <v>32672</v>
          </cell>
          <cell r="F20">
            <v>0</v>
          </cell>
        </row>
        <row r="21">
          <cell r="D21">
            <v>15198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3358</v>
          </cell>
          <cell r="F23">
            <v>0</v>
          </cell>
        </row>
        <row r="24">
          <cell r="D24">
            <v>59185</v>
          </cell>
          <cell r="F24">
            <v>-12600</v>
          </cell>
        </row>
        <row r="25">
          <cell r="D25">
            <v>0</v>
          </cell>
          <cell r="F25">
            <v>0</v>
          </cell>
        </row>
        <row r="26">
          <cell r="D26">
            <v>417523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202102</v>
          </cell>
          <cell r="F29">
            <v>-202102</v>
          </cell>
        </row>
        <row r="30">
          <cell r="D30">
            <v>0</v>
          </cell>
          <cell r="F30">
            <v>0</v>
          </cell>
        </row>
        <row r="31">
          <cell r="D31">
            <v>98695</v>
          </cell>
          <cell r="F31">
            <v>0</v>
          </cell>
        </row>
        <row r="32">
          <cell r="D32">
            <v>78435</v>
          </cell>
          <cell r="F32">
            <v>-26809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155</v>
          </cell>
          <cell r="F38">
            <v>-155</v>
          </cell>
        </row>
        <row r="39">
          <cell r="D39">
            <v>6501</v>
          </cell>
          <cell r="F39">
            <v>0</v>
          </cell>
        </row>
        <row r="40">
          <cell r="D40">
            <v>14993</v>
          </cell>
          <cell r="F40">
            <v>0</v>
          </cell>
        </row>
        <row r="41">
          <cell r="D41">
            <v>15671</v>
          </cell>
          <cell r="F41">
            <v>0</v>
          </cell>
        </row>
        <row r="42">
          <cell r="D42">
            <v>5141</v>
          </cell>
          <cell r="F42">
            <v>0</v>
          </cell>
        </row>
        <row r="43">
          <cell r="D43">
            <v>8613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28990</v>
          </cell>
          <cell r="F45">
            <v>-567</v>
          </cell>
        </row>
        <row r="57">
          <cell r="D57">
            <v>575741</v>
          </cell>
          <cell r="F57">
            <v>0</v>
          </cell>
        </row>
        <row r="58">
          <cell r="D58">
            <v>4665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32364</v>
          </cell>
          <cell r="F60">
            <v>0</v>
          </cell>
        </row>
        <row r="61">
          <cell r="D61">
            <v>7704</v>
          </cell>
          <cell r="F61">
            <v>0</v>
          </cell>
        </row>
        <row r="62">
          <cell r="D62">
            <v>15699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6891</v>
          </cell>
          <cell r="F65">
            <v>0</v>
          </cell>
        </row>
        <row r="66">
          <cell r="D66">
            <v>6093</v>
          </cell>
          <cell r="F66">
            <v>0</v>
          </cell>
        </row>
        <row r="67">
          <cell r="D67">
            <v>41913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4366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85282</v>
          </cell>
          <cell r="F75">
            <v>5498</v>
          </cell>
        </row>
        <row r="76">
          <cell r="D76">
            <v>0</v>
          </cell>
          <cell r="F76">
            <v>11014</v>
          </cell>
        </row>
        <row r="77">
          <cell r="D77">
            <v>15782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11819</v>
          </cell>
          <cell r="F79">
            <v>0</v>
          </cell>
        </row>
        <row r="80">
          <cell r="D80">
            <v>15462</v>
          </cell>
          <cell r="F80">
            <v>0</v>
          </cell>
        </row>
        <row r="81">
          <cell r="D81">
            <v>17730</v>
          </cell>
          <cell r="F81">
            <v>0</v>
          </cell>
        </row>
        <row r="82">
          <cell r="D82">
            <v>4538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87902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204918</v>
          </cell>
          <cell r="F89">
            <v>13212</v>
          </cell>
        </row>
        <row r="90">
          <cell r="D90">
            <v>0</v>
          </cell>
          <cell r="F90">
            <v>26463</v>
          </cell>
        </row>
        <row r="91">
          <cell r="D91">
            <v>17365</v>
          </cell>
          <cell r="F91">
            <v>0</v>
          </cell>
        </row>
        <row r="92">
          <cell r="D92">
            <v>193416</v>
          </cell>
          <cell r="F92">
            <v>0</v>
          </cell>
        </row>
        <row r="93">
          <cell r="D93">
            <v>14613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1474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5111</v>
          </cell>
          <cell r="F102">
            <v>0</v>
          </cell>
        </row>
        <row r="103">
          <cell r="D103">
            <v>2799</v>
          </cell>
          <cell r="F103">
            <v>0</v>
          </cell>
        </row>
        <row r="115">
          <cell r="D115">
            <v>113265</v>
          </cell>
          <cell r="F115">
            <v>7303</v>
          </cell>
        </row>
        <row r="116">
          <cell r="D116">
            <v>0</v>
          </cell>
          <cell r="F116">
            <v>14627</v>
          </cell>
        </row>
        <row r="117">
          <cell r="D117">
            <v>22227</v>
          </cell>
          <cell r="F117">
            <v>0</v>
          </cell>
        </row>
        <row r="118">
          <cell r="D118">
            <v>3675</v>
          </cell>
          <cell r="F118">
            <v>0</v>
          </cell>
        </row>
        <row r="119">
          <cell r="D119">
            <v>1225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148439</v>
          </cell>
          <cell r="F125">
            <v>9570</v>
          </cell>
        </row>
        <row r="126">
          <cell r="D126">
            <v>68685</v>
          </cell>
          <cell r="F126">
            <v>4428</v>
          </cell>
        </row>
        <row r="127">
          <cell r="D127">
            <v>0</v>
          </cell>
          <cell r="F127">
            <v>0</v>
          </cell>
        </row>
        <row r="128">
          <cell r="D128">
            <v>39047</v>
          </cell>
          <cell r="F128">
            <v>2517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19170</v>
          </cell>
        </row>
        <row r="132">
          <cell r="D132">
            <v>0</v>
          </cell>
          <cell r="F132">
            <v>8871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5043</v>
          </cell>
        </row>
        <row r="136">
          <cell r="D136">
            <v>644338</v>
          </cell>
          <cell r="F136">
            <v>41543</v>
          </cell>
        </row>
        <row r="137">
          <cell r="D137">
            <v>295882</v>
          </cell>
          <cell r="F137">
            <v>19077</v>
          </cell>
        </row>
        <row r="138">
          <cell r="D138">
            <v>762282</v>
          </cell>
          <cell r="F138">
            <v>49147</v>
          </cell>
        </row>
        <row r="139">
          <cell r="D139">
            <v>131776</v>
          </cell>
          <cell r="F139">
            <v>8496</v>
          </cell>
        </row>
        <row r="141">
          <cell r="D141">
            <v>0</v>
          </cell>
          <cell r="F141">
            <v>83210</v>
          </cell>
        </row>
        <row r="142">
          <cell r="D142">
            <v>0</v>
          </cell>
          <cell r="F142">
            <v>38211</v>
          </cell>
        </row>
        <row r="143">
          <cell r="D143">
            <v>0</v>
          </cell>
          <cell r="F143">
            <v>98442</v>
          </cell>
        </row>
        <row r="144">
          <cell r="D144">
            <v>0</v>
          </cell>
          <cell r="F144">
            <v>17018</v>
          </cell>
        </row>
        <row r="146">
          <cell r="D146">
            <v>48700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126743</v>
          </cell>
          <cell r="F149">
            <v>0</v>
          </cell>
        </row>
        <row r="150">
          <cell r="D150">
            <v>10518</v>
          </cell>
          <cell r="F150">
            <v>0</v>
          </cell>
        </row>
        <row r="151">
          <cell r="D151">
            <v>88189</v>
          </cell>
          <cell r="F151">
            <v>0</v>
          </cell>
        </row>
        <row r="152">
          <cell r="D152">
            <v>737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13188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273189</v>
          </cell>
          <cell r="F177">
            <v>17613</v>
          </cell>
        </row>
        <row r="178">
          <cell r="D178">
            <v>0</v>
          </cell>
          <cell r="F178">
            <v>35280</v>
          </cell>
        </row>
        <row r="179">
          <cell r="D179">
            <v>64221</v>
          </cell>
          <cell r="F179">
            <v>4141</v>
          </cell>
        </row>
        <row r="180">
          <cell r="D180">
            <v>0</v>
          </cell>
          <cell r="F180">
            <v>8294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172963</v>
          </cell>
          <cell r="F183">
            <v>11152</v>
          </cell>
        </row>
        <row r="184">
          <cell r="D184">
            <v>0</v>
          </cell>
          <cell r="F184">
            <v>22336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414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3297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20682</v>
          </cell>
          <cell r="F198">
            <v>-1015</v>
          </cell>
        </row>
        <row r="199">
          <cell r="D199">
            <v>636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165812</v>
          </cell>
          <cell r="F205">
            <v>0</v>
          </cell>
        </row>
        <row r="206">
          <cell r="D206">
            <v>8863</v>
          </cell>
          <cell r="F206">
            <v>0</v>
          </cell>
        </row>
        <row r="207">
          <cell r="D207">
            <v>25434</v>
          </cell>
          <cell r="F207">
            <v>-465</v>
          </cell>
        </row>
        <row r="211">
          <cell r="D211">
            <v>140783</v>
          </cell>
          <cell r="F211">
            <v>9077</v>
          </cell>
        </row>
        <row r="212">
          <cell r="D212">
            <v>0</v>
          </cell>
          <cell r="F212">
            <v>18181</v>
          </cell>
        </row>
        <row r="213">
          <cell r="D213">
            <v>6306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5235</v>
          </cell>
          <cell r="F216">
            <v>0</v>
          </cell>
        </row>
        <row r="221">
          <cell r="D221">
            <v>7465540</v>
          </cell>
        </row>
      </sheetData>
      <sheetData sheetId="9"/>
      <sheetData sheetId="10"/>
      <sheetData sheetId="11"/>
      <sheetData sheetId="12">
        <row r="9">
          <cell r="C9">
            <v>14803</v>
          </cell>
          <cell r="D9">
            <v>0</v>
          </cell>
          <cell r="E9">
            <v>2763</v>
          </cell>
          <cell r="F9">
            <v>3480</v>
          </cell>
          <cell r="G9">
            <v>2061</v>
          </cell>
          <cell r="H9">
            <v>2527</v>
          </cell>
          <cell r="I9">
            <v>0</v>
          </cell>
          <cell r="J9">
            <v>2937</v>
          </cell>
          <cell r="K9">
            <v>0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0.65230593607305931</v>
          </cell>
        </row>
        <row r="32">
          <cell r="N32">
            <v>0.33796803652968038</v>
          </cell>
        </row>
        <row r="34">
          <cell r="N34">
            <v>0.51811277169157544</v>
          </cell>
        </row>
      </sheetData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heet2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1805218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1256942</v>
          </cell>
          <cell r="G21">
            <v>0</v>
          </cell>
        </row>
        <row r="27">
          <cell r="E27">
            <v>222711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219306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7336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172</v>
          </cell>
          <cell r="G67">
            <v>0</v>
          </cell>
        </row>
        <row r="85">
          <cell r="C85">
            <v>173.14285714285714</v>
          </cell>
          <cell r="E85">
            <v>160.81891891891891</v>
          </cell>
          <cell r="G85">
            <v>161.66666666666666</v>
          </cell>
          <cell r="I85">
            <v>165.30717488789239</v>
          </cell>
        </row>
      </sheetData>
      <sheetData sheetId="7"/>
      <sheetData sheetId="8">
        <row r="10">
          <cell r="D10">
            <v>180544</v>
          </cell>
          <cell r="F10">
            <v>8755</v>
          </cell>
        </row>
        <row r="11">
          <cell r="D11">
            <v>0</v>
          </cell>
          <cell r="F11">
            <v>0</v>
          </cell>
        </row>
        <row r="12">
          <cell r="D12">
            <v>69328</v>
          </cell>
          <cell r="F12">
            <v>3359</v>
          </cell>
        </row>
        <row r="13">
          <cell r="D13">
            <v>300668</v>
          </cell>
          <cell r="F13">
            <v>-269797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171973</v>
          </cell>
          <cell r="F16">
            <v>63848</v>
          </cell>
        </row>
        <row r="17">
          <cell r="D17">
            <v>0</v>
          </cell>
          <cell r="F17">
            <v>0</v>
          </cell>
        </row>
        <row r="18">
          <cell r="D18">
            <v>10943</v>
          </cell>
          <cell r="F18">
            <v>0</v>
          </cell>
        </row>
        <row r="19">
          <cell r="D19">
            <v>8666</v>
          </cell>
          <cell r="F19">
            <v>-500</v>
          </cell>
        </row>
        <row r="20">
          <cell r="D20">
            <v>15052</v>
          </cell>
          <cell r="F20">
            <v>0</v>
          </cell>
        </row>
        <row r="21">
          <cell r="D21">
            <v>15468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2262</v>
          </cell>
          <cell r="F23">
            <v>0</v>
          </cell>
        </row>
        <row r="24">
          <cell r="D24">
            <v>35136</v>
          </cell>
          <cell r="F24">
            <v>-5760</v>
          </cell>
        </row>
        <row r="25">
          <cell r="D25">
            <v>0</v>
          </cell>
          <cell r="F25">
            <v>0</v>
          </cell>
        </row>
        <row r="26">
          <cell r="D26">
            <v>169955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34885</v>
          </cell>
          <cell r="F29">
            <v>-34885</v>
          </cell>
        </row>
        <row r="30">
          <cell r="D30">
            <v>0</v>
          </cell>
          <cell r="F30">
            <v>0</v>
          </cell>
        </row>
        <row r="31">
          <cell r="D31">
            <v>18205</v>
          </cell>
          <cell r="F31">
            <v>0</v>
          </cell>
        </row>
        <row r="32">
          <cell r="D32">
            <v>33264</v>
          </cell>
          <cell r="F32">
            <v>-11369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103</v>
          </cell>
          <cell r="F35">
            <v>-103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4045</v>
          </cell>
          <cell r="F39">
            <v>0</v>
          </cell>
        </row>
        <row r="40">
          <cell r="D40">
            <v>6592</v>
          </cell>
          <cell r="F40">
            <v>0</v>
          </cell>
        </row>
        <row r="41">
          <cell r="D41">
            <v>10575</v>
          </cell>
          <cell r="F41">
            <v>0</v>
          </cell>
        </row>
        <row r="42">
          <cell r="D42">
            <v>1228</v>
          </cell>
          <cell r="F42">
            <v>0</v>
          </cell>
        </row>
        <row r="43">
          <cell r="D43">
            <v>6228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2359</v>
          </cell>
          <cell r="F45">
            <v>-165</v>
          </cell>
        </row>
        <row r="57">
          <cell r="D57">
            <v>278788</v>
          </cell>
          <cell r="F57">
            <v>0</v>
          </cell>
        </row>
        <row r="58">
          <cell r="D58">
            <v>11422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12869</v>
          </cell>
          <cell r="F60">
            <v>0</v>
          </cell>
        </row>
        <row r="61">
          <cell r="D61">
            <v>4345</v>
          </cell>
          <cell r="F61">
            <v>0</v>
          </cell>
        </row>
        <row r="62">
          <cell r="D62">
            <v>8661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6227</v>
          </cell>
          <cell r="F65">
            <v>0</v>
          </cell>
        </row>
        <row r="66">
          <cell r="D66">
            <v>798</v>
          </cell>
          <cell r="F66">
            <v>0</v>
          </cell>
        </row>
        <row r="67">
          <cell r="D67">
            <v>19553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2045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39588</v>
          </cell>
          <cell r="F75">
            <v>1920</v>
          </cell>
        </row>
        <row r="76">
          <cell r="D76">
            <v>0</v>
          </cell>
          <cell r="F76">
            <v>4884</v>
          </cell>
        </row>
        <row r="77">
          <cell r="D77">
            <v>7430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1201</v>
          </cell>
          <cell r="F79">
            <v>0</v>
          </cell>
        </row>
        <row r="80">
          <cell r="D80">
            <v>2551</v>
          </cell>
          <cell r="F80">
            <v>0</v>
          </cell>
        </row>
        <row r="81">
          <cell r="D81">
            <v>13511</v>
          </cell>
          <cell r="F81">
            <v>0</v>
          </cell>
        </row>
        <row r="82">
          <cell r="D82">
            <v>1244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48756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84735</v>
          </cell>
          <cell r="F89">
            <v>4109</v>
          </cell>
        </row>
        <row r="90">
          <cell r="D90">
            <v>0</v>
          </cell>
          <cell r="F90">
            <v>10454</v>
          </cell>
        </row>
        <row r="91">
          <cell r="D91">
            <v>6154</v>
          </cell>
          <cell r="F91">
            <v>0</v>
          </cell>
        </row>
        <row r="92">
          <cell r="D92">
            <v>63340</v>
          </cell>
          <cell r="F92">
            <v>0</v>
          </cell>
        </row>
        <row r="93">
          <cell r="D93">
            <v>11209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17290</v>
          </cell>
          <cell r="F98">
            <v>838</v>
          </cell>
        </row>
        <row r="99">
          <cell r="D99">
            <v>0</v>
          </cell>
          <cell r="F99">
            <v>2133</v>
          </cell>
        </row>
        <row r="100">
          <cell r="D100">
            <v>2860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1517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43529</v>
          </cell>
          <cell r="F115">
            <v>2111</v>
          </cell>
        </row>
        <row r="116">
          <cell r="D116">
            <v>0</v>
          </cell>
          <cell r="F116">
            <v>5371</v>
          </cell>
        </row>
        <row r="117">
          <cell r="D117">
            <v>9708</v>
          </cell>
          <cell r="F117">
            <v>0</v>
          </cell>
        </row>
        <row r="118">
          <cell r="D118">
            <v>2352</v>
          </cell>
          <cell r="F118">
            <v>0</v>
          </cell>
        </row>
        <row r="119">
          <cell r="D119">
            <v>582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73496</v>
          </cell>
          <cell r="F125">
            <v>3564</v>
          </cell>
        </row>
        <row r="126">
          <cell r="D126">
            <v>14173</v>
          </cell>
          <cell r="F126">
            <v>687</v>
          </cell>
        </row>
        <row r="127">
          <cell r="D127">
            <v>0</v>
          </cell>
          <cell r="F127">
            <v>0</v>
          </cell>
        </row>
        <row r="128">
          <cell r="D128">
            <v>34789</v>
          </cell>
          <cell r="F128">
            <v>1687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9068</v>
          </cell>
        </row>
        <row r="132">
          <cell r="D132">
            <v>0</v>
          </cell>
          <cell r="F132">
            <v>1748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4292</v>
          </cell>
        </row>
        <row r="136">
          <cell r="D136">
            <v>178697</v>
          </cell>
          <cell r="F136">
            <v>8665</v>
          </cell>
        </row>
        <row r="137">
          <cell r="D137">
            <v>178099</v>
          </cell>
          <cell r="F137">
            <v>8636</v>
          </cell>
        </row>
        <row r="138">
          <cell r="D138">
            <v>304684</v>
          </cell>
          <cell r="F138">
            <v>14775</v>
          </cell>
        </row>
        <row r="139">
          <cell r="D139">
            <v>17765</v>
          </cell>
          <cell r="F139">
            <v>861</v>
          </cell>
        </row>
        <row r="141">
          <cell r="D141">
            <v>0</v>
          </cell>
          <cell r="F141">
            <v>22046</v>
          </cell>
        </row>
        <row r="142">
          <cell r="D142">
            <v>0</v>
          </cell>
          <cell r="F142">
            <v>21972</v>
          </cell>
        </row>
        <row r="143">
          <cell r="D143">
            <v>0</v>
          </cell>
          <cell r="F143">
            <v>37589</v>
          </cell>
        </row>
        <row r="144">
          <cell r="D144">
            <v>0</v>
          </cell>
          <cell r="F144">
            <v>2192</v>
          </cell>
        </row>
        <row r="146">
          <cell r="D146">
            <v>12000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135</v>
          </cell>
          <cell r="F150">
            <v>0</v>
          </cell>
        </row>
        <row r="151">
          <cell r="D151">
            <v>37841</v>
          </cell>
          <cell r="F151">
            <v>0</v>
          </cell>
        </row>
        <row r="152">
          <cell r="D152">
            <v>1439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1140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166499</v>
          </cell>
          <cell r="F177">
            <v>8074</v>
          </cell>
        </row>
        <row r="178">
          <cell r="D178">
            <v>0</v>
          </cell>
          <cell r="F178">
            <v>20541</v>
          </cell>
        </row>
        <row r="179">
          <cell r="D179">
            <v>8055</v>
          </cell>
          <cell r="F179">
            <v>391</v>
          </cell>
        </row>
        <row r="180">
          <cell r="D180">
            <v>0</v>
          </cell>
          <cell r="F180">
            <v>993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81986</v>
          </cell>
          <cell r="F183">
            <v>3976</v>
          </cell>
        </row>
        <row r="184">
          <cell r="D184">
            <v>0</v>
          </cell>
          <cell r="F184">
            <v>10115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943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9916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107198</v>
          </cell>
          <cell r="F205">
            <v>-95</v>
          </cell>
        </row>
        <row r="206">
          <cell r="D206">
            <v>120</v>
          </cell>
          <cell r="F206">
            <v>0</v>
          </cell>
        </row>
        <row r="207">
          <cell r="D207">
            <v>2538</v>
          </cell>
          <cell r="F207">
            <v>-346</v>
          </cell>
        </row>
        <row r="211">
          <cell r="D211">
            <v>58065</v>
          </cell>
          <cell r="F211">
            <v>2816</v>
          </cell>
        </row>
        <row r="212">
          <cell r="D212">
            <v>0</v>
          </cell>
          <cell r="F212">
            <v>7164</v>
          </cell>
        </row>
        <row r="213">
          <cell r="D213">
            <v>2568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4792</v>
          </cell>
          <cell r="F216">
            <v>0</v>
          </cell>
        </row>
        <row r="221">
          <cell r="D221">
            <v>3096682</v>
          </cell>
        </row>
      </sheetData>
      <sheetData sheetId="9"/>
      <sheetData sheetId="10"/>
      <sheetData sheetId="11"/>
      <sheetData sheetId="12">
        <row r="9">
          <cell r="C9">
            <v>7703</v>
          </cell>
          <cell r="D9">
            <v>0</v>
          </cell>
          <cell r="E9">
            <v>2464</v>
          </cell>
          <cell r="F9">
            <v>539</v>
          </cell>
          <cell r="G9">
            <v>0</v>
          </cell>
          <cell r="H9">
            <v>1337</v>
          </cell>
          <cell r="I9">
            <v>0</v>
          </cell>
          <cell r="J9">
            <v>52</v>
          </cell>
          <cell r="K9">
            <v>0</v>
          </cell>
        </row>
        <row r="22">
          <cell r="N22">
            <v>60</v>
          </cell>
        </row>
        <row r="24">
          <cell r="N24">
            <v>60</v>
          </cell>
        </row>
        <row r="28">
          <cell r="N28">
            <v>21900</v>
          </cell>
        </row>
        <row r="30">
          <cell r="N30">
            <v>0.55228310502283107</v>
          </cell>
        </row>
        <row r="32">
          <cell r="N32">
            <v>0.35173515981735159</v>
          </cell>
        </row>
        <row r="34">
          <cell r="N34">
            <v>0.63687474162877222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upp-1012"/>
      <sheetName val="Supp-10-490"/>
      <sheetName val="Supp-60-490"/>
      <sheetName val="Supp-70-490"/>
      <sheetName val="Supp-90-490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2693684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1269317</v>
          </cell>
          <cell r="G21">
            <v>0</v>
          </cell>
        </row>
        <row r="27">
          <cell r="E27">
            <v>715747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662680</v>
          </cell>
          <cell r="G37">
            <v>0</v>
          </cell>
        </row>
        <row r="42">
          <cell r="E42">
            <v>347548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119755</v>
          </cell>
          <cell r="G52">
            <v>0</v>
          </cell>
        </row>
        <row r="67">
          <cell r="E67">
            <v>138710</v>
          </cell>
          <cell r="G67">
            <v>-2216</v>
          </cell>
        </row>
        <row r="85">
          <cell r="C85">
            <v>226.86712095400341</v>
          </cell>
          <cell r="E85">
            <v>226.86720554272517</v>
          </cell>
          <cell r="G85">
            <v>226.86787204450627</v>
          </cell>
          <cell r="I85">
            <v>226.86782376502003</v>
          </cell>
        </row>
      </sheetData>
      <sheetData sheetId="6"/>
      <sheetData sheetId="7">
        <row r="10">
          <cell r="D10">
            <v>0</v>
          </cell>
          <cell r="F10">
            <v>123896</v>
          </cell>
        </row>
        <row r="11">
          <cell r="D11">
            <v>0</v>
          </cell>
          <cell r="F11">
            <v>0</v>
          </cell>
        </row>
        <row r="12">
          <cell r="D12">
            <v>257020</v>
          </cell>
          <cell r="F12">
            <v>-123896</v>
          </cell>
        </row>
        <row r="13">
          <cell r="D13">
            <v>43654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296925</v>
          </cell>
          <cell r="F16">
            <v>-4454</v>
          </cell>
        </row>
        <row r="17">
          <cell r="D17">
            <v>803</v>
          </cell>
          <cell r="F17">
            <v>-803</v>
          </cell>
        </row>
        <row r="18">
          <cell r="D18">
            <v>20140</v>
          </cell>
          <cell r="F18">
            <v>0</v>
          </cell>
        </row>
        <row r="19">
          <cell r="D19">
            <v>11250</v>
          </cell>
          <cell r="F19">
            <v>0</v>
          </cell>
        </row>
        <row r="20">
          <cell r="D20">
            <v>15270</v>
          </cell>
          <cell r="F20">
            <v>0</v>
          </cell>
        </row>
        <row r="21">
          <cell r="D21">
            <v>19020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3435</v>
          </cell>
          <cell r="F23">
            <v>0</v>
          </cell>
        </row>
        <row r="24">
          <cell r="D24">
            <v>91</v>
          </cell>
          <cell r="F24">
            <v>0</v>
          </cell>
        </row>
        <row r="25">
          <cell r="D25">
            <v>7487</v>
          </cell>
          <cell r="F25">
            <v>0</v>
          </cell>
        </row>
        <row r="26">
          <cell r="D26">
            <v>368072</v>
          </cell>
          <cell r="F26">
            <v>0</v>
          </cell>
        </row>
        <row r="27">
          <cell r="D27">
            <v>24684</v>
          </cell>
          <cell r="F27">
            <v>-107</v>
          </cell>
        </row>
        <row r="28">
          <cell r="D28">
            <v>0</v>
          </cell>
          <cell r="F28">
            <v>0</v>
          </cell>
        </row>
        <row r="29">
          <cell r="D29">
            <v>51736</v>
          </cell>
          <cell r="F29">
            <v>-51736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65990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64</v>
          </cell>
          <cell r="F34">
            <v>0</v>
          </cell>
        </row>
        <row r="35">
          <cell r="D35">
            <v>3040</v>
          </cell>
          <cell r="F35">
            <v>-3040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3441</v>
          </cell>
          <cell r="F39">
            <v>0</v>
          </cell>
        </row>
        <row r="40">
          <cell r="D40">
            <v>3672</v>
          </cell>
          <cell r="F40">
            <v>-3672</v>
          </cell>
        </row>
        <row r="41">
          <cell r="D41">
            <v>170554</v>
          </cell>
          <cell r="F41">
            <v>67</v>
          </cell>
        </row>
        <row r="42">
          <cell r="D42">
            <v>0</v>
          </cell>
          <cell r="F42">
            <v>0</v>
          </cell>
        </row>
        <row r="43">
          <cell r="D43">
            <v>9344</v>
          </cell>
          <cell r="F43">
            <v>-9344</v>
          </cell>
        </row>
        <row r="44">
          <cell r="D44">
            <v>0</v>
          </cell>
          <cell r="F44">
            <v>0</v>
          </cell>
        </row>
        <row r="45">
          <cell r="D45">
            <v>5933</v>
          </cell>
          <cell r="F45">
            <v>-1966</v>
          </cell>
        </row>
        <row r="57">
          <cell r="D57">
            <v>0</v>
          </cell>
          <cell r="F57">
            <v>0</v>
          </cell>
        </row>
        <row r="58">
          <cell r="D58">
            <v>168711</v>
          </cell>
          <cell r="F58">
            <v>0</v>
          </cell>
        </row>
        <row r="59">
          <cell r="D59">
            <v>245653</v>
          </cell>
          <cell r="F59">
            <v>0</v>
          </cell>
        </row>
        <row r="60">
          <cell r="D60">
            <v>32499</v>
          </cell>
          <cell r="F60">
            <v>0</v>
          </cell>
        </row>
        <row r="61">
          <cell r="D61">
            <v>41463</v>
          </cell>
          <cell r="F61">
            <v>0</v>
          </cell>
        </row>
        <row r="62">
          <cell r="D62">
            <v>782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60376</v>
          </cell>
          <cell r="F66">
            <v>-956</v>
          </cell>
        </row>
        <row r="67">
          <cell r="D67">
            <v>60851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5653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40220</v>
          </cell>
          <cell r="F75">
            <v>0</v>
          </cell>
        </row>
        <row r="76">
          <cell r="D76">
            <v>7676</v>
          </cell>
          <cell r="F76">
            <v>0</v>
          </cell>
        </row>
        <row r="77">
          <cell r="D77">
            <v>15454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4928</v>
          </cell>
          <cell r="F79">
            <v>0</v>
          </cell>
        </row>
        <row r="80">
          <cell r="D80">
            <v>35353</v>
          </cell>
          <cell r="F80">
            <v>0</v>
          </cell>
        </row>
        <row r="81">
          <cell r="D81">
            <v>25191</v>
          </cell>
          <cell r="F81">
            <v>0</v>
          </cell>
        </row>
        <row r="82">
          <cell r="D82">
            <v>10771</v>
          </cell>
          <cell r="F82">
            <v>0</v>
          </cell>
        </row>
        <row r="83">
          <cell r="D83">
            <v>1415</v>
          </cell>
          <cell r="F83">
            <v>0</v>
          </cell>
        </row>
        <row r="84">
          <cell r="D84">
            <v>81992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490540</v>
          </cell>
          <cell r="F91">
            <v>0</v>
          </cell>
        </row>
        <row r="92">
          <cell r="D92">
            <v>7485</v>
          </cell>
          <cell r="F92">
            <v>-2743</v>
          </cell>
        </row>
        <row r="93">
          <cell r="D93">
            <v>12142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330</v>
          </cell>
          <cell r="F100">
            <v>0</v>
          </cell>
        </row>
        <row r="101">
          <cell r="D101">
            <v>61267</v>
          </cell>
          <cell r="F101">
            <v>0</v>
          </cell>
        </row>
        <row r="102">
          <cell r="D102">
            <v>5295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10841</v>
          </cell>
          <cell r="F117">
            <v>0</v>
          </cell>
        </row>
        <row r="118">
          <cell r="D118">
            <v>91900</v>
          </cell>
          <cell r="F118">
            <v>0</v>
          </cell>
        </row>
        <row r="119">
          <cell r="D119">
            <v>229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179819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65117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12515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23302</v>
          </cell>
          <cell r="F134">
            <v>0</v>
          </cell>
        </row>
        <row r="136">
          <cell r="D136">
            <v>855955</v>
          </cell>
          <cell r="F136">
            <v>0</v>
          </cell>
        </row>
        <row r="137">
          <cell r="D137">
            <v>83796</v>
          </cell>
          <cell r="F137">
            <v>0</v>
          </cell>
        </row>
        <row r="138">
          <cell r="D138">
            <v>584532</v>
          </cell>
          <cell r="F138">
            <v>86670</v>
          </cell>
        </row>
        <row r="139">
          <cell r="D139">
            <v>86670</v>
          </cell>
          <cell r="F139">
            <v>-86670</v>
          </cell>
        </row>
        <row r="141">
          <cell r="D141">
            <v>297876</v>
          </cell>
          <cell r="F141">
            <v>-139604.18724072023</v>
          </cell>
        </row>
        <row r="142">
          <cell r="D142">
            <v>0</v>
          </cell>
          <cell r="F142">
            <v>15494.441672724157</v>
          </cell>
        </row>
        <row r="143">
          <cell r="D143">
            <v>0</v>
          </cell>
          <cell r="F143">
            <v>124109.74556799608</v>
          </cell>
        </row>
        <row r="144">
          <cell r="D144">
            <v>0</v>
          </cell>
          <cell r="F144">
            <v>0</v>
          </cell>
        </row>
        <row r="146">
          <cell r="D146">
            <v>48618</v>
          </cell>
          <cell r="F146">
            <v>0</v>
          </cell>
        </row>
        <row r="147">
          <cell r="D147">
            <v>35503</v>
          </cell>
          <cell r="F147">
            <v>0</v>
          </cell>
        </row>
        <row r="148">
          <cell r="D148">
            <v>8657</v>
          </cell>
          <cell r="F148">
            <v>0</v>
          </cell>
        </row>
        <row r="149">
          <cell r="D149">
            <v>34304</v>
          </cell>
          <cell r="F149">
            <v>0</v>
          </cell>
        </row>
        <row r="150">
          <cell r="D150">
            <v>3956</v>
          </cell>
          <cell r="F150">
            <v>0</v>
          </cell>
        </row>
        <row r="151">
          <cell r="D151">
            <v>92354</v>
          </cell>
          <cell r="F151">
            <v>3543</v>
          </cell>
        </row>
        <row r="152">
          <cell r="D152">
            <v>4410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2469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15227</v>
          </cell>
          <cell r="F161">
            <v>592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255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1201</v>
          </cell>
          <cell r="F192">
            <v>0</v>
          </cell>
        </row>
        <row r="193">
          <cell r="D193">
            <v>136</v>
          </cell>
          <cell r="F193">
            <v>0</v>
          </cell>
        </row>
        <row r="194">
          <cell r="D194">
            <v>265159</v>
          </cell>
          <cell r="F194">
            <v>-10262</v>
          </cell>
        </row>
        <row r="195">
          <cell r="D195">
            <v>108955</v>
          </cell>
          <cell r="F195">
            <v>-4217</v>
          </cell>
        </row>
        <row r="196">
          <cell r="D196">
            <v>0</v>
          </cell>
          <cell r="F196">
            <v>0</v>
          </cell>
        </row>
        <row r="197">
          <cell r="D197">
            <v>245959</v>
          </cell>
          <cell r="F197">
            <v>-9519</v>
          </cell>
        </row>
        <row r="198">
          <cell r="D198">
            <v>48393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169072</v>
          </cell>
          <cell r="F205">
            <v>10729</v>
          </cell>
        </row>
        <row r="206">
          <cell r="D206">
            <v>680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102126</v>
          </cell>
          <cell r="F211">
            <v>0</v>
          </cell>
        </row>
        <row r="212">
          <cell r="D212">
            <v>42402</v>
          </cell>
          <cell r="F212">
            <v>0</v>
          </cell>
        </row>
        <row r="213">
          <cell r="D213">
            <v>6630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3003</v>
          </cell>
          <cell r="F216">
            <v>0</v>
          </cell>
        </row>
        <row r="221">
          <cell r="D221">
            <v>6329693</v>
          </cell>
        </row>
      </sheetData>
      <sheetData sheetId="8"/>
      <sheetData sheetId="9"/>
      <sheetData sheetId="10">
        <row r="9">
          <cell r="C9">
            <v>14381</v>
          </cell>
          <cell r="D9">
            <v>0</v>
          </cell>
          <cell r="E9">
            <v>2416</v>
          </cell>
          <cell r="F9">
            <v>1746</v>
          </cell>
          <cell r="G9">
            <v>0</v>
          </cell>
          <cell r="H9">
            <v>2921</v>
          </cell>
          <cell r="I9">
            <v>1856</v>
          </cell>
          <cell r="J9">
            <v>0</v>
          </cell>
          <cell r="K9">
            <v>515</v>
          </cell>
        </row>
        <row r="22">
          <cell r="N22">
            <v>122</v>
          </cell>
        </row>
        <row r="24">
          <cell r="N24">
            <v>122</v>
          </cell>
        </row>
        <row r="28">
          <cell r="N28">
            <v>44530</v>
          </cell>
        </row>
        <row r="30">
          <cell r="N30">
            <v>0.53525713002470243</v>
          </cell>
        </row>
        <row r="32">
          <cell r="N32">
            <v>0.32295081967213113</v>
          </cell>
        </row>
        <row r="34">
          <cell r="N34">
            <v>0.6033564086427522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897075.15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140519.06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263347.23000000004</v>
          </cell>
          <cell r="G37">
            <v>0</v>
          </cell>
        </row>
        <row r="42">
          <cell r="E42">
            <v>1239.2</v>
          </cell>
          <cell r="G42">
            <v>0</v>
          </cell>
        </row>
        <row r="47">
          <cell r="E47">
            <v>22260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11489.99</v>
          </cell>
          <cell r="G67">
            <v>0</v>
          </cell>
        </row>
        <row r="85">
          <cell r="C85">
            <v>128.59787822878229</v>
          </cell>
          <cell r="E85">
            <v>134.37293525179857</v>
          </cell>
          <cell r="G85">
            <v>137.4924824355972</v>
          </cell>
          <cell r="I85">
            <v>152.19304029304027</v>
          </cell>
        </row>
      </sheetData>
      <sheetData sheetId="6"/>
      <sheetData sheetId="7"/>
      <sheetData sheetId="8">
        <row r="10">
          <cell r="D10">
            <v>25099.599999999999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10608.2</v>
          </cell>
          <cell r="F12">
            <v>0</v>
          </cell>
        </row>
        <row r="13">
          <cell r="D13">
            <v>73072.47</v>
          </cell>
          <cell r="F13">
            <v>-69728.691953585294</v>
          </cell>
        </row>
        <row r="14">
          <cell r="D14">
            <v>0</v>
          </cell>
          <cell r="F14">
            <v>0</v>
          </cell>
        </row>
        <row r="15">
          <cell r="D15">
            <v>32661.65</v>
          </cell>
          <cell r="F15">
            <v>-32662</v>
          </cell>
        </row>
        <row r="16">
          <cell r="D16">
            <v>0</v>
          </cell>
          <cell r="F16">
            <v>85888</v>
          </cell>
        </row>
        <row r="17">
          <cell r="D17">
            <v>0</v>
          </cell>
          <cell r="F17">
            <v>0</v>
          </cell>
        </row>
        <row r="18">
          <cell r="D18">
            <v>10126.700000000001</v>
          </cell>
          <cell r="F18">
            <v>0</v>
          </cell>
        </row>
        <row r="19">
          <cell r="D19">
            <v>8126.52</v>
          </cell>
          <cell r="F19">
            <v>0</v>
          </cell>
        </row>
        <row r="20">
          <cell r="D20">
            <v>1576.2</v>
          </cell>
          <cell r="F20">
            <v>0</v>
          </cell>
        </row>
        <row r="21">
          <cell r="D21">
            <v>5897.79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5423.99</v>
          </cell>
          <cell r="F23">
            <v>0</v>
          </cell>
        </row>
        <row r="24">
          <cell r="D24">
            <v>17025.310000000001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140272.99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12378.63</v>
          </cell>
          <cell r="F29">
            <v>-12378.63</v>
          </cell>
        </row>
        <row r="30">
          <cell r="D30">
            <v>600</v>
          </cell>
          <cell r="F30">
            <v>-600</v>
          </cell>
        </row>
        <row r="31">
          <cell r="D31">
            <v>7972.28</v>
          </cell>
          <cell r="F31">
            <v>0</v>
          </cell>
        </row>
        <row r="32">
          <cell r="D32">
            <v>12013.3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224.4</v>
          </cell>
          <cell r="F38">
            <v>0</v>
          </cell>
        </row>
        <row r="39">
          <cell r="D39">
            <v>4655.12</v>
          </cell>
          <cell r="F39">
            <v>0</v>
          </cell>
        </row>
        <row r="40">
          <cell r="D40">
            <v>3037.37</v>
          </cell>
          <cell r="F40">
            <v>-3037</v>
          </cell>
        </row>
        <row r="41">
          <cell r="D41">
            <v>0</v>
          </cell>
          <cell r="F41">
            <v>0</v>
          </cell>
        </row>
        <row r="42">
          <cell r="D42">
            <v>804.75</v>
          </cell>
          <cell r="F42">
            <v>0</v>
          </cell>
        </row>
        <row r="43">
          <cell r="D43">
            <v>4592.24</v>
          </cell>
          <cell r="F43">
            <v>0</v>
          </cell>
        </row>
        <row r="44">
          <cell r="D44">
            <v>169.76</v>
          </cell>
          <cell r="F44">
            <v>0</v>
          </cell>
        </row>
        <row r="45">
          <cell r="D45">
            <v>0</v>
          </cell>
          <cell r="F45">
            <v>0</v>
          </cell>
        </row>
        <row r="57">
          <cell r="D57">
            <v>27500</v>
          </cell>
          <cell r="F57">
            <v>-27500</v>
          </cell>
        </row>
        <row r="58">
          <cell r="D58">
            <v>0</v>
          </cell>
          <cell r="F58">
            <v>0</v>
          </cell>
        </row>
        <row r="59">
          <cell r="D59">
            <v>0</v>
          </cell>
          <cell r="F59">
            <v>5979</v>
          </cell>
        </row>
        <row r="60">
          <cell r="D60">
            <v>0</v>
          </cell>
          <cell r="F60">
            <v>0</v>
          </cell>
        </row>
        <row r="61">
          <cell r="D61">
            <v>1958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219.75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2790</v>
          </cell>
          <cell r="F65">
            <v>0</v>
          </cell>
        </row>
        <row r="66">
          <cell r="D66">
            <v>5814.35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353.83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27593.35</v>
          </cell>
          <cell r="F75">
            <v>0</v>
          </cell>
        </row>
        <row r="76">
          <cell r="D76">
            <v>0</v>
          </cell>
          <cell r="F76">
            <v>2583.9183023607488</v>
          </cell>
        </row>
        <row r="77">
          <cell r="D77">
            <v>6437.68</v>
          </cell>
          <cell r="F77">
            <v>0</v>
          </cell>
        </row>
        <row r="78">
          <cell r="D78">
            <v>586.74</v>
          </cell>
          <cell r="F78">
            <v>0</v>
          </cell>
        </row>
        <row r="79">
          <cell r="D79">
            <v>2494.63</v>
          </cell>
          <cell r="F79">
            <v>0</v>
          </cell>
        </row>
        <row r="80">
          <cell r="D80">
            <v>2939.9</v>
          </cell>
          <cell r="F80">
            <v>0</v>
          </cell>
        </row>
        <row r="81">
          <cell r="D81">
            <v>7708.73</v>
          </cell>
          <cell r="F81">
            <v>0</v>
          </cell>
        </row>
        <row r="82">
          <cell r="D82">
            <v>4979.21</v>
          </cell>
          <cell r="F82">
            <v>0</v>
          </cell>
        </row>
        <row r="83">
          <cell r="D83">
            <v>12184.07</v>
          </cell>
          <cell r="F83">
            <v>0</v>
          </cell>
        </row>
        <row r="84">
          <cell r="D84">
            <v>26715.68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86426.59</v>
          </cell>
          <cell r="F89">
            <v>0</v>
          </cell>
        </row>
        <row r="90">
          <cell r="D90">
            <v>0</v>
          </cell>
          <cell r="F90">
            <v>8093.2270895570291</v>
          </cell>
        </row>
        <row r="91">
          <cell r="D91">
            <v>4769</v>
          </cell>
          <cell r="F91">
            <v>0</v>
          </cell>
        </row>
        <row r="92">
          <cell r="D92">
            <v>69358.12</v>
          </cell>
          <cell r="F92">
            <v>0</v>
          </cell>
        </row>
        <row r="93">
          <cell r="D93">
            <v>10081.86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28763.46</v>
          </cell>
          <cell r="F98">
            <v>0</v>
          </cell>
        </row>
        <row r="99">
          <cell r="D99">
            <v>0</v>
          </cell>
          <cell r="F99">
            <v>2693.4906683393388</v>
          </cell>
        </row>
        <row r="100">
          <cell r="D100">
            <v>861.03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2773.42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20447.63</v>
          </cell>
          <cell r="F115">
            <v>0</v>
          </cell>
        </row>
        <row r="116">
          <cell r="D116">
            <v>0</v>
          </cell>
          <cell r="F116">
            <v>1914.7731390679537</v>
          </cell>
        </row>
        <row r="117">
          <cell r="D117">
            <v>5095.12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55995.76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18429.060000000001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5243.5992410707622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1725.7486107813797</v>
          </cell>
        </row>
        <row r="136">
          <cell r="D136">
            <v>138669.62</v>
          </cell>
          <cell r="F136">
            <v>0</v>
          </cell>
        </row>
        <row r="137">
          <cell r="D137">
            <v>86575.41</v>
          </cell>
          <cell r="F137">
            <v>0</v>
          </cell>
        </row>
        <row r="138">
          <cell r="D138">
            <v>224557.33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12985.410220194726</v>
          </cell>
        </row>
        <row r="142">
          <cell r="D142">
            <v>0</v>
          </cell>
          <cell r="F142">
            <v>8107.1630096884137</v>
          </cell>
        </row>
        <row r="143">
          <cell r="D143">
            <v>0</v>
          </cell>
          <cell r="F143">
            <v>21028.175082629055</v>
          </cell>
        </row>
        <row r="144">
          <cell r="D144">
            <v>0</v>
          </cell>
          <cell r="F144">
            <v>0</v>
          </cell>
        </row>
        <row r="146">
          <cell r="D146">
            <v>1675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3789.7</v>
          </cell>
          <cell r="F150">
            <v>0</v>
          </cell>
        </row>
        <row r="151">
          <cell r="D151">
            <v>30415.99</v>
          </cell>
          <cell r="F151">
            <v>0</v>
          </cell>
        </row>
        <row r="152">
          <cell r="D152">
            <v>169.62</v>
          </cell>
          <cell r="F152">
            <v>0</v>
          </cell>
        </row>
        <row r="153">
          <cell r="D153">
            <v>1929.26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294</v>
          </cell>
          <cell r="F157">
            <v>0</v>
          </cell>
        </row>
        <row r="158">
          <cell r="D158">
            <v>225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443</v>
          </cell>
          <cell r="F193">
            <v>0</v>
          </cell>
        </row>
        <row r="194">
          <cell r="D194">
            <v>30994.55</v>
          </cell>
          <cell r="F194">
            <v>-15498</v>
          </cell>
        </row>
        <row r="195">
          <cell r="D195">
            <v>1804</v>
          </cell>
          <cell r="F195">
            <v>-902</v>
          </cell>
        </row>
        <row r="196">
          <cell r="D196">
            <v>0</v>
          </cell>
          <cell r="F196">
            <v>0</v>
          </cell>
        </row>
        <row r="197">
          <cell r="D197">
            <v>22657.3</v>
          </cell>
          <cell r="F197">
            <v>-11329</v>
          </cell>
        </row>
        <row r="198">
          <cell r="D198">
            <v>4629.07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787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16143.89</v>
          </cell>
          <cell r="F205">
            <v>0</v>
          </cell>
        </row>
        <row r="206">
          <cell r="D206">
            <v>225.25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57166.03</v>
          </cell>
          <cell r="F211">
            <v>0</v>
          </cell>
        </row>
        <row r="212">
          <cell r="D212">
            <v>0</v>
          </cell>
          <cell r="F212">
            <v>5353.1865898958849</v>
          </cell>
        </row>
        <row r="213">
          <cell r="D213">
            <v>1435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1665.34</v>
          </cell>
          <cell r="F216">
            <v>0</v>
          </cell>
        </row>
        <row r="221">
          <cell r="D221">
            <v>1435867.6</v>
          </cell>
        </row>
      </sheetData>
      <sheetData sheetId="9"/>
      <sheetData sheetId="10"/>
      <sheetData sheetId="11"/>
      <sheetData sheetId="12">
        <row r="9">
          <cell r="C9">
            <v>5587</v>
          </cell>
          <cell r="D9">
            <v>0</v>
          </cell>
          <cell r="E9">
            <v>371</v>
          </cell>
          <cell r="F9">
            <v>0</v>
          </cell>
          <cell r="G9">
            <v>0</v>
          </cell>
          <cell r="H9">
            <v>1937</v>
          </cell>
          <cell r="I9">
            <v>8</v>
          </cell>
          <cell r="J9">
            <v>174</v>
          </cell>
          <cell r="K9">
            <v>0</v>
          </cell>
        </row>
        <row r="22">
          <cell r="N22">
            <v>44</v>
          </cell>
        </row>
        <row r="24">
          <cell r="N24">
            <v>31</v>
          </cell>
        </row>
        <row r="28">
          <cell r="N28">
            <v>16060</v>
          </cell>
        </row>
        <row r="30">
          <cell r="N30">
            <v>0.5029265255292652</v>
          </cell>
        </row>
        <row r="32">
          <cell r="N32">
            <v>0.34788293897882938</v>
          </cell>
        </row>
        <row r="34">
          <cell r="N34">
            <v>0.69171722174074535</v>
          </cell>
        </row>
      </sheetData>
      <sheetData sheetId="13"/>
      <sheetData sheetId="1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A"/>
      <sheetName val="Sch B-1B"/>
      <sheetName val="Sch C"/>
      <sheetName val="Sch C-1A"/>
      <sheetName val="Sch C-1B"/>
      <sheetName val="Sch C-1C"/>
      <sheetName val="Sch C-1D"/>
      <sheetName val="Sch C-1E"/>
      <sheetName val="Sch C-1F"/>
      <sheetName val="Sch C-1G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2144097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1958128</v>
          </cell>
          <cell r="G21">
            <v>0</v>
          </cell>
        </row>
        <row r="27">
          <cell r="E27">
            <v>336257</v>
          </cell>
          <cell r="G27">
            <v>75565.28891809567</v>
          </cell>
        </row>
        <row r="32">
          <cell r="E32">
            <v>0</v>
          </cell>
          <cell r="G32">
            <v>0</v>
          </cell>
        </row>
        <row r="37">
          <cell r="E37">
            <v>1158013</v>
          </cell>
          <cell r="G37">
            <v>0</v>
          </cell>
        </row>
        <row r="42">
          <cell r="E42">
            <v>291828</v>
          </cell>
          <cell r="G42">
            <v>201462.4095662171</v>
          </cell>
        </row>
        <row r="47">
          <cell r="E47">
            <v>0</v>
          </cell>
          <cell r="G47">
            <v>2109.5812240893106</v>
          </cell>
        </row>
        <row r="52">
          <cell r="E52">
            <v>599876</v>
          </cell>
          <cell r="G52">
            <v>-279137.27970840188</v>
          </cell>
        </row>
        <row r="67">
          <cell r="E67">
            <v>-251211</v>
          </cell>
          <cell r="G67">
            <v>240632</v>
          </cell>
        </row>
        <row r="85">
          <cell r="C85">
            <v>212.5249386753884</v>
          </cell>
          <cell r="E85">
            <v>207.48744059742023</v>
          </cell>
          <cell r="G85">
            <v>231.77586206896552</v>
          </cell>
          <cell r="I85">
            <v>229.12741312741312</v>
          </cell>
        </row>
      </sheetData>
      <sheetData sheetId="6"/>
      <sheetData sheetId="7"/>
      <sheetData sheetId="8">
        <row r="10">
          <cell r="D10">
            <v>149542</v>
          </cell>
          <cell r="F10">
            <v>-24005</v>
          </cell>
        </row>
        <row r="11">
          <cell r="D11">
            <v>0</v>
          </cell>
          <cell r="F11">
            <v>0</v>
          </cell>
        </row>
        <row r="12">
          <cell r="D12">
            <v>134062</v>
          </cell>
          <cell r="F12">
            <v>73599.893387274817</v>
          </cell>
        </row>
        <row r="13">
          <cell r="D13">
            <v>258288</v>
          </cell>
          <cell r="F13">
            <v>-234090.48428571428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239473.20844800002</v>
          </cell>
        </row>
        <row r="16">
          <cell r="D16">
            <v>0</v>
          </cell>
          <cell r="F16">
            <v>0</v>
          </cell>
        </row>
        <row r="17">
          <cell r="D17">
            <v>0</v>
          </cell>
          <cell r="F17">
            <v>0</v>
          </cell>
        </row>
        <row r="18">
          <cell r="D18">
            <v>23071</v>
          </cell>
          <cell r="F18">
            <v>0</v>
          </cell>
        </row>
        <row r="19">
          <cell r="D19">
            <v>21476</v>
          </cell>
          <cell r="F19">
            <v>-1826</v>
          </cell>
        </row>
        <row r="20">
          <cell r="D20">
            <v>21037</v>
          </cell>
          <cell r="F20">
            <v>-104.42</v>
          </cell>
        </row>
        <row r="21">
          <cell r="D21">
            <v>5994</v>
          </cell>
          <cell r="F21">
            <v>1596</v>
          </cell>
        </row>
        <row r="22">
          <cell r="D22">
            <v>0</v>
          </cell>
          <cell r="F22">
            <v>0</v>
          </cell>
        </row>
        <row r="23">
          <cell r="D23">
            <v>9571</v>
          </cell>
          <cell r="F23">
            <v>-3543.58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401410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44826</v>
          </cell>
          <cell r="F31">
            <v>-44826</v>
          </cell>
        </row>
        <row r="32">
          <cell r="D32">
            <v>-1752</v>
          </cell>
          <cell r="F32">
            <v>64928</v>
          </cell>
        </row>
        <row r="33">
          <cell r="D33">
            <v>0</v>
          </cell>
          <cell r="F33">
            <v>0</v>
          </cell>
        </row>
        <row r="34">
          <cell r="D34">
            <v>2178</v>
          </cell>
          <cell r="F34">
            <v>0</v>
          </cell>
        </row>
        <row r="35">
          <cell r="D35">
            <v>263</v>
          </cell>
          <cell r="F35">
            <v>-263</v>
          </cell>
        </row>
        <row r="36">
          <cell r="D36">
            <v>0</v>
          </cell>
          <cell r="F36">
            <v>44762.270892857145</v>
          </cell>
        </row>
        <row r="37">
          <cell r="D37">
            <v>0</v>
          </cell>
          <cell r="F37">
            <v>6717.7211499685091</v>
          </cell>
        </row>
        <row r="38">
          <cell r="D38">
            <v>0</v>
          </cell>
          <cell r="F38">
            <v>0</v>
          </cell>
        </row>
        <row r="39">
          <cell r="D39">
            <v>4477</v>
          </cell>
          <cell r="F39">
            <v>0</v>
          </cell>
        </row>
        <row r="40">
          <cell r="D40">
            <v>152817</v>
          </cell>
          <cell r="F40">
            <v>-152817</v>
          </cell>
        </row>
        <row r="41">
          <cell r="D41">
            <v>492</v>
          </cell>
          <cell r="F41">
            <v>0</v>
          </cell>
        </row>
        <row r="42">
          <cell r="D42">
            <v>17648</v>
          </cell>
          <cell r="F42">
            <v>0</v>
          </cell>
        </row>
        <row r="43">
          <cell r="D43">
            <v>15346</v>
          </cell>
          <cell r="F43">
            <v>0</v>
          </cell>
        </row>
        <row r="44">
          <cell r="D44">
            <v>1836</v>
          </cell>
          <cell r="F44">
            <v>0</v>
          </cell>
        </row>
        <row r="45">
          <cell r="D45">
            <v>74119</v>
          </cell>
          <cell r="F45">
            <v>-15106</v>
          </cell>
        </row>
        <row r="57">
          <cell r="D57">
            <v>248793</v>
          </cell>
          <cell r="F57">
            <v>-244107</v>
          </cell>
        </row>
        <row r="58">
          <cell r="D58">
            <v>0</v>
          </cell>
          <cell r="F58">
            <v>342649</v>
          </cell>
        </row>
        <row r="59">
          <cell r="D59">
            <v>0</v>
          </cell>
          <cell r="F59">
            <v>0</v>
          </cell>
        </row>
        <row r="60">
          <cell r="D60">
            <v>25658</v>
          </cell>
          <cell r="F60">
            <v>0</v>
          </cell>
        </row>
        <row r="61">
          <cell r="D61">
            <v>13723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3525</v>
          </cell>
          <cell r="F65">
            <v>-1350</v>
          </cell>
        </row>
        <row r="66">
          <cell r="D66">
            <v>1421</v>
          </cell>
          <cell r="F66">
            <v>0</v>
          </cell>
        </row>
        <row r="67">
          <cell r="D67">
            <v>96077</v>
          </cell>
          <cell r="F67">
            <v>32919</v>
          </cell>
        </row>
        <row r="68">
          <cell r="D68">
            <v>248</v>
          </cell>
          <cell r="F68">
            <v>-12</v>
          </cell>
        </row>
        <row r="69">
          <cell r="D69">
            <v>3074</v>
          </cell>
          <cell r="F69">
            <v>2378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87382</v>
          </cell>
          <cell r="F75">
            <v>6700.5414258400269</v>
          </cell>
        </row>
        <row r="76">
          <cell r="D76">
            <v>7123</v>
          </cell>
          <cell r="F76">
            <v>0</v>
          </cell>
        </row>
        <row r="77">
          <cell r="D77">
            <v>15501</v>
          </cell>
          <cell r="F77">
            <v>-31.12</v>
          </cell>
        </row>
        <row r="78">
          <cell r="D78">
            <v>0</v>
          </cell>
          <cell r="F78">
            <v>0</v>
          </cell>
        </row>
        <row r="79">
          <cell r="D79">
            <v>9949</v>
          </cell>
          <cell r="F79">
            <v>-5818.02</v>
          </cell>
        </row>
        <row r="80">
          <cell r="D80">
            <v>0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30575</v>
          </cell>
          <cell r="F82">
            <v>0</v>
          </cell>
        </row>
        <row r="83">
          <cell r="D83">
            <v>7875</v>
          </cell>
          <cell r="F83">
            <v>0</v>
          </cell>
        </row>
        <row r="84">
          <cell r="D84">
            <v>100284</v>
          </cell>
          <cell r="F84">
            <v>0</v>
          </cell>
        </row>
        <row r="85">
          <cell r="D85">
            <v>42523</v>
          </cell>
          <cell r="F85">
            <v>0</v>
          </cell>
        </row>
        <row r="89">
          <cell r="D89">
            <v>272782</v>
          </cell>
          <cell r="F89">
            <v>21046.071623523756</v>
          </cell>
        </row>
        <row r="90">
          <cell r="D90">
            <v>21968</v>
          </cell>
          <cell r="F90">
            <v>-119.69</v>
          </cell>
        </row>
        <row r="91">
          <cell r="D91">
            <v>33434</v>
          </cell>
          <cell r="F91">
            <v>0</v>
          </cell>
        </row>
        <row r="92">
          <cell r="D92">
            <v>187450</v>
          </cell>
          <cell r="F92">
            <v>-5852.66</v>
          </cell>
        </row>
        <row r="93">
          <cell r="D93">
            <v>17568</v>
          </cell>
          <cell r="F93">
            <v>-425.23</v>
          </cell>
        </row>
        <row r="94">
          <cell r="D94">
            <v>0</v>
          </cell>
          <cell r="F94">
            <v>0</v>
          </cell>
        </row>
        <row r="98">
          <cell r="D98">
            <v>49716</v>
          </cell>
          <cell r="F98">
            <v>3812.2738953910734</v>
          </cell>
        </row>
        <row r="99">
          <cell r="D99">
            <v>3835</v>
          </cell>
          <cell r="F99">
            <v>0</v>
          </cell>
        </row>
        <row r="100">
          <cell r="D100">
            <v>6036</v>
          </cell>
          <cell r="F100">
            <v>-59.36</v>
          </cell>
        </row>
        <row r="101">
          <cell r="D101">
            <v>0</v>
          </cell>
          <cell r="F101">
            <v>0</v>
          </cell>
        </row>
        <row r="102">
          <cell r="D102">
            <v>21130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76059</v>
          </cell>
          <cell r="F115">
            <v>5832.28216689898</v>
          </cell>
        </row>
        <row r="116">
          <cell r="D116">
            <v>5912</v>
          </cell>
          <cell r="F116">
            <v>0</v>
          </cell>
        </row>
        <row r="117">
          <cell r="D117">
            <v>17945</v>
          </cell>
          <cell r="F117">
            <v>-19.809999999999999</v>
          </cell>
        </row>
        <row r="118">
          <cell r="D118">
            <v>0</v>
          </cell>
          <cell r="F118">
            <v>0</v>
          </cell>
        </row>
        <row r="119">
          <cell r="D119">
            <v>4678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0</v>
          </cell>
          <cell r="F125">
            <v>258272.94255903616</v>
          </cell>
        </row>
        <row r="126">
          <cell r="D126">
            <v>0</v>
          </cell>
          <cell r="F126">
            <v>81148.05744096385</v>
          </cell>
        </row>
        <row r="127">
          <cell r="D127">
            <v>0</v>
          </cell>
          <cell r="F127">
            <v>0</v>
          </cell>
        </row>
        <row r="128">
          <cell r="D128">
            <v>408684</v>
          </cell>
          <cell r="F128">
            <v>-339421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39799.384470416349</v>
          </cell>
        </row>
        <row r="132">
          <cell r="D132">
            <v>0</v>
          </cell>
          <cell r="F132">
            <v>12504.76610178442</v>
          </cell>
        </row>
        <row r="133">
          <cell r="D133">
            <v>0</v>
          </cell>
          <cell r="F133">
            <v>0</v>
          </cell>
        </row>
        <row r="134">
          <cell r="D134">
            <v>31962</v>
          </cell>
          <cell r="F134">
            <v>-20965.842086723147</v>
          </cell>
        </row>
        <row r="136">
          <cell r="D136">
            <v>0</v>
          </cell>
          <cell r="F136">
            <v>617547.60198532103</v>
          </cell>
        </row>
        <row r="137">
          <cell r="D137">
            <v>0</v>
          </cell>
          <cell r="F137">
            <v>474569.92384546157</v>
          </cell>
        </row>
        <row r="138">
          <cell r="D138">
            <v>0</v>
          </cell>
          <cell r="F138">
            <v>852379.77088932216</v>
          </cell>
        </row>
        <row r="139">
          <cell r="D139">
            <v>1946525</v>
          </cell>
          <cell r="F139">
            <v>-1944497.2967201048</v>
          </cell>
        </row>
        <row r="141">
          <cell r="D141">
            <v>0</v>
          </cell>
          <cell r="F141">
            <v>94683.435557373014</v>
          </cell>
        </row>
        <row r="142">
          <cell r="D142">
            <v>0</v>
          </cell>
          <cell r="F142">
            <v>78652.825394634099</v>
          </cell>
        </row>
        <row r="143">
          <cell r="D143">
            <v>0</v>
          </cell>
          <cell r="F143">
            <v>121756.63628342566</v>
          </cell>
        </row>
        <row r="144">
          <cell r="D144">
            <v>157263</v>
          </cell>
          <cell r="F144">
            <v>-145830.74632006895</v>
          </cell>
        </row>
        <row r="146">
          <cell r="D146">
            <v>0</v>
          </cell>
          <cell r="F146">
            <v>38400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38970</v>
          </cell>
          <cell r="F150">
            <v>-38400</v>
          </cell>
        </row>
        <row r="151">
          <cell r="D151">
            <v>169105</v>
          </cell>
          <cell r="F151">
            <v>-1286.9000000000001</v>
          </cell>
        </row>
        <row r="152">
          <cell r="D152">
            <v>4486</v>
          </cell>
          <cell r="F152">
            <v>-500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5119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247330</v>
          </cell>
          <cell r="F177">
            <v>18966.161548094307</v>
          </cell>
        </row>
        <row r="178">
          <cell r="D178">
            <v>19145</v>
          </cell>
          <cell r="F178">
            <v>0</v>
          </cell>
        </row>
        <row r="179">
          <cell r="D179">
            <v>55882</v>
          </cell>
          <cell r="F179">
            <v>4285.0891025473484</v>
          </cell>
        </row>
        <row r="180">
          <cell r="D180">
            <v>4244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322170</v>
          </cell>
          <cell r="F183">
            <v>25056.260917337044</v>
          </cell>
        </row>
        <row r="184">
          <cell r="D184">
            <v>29025</v>
          </cell>
          <cell r="F184">
            <v>-326.87000000000006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6987</v>
          </cell>
          <cell r="F188">
            <v>0</v>
          </cell>
        </row>
        <row r="189">
          <cell r="D189">
            <v>101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1156</v>
          </cell>
          <cell r="F191">
            <v>0</v>
          </cell>
        </row>
        <row r="192">
          <cell r="D192">
            <v>245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35983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166916</v>
          </cell>
          <cell r="F205">
            <v>0</v>
          </cell>
        </row>
        <row r="206">
          <cell r="D206">
            <v>31018</v>
          </cell>
          <cell r="F206">
            <v>0</v>
          </cell>
        </row>
        <row r="207">
          <cell r="D207">
            <v>7449</v>
          </cell>
          <cell r="F207">
            <v>0</v>
          </cell>
        </row>
        <row r="211">
          <cell r="D211">
            <v>154712</v>
          </cell>
          <cell r="F211">
            <v>-36331.21284151591</v>
          </cell>
        </row>
        <row r="212">
          <cell r="D212">
            <v>11783</v>
          </cell>
          <cell r="F212">
            <v>-3285.3042857142859</v>
          </cell>
        </row>
        <row r="213">
          <cell r="D213">
            <v>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37971</v>
          </cell>
          <cell r="F216">
            <v>0</v>
          </cell>
        </row>
        <row r="221">
          <cell r="D221">
            <v>6643176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C9">
            <v>12526</v>
          </cell>
          <cell r="D9">
            <v>0</v>
          </cell>
          <cell r="E9">
            <v>3846</v>
          </cell>
          <cell r="F9">
            <v>1078</v>
          </cell>
          <cell r="G9">
            <v>0</v>
          </cell>
          <cell r="H9">
            <v>5267</v>
          </cell>
          <cell r="I9">
            <v>2806</v>
          </cell>
          <cell r="J9">
            <v>12</v>
          </cell>
          <cell r="K9">
            <v>804</v>
          </cell>
        </row>
        <row r="22">
          <cell r="N22">
            <v>100</v>
          </cell>
        </row>
        <row r="24">
          <cell r="N24">
            <v>100</v>
          </cell>
        </row>
        <row r="28">
          <cell r="N28">
            <v>36500</v>
          </cell>
        </row>
        <row r="30">
          <cell r="N30">
            <v>0.7216164383561644</v>
          </cell>
        </row>
        <row r="32">
          <cell r="N32">
            <v>0.34317808219178081</v>
          </cell>
        </row>
        <row r="34">
          <cell r="N34">
            <v>0.47556854854018754</v>
          </cell>
        </row>
      </sheetData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A"/>
      <sheetName val="Sch B-1B"/>
      <sheetName val="Sch C"/>
      <sheetName val="Sch C-1A"/>
      <sheetName val="Sch C-1B"/>
      <sheetName val="Sch C-1C"/>
      <sheetName val="Sch C-1D"/>
      <sheetName val="Sch C-1E"/>
      <sheetName val="Sch C-1F"/>
      <sheetName val="Sch C-1G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777054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3231376</v>
          </cell>
          <cell r="G21">
            <v>0</v>
          </cell>
        </row>
        <row r="27">
          <cell r="E27">
            <v>1331419</v>
          </cell>
          <cell r="G27">
            <v>-87584.621708169667</v>
          </cell>
        </row>
        <row r="32">
          <cell r="E32">
            <v>0</v>
          </cell>
          <cell r="G32">
            <v>0</v>
          </cell>
        </row>
        <row r="37">
          <cell r="E37">
            <v>2227435</v>
          </cell>
          <cell r="G37">
            <v>0</v>
          </cell>
        </row>
        <row r="42">
          <cell r="E42">
            <v>123145</v>
          </cell>
          <cell r="G42">
            <v>-6942.676509726607</v>
          </cell>
        </row>
        <row r="47">
          <cell r="E47">
            <v>0</v>
          </cell>
          <cell r="G47">
            <v>6098.0811161076417</v>
          </cell>
        </row>
        <row r="52">
          <cell r="E52">
            <v>83258</v>
          </cell>
          <cell r="G52">
            <v>88429.217101788847</v>
          </cell>
        </row>
        <row r="67">
          <cell r="E67">
            <v>-176833</v>
          </cell>
          <cell r="G67">
            <v>174871</v>
          </cell>
        </row>
        <row r="85">
          <cell r="C85">
            <v>210.46988847583643</v>
          </cell>
          <cell r="E85">
            <v>212.18977536793184</v>
          </cell>
          <cell r="G85">
            <v>221.65151515151516</v>
          </cell>
          <cell r="I85">
            <v>226.31487341772151</v>
          </cell>
        </row>
      </sheetData>
      <sheetData sheetId="6"/>
      <sheetData sheetId="7"/>
      <sheetData sheetId="8">
        <row r="10">
          <cell r="D10">
            <v>126001</v>
          </cell>
          <cell r="F10">
            <v>-11628</v>
          </cell>
        </row>
        <row r="11">
          <cell r="D11">
            <v>0</v>
          </cell>
          <cell r="F11">
            <v>0</v>
          </cell>
        </row>
        <row r="12">
          <cell r="D12">
            <v>132586</v>
          </cell>
          <cell r="F12">
            <v>84726.501471680938</v>
          </cell>
        </row>
        <row r="13">
          <cell r="D13">
            <v>437014</v>
          </cell>
          <cell r="F13">
            <v>-413219.98354285717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288015.44524800003</v>
          </cell>
        </row>
        <row r="16">
          <cell r="D16">
            <v>0</v>
          </cell>
          <cell r="F16">
            <v>0</v>
          </cell>
        </row>
        <row r="17">
          <cell r="D17">
            <v>0</v>
          </cell>
          <cell r="F17">
            <v>0</v>
          </cell>
        </row>
        <row r="18">
          <cell r="D18">
            <v>18918</v>
          </cell>
          <cell r="F18">
            <v>0</v>
          </cell>
        </row>
        <row r="19">
          <cell r="D19">
            <v>23837</v>
          </cell>
          <cell r="F19">
            <v>-1826.4</v>
          </cell>
        </row>
        <row r="20">
          <cell r="D20">
            <v>24029</v>
          </cell>
          <cell r="F20">
            <v>-95.27</v>
          </cell>
        </row>
        <row r="21">
          <cell r="D21">
            <v>1907</v>
          </cell>
          <cell r="F21">
            <v>6938</v>
          </cell>
        </row>
        <row r="22">
          <cell r="D22">
            <v>0</v>
          </cell>
          <cell r="F22">
            <v>0</v>
          </cell>
        </row>
        <row r="23">
          <cell r="D23">
            <v>12636</v>
          </cell>
          <cell r="F23">
            <v>-3775.4300000000003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302032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48568</v>
          </cell>
          <cell r="F31">
            <v>-48568</v>
          </cell>
        </row>
        <row r="32">
          <cell r="D32">
            <v>-2839</v>
          </cell>
          <cell r="F32">
            <v>65344</v>
          </cell>
        </row>
        <row r="33">
          <cell r="D33">
            <v>0</v>
          </cell>
          <cell r="F33">
            <v>0</v>
          </cell>
        </row>
        <row r="34">
          <cell r="D34">
            <v>5409</v>
          </cell>
          <cell r="F34">
            <v>0</v>
          </cell>
        </row>
        <row r="35">
          <cell r="D35">
            <v>511</v>
          </cell>
          <cell r="F35">
            <v>-511</v>
          </cell>
        </row>
        <row r="36">
          <cell r="D36">
            <v>0</v>
          </cell>
          <cell r="F36">
            <v>41319.194792857146</v>
          </cell>
        </row>
        <row r="37">
          <cell r="D37">
            <v>0</v>
          </cell>
          <cell r="F37">
            <v>7448.5967335519772</v>
          </cell>
        </row>
        <row r="38">
          <cell r="D38">
            <v>0</v>
          </cell>
          <cell r="F38">
            <v>0</v>
          </cell>
        </row>
        <row r="39">
          <cell r="D39">
            <v>5053</v>
          </cell>
          <cell r="F39">
            <v>-3</v>
          </cell>
        </row>
        <row r="40">
          <cell r="D40">
            <v>203902</v>
          </cell>
          <cell r="F40">
            <v>-203902</v>
          </cell>
        </row>
        <row r="41">
          <cell r="D41">
            <v>319</v>
          </cell>
          <cell r="F41">
            <v>0</v>
          </cell>
        </row>
        <row r="42">
          <cell r="D42">
            <v>66046</v>
          </cell>
          <cell r="F42">
            <v>0</v>
          </cell>
        </row>
        <row r="43">
          <cell r="D43">
            <v>20542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63066</v>
          </cell>
          <cell r="F45">
            <v>-9019</v>
          </cell>
        </row>
        <row r="57">
          <cell r="D57">
            <v>534543</v>
          </cell>
          <cell r="F57">
            <v>-534543</v>
          </cell>
        </row>
        <row r="58">
          <cell r="D58">
            <v>0</v>
          </cell>
          <cell r="F58">
            <v>247421</v>
          </cell>
        </row>
        <row r="59">
          <cell r="D59">
            <v>0</v>
          </cell>
          <cell r="F59">
            <v>0</v>
          </cell>
        </row>
        <row r="60">
          <cell r="D60">
            <v>92893</v>
          </cell>
          <cell r="F60">
            <v>8490</v>
          </cell>
        </row>
        <row r="61">
          <cell r="D61">
            <v>17325</v>
          </cell>
          <cell r="F61">
            <v>39940</v>
          </cell>
        </row>
        <row r="62">
          <cell r="D62">
            <v>2143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3963</v>
          </cell>
          <cell r="F65">
            <v>-1063</v>
          </cell>
        </row>
        <row r="66">
          <cell r="D66">
            <v>8051</v>
          </cell>
          <cell r="F66">
            <v>0</v>
          </cell>
        </row>
        <row r="67">
          <cell r="D67">
            <v>1759</v>
          </cell>
          <cell r="F67">
            <v>80332</v>
          </cell>
        </row>
        <row r="68">
          <cell r="D68">
            <v>126</v>
          </cell>
          <cell r="F68">
            <v>156412</v>
          </cell>
        </row>
        <row r="69">
          <cell r="D69">
            <v>644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25000</v>
          </cell>
          <cell r="F71">
            <v>-25000</v>
          </cell>
        </row>
        <row r="75">
          <cell r="D75">
            <v>81873</v>
          </cell>
          <cell r="F75">
            <v>8755.0249613758479</v>
          </cell>
        </row>
        <row r="76">
          <cell r="D76">
            <v>6358</v>
          </cell>
          <cell r="F76">
            <v>0</v>
          </cell>
        </row>
        <row r="77">
          <cell r="D77">
            <v>12135</v>
          </cell>
          <cell r="F77">
            <v>3779.59</v>
          </cell>
        </row>
        <row r="78">
          <cell r="D78">
            <v>0</v>
          </cell>
          <cell r="F78">
            <v>0</v>
          </cell>
        </row>
        <row r="79">
          <cell r="D79">
            <v>16568</v>
          </cell>
          <cell r="F79">
            <v>-3191.16</v>
          </cell>
        </row>
        <row r="80">
          <cell r="D80">
            <v>-12519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15240</v>
          </cell>
          <cell r="F82">
            <v>0</v>
          </cell>
        </row>
        <row r="83">
          <cell r="D83">
            <v>8490</v>
          </cell>
          <cell r="F83">
            <v>-1134</v>
          </cell>
        </row>
        <row r="84">
          <cell r="D84">
            <v>108690</v>
          </cell>
          <cell r="F84">
            <v>0</v>
          </cell>
        </row>
        <row r="85">
          <cell r="D85">
            <v>46909</v>
          </cell>
          <cell r="F85">
            <v>0</v>
          </cell>
        </row>
        <row r="89">
          <cell r="D89">
            <v>226691</v>
          </cell>
          <cell r="F89">
            <v>24108.535111839377</v>
          </cell>
        </row>
        <row r="90">
          <cell r="D90">
            <v>18083</v>
          </cell>
          <cell r="F90">
            <v>119.69</v>
          </cell>
        </row>
        <row r="91">
          <cell r="D91">
            <v>27579</v>
          </cell>
          <cell r="F91">
            <v>0</v>
          </cell>
        </row>
        <row r="92">
          <cell r="D92">
            <v>172951</v>
          </cell>
          <cell r="F92">
            <v>-2667.85</v>
          </cell>
        </row>
        <row r="93">
          <cell r="D93">
            <v>23932</v>
          </cell>
          <cell r="F93">
            <v>-180.51</v>
          </cell>
        </row>
        <row r="94">
          <cell r="D94">
            <v>5603</v>
          </cell>
          <cell r="F94">
            <v>0</v>
          </cell>
        </row>
        <row r="98">
          <cell r="D98">
            <v>40137</v>
          </cell>
          <cell r="F98">
            <v>4292.0185760231388</v>
          </cell>
        </row>
        <row r="99">
          <cell r="D99">
            <v>3570</v>
          </cell>
          <cell r="F99">
            <v>0</v>
          </cell>
        </row>
        <row r="100">
          <cell r="D100">
            <v>5068</v>
          </cell>
          <cell r="F100">
            <v>-165.87</v>
          </cell>
        </row>
        <row r="101">
          <cell r="D101">
            <v>0</v>
          </cell>
          <cell r="F101">
            <v>0</v>
          </cell>
        </row>
        <row r="102">
          <cell r="D102">
            <v>12321</v>
          </cell>
          <cell r="F102">
            <v>0</v>
          </cell>
        </row>
        <row r="103">
          <cell r="D103">
            <v>522</v>
          </cell>
          <cell r="F103">
            <v>0</v>
          </cell>
        </row>
        <row r="115">
          <cell r="D115">
            <v>136322</v>
          </cell>
          <cell r="F115">
            <v>14577.486018402629</v>
          </cell>
        </row>
        <row r="116">
          <cell r="D116">
            <v>10557</v>
          </cell>
          <cell r="F116">
            <v>0</v>
          </cell>
        </row>
        <row r="117">
          <cell r="D117">
            <v>16207</v>
          </cell>
          <cell r="F117">
            <v>-139.47999999999999</v>
          </cell>
        </row>
        <row r="118">
          <cell r="D118">
            <v>321</v>
          </cell>
          <cell r="F118">
            <v>0</v>
          </cell>
        </row>
        <row r="119">
          <cell r="D119">
            <v>2387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0</v>
          </cell>
          <cell r="F125">
            <v>390671.94062686613</v>
          </cell>
        </row>
        <row r="126">
          <cell r="D126">
            <v>0</v>
          </cell>
          <cell r="F126">
            <v>75921.059373133874</v>
          </cell>
        </row>
        <row r="127">
          <cell r="D127">
            <v>0</v>
          </cell>
          <cell r="F127">
            <v>0</v>
          </cell>
        </row>
        <row r="128">
          <cell r="D128">
            <v>578238</v>
          </cell>
          <cell r="F128">
            <v>-466593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67685.185381235555</v>
          </cell>
        </row>
        <row r="132">
          <cell r="D132">
            <v>0</v>
          </cell>
          <cell r="F132">
            <v>13153.570665363961</v>
          </cell>
        </row>
        <row r="133">
          <cell r="D133">
            <v>0</v>
          </cell>
          <cell r="F133">
            <v>0</v>
          </cell>
        </row>
        <row r="134">
          <cell r="D134">
            <v>39250</v>
          </cell>
          <cell r="F134">
            <v>-19005.329598123841</v>
          </cell>
        </row>
        <row r="136">
          <cell r="D136">
            <v>0</v>
          </cell>
          <cell r="F136">
            <v>654527.41869064211</v>
          </cell>
        </row>
        <row r="137">
          <cell r="D137">
            <v>0</v>
          </cell>
          <cell r="F137">
            <v>523147.80356763734</v>
          </cell>
        </row>
        <row r="138">
          <cell r="D138">
            <v>0</v>
          </cell>
          <cell r="F138">
            <v>939630.98489874799</v>
          </cell>
        </row>
        <row r="139">
          <cell r="D139">
            <v>2145775</v>
          </cell>
          <cell r="F139">
            <v>-2143539.7371570272</v>
          </cell>
        </row>
        <row r="141">
          <cell r="D141">
            <v>0</v>
          </cell>
          <cell r="F141">
            <v>135225.25612627447</v>
          </cell>
        </row>
        <row r="142">
          <cell r="D142">
            <v>0</v>
          </cell>
          <cell r="F142">
            <v>92313.563440509592</v>
          </cell>
        </row>
        <row r="143">
          <cell r="D143">
            <v>0</v>
          </cell>
          <cell r="F143">
            <v>148726.48758318683</v>
          </cell>
        </row>
        <row r="144">
          <cell r="D144">
            <v>167929</v>
          </cell>
          <cell r="F144">
            <v>-146809.40232059406</v>
          </cell>
        </row>
        <row r="146">
          <cell r="D146">
            <v>0</v>
          </cell>
          <cell r="F146">
            <v>43000</v>
          </cell>
        </row>
        <row r="147">
          <cell r="D147">
            <v>0</v>
          </cell>
          <cell r="F147">
            <v>4676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1496</v>
          </cell>
        </row>
        <row r="150">
          <cell r="D150">
            <v>49592</v>
          </cell>
          <cell r="F150">
            <v>-49172</v>
          </cell>
        </row>
        <row r="151">
          <cell r="D151">
            <v>173150</v>
          </cell>
          <cell r="F151">
            <v>-721.52</v>
          </cell>
        </row>
        <row r="152">
          <cell r="D152">
            <v>12099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3860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26233.530000000006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-15720</v>
          </cell>
        </row>
        <row r="161">
          <cell r="D161">
            <v>14885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375865</v>
          </cell>
          <cell r="F177">
            <v>40183.54143585929</v>
          </cell>
        </row>
        <row r="178">
          <cell r="D178">
            <v>30531</v>
          </cell>
          <cell r="F178">
            <v>8.39</v>
          </cell>
        </row>
        <row r="179">
          <cell r="D179">
            <v>85340</v>
          </cell>
          <cell r="F179">
            <v>9164.7078294670537</v>
          </cell>
        </row>
        <row r="180">
          <cell r="D180">
            <v>6286</v>
          </cell>
          <cell r="F180">
            <v>-35.18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425944</v>
          </cell>
          <cell r="F183">
            <v>45186.163565878247</v>
          </cell>
        </row>
        <row r="184">
          <cell r="D184">
            <v>31729</v>
          </cell>
          <cell r="F184">
            <v>326.87000000000006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8103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1151</v>
          </cell>
          <cell r="F191">
            <v>0</v>
          </cell>
        </row>
        <row r="192">
          <cell r="D192">
            <v>56164</v>
          </cell>
          <cell r="F192">
            <v>0</v>
          </cell>
        </row>
        <row r="193">
          <cell r="D193">
            <v>3225</v>
          </cell>
          <cell r="F193">
            <v>0</v>
          </cell>
        </row>
        <row r="194">
          <cell r="D194">
            <v>-3</v>
          </cell>
          <cell r="F194">
            <v>3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341947</v>
          </cell>
          <cell r="F205">
            <v>0</v>
          </cell>
        </row>
        <row r="206">
          <cell r="D206">
            <v>28931</v>
          </cell>
          <cell r="F206">
            <v>0</v>
          </cell>
        </row>
        <row r="207">
          <cell r="D207">
            <v>7679</v>
          </cell>
          <cell r="F207">
            <v>0</v>
          </cell>
        </row>
        <row r="211">
          <cell r="D211">
            <v>205964</v>
          </cell>
          <cell r="F211">
            <v>-25636.88350627269</v>
          </cell>
        </row>
        <row r="212">
          <cell r="D212">
            <v>16373</v>
          </cell>
          <cell r="F212">
            <v>-3160.1610857142859</v>
          </cell>
        </row>
        <row r="213">
          <cell r="D213">
            <v>710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17080</v>
          </cell>
          <cell r="F216">
            <v>0</v>
          </cell>
        </row>
        <row r="221">
          <cell r="D221">
            <v>7989776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C9">
            <v>4284</v>
          </cell>
          <cell r="D9">
            <v>0</v>
          </cell>
          <cell r="E9">
            <v>5993</v>
          </cell>
          <cell r="F9">
            <v>3463</v>
          </cell>
          <cell r="G9">
            <v>0</v>
          </cell>
          <cell r="H9">
            <v>10242</v>
          </cell>
          <cell r="I9">
            <v>685</v>
          </cell>
          <cell r="J9">
            <v>37</v>
          </cell>
          <cell r="K9">
            <v>478</v>
          </cell>
        </row>
        <row r="22">
          <cell r="N22">
            <v>120</v>
          </cell>
        </row>
        <row r="24">
          <cell r="N24">
            <v>14</v>
          </cell>
        </row>
        <row r="28">
          <cell r="N28">
            <v>43800</v>
          </cell>
        </row>
        <row r="30">
          <cell r="N30">
            <v>0.57493150684931504</v>
          </cell>
        </row>
        <row r="32">
          <cell r="N32">
            <v>9.780821917808219E-2</v>
          </cell>
        </row>
        <row r="34">
          <cell r="N34">
            <v>0.17012151536812009</v>
          </cell>
        </row>
      </sheetData>
      <sheetData sheetId="1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heet1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3227968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30905</v>
          </cell>
          <cell r="G37">
            <v>0</v>
          </cell>
        </row>
        <row r="42">
          <cell r="E42">
            <v>104760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5902</v>
          </cell>
          <cell r="G67">
            <v>0</v>
          </cell>
        </row>
        <row r="85">
          <cell r="C85">
            <v>2867.5</v>
          </cell>
          <cell r="E85">
            <v>126.68478260869566</v>
          </cell>
          <cell r="G85">
            <v>229.06779661016949</v>
          </cell>
          <cell r="I85">
            <v>0</v>
          </cell>
        </row>
      </sheetData>
      <sheetData sheetId="6"/>
      <sheetData sheetId="7">
        <row r="10">
          <cell r="D10">
            <v>147118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33832</v>
          </cell>
          <cell r="F12">
            <v>0</v>
          </cell>
        </row>
        <row r="13">
          <cell r="D13">
            <v>68487</v>
          </cell>
          <cell r="F13">
            <v>-47408</v>
          </cell>
        </row>
        <row r="14">
          <cell r="D14">
            <v>0</v>
          </cell>
          <cell r="F14">
            <v>0</v>
          </cell>
        </row>
        <row r="15">
          <cell r="D15">
            <v>813185</v>
          </cell>
          <cell r="F15">
            <v>-813185</v>
          </cell>
        </row>
        <row r="16">
          <cell r="D16">
            <v>69513</v>
          </cell>
          <cell r="F16">
            <v>10035</v>
          </cell>
        </row>
        <row r="17">
          <cell r="D17">
            <v>1184</v>
          </cell>
          <cell r="F17">
            <v>-1184</v>
          </cell>
        </row>
        <row r="18">
          <cell r="D18">
            <v>6812</v>
          </cell>
          <cell r="F18">
            <v>0</v>
          </cell>
        </row>
        <row r="19">
          <cell r="D19">
            <v>24034</v>
          </cell>
          <cell r="F19">
            <v>0</v>
          </cell>
        </row>
        <row r="20">
          <cell r="D20">
            <v>12570</v>
          </cell>
          <cell r="F20">
            <v>0</v>
          </cell>
        </row>
        <row r="21">
          <cell r="D21">
            <v>26467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15613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245278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1980</v>
          </cell>
          <cell r="F30">
            <v>-1980</v>
          </cell>
        </row>
        <row r="31">
          <cell r="D31">
            <v>21528</v>
          </cell>
          <cell r="F31">
            <v>81</v>
          </cell>
        </row>
        <row r="32">
          <cell r="D32">
            <v>26580</v>
          </cell>
          <cell r="F32">
            <v>7092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1943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9987</v>
          </cell>
          <cell r="F41">
            <v>0</v>
          </cell>
        </row>
        <row r="42">
          <cell r="D42">
            <v>722</v>
          </cell>
          <cell r="F42">
            <v>0</v>
          </cell>
        </row>
        <row r="43">
          <cell r="D43">
            <v>4896</v>
          </cell>
          <cell r="F43">
            <v>-4896</v>
          </cell>
        </row>
        <row r="44">
          <cell r="D44">
            <v>0</v>
          </cell>
          <cell r="F44">
            <v>0</v>
          </cell>
        </row>
        <row r="45">
          <cell r="D45">
            <v>10517</v>
          </cell>
          <cell r="F45">
            <v>0</v>
          </cell>
        </row>
        <row r="57">
          <cell r="D57">
            <v>364632</v>
          </cell>
          <cell r="F57">
            <v>-358302</v>
          </cell>
        </row>
        <row r="58">
          <cell r="D58">
            <v>0</v>
          </cell>
          <cell r="F58">
            <v>35773</v>
          </cell>
        </row>
        <row r="59">
          <cell r="D59">
            <v>0</v>
          </cell>
          <cell r="F59">
            <v>74016</v>
          </cell>
        </row>
        <row r="60">
          <cell r="D60">
            <v>11575</v>
          </cell>
          <cell r="F60">
            <v>-1788</v>
          </cell>
        </row>
        <row r="61">
          <cell r="D61">
            <v>0</v>
          </cell>
          <cell r="F61">
            <v>4878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8396</v>
          </cell>
          <cell r="F65">
            <v>-4969</v>
          </cell>
        </row>
        <row r="66">
          <cell r="D66">
            <v>0</v>
          </cell>
          <cell r="F66">
            <v>0</v>
          </cell>
        </row>
        <row r="67">
          <cell r="D67">
            <v>0</v>
          </cell>
          <cell r="F67">
            <v>9879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1788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38865</v>
          </cell>
          <cell r="F75">
            <v>0</v>
          </cell>
        </row>
        <row r="76">
          <cell r="D76">
            <v>3186</v>
          </cell>
          <cell r="F76">
            <v>2145</v>
          </cell>
        </row>
        <row r="77">
          <cell r="D77">
            <v>5311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69</v>
          </cell>
          <cell r="F79">
            <v>0</v>
          </cell>
        </row>
        <row r="80">
          <cell r="D80">
            <v>11769</v>
          </cell>
          <cell r="F80">
            <v>0</v>
          </cell>
        </row>
        <row r="81">
          <cell r="D81">
            <v>15721</v>
          </cell>
          <cell r="F81">
            <v>-14166</v>
          </cell>
        </row>
        <row r="82">
          <cell r="D82">
            <v>6372</v>
          </cell>
          <cell r="F82">
            <v>0</v>
          </cell>
        </row>
        <row r="83">
          <cell r="D83">
            <v>404</v>
          </cell>
          <cell r="F83">
            <v>0</v>
          </cell>
        </row>
        <row r="84">
          <cell r="D84">
            <v>35748</v>
          </cell>
          <cell r="F84">
            <v>0</v>
          </cell>
        </row>
        <row r="85">
          <cell r="D85">
            <v>2598</v>
          </cell>
          <cell r="F85">
            <v>0</v>
          </cell>
        </row>
        <row r="89">
          <cell r="D89">
            <v>116862</v>
          </cell>
          <cell r="F89">
            <v>0</v>
          </cell>
        </row>
        <row r="90">
          <cell r="D90">
            <v>9759</v>
          </cell>
          <cell r="F90">
            <v>6451</v>
          </cell>
        </row>
        <row r="91">
          <cell r="D91">
            <v>7333</v>
          </cell>
          <cell r="F91">
            <v>0</v>
          </cell>
        </row>
        <row r="92">
          <cell r="D92">
            <v>72314</v>
          </cell>
          <cell r="F92">
            <v>0</v>
          </cell>
        </row>
        <row r="93">
          <cell r="D93">
            <v>10025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3961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706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50246</v>
          </cell>
          <cell r="F115">
            <v>0</v>
          </cell>
        </row>
        <row r="116">
          <cell r="D116">
            <v>4114</v>
          </cell>
          <cell r="F116">
            <v>2773</v>
          </cell>
        </row>
        <row r="117">
          <cell r="D117">
            <v>11785</v>
          </cell>
          <cell r="F117">
            <v>0</v>
          </cell>
        </row>
        <row r="118">
          <cell r="D118">
            <v>1713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115726</v>
          </cell>
          <cell r="F124">
            <v>0</v>
          </cell>
        </row>
        <row r="125">
          <cell r="D125">
            <v>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0</v>
          </cell>
          <cell r="F128">
            <v>0</v>
          </cell>
        </row>
        <row r="130">
          <cell r="D130">
            <v>0</v>
          </cell>
          <cell r="F130">
            <v>15434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0</v>
          </cell>
        </row>
        <row r="136">
          <cell r="D136">
            <v>153455</v>
          </cell>
          <cell r="F136">
            <v>-9724</v>
          </cell>
        </row>
        <row r="137">
          <cell r="D137">
            <v>95296</v>
          </cell>
          <cell r="F137">
            <v>9724</v>
          </cell>
        </row>
        <row r="138">
          <cell r="D138">
            <v>217093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28491</v>
          </cell>
          <cell r="F141">
            <v>-9322</v>
          </cell>
        </row>
        <row r="142">
          <cell r="D142">
            <v>0</v>
          </cell>
          <cell r="F142">
            <v>14006</v>
          </cell>
        </row>
        <row r="143">
          <cell r="D143">
            <v>17649</v>
          </cell>
          <cell r="F143">
            <v>11983</v>
          </cell>
        </row>
        <row r="144">
          <cell r="D144">
            <v>0</v>
          </cell>
          <cell r="F144">
            <v>0</v>
          </cell>
        </row>
        <row r="146">
          <cell r="D146">
            <v>11500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4516</v>
          </cell>
          <cell r="F150">
            <v>0</v>
          </cell>
        </row>
        <row r="151">
          <cell r="D151">
            <v>32505</v>
          </cell>
          <cell r="F151">
            <v>0</v>
          </cell>
        </row>
        <row r="152">
          <cell r="D152">
            <v>2015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8761</v>
          </cell>
          <cell r="F194">
            <v>0</v>
          </cell>
        </row>
        <row r="195">
          <cell r="D195">
            <v>3530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4756</v>
          </cell>
          <cell r="F197">
            <v>0</v>
          </cell>
        </row>
        <row r="198">
          <cell r="D198">
            <v>621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4931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71339</v>
          </cell>
          <cell r="F211">
            <v>0</v>
          </cell>
        </row>
        <row r="212">
          <cell r="D212">
            <v>5432</v>
          </cell>
          <cell r="F212">
            <v>3938</v>
          </cell>
        </row>
        <row r="213">
          <cell r="D213">
            <v>8736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3167</v>
          </cell>
          <cell r="F216">
            <v>0</v>
          </cell>
        </row>
        <row r="221">
          <cell r="D221">
            <v>3125229</v>
          </cell>
        </row>
      </sheetData>
      <sheetData sheetId="8"/>
      <sheetData sheetId="9"/>
      <sheetData sheetId="10">
        <row r="9">
          <cell r="C9">
            <v>12386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153</v>
          </cell>
          <cell r="I9">
            <v>524</v>
          </cell>
          <cell r="J9">
            <v>0</v>
          </cell>
          <cell r="K9">
            <v>0</v>
          </cell>
        </row>
        <row r="22">
          <cell r="N22">
            <v>37</v>
          </cell>
        </row>
        <row r="24">
          <cell r="N24">
            <v>37</v>
          </cell>
        </row>
        <row r="28">
          <cell r="N28">
            <v>13505</v>
          </cell>
        </row>
        <row r="30">
          <cell r="N30">
            <v>0.96727138097001109</v>
          </cell>
        </row>
        <row r="32">
          <cell r="N32">
            <v>0.9171417993335802</v>
          </cell>
        </row>
        <row r="34">
          <cell r="N34">
            <v>0.94817423256526068</v>
          </cell>
        </row>
      </sheetData>
      <sheetData sheetId="11"/>
      <sheetData sheetId="1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3479020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231920</v>
          </cell>
          <cell r="G37">
            <v>0</v>
          </cell>
        </row>
        <row r="42">
          <cell r="E42">
            <v>367470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10787</v>
          </cell>
          <cell r="G67">
            <v>0</v>
          </cell>
        </row>
        <row r="85">
          <cell r="C85">
            <v>301.61504424778764</v>
          </cell>
          <cell r="E85">
            <v>376.05990783410141</v>
          </cell>
          <cell r="G85">
            <v>-157</v>
          </cell>
          <cell r="I85">
            <v>232.35537190082644</v>
          </cell>
        </row>
      </sheetData>
      <sheetData sheetId="6"/>
      <sheetData sheetId="7">
        <row r="10">
          <cell r="D10">
            <v>99806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84086</v>
          </cell>
          <cell r="F12">
            <v>-38588</v>
          </cell>
        </row>
        <row r="13">
          <cell r="D13">
            <v>114130.6</v>
          </cell>
          <cell r="F13">
            <v>-96096</v>
          </cell>
        </row>
        <row r="14">
          <cell r="D14">
            <v>0</v>
          </cell>
          <cell r="F14">
            <v>0</v>
          </cell>
        </row>
        <row r="15">
          <cell r="D15">
            <v>29007</v>
          </cell>
          <cell r="F15">
            <v>-29007</v>
          </cell>
        </row>
        <row r="16">
          <cell r="D16">
            <v>156104</v>
          </cell>
          <cell r="F16">
            <v>-61135</v>
          </cell>
        </row>
        <row r="17">
          <cell r="D17">
            <v>2534</v>
          </cell>
          <cell r="F17">
            <v>-2534</v>
          </cell>
        </row>
        <row r="18">
          <cell r="D18">
            <v>18285</v>
          </cell>
          <cell r="F18">
            <v>0</v>
          </cell>
        </row>
        <row r="19">
          <cell r="D19">
            <v>43690</v>
          </cell>
          <cell r="F19">
            <v>0</v>
          </cell>
        </row>
        <row r="20">
          <cell r="D20">
            <v>20096</v>
          </cell>
          <cell r="F20">
            <v>0</v>
          </cell>
        </row>
        <row r="21">
          <cell r="D21">
            <v>30257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14283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293232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4680</v>
          </cell>
          <cell r="F30">
            <v>-4680</v>
          </cell>
        </row>
        <row r="31">
          <cell r="D31">
            <v>18535</v>
          </cell>
          <cell r="F31">
            <v>1076</v>
          </cell>
        </row>
        <row r="32">
          <cell r="D32">
            <v>75015</v>
          </cell>
          <cell r="F32">
            <v>-8053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116665</v>
          </cell>
          <cell r="F35">
            <v>-116665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4104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229699</v>
          </cell>
          <cell r="F41">
            <v>0</v>
          </cell>
        </row>
        <row r="42">
          <cell r="D42">
            <v>7703</v>
          </cell>
          <cell r="F42">
            <v>0</v>
          </cell>
        </row>
        <row r="43">
          <cell r="D43">
            <v>3145</v>
          </cell>
          <cell r="F43">
            <v>-3145</v>
          </cell>
        </row>
        <row r="44">
          <cell r="D44">
            <v>0</v>
          </cell>
          <cell r="F44">
            <v>0</v>
          </cell>
        </row>
        <row r="45">
          <cell r="D45">
            <v>28946</v>
          </cell>
          <cell r="F45">
            <v>0</v>
          </cell>
        </row>
        <row r="57">
          <cell r="D57">
            <v>220583</v>
          </cell>
          <cell r="F57">
            <v>201192</v>
          </cell>
        </row>
        <row r="58">
          <cell r="D58">
            <v>0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4095</v>
          </cell>
          <cell r="F60">
            <v>28433</v>
          </cell>
        </row>
        <row r="61">
          <cell r="D61">
            <v>0</v>
          </cell>
          <cell r="F61">
            <v>4850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2127</v>
          </cell>
        </row>
        <row r="66">
          <cell r="D66">
            <v>2681</v>
          </cell>
          <cell r="F66">
            <v>0</v>
          </cell>
        </row>
        <row r="67">
          <cell r="D67">
            <v>0</v>
          </cell>
          <cell r="F67">
            <v>2419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575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51496.6</v>
          </cell>
          <cell r="F75">
            <v>0</v>
          </cell>
        </row>
        <row r="76">
          <cell r="D76">
            <v>4259</v>
          </cell>
          <cell r="F76">
            <v>3018</v>
          </cell>
        </row>
        <row r="77">
          <cell r="D77">
            <v>15499</v>
          </cell>
          <cell r="F77">
            <v>0</v>
          </cell>
        </row>
        <row r="78">
          <cell r="D78">
            <v>101</v>
          </cell>
          <cell r="F78">
            <v>0</v>
          </cell>
        </row>
        <row r="79">
          <cell r="D79">
            <v>3560</v>
          </cell>
          <cell r="F79">
            <v>0</v>
          </cell>
        </row>
        <row r="80">
          <cell r="D80">
            <v>38066</v>
          </cell>
          <cell r="F80">
            <v>0</v>
          </cell>
        </row>
        <row r="81">
          <cell r="D81">
            <v>22683</v>
          </cell>
          <cell r="F81">
            <v>-22683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69866</v>
          </cell>
          <cell r="F84">
            <v>0</v>
          </cell>
        </row>
        <row r="85">
          <cell r="D85">
            <v>6288</v>
          </cell>
          <cell r="F85">
            <v>0</v>
          </cell>
        </row>
        <row r="89">
          <cell r="D89">
            <v>136944</v>
          </cell>
          <cell r="F89">
            <v>0</v>
          </cell>
        </row>
        <row r="90">
          <cell r="D90">
            <v>12322</v>
          </cell>
          <cell r="F90">
            <v>8025</v>
          </cell>
        </row>
        <row r="91">
          <cell r="D91">
            <v>12491</v>
          </cell>
          <cell r="F91">
            <v>0</v>
          </cell>
        </row>
        <row r="92">
          <cell r="D92">
            <v>104689</v>
          </cell>
          <cell r="F92">
            <v>0</v>
          </cell>
        </row>
        <row r="93">
          <cell r="D93">
            <v>18898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22479</v>
          </cell>
          <cell r="F98">
            <v>0</v>
          </cell>
        </row>
        <row r="99">
          <cell r="D99">
            <v>2003</v>
          </cell>
          <cell r="F99">
            <v>1317</v>
          </cell>
        </row>
        <row r="100">
          <cell r="D100">
            <v>6172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1769</v>
          </cell>
          <cell r="F102">
            <v>0</v>
          </cell>
        </row>
        <row r="103">
          <cell r="D103">
            <v>1993</v>
          </cell>
          <cell r="F103">
            <v>0</v>
          </cell>
        </row>
        <row r="115">
          <cell r="D115">
            <v>65719</v>
          </cell>
          <cell r="F115">
            <v>0</v>
          </cell>
        </row>
        <row r="116">
          <cell r="D116">
            <v>5477</v>
          </cell>
          <cell r="F116">
            <v>3851</v>
          </cell>
        </row>
        <row r="117">
          <cell r="D117">
            <v>15731</v>
          </cell>
          <cell r="F117">
            <v>0</v>
          </cell>
        </row>
        <row r="118">
          <cell r="D118">
            <v>940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113931</v>
          </cell>
          <cell r="F124">
            <v>0</v>
          </cell>
        </row>
        <row r="125">
          <cell r="D125">
            <v>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8457</v>
          </cell>
          <cell r="F128">
            <v>660</v>
          </cell>
        </row>
        <row r="130">
          <cell r="D130">
            <v>0</v>
          </cell>
          <cell r="F130">
            <v>16281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1208</v>
          </cell>
        </row>
        <row r="136">
          <cell r="D136">
            <v>240786</v>
          </cell>
          <cell r="F136">
            <v>-21452</v>
          </cell>
        </row>
        <row r="137">
          <cell r="D137">
            <v>266242</v>
          </cell>
          <cell r="F137">
            <v>20792</v>
          </cell>
        </row>
        <row r="138">
          <cell r="D138">
            <v>557161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53005</v>
          </cell>
          <cell r="F141">
            <v>-21661</v>
          </cell>
        </row>
        <row r="142">
          <cell r="D142">
            <v>0</v>
          </cell>
          <cell r="F142">
            <v>41017</v>
          </cell>
        </row>
        <row r="143">
          <cell r="D143">
            <v>48418</v>
          </cell>
          <cell r="F143">
            <v>32650</v>
          </cell>
        </row>
        <row r="144">
          <cell r="D144">
            <v>0</v>
          </cell>
          <cell r="F144">
            <v>0</v>
          </cell>
        </row>
        <row r="146">
          <cell r="D146">
            <v>31500</v>
          </cell>
          <cell r="F146">
            <v>0</v>
          </cell>
        </row>
        <row r="147">
          <cell r="D147">
            <v>7551</v>
          </cell>
          <cell r="F147">
            <v>0</v>
          </cell>
        </row>
        <row r="148">
          <cell r="D148">
            <v>337</v>
          </cell>
          <cell r="F148">
            <v>0</v>
          </cell>
        </row>
        <row r="149">
          <cell r="D149">
            <v>4895</v>
          </cell>
          <cell r="F149">
            <v>0</v>
          </cell>
        </row>
        <row r="150">
          <cell r="D150">
            <v>7943</v>
          </cell>
          <cell r="F150">
            <v>0</v>
          </cell>
        </row>
        <row r="151">
          <cell r="D151">
            <v>76483</v>
          </cell>
          <cell r="F151">
            <v>0</v>
          </cell>
        </row>
        <row r="152">
          <cell r="D152">
            <v>38311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16247</v>
          </cell>
          <cell r="F193">
            <v>0</v>
          </cell>
        </row>
        <row r="194">
          <cell r="D194">
            <v>1175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4282</v>
          </cell>
          <cell r="F196">
            <v>0</v>
          </cell>
        </row>
        <row r="197">
          <cell r="D197">
            <v>9684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16729</v>
          </cell>
          <cell r="F205">
            <v>0</v>
          </cell>
        </row>
        <row r="206">
          <cell r="D206">
            <v>207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95574</v>
          </cell>
          <cell r="F211">
            <v>0</v>
          </cell>
        </row>
        <row r="212">
          <cell r="D212">
            <v>7735</v>
          </cell>
          <cell r="F212">
            <v>5601</v>
          </cell>
        </row>
        <row r="213">
          <cell r="D213">
            <v>10413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7734</v>
          </cell>
          <cell r="F216">
            <v>0</v>
          </cell>
        </row>
        <row r="221">
          <cell r="D221">
            <v>3865607</v>
          </cell>
        </row>
      </sheetData>
      <sheetData sheetId="8"/>
      <sheetData sheetId="9"/>
      <sheetData sheetId="10">
        <row r="9">
          <cell r="C9">
            <v>12812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880</v>
          </cell>
          <cell r="I9">
            <v>1898</v>
          </cell>
          <cell r="J9">
            <v>0</v>
          </cell>
          <cell r="K9">
            <v>0</v>
          </cell>
        </row>
        <row r="22">
          <cell r="N22">
            <v>85</v>
          </cell>
        </row>
        <row r="24">
          <cell r="N24">
            <v>0</v>
          </cell>
        </row>
        <row r="28">
          <cell r="N28">
            <v>31025</v>
          </cell>
        </row>
        <row r="30">
          <cell r="N30">
            <v>0.50249798549556812</v>
          </cell>
        </row>
        <row r="32">
          <cell r="N32">
            <v>0.41295729250604352</v>
          </cell>
        </row>
        <row r="34">
          <cell r="N34">
            <v>0.82180885182809493</v>
          </cell>
        </row>
      </sheetData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C-2 (2)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1994072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715665</v>
          </cell>
          <cell r="G21">
            <v>0</v>
          </cell>
        </row>
        <row r="27">
          <cell r="E27">
            <v>8899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174921</v>
          </cell>
          <cell r="G37">
            <v>0</v>
          </cell>
        </row>
        <row r="42">
          <cell r="E42">
            <v>252795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30688</v>
          </cell>
          <cell r="G67">
            <v>0</v>
          </cell>
        </row>
        <row r="85">
          <cell r="C85">
            <v>198.55039548022597</v>
          </cell>
          <cell r="E85">
            <v>185.16720183486237</v>
          </cell>
          <cell r="G85">
            <v>198.11167441860465</v>
          </cell>
          <cell r="I85">
            <v>228.18120481927713</v>
          </cell>
        </row>
      </sheetData>
      <sheetData sheetId="6"/>
      <sheetData sheetId="7">
        <row r="10">
          <cell r="D10">
            <v>113440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119530</v>
          </cell>
          <cell r="F12">
            <v>0</v>
          </cell>
        </row>
        <row r="13">
          <cell r="D13">
            <v>86546</v>
          </cell>
          <cell r="F13">
            <v>-58234</v>
          </cell>
        </row>
        <row r="14">
          <cell r="D14">
            <v>0</v>
          </cell>
          <cell r="F14">
            <v>0</v>
          </cell>
        </row>
        <row r="15">
          <cell r="D15">
            <v>10343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208</v>
          </cell>
          <cell r="F17">
            <v>-208</v>
          </cell>
        </row>
        <row r="18">
          <cell r="D18">
            <v>5406</v>
          </cell>
          <cell r="F18">
            <v>0</v>
          </cell>
        </row>
        <row r="19">
          <cell r="D19">
            <v>13654</v>
          </cell>
          <cell r="F19">
            <v>0</v>
          </cell>
        </row>
        <row r="20">
          <cell r="D20">
            <v>6381</v>
          </cell>
          <cell r="F20">
            <v>0</v>
          </cell>
        </row>
        <row r="21">
          <cell r="D21">
            <v>37216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13216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233425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20406</v>
          </cell>
          <cell r="F31">
            <v>0</v>
          </cell>
        </row>
        <row r="32">
          <cell r="D32">
            <v>61413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1107</v>
          </cell>
          <cell r="F39">
            <v>0</v>
          </cell>
        </row>
        <row r="40">
          <cell r="D40">
            <v>828</v>
          </cell>
          <cell r="F40">
            <v>-828</v>
          </cell>
        </row>
        <row r="41">
          <cell r="D41">
            <v>37223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10867</v>
          </cell>
          <cell r="F43">
            <v>-9419</v>
          </cell>
        </row>
        <row r="44">
          <cell r="D44">
            <v>0</v>
          </cell>
          <cell r="F44">
            <v>0</v>
          </cell>
        </row>
        <row r="45">
          <cell r="D45">
            <v>5013</v>
          </cell>
          <cell r="F45">
            <v>0</v>
          </cell>
        </row>
        <row r="57">
          <cell r="D57">
            <v>187664</v>
          </cell>
          <cell r="F57">
            <v>0</v>
          </cell>
        </row>
        <row r="58">
          <cell r="D58">
            <v>0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17985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44392</v>
          </cell>
          <cell r="F75">
            <v>0</v>
          </cell>
        </row>
        <row r="76">
          <cell r="D76">
            <v>3736</v>
          </cell>
          <cell r="F76">
            <v>2387</v>
          </cell>
        </row>
        <row r="77">
          <cell r="D77">
            <v>6185</v>
          </cell>
          <cell r="F77">
            <v>0</v>
          </cell>
        </row>
        <row r="78">
          <cell r="D78">
            <v>2130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18375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511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54444</v>
          </cell>
          <cell r="F84">
            <v>0</v>
          </cell>
        </row>
        <row r="85">
          <cell r="D85">
            <v>35</v>
          </cell>
          <cell r="F85">
            <v>0</v>
          </cell>
        </row>
        <row r="89">
          <cell r="D89">
            <v>150795</v>
          </cell>
          <cell r="F89">
            <v>0</v>
          </cell>
        </row>
        <row r="90">
          <cell r="D90">
            <v>12858</v>
          </cell>
          <cell r="F90">
            <v>8109</v>
          </cell>
        </row>
        <row r="91">
          <cell r="D91">
            <v>11717</v>
          </cell>
          <cell r="F91">
            <v>0</v>
          </cell>
        </row>
        <row r="92">
          <cell r="D92">
            <v>93663</v>
          </cell>
          <cell r="F92">
            <v>0</v>
          </cell>
        </row>
        <row r="93">
          <cell r="D93">
            <v>8323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19841</v>
          </cell>
          <cell r="F98">
            <v>0</v>
          </cell>
        </row>
        <row r="99">
          <cell r="D99">
            <v>1728</v>
          </cell>
          <cell r="F99">
            <v>1067</v>
          </cell>
        </row>
        <row r="100">
          <cell r="D100">
            <v>3741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2565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37748</v>
          </cell>
          <cell r="F115">
            <v>0</v>
          </cell>
        </row>
        <row r="116">
          <cell r="D116">
            <v>3286</v>
          </cell>
          <cell r="F116">
            <v>2030</v>
          </cell>
        </row>
        <row r="117">
          <cell r="D117">
            <v>11913</v>
          </cell>
          <cell r="F117">
            <v>0</v>
          </cell>
        </row>
        <row r="118">
          <cell r="D118">
            <v>1853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77198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4336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10442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586</v>
          </cell>
        </row>
        <row r="136">
          <cell r="D136">
            <v>189469</v>
          </cell>
          <cell r="F136">
            <v>0</v>
          </cell>
        </row>
        <row r="137">
          <cell r="D137">
            <v>160541</v>
          </cell>
          <cell r="F137">
            <v>0</v>
          </cell>
        </row>
        <row r="138">
          <cell r="D138">
            <v>333337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35166</v>
          </cell>
          <cell r="F141">
            <v>-9538</v>
          </cell>
        </row>
        <row r="142">
          <cell r="D142">
            <v>0</v>
          </cell>
          <cell r="F142">
            <v>21715</v>
          </cell>
        </row>
        <row r="143">
          <cell r="D143">
            <v>28603</v>
          </cell>
          <cell r="F143">
            <v>17925</v>
          </cell>
        </row>
        <row r="144">
          <cell r="D144">
            <v>0</v>
          </cell>
          <cell r="F144">
            <v>0</v>
          </cell>
        </row>
        <row r="146">
          <cell r="D146">
            <v>12000</v>
          </cell>
          <cell r="F146">
            <v>0</v>
          </cell>
        </row>
        <row r="147">
          <cell r="D147">
            <v>23332</v>
          </cell>
          <cell r="F147">
            <v>0</v>
          </cell>
        </row>
        <row r="148">
          <cell r="D148">
            <v>4618</v>
          </cell>
          <cell r="F148">
            <v>0</v>
          </cell>
        </row>
        <row r="149">
          <cell r="D149">
            <v>9618</v>
          </cell>
          <cell r="F149">
            <v>0</v>
          </cell>
        </row>
        <row r="150">
          <cell r="D150">
            <v>8845</v>
          </cell>
          <cell r="F150">
            <v>0</v>
          </cell>
        </row>
        <row r="151">
          <cell r="D151">
            <v>44694</v>
          </cell>
          <cell r="F151">
            <v>0</v>
          </cell>
        </row>
        <row r="152">
          <cell r="D152">
            <v>6462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81530</v>
          </cell>
          <cell r="F194">
            <v>0</v>
          </cell>
        </row>
        <row r="195">
          <cell r="D195">
            <v>40694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75862</v>
          </cell>
          <cell r="F197">
            <v>0</v>
          </cell>
        </row>
        <row r="198">
          <cell r="D198">
            <v>10315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83319</v>
          </cell>
          <cell r="F205">
            <v>0</v>
          </cell>
        </row>
        <row r="206">
          <cell r="D206">
            <v>1030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65285</v>
          </cell>
          <cell r="F211">
            <v>0</v>
          </cell>
        </row>
        <row r="212">
          <cell r="D212">
            <v>5819</v>
          </cell>
          <cell r="F212">
            <v>3511</v>
          </cell>
        </row>
        <row r="213">
          <cell r="D213">
            <v>9948</v>
          </cell>
          <cell r="F213">
            <v>0</v>
          </cell>
        </row>
        <row r="214">
          <cell r="D214">
            <v>3888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3772</v>
          </cell>
          <cell r="F216">
            <v>0</v>
          </cell>
        </row>
        <row r="221">
          <cell r="D221">
            <v>2791391</v>
          </cell>
        </row>
      </sheetData>
      <sheetData sheetId="8"/>
      <sheetData sheetId="9"/>
      <sheetData sheetId="10"/>
      <sheetData sheetId="11">
        <row r="9">
          <cell r="C9">
            <v>10211</v>
          </cell>
          <cell r="D9">
            <v>0</v>
          </cell>
          <cell r="E9">
            <v>1418</v>
          </cell>
          <cell r="F9">
            <v>22</v>
          </cell>
          <cell r="G9">
            <v>0</v>
          </cell>
          <cell r="H9">
            <v>859</v>
          </cell>
          <cell r="I9">
            <v>1294</v>
          </cell>
          <cell r="J9">
            <v>0</v>
          </cell>
          <cell r="K9">
            <v>0</v>
          </cell>
        </row>
        <row r="22">
          <cell r="N22">
            <v>41</v>
          </cell>
        </row>
        <row r="24">
          <cell r="N24">
            <v>41</v>
          </cell>
        </row>
        <row r="28">
          <cell r="N28">
            <v>14965</v>
          </cell>
        </row>
        <row r="30">
          <cell r="N30">
            <v>0.9224189776144337</v>
          </cell>
        </row>
        <row r="32">
          <cell r="N32">
            <v>0.68232542599398593</v>
          </cell>
        </row>
        <row r="34">
          <cell r="N34">
            <v>0.73971312662996225</v>
          </cell>
        </row>
      </sheetData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B-OTHER INC DETAIL"/>
      <sheetName val="C- MISC REC DETAIL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3912461.41</v>
          </cell>
          <cell r="G10">
            <v>0</v>
          </cell>
        </row>
        <row r="15">
          <cell r="E15">
            <v>496334.3</v>
          </cell>
          <cell r="G15">
            <v>0</v>
          </cell>
        </row>
        <row r="21">
          <cell r="E21">
            <v>468297.22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1019898.33</v>
          </cell>
          <cell r="G32">
            <v>0</v>
          </cell>
        </row>
        <row r="37">
          <cell r="E37">
            <v>415768.53</v>
          </cell>
          <cell r="G37">
            <v>0</v>
          </cell>
        </row>
        <row r="42">
          <cell r="E42">
            <v>188700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30063.599999999999</v>
          </cell>
          <cell r="G52">
            <v>0</v>
          </cell>
        </row>
        <row r="67">
          <cell r="E67">
            <v>105641.84</v>
          </cell>
          <cell r="G67">
            <v>0</v>
          </cell>
        </row>
        <row r="85">
          <cell r="C85">
            <v>248.88659793814432</v>
          </cell>
          <cell r="E85">
            <v>254.32644628099175</v>
          </cell>
          <cell r="G85">
            <v>231.98814229249012</v>
          </cell>
          <cell r="I85">
            <v>259.80372937293731</v>
          </cell>
        </row>
      </sheetData>
      <sheetData sheetId="6"/>
      <sheetData sheetId="7">
        <row r="10">
          <cell r="D10">
            <v>142620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149810.46</v>
          </cell>
          <cell r="F12">
            <v>0</v>
          </cell>
        </row>
        <row r="13">
          <cell r="D13">
            <v>22771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8413.6299999999992</v>
          </cell>
          <cell r="F17">
            <v>0</v>
          </cell>
        </row>
        <row r="18">
          <cell r="D18">
            <v>18708.84</v>
          </cell>
          <cell r="F18">
            <v>0</v>
          </cell>
        </row>
        <row r="19">
          <cell r="D19">
            <v>12169.6</v>
          </cell>
          <cell r="F19">
            <v>0</v>
          </cell>
        </row>
        <row r="20">
          <cell r="D20">
            <v>34344.47</v>
          </cell>
          <cell r="F20">
            <v>0</v>
          </cell>
        </row>
        <row r="21">
          <cell r="D21">
            <v>3520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17813.43</v>
          </cell>
          <cell r="F23">
            <v>-16056.21</v>
          </cell>
        </row>
        <row r="24">
          <cell r="D24">
            <v>17901.64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487671.02</v>
          </cell>
          <cell r="F26">
            <v>0</v>
          </cell>
        </row>
        <row r="27">
          <cell r="D27">
            <v>33113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27829.38</v>
          </cell>
          <cell r="F29">
            <v>-27829.38</v>
          </cell>
        </row>
        <row r="30">
          <cell r="D30">
            <v>0</v>
          </cell>
          <cell r="F30">
            <v>0</v>
          </cell>
        </row>
        <row r="31">
          <cell r="D31">
            <v>30699.66</v>
          </cell>
          <cell r="F31">
            <v>0</v>
          </cell>
        </row>
        <row r="32">
          <cell r="D32">
            <v>74187.839999999997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58507.25</v>
          </cell>
          <cell r="F36">
            <v>0</v>
          </cell>
        </row>
        <row r="37">
          <cell r="D37">
            <v>4949.8100000000004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4449.6000000000004</v>
          </cell>
          <cell r="F39">
            <v>0</v>
          </cell>
        </row>
        <row r="40">
          <cell r="D40">
            <v>4466.0200000000004</v>
          </cell>
          <cell r="F40">
            <v>0</v>
          </cell>
        </row>
        <row r="41">
          <cell r="D41">
            <v>1778.88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0</v>
          </cell>
          <cell r="F45">
            <v>0</v>
          </cell>
        </row>
        <row r="57">
          <cell r="D57">
            <v>280968</v>
          </cell>
          <cell r="F57">
            <v>-280968</v>
          </cell>
        </row>
        <row r="58">
          <cell r="D58">
            <v>19823</v>
          </cell>
          <cell r="F58">
            <v>81765</v>
          </cell>
        </row>
        <row r="59">
          <cell r="D59">
            <v>0</v>
          </cell>
          <cell r="F59">
            <v>161673</v>
          </cell>
        </row>
        <row r="60">
          <cell r="D60">
            <v>0</v>
          </cell>
          <cell r="F60">
            <v>24471.360000000001</v>
          </cell>
        </row>
        <row r="61">
          <cell r="D61">
            <v>0</v>
          </cell>
          <cell r="F61">
            <v>0</v>
          </cell>
        </row>
        <row r="62">
          <cell r="D62">
            <v>56178</v>
          </cell>
          <cell r="F62">
            <v>0</v>
          </cell>
        </row>
        <row r="63">
          <cell r="D63">
            <v>4062.67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14447.97</v>
          </cell>
          <cell r="F65">
            <v>0</v>
          </cell>
        </row>
        <row r="66">
          <cell r="D66">
            <v>1773.99</v>
          </cell>
          <cell r="F66">
            <v>0</v>
          </cell>
        </row>
        <row r="67">
          <cell r="D67">
            <v>69331</v>
          </cell>
          <cell r="F67">
            <v>0</v>
          </cell>
        </row>
        <row r="68">
          <cell r="D68">
            <v>37171</v>
          </cell>
          <cell r="F68">
            <v>-37171</v>
          </cell>
        </row>
        <row r="69">
          <cell r="D69">
            <v>1635.8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172712.54</v>
          </cell>
          <cell r="F75">
            <v>0</v>
          </cell>
        </row>
        <row r="76">
          <cell r="D76">
            <v>12261</v>
          </cell>
          <cell r="F76">
            <v>0</v>
          </cell>
        </row>
        <row r="77">
          <cell r="D77">
            <v>63221.32</v>
          </cell>
          <cell r="F77">
            <v>0</v>
          </cell>
        </row>
        <row r="78">
          <cell r="D78">
            <v>10065.42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28811.38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29709.040000000001</v>
          </cell>
          <cell r="F83">
            <v>0</v>
          </cell>
        </row>
        <row r="84">
          <cell r="D84">
            <v>104042.43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259192.48</v>
          </cell>
          <cell r="F89">
            <v>0</v>
          </cell>
        </row>
        <row r="90">
          <cell r="D90">
            <v>23647.360000000001</v>
          </cell>
          <cell r="F90">
            <v>0</v>
          </cell>
        </row>
        <row r="91">
          <cell r="D91">
            <v>10397.15</v>
          </cell>
          <cell r="F91">
            <v>0</v>
          </cell>
        </row>
        <row r="92">
          <cell r="D92">
            <v>279258.55</v>
          </cell>
          <cell r="F92">
            <v>0</v>
          </cell>
        </row>
        <row r="93">
          <cell r="D93">
            <v>1246.79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87145.73</v>
          </cell>
          <cell r="F98">
            <v>0</v>
          </cell>
        </row>
        <row r="99">
          <cell r="D99">
            <v>7911.63</v>
          </cell>
          <cell r="F99">
            <v>0</v>
          </cell>
        </row>
        <row r="100">
          <cell r="D100">
            <v>8224.39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163899.06</v>
          </cell>
          <cell r="F115">
            <v>0</v>
          </cell>
        </row>
        <row r="116">
          <cell r="D116">
            <v>14002.99</v>
          </cell>
          <cell r="F116">
            <v>0</v>
          </cell>
        </row>
        <row r="117">
          <cell r="D117">
            <v>38450.089999999997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101158.2</v>
          </cell>
          <cell r="F125">
            <v>0</v>
          </cell>
        </row>
        <row r="126">
          <cell r="D126">
            <v>99050.16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166692.54</v>
          </cell>
          <cell r="F128">
            <v>-21500</v>
          </cell>
        </row>
        <row r="130">
          <cell r="D130">
            <v>0</v>
          </cell>
          <cell r="F130">
            <v>0</v>
          </cell>
        </row>
        <row r="131">
          <cell r="D131">
            <v>8081.58</v>
          </cell>
          <cell r="F131">
            <v>0</v>
          </cell>
        </row>
        <row r="132">
          <cell r="D132">
            <v>8786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12296.98</v>
          </cell>
          <cell r="F134">
            <v>0</v>
          </cell>
        </row>
        <row r="136">
          <cell r="D136">
            <v>533247.18999999994</v>
          </cell>
          <cell r="F136">
            <v>0</v>
          </cell>
        </row>
        <row r="137">
          <cell r="D137">
            <v>172502.69</v>
          </cell>
          <cell r="F137">
            <v>0</v>
          </cell>
        </row>
        <row r="138">
          <cell r="D138">
            <v>1288428.19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51102</v>
          </cell>
          <cell r="F141">
            <v>0</v>
          </cell>
        </row>
        <row r="142">
          <cell r="D142">
            <v>16523.189999999999</v>
          </cell>
          <cell r="F142">
            <v>0</v>
          </cell>
        </row>
        <row r="143">
          <cell r="D143">
            <v>79963</v>
          </cell>
          <cell r="F143">
            <v>0</v>
          </cell>
        </row>
        <row r="144">
          <cell r="D144">
            <v>0</v>
          </cell>
          <cell r="F144">
            <v>0</v>
          </cell>
        </row>
        <row r="146">
          <cell r="D146">
            <v>26241.75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8781.36</v>
          </cell>
          <cell r="F150">
            <v>0</v>
          </cell>
        </row>
        <row r="151">
          <cell r="D151">
            <v>124929</v>
          </cell>
          <cell r="F151">
            <v>0</v>
          </cell>
        </row>
        <row r="152">
          <cell r="D152">
            <v>1131.05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8922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417.4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13679</v>
          </cell>
          <cell r="F177">
            <v>0</v>
          </cell>
        </row>
        <row r="178">
          <cell r="D178">
            <v>1591.53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55189</v>
          </cell>
          <cell r="F183">
            <v>0</v>
          </cell>
        </row>
        <row r="184">
          <cell r="D184">
            <v>1808.28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86909</v>
          </cell>
          <cell r="F194">
            <v>0</v>
          </cell>
        </row>
        <row r="195">
          <cell r="D195">
            <v>25214.85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74760</v>
          </cell>
          <cell r="F197">
            <v>0</v>
          </cell>
        </row>
        <row r="198">
          <cell r="D198">
            <v>19261.53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81696.14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228009.99</v>
          </cell>
          <cell r="F211">
            <v>0</v>
          </cell>
        </row>
        <row r="212">
          <cell r="D212">
            <v>19692.57</v>
          </cell>
          <cell r="F212">
            <v>0</v>
          </cell>
        </row>
        <row r="213">
          <cell r="D213">
            <v>31229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327420.46000000002</v>
          </cell>
          <cell r="F216">
            <v>-290931.88</v>
          </cell>
        </row>
        <row r="221">
          <cell r="D221">
            <v>6630031.6100000003</v>
          </cell>
        </row>
      </sheetData>
      <sheetData sheetId="8"/>
      <sheetData sheetId="9"/>
      <sheetData sheetId="10">
        <row r="9">
          <cell r="C9">
            <v>19014</v>
          </cell>
          <cell r="D9">
            <v>2466</v>
          </cell>
          <cell r="E9">
            <v>573</v>
          </cell>
          <cell r="F9">
            <v>0</v>
          </cell>
          <cell r="G9">
            <v>4378</v>
          </cell>
          <cell r="H9">
            <v>1681</v>
          </cell>
          <cell r="I9">
            <v>919</v>
          </cell>
          <cell r="J9">
            <v>0</v>
          </cell>
          <cell r="K9">
            <v>0</v>
          </cell>
        </row>
        <row r="22">
          <cell r="N22">
            <v>82</v>
          </cell>
        </row>
        <row r="24">
          <cell r="N24">
            <v>78</v>
          </cell>
        </row>
        <row r="28">
          <cell r="N28">
            <v>29930</v>
          </cell>
        </row>
        <row r="30">
          <cell r="N30">
            <v>0.96996324757768126</v>
          </cell>
        </row>
        <row r="32">
          <cell r="N32">
            <v>0.71767457400601409</v>
          </cell>
        </row>
        <row r="34">
          <cell r="N34">
            <v>0.73989872894492104</v>
          </cell>
        </row>
      </sheetData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Explanation of Misc Exp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1619975.05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984891.42</v>
          </cell>
          <cell r="G21">
            <v>0</v>
          </cell>
        </row>
        <row r="27">
          <cell r="E27">
            <v>90762.55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887278.79</v>
          </cell>
          <cell r="G37">
            <v>0</v>
          </cell>
        </row>
        <row r="42">
          <cell r="E42">
            <v>33535.300000000003</v>
          </cell>
          <cell r="G42">
            <v>0</v>
          </cell>
        </row>
        <row r="47">
          <cell r="E47">
            <v>13716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174417.28</v>
          </cell>
          <cell r="G67">
            <v>0</v>
          </cell>
        </row>
        <row r="85">
          <cell r="C85">
            <v>154.71378246753244</v>
          </cell>
          <cell r="E85">
            <v>160.05621790423316</v>
          </cell>
          <cell r="G85">
            <v>122.90049738219895</v>
          </cell>
          <cell r="I85">
            <v>127.48066202090592</v>
          </cell>
        </row>
      </sheetData>
      <sheetData sheetId="6"/>
      <sheetData sheetId="7"/>
      <sheetData sheetId="8">
        <row r="10">
          <cell r="D10">
            <v>76214.41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52149.46</v>
          </cell>
          <cell r="F12">
            <v>0</v>
          </cell>
        </row>
        <row r="13">
          <cell r="D13">
            <v>637223.28</v>
          </cell>
          <cell r="F13">
            <v>-585467.45062157104</v>
          </cell>
        </row>
        <row r="14">
          <cell r="D14">
            <v>0</v>
          </cell>
          <cell r="F14">
            <v>0</v>
          </cell>
        </row>
        <row r="15">
          <cell r="D15">
            <v>168014.69</v>
          </cell>
          <cell r="F15">
            <v>-168015</v>
          </cell>
        </row>
        <row r="16">
          <cell r="D16">
            <v>0</v>
          </cell>
          <cell r="F16">
            <v>146852</v>
          </cell>
        </row>
        <row r="17">
          <cell r="D17">
            <v>26240.45</v>
          </cell>
          <cell r="F17">
            <v>-26240</v>
          </cell>
        </row>
        <row r="18">
          <cell r="D18">
            <v>39764.5</v>
          </cell>
          <cell r="F18">
            <v>0</v>
          </cell>
        </row>
        <row r="19">
          <cell r="D19">
            <v>12880.12</v>
          </cell>
          <cell r="F19">
            <v>0</v>
          </cell>
        </row>
        <row r="20">
          <cell r="D20">
            <v>7743.36</v>
          </cell>
          <cell r="F20">
            <v>0</v>
          </cell>
        </row>
        <row r="21">
          <cell r="D21">
            <v>7902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20930.509999999998</v>
          </cell>
          <cell r="F23">
            <v>0</v>
          </cell>
        </row>
        <row r="24">
          <cell r="D24">
            <v>34174.519999999997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240752.78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84122.73</v>
          </cell>
          <cell r="F29">
            <v>-84122.73</v>
          </cell>
        </row>
        <row r="30">
          <cell r="D30">
            <v>200</v>
          </cell>
          <cell r="F30">
            <v>-200</v>
          </cell>
        </row>
        <row r="31">
          <cell r="D31">
            <v>47141.49</v>
          </cell>
          <cell r="F31">
            <v>0</v>
          </cell>
        </row>
        <row r="32">
          <cell r="D32">
            <v>15011.02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2385.8000000000002</v>
          </cell>
          <cell r="F38">
            <v>0</v>
          </cell>
        </row>
        <row r="39">
          <cell r="D39">
            <v>4014.23</v>
          </cell>
          <cell r="F39">
            <v>0</v>
          </cell>
        </row>
        <row r="40">
          <cell r="D40">
            <v>3358.13</v>
          </cell>
          <cell r="F40">
            <v>-3358</v>
          </cell>
        </row>
        <row r="41">
          <cell r="D41">
            <v>11276.44</v>
          </cell>
          <cell r="F41">
            <v>0</v>
          </cell>
        </row>
        <row r="42">
          <cell r="D42">
            <v>3006.76</v>
          </cell>
          <cell r="F42">
            <v>0</v>
          </cell>
        </row>
        <row r="43">
          <cell r="D43">
            <v>8164.99</v>
          </cell>
          <cell r="F43">
            <v>0</v>
          </cell>
        </row>
        <row r="44">
          <cell r="D44">
            <v>686.69</v>
          </cell>
          <cell r="F44">
            <v>0</v>
          </cell>
        </row>
        <row r="45">
          <cell r="D45">
            <v>8.56</v>
          </cell>
          <cell r="F45">
            <v>0</v>
          </cell>
        </row>
        <row r="57">
          <cell r="D57">
            <v>0</v>
          </cell>
          <cell r="F57">
            <v>0</v>
          </cell>
        </row>
        <row r="58">
          <cell r="D58">
            <v>165171.79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3457.59</v>
          </cell>
          <cell r="F61">
            <v>0</v>
          </cell>
        </row>
        <row r="62">
          <cell r="D62">
            <v>10340.48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2489</v>
          </cell>
          <cell r="F65">
            <v>0</v>
          </cell>
        </row>
        <row r="66">
          <cell r="D66">
            <v>34226.959999999999</v>
          </cell>
          <cell r="F66">
            <v>0</v>
          </cell>
        </row>
        <row r="67">
          <cell r="D67">
            <v>29668.04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37410.910000000003</v>
          </cell>
          <cell r="F75">
            <v>0</v>
          </cell>
        </row>
        <row r="76">
          <cell r="D76">
            <v>0</v>
          </cell>
          <cell r="F76">
            <v>15083.938142810448</v>
          </cell>
        </row>
        <row r="77">
          <cell r="D77">
            <v>7254.01</v>
          </cell>
          <cell r="F77">
            <v>0</v>
          </cell>
        </row>
        <row r="78">
          <cell r="D78">
            <v>375</v>
          </cell>
          <cell r="F78">
            <v>0</v>
          </cell>
        </row>
        <row r="79">
          <cell r="D79">
            <v>3085.63</v>
          </cell>
          <cell r="F79">
            <v>0</v>
          </cell>
        </row>
        <row r="80">
          <cell r="D80">
            <v>9390.9699999999993</v>
          </cell>
          <cell r="F80">
            <v>0</v>
          </cell>
        </row>
        <row r="81">
          <cell r="D81">
            <v>12567.39</v>
          </cell>
          <cell r="F81">
            <v>0</v>
          </cell>
        </row>
        <row r="82">
          <cell r="D82">
            <v>32117.24</v>
          </cell>
          <cell r="F82">
            <v>0</v>
          </cell>
        </row>
        <row r="83">
          <cell r="D83">
            <v>2460.4299999999998</v>
          </cell>
          <cell r="F83">
            <v>0</v>
          </cell>
        </row>
        <row r="84">
          <cell r="D84">
            <v>92165.36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147674.17000000001</v>
          </cell>
          <cell r="F89">
            <v>0</v>
          </cell>
        </row>
        <row r="90">
          <cell r="D90">
            <v>0</v>
          </cell>
          <cell r="F90">
            <v>59541.669677932841</v>
          </cell>
        </row>
        <row r="91">
          <cell r="D91">
            <v>3614.07</v>
          </cell>
          <cell r="F91">
            <v>0</v>
          </cell>
        </row>
        <row r="92">
          <cell r="D92">
            <v>138556.92000000001</v>
          </cell>
          <cell r="F92">
            <v>0</v>
          </cell>
        </row>
        <row r="93">
          <cell r="D93">
            <v>15861.45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44709.29</v>
          </cell>
          <cell r="F98">
            <v>0</v>
          </cell>
        </row>
        <row r="99">
          <cell r="D99">
            <v>0</v>
          </cell>
          <cell r="F99">
            <v>18026.617496579842</v>
          </cell>
        </row>
        <row r="100">
          <cell r="D100">
            <v>7134.7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1877.63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102234.88</v>
          </cell>
          <cell r="F115">
            <v>0</v>
          </cell>
        </row>
        <row r="116">
          <cell r="D116">
            <v>0</v>
          </cell>
          <cell r="F116">
            <v>41220.718928185626</v>
          </cell>
        </row>
        <row r="117">
          <cell r="D117">
            <v>19404.18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151107.97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0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60926.16491728367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0</v>
          </cell>
        </row>
        <row r="136">
          <cell r="D136">
            <v>360768.23</v>
          </cell>
          <cell r="F136">
            <v>0</v>
          </cell>
        </row>
        <row r="137">
          <cell r="D137">
            <v>148698.16</v>
          </cell>
          <cell r="F137">
            <v>0</v>
          </cell>
        </row>
        <row r="138">
          <cell r="D138">
            <v>391155.71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145460.39284292236</v>
          </cell>
        </row>
        <row r="142">
          <cell r="D142">
            <v>0</v>
          </cell>
          <cell r="F142">
            <v>59954.538592879209</v>
          </cell>
        </row>
        <row r="143">
          <cell r="D143">
            <v>0</v>
          </cell>
          <cell r="F143">
            <v>157712.51043738585</v>
          </cell>
        </row>
        <row r="144">
          <cell r="D144">
            <v>0</v>
          </cell>
          <cell r="F144">
            <v>0</v>
          </cell>
        </row>
        <row r="146">
          <cell r="D146">
            <v>11000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14738.99</v>
          </cell>
          <cell r="F150">
            <v>0</v>
          </cell>
        </row>
        <row r="151">
          <cell r="D151">
            <v>64995.06</v>
          </cell>
          <cell r="F151">
            <v>0</v>
          </cell>
        </row>
        <row r="152">
          <cell r="D152">
            <v>119.19</v>
          </cell>
          <cell r="F152">
            <v>0</v>
          </cell>
        </row>
        <row r="153">
          <cell r="D153">
            <v>2111.1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464</v>
          </cell>
          <cell r="F157">
            <v>0</v>
          </cell>
        </row>
        <row r="158">
          <cell r="D158">
            <v>582</v>
          </cell>
          <cell r="F158">
            <v>0</v>
          </cell>
        </row>
        <row r="159">
          <cell r="D159">
            <v>182.32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-166.23</v>
          </cell>
          <cell r="F193">
            <v>0</v>
          </cell>
        </row>
        <row r="194">
          <cell r="D194">
            <v>171540</v>
          </cell>
          <cell r="F194">
            <v>0</v>
          </cell>
        </row>
        <row r="195">
          <cell r="D195">
            <v>789</v>
          </cell>
          <cell r="F195">
            <v>0</v>
          </cell>
        </row>
        <row r="196">
          <cell r="D196">
            <v>4104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39877.769999999997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105120.57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68306.44</v>
          </cell>
          <cell r="F211">
            <v>0</v>
          </cell>
        </row>
        <row r="212">
          <cell r="D212">
            <v>0</v>
          </cell>
          <cell r="F212">
            <v>27540.899585591298</v>
          </cell>
        </row>
        <row r="213">
          <cell r="D213">
            <v>9648.7900000000009</v>
          </cell>
          <cell r="F213">
            <v>0</v>
          </cell>
        </row>
        <row r="214">
          <cell r="D214">
            <v>1921.25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4111.8599999999997</v>
          </cell>
          <cell r="F216">
            <v>0</v>
          </cell>
        </row>
        <row r="221">
          <cell r="D221">
            <v>3977791.19</v>
          </cell>
        </row>
      </sheetData>
      <sheetData sheetId="9"/>
      <sheetData sheetId="10"/>
      <sheetData sheetId="11"/>
      <sheetData sheetId="12"/>
      <sheetData sheetId="13">
        <row r="9">
          <cell r="C9">
            <v>6285</v>
          </cell>
          <cell r="D9">
            <v>0</v>
          </cell>
          <cell r="E9">
            <v>2111</v>
          </cell>
          <cell r="F9">
            <v>209</v>
          </cell>
          <cell r="G9">
            <v>0</v>
          </cell>
          <cell r="H9">
            <v>6252</v>
          </cell>
          <cell r="I9">
            <v>203</v>
          </cell>
          <cell r="J9">
            <v>87</v>
          </cell>
          <cell r="K9">
            <v>0</v>
          </cell>
        </row>
        <row r="22">
          <cell r="N22">
            <v>60</v>
          </cell>
        </row>
        <row r="24">
          <cell r="N24">
            <v>60</v>
          </cell>
        </row>
        <row r="28">
          <cell r="N28">
            <v>21900</v>
          </cell>
        </row>
        <row r="30">
          <cell r="N30">
            <v>0.69164383561643838</v>
          </cell>
        </row>
        <row r="32">
          <cell r="N32">
            <v>0.28698630136986303</v>
          </cell>
        </row>
        <row r="34">
          <cell r="N34">
            <v>0.4149336502277679</v>
          </cell>
        </row>
      </sheetData>
      <sheetData sheetId="14"/>
      <sheetData sheetId="1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3889813.4</v>
          </cell>
          <cell r="G10">
            <v>0</v>
          </cell>
        </row>
        <row r="15">
          <cell r="E15">
            <v>930183.4</v>
          </cell>
          <cell r="G15">
            <v>0</v>
          </cell>
        </row>
        <row r="21">
          <cell r="E21">
            <v>757404.39999999991</v>
          </cell>
          <cell r="G21">
            <v>0</v>
          </cell>
        </row>
        <row r="27">
          <cell r="E27">
            <v>22497.4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59185</v>
          </cell>
          <cell r="G37">
            <v>0</v>
          </cell>
        </row>
        <row r="42">
          <cell r="E42">
            <v>81510.399999999994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11478</v>
          </cell>
          <cell r="G67">
            <v>0</v>
          </cell>
        </row>
        <row r="85">
          <cell r="C85">
            <v>865.5</v>
          </cell>
          <cell r="E85">
            <v>121.47826086956522</v>
          </cell>
          <cell r="G85">
            <v>186.79411764705881</v>
          </cell>
          <cell r="I85">
            <v>182.95604395604394</v>
          </cell>
        </row>
      </sheetData>
      <sheetData sheetId="6"/>
      <sheetData sheetId="7">
        <row r="10">
          <cell r="D10">
            <v>132798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45366</v>
          </cell>
          <cell r="F12">
            <v>0</v>
          </cell>
        </row>
        <row r="13">
          <cell r="D13">
            <v>143054</v>
          </cell>
          <cell r="F13">
            <v>-119585</v>
          </cell>
        </row>
        <row r="14">
          <cell r="D14">
            <v>0</v>
          </cell>
          <cell r="F14">
            <v>0</v>
          </cell>
        </row>
        <row r="15">
          <cell r="D15">
            <v>1178228</v>
          </cell>
          <cell r="F15">
            <v>-1178228</v>
          </cell>
        </row>
        <row r="16">
          <cell r="D16">
            <v>100726</v>
          </cell>
          <cell r="F16">
            <v>25608</v>
          </cell>
        </row>
        <row r="17">
          <cell r="D17">
            <v>1833</v>
          </cell>
          <cell r="F17">
            <v>-1833</v>
          </cell>
        </row>
        <row r="18">
          <cell r="D18">
            <v>7093</v>
          </cell>
          <cell r="F18">
            <v>0</v>
          </cell>
        </row>
        <row r="19">
          <cell r="D19">
            <v>45586</v>
          </cell>
          <cell r="F19">
            <v>0</v>
          </cell>
        </row>
        <row r="20">
          <cell r="D20">
            <v>17932</v>
          </cell>
          <cell r="F20">
            <v>0</v>
          </cell>
        </row>
        <row r="21">
          <cell r="D21">
            <v>30790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11815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353884</v>
          </cell>
          <cell r="F26">
            <v>0</v>
          </cell>
        </row>
        <row r="27">
          <cell r="D27">
            <v>0</v>
          </cell>
          <cell r="F27">
            <v>1077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3470</v>
          </cell>
          <cell r="F30">
            <v>-3470</v>
          </cell>
        </row>
        <row r="31">
          <cell r="D31">
            <v>26167</v>
          </cell>
          <cell r="F31">
            <v>0</v>
          </cell>
        </row>
        <row r="32">
          <cell r="D32">
            <v>45077</v>
          </cell>
          <cell r="F32">
            <v>-21265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20436</v>
          </cell>
          <cell r="F36">
            <v>1600</v>
          </cell>
        </row>
        <row r="37">
          <cell r="D37">
            <v>0</v>
          </cell>
          <cell r="F37">
            <v>3404</v>
          </cell>
        </row>
        <row r="38">
          <cell r="D38">
            <v>0</v>
          </cell>
          <cell r="F38">
            <v>0</v>
          </cell>
        </row>
        <row r="39">
          <cell r="D39">
            <v>13617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19740</v>
          </cell>
          <cell r="F41">
            <v>0</v>
          </cell>
        </row>
        <row r="42">
          <cell r="D42">
            <v>4281</v>
          </cell>
          <cell r="F42">
            <v>0</v>
          </cell>
        </row>
        <row r="43">
          <cell r="D43">
            <v>3779</v>
          </cell>
          <cell r="F43">
            <v>-3779</v>
          </cell>
        </row>
        <row r="44">
          <cell r="D44">
            <v>0</v>
          </cell>
          <cell r="F44">
            <v>0</v>
          </cell>
        </row>
        <row r="45">
          <cell r="D45">
            <v>15887</v>
          </cell>
          <cell r="F45">
            <v>0</v>
          </cell>
        </row>
        <row r="57">
          <cell r="D57">
            <v>601152</v>
          </cell>
          <cell r="F57">
            <v>40099</v>
          </cell>
        </row>
        <row r="58">
          <cell r="D58">
            <v>0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15358</v>
          </cell>
          <cell r="F60">
            <v>-1107</v>
          </cell>
        </row>
        <row r="61">
          <cell r="D61">
            <v>0</v>
          </cell>
          <cell r="F61">
            <v>10674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1247</v>
          </cell>
          <cell r="F65">
            <v>0</v>
          </cell>
        </row>
        <row r="66">
          <cell r="D66">
            <v>0</v>
          </cell>
          <cell r="F66">
            <v>5671</v>
          </cell>
        </row>
        <row r="67">
          <cell r="D67">
            <v>0</v>
          </cell>
          <cell r="F67">
            <v>5589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1107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40950</v>
          </cell>
          <cell r="F75">
            <v>0</v>
          </cell>
        </row>
        <row r="76">
          <cell r="D76">
            <v>3067</v>
          </cell>
          <cell r="F76">
            <v>3111</v>
          </cell>
        </row>
        <row r="77">
          <cell r="D77">
            <v>10299</v>
          </cell>
          <cell r="F77">
            <v>0</v>
          </cell>
        </row>
        <row r="78">
          <cell r="D78">
            <v>2224</v>
          </cell>
          <cell r="F78">
            <v>0</v>
          </cell>
        </row>
        <row r="79">
          <cell r="D79">
            <v>4028</v>
          </cell>
          <cell r="F79">
            <v>0</v>
          </cell>
        </row>
        <row r="80">
          <cell r="D80">
            <v>15267</v>
          </cell>
          <cell r="F80">
            <v>0</v>
          </cell>
        </row>
        <row r="81">
          <cell r="D81">
            <v>44285</v>
          </cell>
          <cell r="F81">
            <v>-29849</v>
          </cell>
        </row>
        <row r="82">
          <cell r="D82">
            <v>19336</v>
          </cell>
          <cell r="F82">
            <v>-18381</v>
          </cell>
        </row>
        <row r="83">
          <cell r="D83">
            <v>0</v>
          </cell>
          <cell r="F83">
            <v>0</v>
          </cell>
        </row>
        <row r="84">
          <cell r="D84">
            <v>51746</v>
          </cell>
          <cell r="F84">
            <v>0</v>
          </cell>
        </row>
        <row r="85">
          <cell r="D85">
            <v>7838</v>
          </cell>
          <cell r="F85">
            <v>0</v>
          </cell>
        </row>
        <row r="89">
          <cell r="D89">
            <v>140128</v>
          </cell>
          <cell r="F89">
            <v>0</v>
          </cell>
        </row>
        <row r="90">
          <cell r="D90">
            <v>10777</v>
          </cell>
          <cell r="F90">
            <v>10645</v>
          </cell>
        </row>
        <row r="91">
          <cell r="D91">
            <v>12492</v>
          </cell>
          <cell r="F91">
            <v>0</v>
          </cell>
        </row>
        <row r="92">
          <cell r="D92">
            <v>116647</v>
          </cell>
          <cell r="F92">
            <v>0</v>
          </cell>
        </row>
        <row r="93">
          <cell r="D93">
            <v>13849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25290</v>
          </cell>
          <cell r="F98">
            <v>0</v>
          </cell>
        </row>
        <row r="99">
          <cell r="D99">
            <v>2048</v>
          </cell>
          <cell r="F99">
            <v>1921</v>
          </cell>
        </row>
        <row r="100">
          <cell r="D100">
            <v>4152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4189</v>
          </cell>
          <cell r="F102">
            <v>0</v>
          </cell>
        </row>
        <row r="103">
          <cell r="D103">
            <v>2291</v>
          </cell>
          <cell r="F103">
            <v>0</v>
          </cell>
        </row>
        <row r="115">
          <cell r="D115">
            <v>79241</v>
          </cell>
          <cell r="F115">
            <v>0</v>
          </cell>
        </row>
        <row r="116">
          <cell r="D116">
            <v>6590</v>
          </cell>
          <cell r="F116">
            <v>6020</v>
          </cell>
        </row>
        <row r="117">
          <cell r="D117">
            <v>21585</v>
          </cell>
          <cell r="F117">
            <v>0</v>
          </cell>
        </row>
        <row r="118">
          <cell r="D118">
            <v>1383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107247</v>
          </cell>
          <cell r="F124">
            <v>0</v>
          </cell>
        </row>
        <row r="125">
          <cell r="D125">
            <v>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0</v>
          </cell>
          <cell r="F128">
            <v>0</v>
          </cell>
        </row>
        <row r="130">
          <cell r="D130">
            <v>0</v>
          </cell>
          <cell r="F130">
            <v>16566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0</v>
          </cell>
        </row>
        <row r="136">
          <cell r="D136">
            <v>357253</v>
          </cell>
          <cell r="F136">
            <v>-21992</v>
          </cell>
        </row>
        <row r="137">
          <cell r="D137">
            <v>159757</v>
          </cell>
          <cell r="F137">
            <v>12505</v>
          </cell>
        </row>
        <row r="138">
          <cell r="D138">
            <v>463230</v>
          </cell>
          <cell r="F138">
            <v>0</v>
          </cell>
        </row>
        <row r="139">
          <cell r="D139">
            <v>100776</v>
          </cell>
          <cell r="F139">
            <v>7888</v>
          </cell>
        </row>
        <row r="141">
          <cell r="D141">
            <v>58518</v>
          </cell>
          <cell r="F141">
            <v>-6731</v>
          </cell>
        </row>
        <row r="142">
          <cell r="D142">
            <v>0</v>
          </cell>
          <cell r="F142">
            <v>26609</v>
          </cell>
        </row>
        <row r="143">
          <cell r="D143">
            <v>37570</v>
          </cell>
          <cell r="F143">
            <v>35191</v>
          </cell>
        </row>
        <row r="144">
          <cell r="D144">
            <v>0</v>
          </cell>
          <cell r="F144">
            <v>16785</v>
          </cell>
        </row>
        <row r="146">
          <cell r="D146">
            <v>18000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11369</v>
          </cell>
          <cell r="F150">
            <v>0</v>
          </cell>
        </row>
        <row r="151">
          <cell r="D151">
            <v>72487</v>
          </cell>
          <cell r="F151">
            <v>0</v>
          </cell>
        </row>
        <row r="152">
          <cell r="D152">
            <v>17680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121429</v>
          </cell>
          <cell r="F194">
            <v>0</v>
          </cell>
        </row>
        <row r="195">
          <cell r="D195">
            <v>55500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101871</v>
          </cell>
          <cell r="F197">
            <v>0</v>
          </cell>
        </row>
        <row r="198">
          <cell r="D198">
            <v>11504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110673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79847</v>
          </cell>
          <cell r="F211">
            <v>0</v>
          </cell>
        </row>
        <row r="212">
          <cell r="D212">
            <v>6263</v>
          </cell>
          <cell r="F212">
            <v>6066</v>
          </cell>
        </row>
        <row r="213">
          <cell r="D213">
            <v>13748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4613</v>
          </cell>
          <cell r="F216">
            <v>0</v>
          </cell>
        </row>
        <row r="221">
          <cell r="D221">
            <v>5388353</v>
          </cell>
        </row>
      </sheetData>
      <sheetData sheetId="8"/>
      <sheetData sheetId="9"/>
      <sheetData sheetId="10">
        <row r="9">
          <cell r="C9">
            <v>13810</v>
          </cell>
          <cell r="D9">
            <v>4343</v>
          </cell>
          <cell r="E9">
            <v>1791</v>
          </cell>
          <cell r="F9">
            <v>53</v>
          </cell>
          <cell r="G9">
            <v>0</v>
          </cell>
          <cell r="H9">
            <v>313</v>
          </cell>
          <cell r="I9">
            <v>428</v>
          </cell>
          <cell r="J9">
            <v>0</v>
          </cell>
          <cell r="K9">
            <v>0</v>
          </cell>
        </row>
        <row r="22">
          <cell r="N22">
            <v>61</v>
          </cell>
        </row>
        <row r="24">
          <cell r="N24">
            <v>61</v>
          </cell>
        </row>
        <row r="28">
          <cell r="N28">
            <v>22265</v>
          </cell>
        </row>
        <row r="30">
          <cell r="N30">
            <v>0.93141702223220302</v>
          </cell>
        </row>
        <row r="32">
          <cell r="N32">
            <v>0.81531551762856502</v>
          </cell>
        </row>
        <row r="34">
          <cell r="N34">
            <v>0.87534959976854088</v>
          </cell>
        </row>
      </sheetData>
      <sheetData sheetId="1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1084880.67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603554.97999999986</v>
          </cell>
          <cell r="G21">
            <v>0</v>
          </cell>
        </row>
        <row r="27">
          <cell r="E27">
            <v>301687.22000000003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494232.23</v>
          </cell>
          <cell r="G37">
            <v>0</v>
          </cell>
        </row>
        <row r="42">
          <cell r="E42">
            <v>199600.36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29545.68</v>
          </cell>
          <cell r="G67">
            <v>-4529.34</v>
          </cell>
        </row>
        <row r="85">
          <cell r="C85">
            <v>164.86651053864168</v>
          </cell>
          <cell r="E85">
            <v>183.16863905325442</v>
          </cell>
          <cell r="G85">
            <v>186.71590909090909</v>
          </cell>
          <cell r="I85">
            <v>189.73013245033113</v>
          </cell>
        </row>
      </sheetData>
      <sheetData sheetId="6"/>
      <sheetData sheetId="7">
        <row r="10">
          <cell r="D10">
            <v>79409.86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38993.160000000003</v>
          </cell>
          <cell r="F12">
            <v>0</v>
          </cell>
        </row>
        <row r="13">
          <cell r="D13">
            <v>195209.60000000001</v>
          </cell>
          <cell r="F13">
            <v>-170890.8</v>
          </cell>
        </row>
        <row r="14">
          <cell r="D14">
            <v>0</v>
          </cell>
          <cell r="F14">
            <v>0</v>
          </cell>
        </row>
        <row r="15">
          <cell r="D15">
            <v>320438.26</v>
          </cell>
          <cell r="F15">
            <v>-145902</v>
          </cell>
        </row>
        <row r="16">
          <cell r="D16">
            <v>0</v>
          </cell>
          <cell r="F16">
            <v>0</v>
          </cell>
        </row>
        <row r="17">
          <cell r="D17">
            <v>0</v>
          </cell>
          <cell r="F17">
            <v>0</v>
          </cell>
        </row>
        <row r="18">
          <cell r="D18">
            <v>17503.38</v>
          </cell>
          <cell r="F18">
            <v>0</v>
          </cell>
        </row>
        <row r="19">
          <cell r="D19">
            <v>7278.55</v>
          </cell>
          <cell r="F19">
            <v>0</v>
          </cell>
        </row>
        <row r="20">
          <cell r="D20">
            <v>3341.5699999999997</v>
          </cell>
          <cell r="F20">
            <v>0</v>
          </cell>
        </row>
        <row r="21">
          <cell r="D21">
            <v>792.5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6981.21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147165.22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63446.7</v>
          </cell>
          <cell r="F29">
            <v>-63446.7</v>
          </cell>
        </row>
        <row r="30">
          <cell r="D30">
            <v>25</v>
          </cell>
          <cell r="F30">
            <v>-25</v>
          </cell>
        </row>
        <row r="31">
          <cell r="D31">
            <v>32767</v>
          </cell>
          <cell r="F31">
            <v>0</v>
          </cell>
        </row>
        <row r="32">
          <cell r="D32">
            <v>13122.09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1944.4</v>
          </cell>
          <cell r="F39">
            <v>0</v>
          </cell>
        </row>
        <row r="40">
          <cell r="D40">
            <v>16147.08</v>
          </cell>
          <cell r="F40">
            <v>-16147</v>
          </cell>
        </row>
        <row r="41">
          <cell r="D41">
            <v>0</v>
          </cell>
          <cell r="F41">
            <v>0</v>
          </cell>
        </row>
        <row r="42">
          <cell r="D42">
            <v>3033.84</v>
          </cell>
          <cell r="F42">
            <v>0</v>
          </cell>
        </row>
        <row r="43">
          <cell r="D43">
            <v>7381.26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29740.89</v>
          </cell>
          <cell r="F45">
            <v>-3071.34</v>
          </cell>
        </row>
        <row r="57">
          <cell r="D57">
            <v>232080</v>
          </cell>
          <cell r="F57">
            <v>-232080</v>
          </cell>
        </row>
        <row r="58">
          <cell r="D58">
            <v>0</v>
          </cell>
          <cell r="F58">
            <v>91708</v>
          </cell>
        </row>
        <row r="59">
          <cell r="D59">
            <v>0</v>
          </cell>
          <cell r="F59">
            <v>28714.959999999999</v>
          </cell>
        </row>
        <row r="60">
          <cell r="D60">
            <v>0</v>
          </cell>
          <cell r="F60">
            <v>0</v>
          </cell>
        </row>
        <row r="61">
          <cell r="D61">
            <v>4990.03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4413.12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474.81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30313.79</v>
          </cell>
          <cell r="F75">
            <v>6226.3</v>
          </cell>
        </row>
        <row r="76">
          <cell r="D76">
            <v>0</v>
          </cell>
          <cell r="F76">
            <v>0</v>
          </cell>
        </row>
        <row r="77">
          <cell r="D77">
            <v>17335.099999999999</v>
          </cell>
          <cell r="F77">
            <v>0</v>
          </cell>
        </row>
        <row r="78">
          <cell r="D78">
            <v>2375.25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27638.83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65131.909999999996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94396.23</v>
          </cell>
          <cell r="F89">
            <v>19388.32</v>
          </cell>
        </row>
        <row r="90">
          <cell r="D90">
            <v>0</v>
          </cell>
          <cell r="F90">
            <v>0</v>
          </cell>
        </row>
        <row r="91">
          <cell r="D91">
            <v>0</v>
          </cell>
          <cell r="F91">
            <v>0</v>
          </cell>
        </row>
        <row r="92">
          <cell r="D92">
            <v>59894.48</v>
          </cell>
          <cell r="F92">
            <v>-186</v>
          </cell>
        </row>
        <row r="93">
          <cell r="D93">
            <v>7401.31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28203.59</v>
          </cell>
          <cell r="F98">
            <v>5792.92</v>
          </cell>
        </row>
        <row r="99">
          <cell r="D99">
            <v>0</v>
          </cell>
          <cell r="F99">
            <v>0</v>
          </cell>
        </row>
        <row r="100">
          <cell r="D100">
            <v>2688.33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1444.09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18028.43</v>
          </cell>
          <cell r="F115">
            <v>3702.83</v>
          </cell>
        </row>
        <row r="116">
          <cell r="D116">
            <v>0</v>
          </cell>
          <cell r="F116">
            <v>0</v>
          </cell>
        </row>
        <row r="117">
          <cell r="D117">
            <v>8733.2199999999993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110153.75</v>
          </cell>
          <cell r="F125">
            <v>22624.91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5727.16</v>
          </cell>
          <cell r="F128">
            <v>1176.29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16886.419999999998</v>
          </cell>
        </row>
        <row r="132">
          <cell r="D132">
            <v>0</v>
          </cell>
          <cell r="F132">
            <v>28075.43</v>
          </cell>
        </row>
        <row r="133">
          <cell r="D133">
            <v>0</v>
          </cell>
          <cell r="F133">
            <v>57196.93</v>
          </cell>
        </row>
        <row r="134">
          <cell r="D134">
            <v>0</v>
          </cell>
          <cell r="F134">
            <v>0</v>
          </cell>
        </row>
        <row r="136">
          <cell r="D136">
            <v>82215</v>
          </cell>
          <cell r="F136">
            <v>0</v>
          </cell>
        </row>
        <row r="137">
          <cell r="D137">
            <v>136691</v>
          </cell>
          <cell r="F137">
            <v>0</v>
          </cell>
        </row>
        <row r="138">
          <cell r="D138">
            <v>278475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0</v>
          </cell>
        </row>
        <row r="142">
          <cell r="D142">
            <v>0</v>
          </cell>
          <cell r="F142">
            <v>0</v>
          </cell>
        </row>
        <row r="143">
          <cell r="D143">
            <v>0</v>
          </cell>
          <cell r="F143">
            <v>0</v>
          </cell>
        </row>
        <row r="144">
          <cell r="D144">
            <v>0</v>
          </cell>
          <cell r="F144">
            <v>0</v>
          </cell>
        </row>
        <row r="146">
          <cell r="D146">
            <v>8400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3266</v>
          </cell>
          <cell r="F150">
            <v>0</v>
          </cell>
        </row>
        <row r="151">
          <cell r="D151">
            <v>59892.37</v>
          </cell>
          <cell r="F151">
            <v>0</v>
          </cell>
        </row>
        <row r="152">
          <cell r="D152">
            <v>0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1885.34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119502.52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17689.54</v>
          </cell>
          <cell r="F196">
            <v>0</v>
          </cell>
        </row>
        <row r="197">
          <cell r="D197">
            <v>68046.44</v>
          </cell>
          <cell r="F197">
            <v>0</v>
          </cell>
        </row>
        <row r="198">
          <cell r="D198">
            <v>6104.13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65240.709999999992</v>
          </cell>
          <cell r="F205">
            <v>0</v>
          </cell>
        </row>
        <row r="206">
          <cell r="D206">
            <v>3500.26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47811.32</v>
          </cell>
          <cell r="F211">
            <v>9820.06</v>
          </cell>
        </row>
        <row r="212">
          <cell r="D212">
            <v>0</v>
          </cell>
          <cell r="F212">
            <v>0</v>
          </cell>
        </row>
        <row r="213">
          <cell r="D213">
            <v>1908.82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1057.68</v>
          </cell>
          <cell r="F216">
            <v>0</v>
          </cell>
        </row>
        <row r="221">
          <cell r="D221">
            <v>2607830.92</v>
          </cell>
        </row>
      </sheetData>
      <sheetData sheetId="8"/>
      <sheetData sheetId="9"/>
      <sheetData sheetId="10">
        <row r="9">
          <cell r="C9">
            <v>3886</v>
          </cell>
          <cell r="D9">
            <v>0</v>
          </cell>
          <cell r="E9">
            <v>1250</v>
          </cell>
          <cell r="F9">
            <v>755</v>
          </cell>
          <cell r="G9">
            <v>0</v>
          </cell>
          <cell r="H9">
            <v>2750</v>
          </cell>
          <cell r="I9">
            <v>1167</v>
          </cell>
          <cell r="J9">
            <v>0</v>
          </cell>
          <cell r="K9">
            <v>0</v>
          </cell>
        </row>
        <row r="22">
          <cell r="N22">
            <v>38</v>
          </cell>
        </row>
        <row r="24">
          <cell r="N24">
            <v>38</v>
          </cell>
        </row>
        <row r="28">
          <cell r="N28">
            <v>13870</v>
          </cell>
        </row>
        <row r="30">
          <cell r="N30">
            <v>0.70713770728190339</v>
          </cell>
        </row>
        <row r="32">
          <cell r="N32">
            <v>0.28017303532804616</v>
          </cell>
        </row>
        <row r="34">
          <cell r="N34">
            <v>0.39620717781402937</v>
          </cell>
        </row>
      </sheetData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10-490"/>
      <sheetName val="70-490"/>
      <sheetName val="1012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5584464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913627</v>
          </cell>
          <cell r="G21">
            <v>0</v>
          </cell>
        </row>
        <row r="27">
          <cell r="E27">
            <v>1030829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288849</v>
          </cell>
          <cell r="G37">
            <v>0</v>
          </cell>
        </row>
        <row r="42">
          <cell r="E42">
            <v>967303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5350</v>
          </cell>
          <cell r="G52">
            <v>0</v>
          </cell>
        </row>
        <row r="67">
          <cell r="E67">
            <v>238323</v>
          </cell>
          <cell r="G67">
            <v>-38708</v>
          </cell>
        </row>
        <row r="85">
          <cell r="C85">
            <v>183.0475161987041</v>
          </cell>
          <cell r="E85">
            <v>183.04645476772617</v>
          </cell>
          <cell r="G85">
            <v>183.04729729729729</v>
          </cell>
          <cell r="I85">
            <v>183.04878048780489</v>
          </cell>
        </row>
      </sheetData>
      <sheetData sheetId="6"/>
      <sheetData sheetId="7">
        <row r="10">
          <cell r="D10">
            <v>0</v>
          </cell>
          <cell r="F10">
            <v>107481</v>
          </cell>
        </row>
        <row r="11">
          <cell r="D11">
            <v>0</v>
          </cell>
          <cell r="F11">
            <v>0</v>
          </cell>
        </row>
        <row r="12">
          <cell r="D12">
            <v>343057</v>
          </cell>
          <cell r="F12">
            <v>-107481</v>
          </cell>
        </row>
        <row r="13">
          <cell r="D13">
            <v>78370</v>
          </cell>
          <cell r="F13">
            <v>0</v>
          </cell>
        </row>
        <row r="14">
          <cell r="D14">
            <v>16000</v>
          </cell>
          <cell r="F14">
            <v>0</v>
          </cell>
        </row>
        <row r="15">
          <cell r="D15">
            <v>0</v>
          </cell>
          <cell r="F15">
            <v>541247</v>
          </cell>
        </row>
        <row r="16">
          <cell r="D16">
            <v>541247</v>
          </cell>
          <cell r="F16">
            <v>-541247</v>
          </cell>
        </row>
        <row r="17">
          <cell r="D17">
            <v>406</v>
          </cell>
          <cell r="F17">
            <v>-406</v>
          </cell>
        </row>
        <row r="18">
          <cell r="D18">
            <v>14951</v>
          </cell>
          <cell r="F18">
            <v>0</v>
          </cell>
        </row>
        <row r="19">
          <cell r="D19">
            <v>20615</v>
          </cell>
          <cell r="F19">
            <v>0</v>
          </cell>
        </row>
        <row r="20">
          <cell r="D20">
            <v>26658</v>
          </cell>
          <cell r="F20">
            <v>0</v>
          </cell>
        </row>
        <row r="21">
          <cell r="D21">
            <v>50160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3480</v>
          </cell>
          <cell r="F23">
            <v>0</v>
          </cell>
        </row>
        <row r="24">
          <cell r="D24">
            <v>37074</v>
          </cell>
          <cell r="F24">
            <v>0</v>
          </cell>
        </row>
        <row r="25">
          <cell r="D25">
            <v>9397</v>
          </cell>
          <cell r="F25">
            <v>0</v>
          </cell>
        </row>
        <row r="26">
          <cell r="D26">
            <v>673066</v>
          </cell>
          <cell r="F26">
            <v>0</v>
          </cell>
        </row>
        <row r="27">
          <cell r="D27">
            <v>385</v>
          </cell>
          <cell r="F27">
            <v>-25712</v>
          </cell>
        </row>
        <row r="28">
          <cell r="D28">
            <v>0</v>
          </cell>
          <cell r="F28">
            <v>0</v>
          </cell>
        </row>
        <row r="29">
          <cell r="D29">
            <v>194337</v>
          </cell>
          <cell r="F29">
            <v>-194337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116861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213</v>
          </cell>
          <cell r="F34">
            <v>0</v>
          </cell>
        </row>
        <row r="35">
          <cell r="D35">
            <v>52755</v>
          </cell>
          <cell r="F35">
            <v>-52755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666</v>
          </cell>
          <cell r="F38">
            <v>-666</v>
          </cell>
        </row>
        <row r="39">
          <cell r="D39">
            <v>10724</v>
          </cell>
          <cell r="F39">
            <v>0</v>
          </cell>
        </row>
        <row r="40">
          <cell r="D40">
            <v>2190</v>
          </cell>
          <cell r="F40">
            <v>-2190</v>
          </cell>
        </row>
        <row r="41">
          <cell r="D41">
            <v>210634</v>
          </cell>
          <cell r="F41">
            <v>0</v>
          </cell>
        </row>
        <row r="42">
          <cell r="D42">
            <v>5332</v>
          </cell>
          <cell r="F42">
            <v>0</v>
          </cell>
        </row>
        <row r="43">
          <cell r="D43">
            <v>7626</v>
          </cell>
          <cell r="F43">
            <v>-7626</v>
          </cell>
        </row>
        <row r="44">
          <cell r="D44">
            <v>0</v>
          </cell>
          <cell r="F44">
            <v>0</v>
          </cell>
        </row>
        <row r="45">
          <cell r="D45">
            <v>5949</v>
          </cell>
          <cell r="F45">
            <v>-9771</v>
          </cell>
        </row>
        <row r="57">
          <cell r="D57">
            <v>0</v>
          </cell>
          <cell r="F57">
            <v>0</v>
          </cell>
        </row>
        <row r="58">
          <cell r="D58">
            <v>179470</v>
          </cell>
          <cell r="F58">
            <v>0</v>
          </cell>
        </row>
        <row r="59">
          <cell r="D59">
            <v>216756</v>
          </cell>
          <cell r="F59">
            <v>0</v>
          </cell>
        </row>
        <row r="60">
          <cell r="D60">
            <v>62208</v>
          </cell>
          <cell r="F60">
            <v>0</v>
          </cell>
        </row>
        <row r="61">
          <cell r="D61">
            <v>37069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71644</v>
          </cell>
          <cell r="F66">
            <v>0</v>
          </cell>
        </row>
        <row r="67">
          <cell r="D67">
            <v>133364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10440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48571</v>
          </cell>
          <cell r="F75">
            <v>0</v>
          </cell>
        </row>
        <row r="76">
          <cell r="D76">
            <v>5533</v>
          </cell>
          <cell r="F76">
            <v>0</v>
          </cell>
        </row>
        <row r="77">
          <cell r="D77">
            <v>13001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10447</v>
          </cell>
          <cell r="F79">
            <v>0</v>
          </cell>
        </row>
        <row r="80">
          <cell r="D80">
            <v>15629</v>
          </cell>
          <cell r="F80">
            <v>0</v>
          </cell>
        </row>
        <row r="81">
          <cell r="D81">
            <v>23128</v>
          </cell>
          <cell r="F81">
            <v>0</v>
          </cell>
        </row>
        <row r="82">
          <cell r="D82">
            <v>20433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172886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56742</v>
          </cell>
          <cell r="F89">
            <v>0</v>
          </cell>
        </row>
        <row r="90">
          <cell r="D90">
            <v>7683</v>
          </cell>
          <cell r="F90">
            <v>0</v>
          </cell>
        </row>
        <row r="91">
          <cell r="D91">
            <v>687196</v>
          </cell>
          <cell r="F91">
            <v>0</v>
          </cell>
        </row>
        <row r="92">
          <cell r="D92">
            <v>53993</v>
          </cell>
          <cell r="F92">
            <v>-8825</v>
          </cell>
        </row>
        <row r="93">
          <cell r="D93">
            <v>13189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123120</v>
          </cell>
          <cell r="F101">
            <v>0</v>
          </cell>
        </row>
        <row r="102">
          <cell r="D102">
            <v>6134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1183</v>
          </cell>
          <cell r="F117">
            <v>0</v>
          </cell>
        </row>
        <row r="118">
          <cell r="D118">
            <v>186136</v>
          </cell>
          <cell r="F118">
            <v>0</v>
          </cell>
        </row>
        <row r="119">
          <cell r="D119">
            <v>416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265366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99250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80374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11158</v>
          </cell>
          <cell r="F134">
            <v>0</v>
          </cell>
        </row>
        <row r="136">
          <cell r="D136">
            <v>1233508</v>
          </cell>
          <cell r="F136">
            <v>0</v>
          </cell>
        </row>
        <row r="137">
          <cell r="D137">
            <v>411028</v>
          </cell>
          <cell r="F137">
            <v>0</v>
          </cell>
        </row>
        <row r="138">
          <cell r="D138">
            <v>1216685</v>
          </cell>
          <cell r="F138">
            <v>-30307</v>
          </cell>
        </row>
        <row r="139">
          <cell r="D139">
            <v>30307</v>
          </cell>
          <cell r="F139">
            <v>30307</v>
          </cell>
        </row>
        <row r="141">
          <cell r="D141">
            <v>559967</v>
          </cell>
          <cell r="F141">
            <v>-321089</v>
          </cell>
        </row>
        <row r="142">
          <cell r="D142">
            <v>0</v>
          </cell>
          <cell r="F142">
            <v>79599</v>
          </cell>
        </row>
        <row r="143">
          <cell r="D143">
            <v>0</v>
          </cell>
          <cell r="F143">
            <v>241490</v>
          </cell>
        </row>
        <row r="144">
          <cell r="D144">
            <v>0</v>
          </cell>
          <cell r="F144">
            <v>0</v>
          </cell>
        </row>
        <row r="146">
          <cell r="D146">
            <v>51368</v>
          </cell>
          <cell r="F146">
            <v>0</v>
          </cell>
        </row>
        <row r="147">
          <cell r="D147">
            <v>17994</v>
          </cell>
          <cell r="F147">
            <v>0</v>
          </cell>
        </row>
        <row r="148">
          <cell r="D148">
            <v>11107</v>
          </cell>
          <cell r="F148">
            <v>0</v>
          </cell>
        </row>
        <row r="149">
          <cell r="D149">
            <v>143443</v>
          </cell>
          <cell r="F149">
            <v>0</v>
          </cell>
        </row>
        <row r="150">
          <cell r="D150">
            <v>6787</v>
          </cell>
          <cell r="F150">
            <v>0</v>
          </cell>
        </row>
        <row r="151">
          <cell r="D151">
            <v>153638</v>
          </cell>
          <cell r="F151">
            <v>0</v>
          </cell>
        </row>
        <row r="152">
          <cell r="D152">
            <v>5178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843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22214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558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1187</v>
          </cell>
          <cell r="F193">
            <v>0</v>
          </cell>
        </row>
        <row r="194">
          <cell r="D194">
            <v>317138</v>
          </cell>
          <cell r="F194">
            <v>0</v>
          </cell>
        </row>
        <row r="195">
          <cell r="D195">
            <v>97484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284741</v>
          </cell>
          <cell r="F197">
            <v>0</v>
          </cell>
        </row>
        <row r="198">
          <cell r="D198">
            <v>55059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237723</v>
          </cell>
          <cell r="F205">
            <v>0</v>
          </cell>
        </row>
        <row r="206">
          <cell r="D206">
            <v>1877</v>
          </cell>
          <cell r="F206">
            <v>0</v>
          </cell>
        </row>
        <row r="207">
          <cell r="D207">
            <v>990</v>
          </cell>
          <cell r="F207">
            <v>0</v>
          </cell>
        </row>
        <row r="211">
          <cell r="D211">
            <v>137557</v>
          </cell>
          <cell r="F211">
            <v>0</v>
          </cell>
        </row>
        <row r="212">
          <cell r="D212">
            <v>55004</v>
          </cell>
          <cell r="F212">
            <v>0</v>
          </cell>
        </row>
        <row r="213">
          <cell r="D213">
            <v>5788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1707</v>
          </cell>
          <cell r="F216">
            <v>0</v>
          </cell>
        </row>
        <row r="221">
          <cell r="D221">
            <v>10095552</v>
          </cell>
        </row>
      </sheetData>
      <sheetData sheetId="8"/>
      <sheetData sheetId="9"/>
      <sheetData sheetId="10">
        <row r="9">
          <cell r="C9">
            <v>28887</v>
          </cell>
          <cell r="D9">
            <v>0</v>
          </cell>
          <cell r="E9">
            <v>1651</v>
          </cell>
          <cell r="F9">
            <v>2182</v>
          </cell>
          <cell r="G9">
            <v>0</v>
          </cell>
          <cell r="H9">
            <v>1578</v>
          </cell>
          <cell r="I9">
            <v>4976</v>
          </cell>
          <cell r="J9">
            <v>0</v>
          </cell>
          <cell r="K9">
            <v>434</v>
          </cell>
        </row>
        <row r="22">
          <cell r="N22">
            <v>140</v>
          </cell>
        </row>
        <row r="24">
          <cell r="N24">
            <v>140</v>
          </cell>
        </row>
        <row r="28">
          <cell r="N28">
            <v>51100</v>
          </cell>
        </row>
        <row r="30">
          <cell r="N30">
            <v>0.77706457925636008</v>
          </cell>
        </row>
        <row r="32">
          <cell r="N32">
            <v>0.56530332681017614</v>
          </cell>
        </row>
        <row r="34">
          <cell r="N34">
            <v>0.72748564521003323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1885952.9499999997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340513.39</v>
          </cell>
          <cell r="G21">
            <v>0</v>
          </cell>
        </row>
        <row r="27">
          <cell r="E27">
            <v>30875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502371.04</v>
          </cell>
          <cell r="G37">
            <v>0</v>
          </cell>
        </row>
        <row r="42">
          <cell r="E42">
            <v>263396.92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553506.76</v>
          </cell>
          <cell r="G67">
            <v>-438752</v>
          </cell>
        </row>
        <row r="85">
          <cell r="C85">
            <v>167.521327014218</v>
          </cell>
          <cell r="E85">
            <v>168.21891191709844</v>
          </cell>
          <cell r="G85">
            <v>169</v>
          </cell>
          <cell r="I85">
            <v>169.91714614499423</v>
          </cell>
        </row>
      </sheetData>
      <sheetData sheetId="6"/>
      <sheetData sheetId="7">
        <row r="10">
          <cell r="D10">
            <v>85774.3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38635.490000000005</v>
          </cell>
          <cell r="F12">
            <v>-8670.02</v>
          </cell>
        </row>
        <row r="13">
          <cell r="D13">
            <v>366341.16</v>
          </cell>
          <cell r="F13">
            <v>-335915.12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322718</v>
          </cell>
          <cell r="F16">
            <v>-75974.92</v>
          </cell>
        </row>
        <row r="17">
          <cell r="D17">
            <v>0</v>
          </cell>
          <cell r="F17">
            <v>0</v>
          </cell>
        </row>
        <row r="18">
          <cell r="D18">
            <v>18899.509999999998</v>
          </cell>
          <cell r="F18">
            <v>0</v>
          </cell>
        </row>
        <row r="19">
          <cell r="D19">
            <v>12293.41</v>
          </cell>
          <cell r="F19">
            <v>0</v>
          </cell>
        </row>
        <row r="20">
          <cell r="D20">
            <v>6874.92</v>
          </cell>
          <cell r="F20">
            <v>0</v>
          </cell>
        </row>
        <row r="21">
          <cell r="D21">
            <v>2714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3002.58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239609.64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64103.47</v>
          </cell>
          <cell r="F29">
            <v>-64103.47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44567</v>
          </cell>
        </row>
        <row r="32">
          <cell r="D32">
            <v>18474.79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9064</v>
          </cell>
          <cell r="F36">
            <v>0</v>
          </cell>
        </row>
        <row r="37">
          <cell r="D37">
            <v>0</v>
          </cell>
          <cell r="F37">
            <v>2221.91</v>
          </cell>
        </row>
        <row r="38">
          <cell r="D38">
            <v>0</v>
          </cell>
          <cell r="F38">
            <v>0</v>
          </cell>
        </row>
        <row r="39">
          <cell r="D39">
            <v>2936.14</v>
          </cell>
          <cell r="F39">
            <v>0</v>
          </cell>
        </row>
        <row r="40">
          <cell r="D40">
            <v>17466.900000000001</v>
          </cell>
          <cell r="F40">
            <v>-17467</v>
          </cell>
        </row>
        <row r="41">
          <cell r="D41">
            <v>2950.66</v>
          </cell>
          <cell r="F41">
            <v>0</v>
          </cell>
        </row>
        <row r="42">
          <cell r="D42">
            <v>7276.42</v>
          </cell>
          <cell r="F42">
            <v>0</v>
          </cell>
        </row>
        <row r="43">
          <cell r="D43">
            <v>10576.07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124207.97</v>
          </cell>
          <cell r="F45">
            <v>-169762</v>
          </cell>
        </row>
        <row r="57">
          <cell r="D57">
            <v>347852.32</v>
          </cell>
          <cell r="F57">
            <v>-347852</v>
          </cell>
        </row>
        <row r="58">
          <cell r="D58">
            <v>0</v>
          </cell>
          <cell r="F58">
            <v>122039.85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2360.17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2736.41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6317.93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-37074.589999999997</v>
          </cell>
        </row>
        <row r="75">
          <cell r="D75">
            <v>39285.86</v>
          </cell>
          <cell r="F75">
            <v>0</v>
          </cell>
        </row>
        <row r="76">
          <cell r="D76">
            <v>0</v>
          </cell>
          <cell r="F76">
            <v>9630.35</v>
          </cell>
        </row>
        <row r="77">
          <cell r="D77">
            <v>6374.46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4179.5</v>
          </cell>
          <cell r="F79">
            <v>0</v>
          </cell>
        </row>
        <row r="80">
          <cell r="D80">
            <v>28276.57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579.34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54157.51</v>
          </cell>
          <cell r="F84">
            <v>0</v>
          </cell>
        </row>
        <row r="85">
          <cell r="D85">
            <v>0</v>
          </cell>
          <cell r="F85">
            <v>-40694</v>
          </cell>
        </row>
        <row r="89">
          <cell r="D89">
            <v>136033.41</v>
          </cell>
          <cell r="F89">
            <v>0</v>
          </cell>
        </row>
        <row r="90">
          <cell r="D90">
            <v>0</v>
          </cell>
          <cell r="F90">
            <v>33346.6</v>
          </cell>
        </row>
        <row r="91">
          <cell r="D91">
            <v>0</v>
          </cell>
          <cell r="F91">
            <v>0</v>
          </cell>
        </row>
        <row r="92">
          <cell r="D92">
            <v>109024.14</v>
          </cell>
          <cell r="F92">
            <v>-1055</v>
          </cell>
        </row>
        <row r="93">
          <cell r="D93">
            <v>14613.140000000001</v>
          </cell>
          <cell r="F93">
            <v>0</v>
          </cell>
        </row>
        <row r="94">
          <cell r="D94">
            <v>0</v>
          </cell>
          <cell r="F94">
            <v>-75472</v>
          </cell>
        </row>
        <row r="98">
          <cell r="D98">
            <v>26686.880000000001</v>
          </cell>
          <cell r="F98">
            <v>0</v>
          </cell>
        </row>
        <row r="99">
          <cell r="D99">
            <v>0</v>
          </cell>
          <cell r="F99">
            <v>6541.89</v>
          </cell>
        </row>
        <row r="100">
          <cell r="D100">
            <v>2531.86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1543.1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29934.98</v>
          </cell>
          <cell r="F115">
            <v>0</v>
          </cell>
        </row>
        <row r="116">
          <cell r="D116">
            <v>0</v>
          </cell>
          <cell r="F116">
            <v>7338.12</v>
          </cell>
        </row>
        <row r="117">
          <cell r="D117">
            <v>11836.15</v>
          </cell>
          <cell r="F117">
            <v>0</v>
          </cell>
        </row>
        <row r="118">
          <cell r="D118">
            <v>-28.25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105957.26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15658.7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25973.87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3838.5</v>
          </cell>
        </row>
        <row r="136">
          <cell r="D136">
            <v>94286.53</v>
          </cell>
          <cell r="F136">
            <v>0</v>
          </cell>
        </row>
        <row r="137">
          <cell r="D137">
            <v>175446.43</v>
          </cell>
          <cell r="F137">
            <v>0</v>
          </cell>
        </row>
        <row r="138">
          <cell r="D138">
            <v>332583.06</v>
          </cell>
          <cell r="F138">
            <v>0</v>
          </cell>
        </row>
        <row r="139">
          <cell r="D139">
            <v>12174.43</v>
          </cell>
          <cell r="F139">
            <v>0</v>
          </cell>
        </row>
        <row r="141">
          <cell r="D141">
            <v>0</v>
          </cell>
          <cell r="F141">
            <v>23112.97</v>
          </cell>
        </row>
        <row r="142">
          <cell r="D142">
            <v>0</v>
          </cell>
          <cell r="F142">
            <v>43008.13</v>
          </cell>
        </row>
        <row r="143">
          <cell r="D143">
            <v>0</v>
          </cell>
          <cell r="F143">
            <v>81527.88</v>
          </cell>
        </row>
        <row r="144">
          <cell r="D144">
            <v>0</v>
          </cell>
          <cell r="F144">
            <v>0</v>
          </cell>
        </row>
        <row r="146">
          <cell r="D146">
            <v>18000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593.33000000000004</v>
          </cell>
          <cell r="F150">
            <v>0</v>
          </cell>
        </row>
        <row r="151">
          <cell r="D151">
            <v>73051.62</v>
          </cell>
          <cell r="F151">
            <v>0</v>
          </cell>
        </row>
        <row r="152">
          <cell r="D152">
            <v>0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1790.88</v>
          </cell>
          <cell r="F161">
            <v>-2356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38714.800000000003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37628</v>
          </cell>
          <cell r="F197">
            <v>0</v>
          </cell>
        </row>
        <row r="198">
          <cell r="D198">
            <v>30255.040000000001</v>
          </cell>
          <cell r="F198">
            <v>-18869.5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1298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36196.81</v>
          </cell>
          <cell r="F205">
            <v>0</v>
          </cell>
        </row>
        <row r="206">
          <cell r="D206">
            <v>4021.69</v>
          </cell>
          <cell r="F206">
            <v>0</v>
          </cell>
        </row>
        <row r="207">
          <cell r="D207">
            <v>176622.61</v>
          </cell>
          <cell r="F207">
            <v>-176622.86</v>
          </cell>
        </row>
        <row r="211">
          <cell r="D211">
            <v>47564.53</v>
          </cell>
          <cell r="F211">
            <v>0</v>
          </cell>
        </row>
        <row r="212">
          <cell r="D212">
            <v>0</v>
          </cell>
          <cell r="F212">
            <v>11659.75</v>
          </cell>
        </row>
        <row r="213">
          <cell r="D213">
            <v>12809.43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1695.63</v>
          </cell>
          <cell r="F216">
            <v>0</v>
          </cell>
        </row>
        <row r="221">
          <cell r="D221">
            <v>3394563.69</v>
          </cell>
        </row>
      </sheetData>
      <sheetData sheetId="8"/>
      <sheetData sheetId="9"/>
      <sheetData sheetId="10">
        <row r="9">
          <cell r="C9">
            <v>8229</v>
          </cell>
          <cell r="D9">
            <v>0</v>
          </cell>
          <cell r="E9">
            <v>816</v>
          </cell>
          <cell r="F9">
            <v>84</v>
          </cell>
          <cell r="G9">
            <v>0</v>
          </cell>
          <cell r="H9">
            <v>2977</v>
          </cell>
          <cell r="I9">
            <v>1557</v>
          </cell>
          <cell r="J9">
            <v>0</v>
          </cell>
          <cell r="K9">
            <v>0</v>
          </cell>
        </row>
        <row r="22">
          <cell r="N22">
            <v>46</v>
          </cell>
        </row>
        <row r="24">
          <cell r="N24">
            <v>46</v>
          </cell>
        </row>
        <row r="28">
          <cell r="N28">
            <v>16790</v>
          </cell>
        </row>
        <row r="30">
          <cell r="N30">
            <v>0.81375818939845146</v>
          </cell>
        </row>
        <row r="32">
          <cell r="N32">
            <v>0.49011316259678378</v>
          </cell>
        </row>
        <row r="34">
          <cell r="N34">
            <v>0.60228353948620361</v>
          </cell>
        </row>
      </sheetData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2743710.88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143254.78</v>
          </cell>
          <cell r="G21">
            <v>0</v>
          </cell>
        </row>
        <row r="27">
          <cell r="E27">
            <v>16716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445379</v>
          </cell>
          <cell r="G37">
            <v>0</v>
          </cell>
        </row>
        <row r="42">
          <cell r="E42">
            <v>40855.519999999997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1863</v>
          </cell>
          <cell r="G67">
            <v>0</v>
          </cell>
        </row>
        <row r="85">
          <cell r="C85">
            <v>195.99429386590586</v>
          </cell>
          <cell r="E85">
            <v>191.39226519337018</v>
          </cell>
          <cell r="G85">
            <v>186.23529411764707</v>
          </cell>
          <cell r="I85">
            <v>187.54545454545453</v>
          </cell>
        </row>
      </sheetData>
      <sheetData sheetId="6"/>
      <sheetData sheetId="7">
        <row r="10">
          <cell r="D10">
            <v>63000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92648.86</v>
          </cell>
          <cell r="F12">
            <v>0</v>
          </cell>
        </row>
        <row r="13">
          <cell r="D13">
            <v>32345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28959</v>
          </cell>
          <cell r="F17">
            <v>0</v>
          </cell>
        </row>
        <row r="18">
          <cell r="D18">
            <v>7120</v>
          </cell>
          <cell r="F18">
            <v>0</v>
          </cell>
        </row>
        <row r="19">
          <cell r="D19">
            <v>14915</v>
          </cell>
          <cell r="F19">
            <v>0</v>
          </cell>
        </row>
        <row r="20">
          <cell r="D20">
            <v>26402</v>
          </cell>
          <cell r="F20">
            <v>0</v>
          </cell>
        </row>
        <row r="21">
          <cell r="D21">
            <v>5693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3087</v>
          </cell>
          <cell r="F23">
            <v>0</v>
          </cell>
        </row>
        <row r="24">
          <cell r="D24">
            <v>19915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367210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21629.7</v>
          </cell>
          <cell r="F31">
            <v>0</v>
          </cell>
        </row>
        <row r="32">
          <cell r="D32">
            <v>33133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75.010000000000005</v>
          </cell>
          <cell r="F39">
            <v>0</v>
          </cell>
        </row>
        <row r="40">
          <cell r="D40">
            <v>172</v>
          </cell>
          <cell r="F40">
            <v>0</v>
          </cell>
        </row>
        <row r="41">
          <cell r="D41">
            <v>3191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0</v>
          </cell>
          <cell r="F45">
            <v>0</v>
          </cell>
        </row>
        <row r="57">
          <cell r="D57">
            <v>300000</v>
          </cell>
          <cell r="F57">
            <v>-300000</v>
          </cell>
        </row>
        <row r="58">
          <cell r="D58">
            <v>19144.63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27505</v>
          </cell>
          <cell r="F60">
            <v>0</v>
          </cell>
        </row>
        <row r="61">
          <cell r="D61">
            <v>3892</v>
          </cell>
          <cell r="F61">
            <v>0</v>
          </cell>
        </row>
        <row r="62">
          <cell r="D62">
            <v>34187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7092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55949.32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36536</v>
          </cell>
          <cell r="F75">
            <v>0</v>
          </cell>
        </row>
        <row r="76">
          <cell r="D76">
            <v>4716</v>
          </cell>
          <cell r="F76">
            <v>0</v>
          </cell>
        </row>
        <row r="77">
          <cell r="D77">
            <v>3064</v>
          </cell>
          <cell r="F77">
            <v>0</v>
          </cell>
        </row>
        <row r="78">
          <cell r="D78">
            <v>1236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21433</v>
          </cell>
          <cell r="F80">
            <v>0</v>
          </cell>
        </row>
        <row r="81">
          <cell r="D81">
            <v>15842</v>
          </cell>
          <cell r="F81">
            <v>0</v>
          </cell>
        </row>
        <row r="82">
          <cell r="D82">
            <v>2010</v>
          </cell>
          <cell r="F82">
            <v>0</v>
          </cell>
        </row>
        <row r="83">
          <cell r="D83">
            <v>13078.63</v>
          </cell>
          <cell r="F83">
            <v>0</v>
          </cell>
        </row>
        <row r="84">
          <cell r="D84">
            <v>89367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120470</v>
          </cell>
          <cell r="F89">
            <v>0</v>
          </cell>
        </row>
        <row r="90">
          <cell r="D90">
            <v>13027</v>
          </cell>
          <cell r="F90">
            <v>0</v>
          </cell>
        </row>
        <row r="91">
          <cell r="D91">
            <v>2712</v>
          </cell>
          <cell r="F91">
            <v>0</v>
          </cell>
        </row>
        <row r="92">
          <cell r="D92">
            <v>164910</v>
          </cell>
          <cell r="F92">
            <v>0</v>
          </cell>
        </row>
        <row r="93">
          <cell r="D93">
            <v>28390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18556</v>
          </cell>
          <cell r="F98">
            <v>0</v>
          </cell>
        </row>
        <row r="99">
          <cell r="D99">
            <v>1517</v>
          </cell>
          <cell r="F99">
            <v>0</v>
          </cell>
        </row>
        <row r="100">
          <cell r="D100">
            <v>6942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1099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50730</v>
          </cell>
          <cell r="F115">
            <v>0</v>
          </cell>
        </row>
        <row r="116">
          <cell r="D116">
            <v>4161</v>
          </cell>
          <cell r="F116">
            <v>0</v>
          </cell>
        </row>
        <row r="117">
          <cell r="D117">
            <v>19084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35942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7183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4168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0</v>
          </cell>
        </row>
        <row r="136">
          <cell r="D136">
            <v>306328</v>
          </cell>
          <cell r="F136">
            <v>0</v>
          </cell>
        </row>
        <row r="137">
          <cell r="D137">
            <v>82497</v>
          </cell>
          <cell r="F137">
            <v>0</v>
          </cell>
        </row>
        <row r="138">
          <cell r="D138">
            <v>390309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24669.57</v>
          </cell>
          <cell r="F141">
            <v>0</v>
          </cell>
        </row>
        <row r="142">
          <cell r="D142">
            <v>6815</v>
          </cell>
          <cell r="F142">
            <v>0</v>
          </cell>
        </row>
        <row r="143">
          <cell r="D143">
            <v>32667</v>
          </cell>
          <cell r="F143">
            <v>0</v>
          </cell>
        </row>
        <row r="144">
          <cell r="D144">
            <v>0</v>
          </cell>
          <cell r="F144">
            <v>0</v>
          </cell>
        </row>
        <row r="146">
          <cell r="D146">
            <v>18000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0</v>
          </cell>
          <cell r="F150">
            <v>0</v>
          </cell>
        </row>
        <row r="151">
          <cell r="D151">
            <v>49029</v>
          </cell>
          <cell r="F151">
            <v>0</v>
          </cell>
        </row>
        <row r="152">
          <cell r="D152">
            <v>14017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1628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71631</v>
          </cell>
          <cell r="F194">
            <v>0</v>
          </cell>
        </row>
        <row r="195">
          <cell r="D195">
            <v>12737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62243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10020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28027</v>
          </cell>
          <cell r="F211">
            <v>0</v>
          </cell>
        </row>
        <row r="212">
          <cell r="D212">
            <v>2341</v>
          </cell>
          <cell r="F212">
            <v>0</v>
          </cell>
        </row>
        <row r="213">
          <cell r="D213">
            <v>7720</v>
          </cell>
          <cell r="F213">
            <v>0</v>
          </cell>
        </row>
        <row r="214">
          <cell r="D214">
            <v>2577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0</v>
          </cell>
          <cell r="F216">
            <v>0</v>
          </cell>
        </row>
        <row r="221">
          <cell r="D221">
            <v>2956695</v>
          </cell>
        </row>
      </sheetData>
      <sheetData sheetId="8"/>
      <sheetData sheetId="9"/>
      <sheetData sheetId="10">
        <row r="9">
          <cell r="C9">
            <v>16979</v>
          </cell>
          <cell r="D9">
            <v>0</v>
          </cell>
          <cell r="E9">
            <v>63</v>
          </cell>
          <cell r="F9">
            <v>46</v>
          </cell>
          <cell r="G9">
            <v>0</v>
          </cell>
          <cell r="H9">
            <v>2352</v>
          </cell>
          <cell r="I9">
            <v>246</v>
          </cell>
          <cell r="J9">
            <v>0</v>
          </cell>
          <cell r="K9">
            <v>0</v>
          </cell>
        </row>
        <row r="22">
          <cell r="N22">
            <v>155</v>
          </cell>
        </row>
        <row r="28">
          <cell r="N28">
            <v>56575</v>
          </cell>
        </row>
        <row r="30">
          <cell r="N30">
            <v>0.34796288113124174</v>
          </cell>
        </row>
        <row r="32">
          <cell r="N32">
            <v>0.30011489173663281</v>
          </cell>
        </row>
        <row r="34">
          <cell r="N34">
            <v>0.86249111043381077</v>
          </cell>
        </row>
      </sheetData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4">
          <cell r="N24">
            <v>56575</v>
          </cell>
        </row>
      </sheetData>
      <sheetData sheetId="1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2495899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1717477</v>
          </cell>
          <cell r="G21">
            <v>0</v>
          </cell>
        </row>
        <row r="27">
          <cell r="E27">
            <v>1621545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681552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479110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96967</v>
          </cell>
          <cell r="G67">
            <v>0</v>
          </cell>
        </row>
        <row r="85">
          <cell r="C85">
            <v>206.38481012658227</v>
          </cell>
          <cell r="E85">
            <v>207.42219020172911</v>
          </cell>
          <cell r="G85">
            <v>211.8013468013468</v>
          </cell>
          <cell r="I85">
            <v>227.19070904645477</v>
          </cell>
        </row>
      </sheetData>
      <sheetData sheetId="7"/>
      <sheetData sheetId="8">
        <row r="10">
          <cell r="D10">
            <v>243588</v>
          </cell>
          <cell r="F10">
            <v>15876</v>
          </cell>
        </row>
        <row r="11">
          <cell r="D11">
            <v>0</v>
          </cell>
          <cell r="F11">
            <v>0</v>
          </cell>
        </row>
        <row r="12">
          <cell r="D12">
            <v>315108</v>
          </cell>
          <cell r="F12">
            <v>20534</v>
          </cell>
        </row>
        <row r="13">
          <cell r="D13">
            <v>622851</v>
          </cell>
          <cell r="F13">
            <v>-552192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328397</v>
          </cell>
          <cell r="F16">
            <v>147330</v>
          </cell>
        </row>
        <row r="17">
          <cell r="D17">
            <v>0</v>
          </cell>
          <cell r="F17">
            <v>0</v>
          </cell>
        </row>
        <row r="18">
          <cell r="D18">
            <v>12739</v>
          </cell>
          <cell r="F18">
            <v>0</v>
          </cell>
        </row>
        <row r="19">
          <cell r="D19">
            <v>20448</v>
          </cell>
          <cell r="F19">
            <v>-1219</v>
          </cell>
        </row>
        <row r="20">
          <cell r="D20">
            <v>18195</v>
          </cell>
          <cell r="F20">
            <v>0</v>
          </cell>
        </row>
        <row r="21">
          <cell r="D21">
            <v>15110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3964</v>
          </cell>
          <cell r="F23">
            <v>0</v>
          </cell>
        </row>
        <row r="24">
          <cell r="D24">
            <v>46088</v>
          </cell>
          <cell r="F24">
            <v>-12960</v>
          </cell>
        </row>
        <row r="25">
          <cell r="D25">
            <v>0</v>
          </cell>
          <cell r="F25">
            <v>0</v>
          </cell>
        </row>
        <row r="26">
          <cell r="D26">
            <v>291988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73366</v>
          </cell>
          <cell r="F29">
            <v>-73366</v>
          </cell>
        </row>
        <row r="30">
          <cell r="D30">
            <v>0</v>
          </cell>
          <cell r="F30">
            <v>0</v>
          </cell>
        </row>
        <row r="31">
          <cell r="D31">
            <v>51641</v>
          </cell>
          <cell r="F31">
            <v>0</v>
          </cell>
        </row>
        <row r="32">
          <cell r="D32">
            <v>97956</v>
          </cell>
          <cell r="F32">
            <v>-33481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9992</v>
          </cell>
          <cell r="F39">
            <v>0</v>
          </cell>
        </row>
        <row r="40">
          <cell r="D40">
            <v>3814</v>
          </cell>
          <cell r="F40">
            <v>0</v>
          </cell>
        </row>
        <row r="41">
          <cell r="D41">
            <v>17576</v>
          </cell>
          <cell r="F41">
            <v>0</v>
          </cell>
        </row>
        <row r="42">
          <cell r="D42">
            <v>4961</v>
          </cell>
          <cell r="F42">
            <v>0</v>
          </cell>
        </row>
        <row r="43">
          <cell r="D43">
            <v>4415</v>
          </cell>
          <cell r="F43">
            <v>0</v>
          </cell>
        </row>
        <row r="44">
          <cell r="D44">
            <v>2360</v>
          </cell>
          <cell r="F44">
            <v>0</v>
          </cell>
        </row>
        <row r="45">
          <cell r="D45">
            <v>12842</v>
          </cell>
          <cell r="F45">
            <v>0</v>
          </cell>
        </row>
        <row r="57">
          <cell r="D57">
            <v>534838</v>
          </cell>
          <cell r="F57">
            <v>0</v>
          </cell>
        </row>
        <row r="58">
          <cell r="D58">
            <v>49248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33273</v>
          </cell>
          <cell r="F60">
            <v>0</v>
          </cell>
        </row>
        <row r="61">
          <cell r="D61">
            <v>7839</v>
          </cell>
          <cell r="F61">
            <v>0</v>
          </cell>
        </row>
        <row r="62">
          <cell r="D62">
            <v>469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4269</v>
          </cell>
          <cell r="F65">
            <v>0</v>
          </cell>
        </row>
        <row r="66">
          <cell r="D66">
            <v>20990</v>
          </cell>
          <cell r="F66">
            <v>0</v>
          </cell>
        </row>
        <row r="67">
          <cell r="D67">
            <v>53528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5626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29945</v>
          </cell>
          <cell r="F75">
            <v>1952</v>
          </cell>
        </row>
        <row r="76">
          <cell r="D76">
            <v>0</v>
          </cell>
          <cell r="F76">
            <v>3647</v>
          </cell>
        </row>
        <row r="77">
          <cell r="D77">
            <v>19924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12866</v>
          </cell>
          <cell r="F79">
            <v>0</v>
          </cell>
        </row>
        <row r="80">
          <cell r="D80">
            <v>18219</v>
          </cell>
          <cell r="F80">
            <v>0</v>
          </cell>
        </row>
        <row r="81">
          <cell r="D81">
            <v>5321</v>
          </cell>
          <cell r="F81">
            <v>0</v>
          </cell>
        </row>
        <row r="82">
          <cell r="D82">
            <v>438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116154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147871</v>
          </cell>
          <cell r="F89">
            <v>9638</v>
          </cell>
        </row>
        <row r="90">
          <cell r="D90">
            <v>0</v>
          </cell>
          <cell r="F90">
            <v>18008</v>
          </cell>
        </row>
        <row r="91">
          <cell r="D91">
            <v>20279</v>
          </cell>
          <cell r="F91">
            <v>0</v>
          </cell>
        </row>
        <row r="92">
          <cell r="D92">
            <v>133568</v>
          </cell>
          <cell r="F92">
            <v>0</v>
          </cell>
        </row>
        <row r="93">
          <cell r="D93">
            <v>16848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752</v>
          </cell>
          <cell r="F100">
            <v>0</v>
          </cell>
        </row>
        <row r="101">
          <cell r="D101">
            <v>59662</v>
          </cell>
          <cell r="F101">
            <v>0</v>
          </cell>
        </row>
        <row r="102">
          <cell r="D102">
            <v>1575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3096</v>
          </cell>
          <cell r="F117">
            <v>0</v>
          </cell>
        </row>
        <row r="118">
          <cell r="D118">
            <v>92293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190017</v>
          </cell>
          <cell r="F125">
            <v>12384</v>
          </cell>
        </row>
        <row r="126">
          <cell r="D126">
            <v>53665</v>
          </cell>
          <cell r="F126">
            <v>3498</v>
          </cell>
        </row>
        <row r="127">
          <cell r="D127">
            <v>0</v>
          </cell>
          <cell r="F127">
            <v>0</v>
          </cell>
        </row>
        <row r="128">
          <cell r="D128">
            <v>26463</v>
          </cell>
          <cell r="F128">
            <v>1725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23141</v>
          </cell>
        </row>
        <row r="132">
          <cell r="D132">
            <v>0</v>
          </cell>
          <cell r="F132">
            <v>6535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3223</v>
          </cell>
        </row>
        <row r="136">
          <cell r="D136">
            <v>400420</v>
          </cell>
          <cell r="F136">
            <v>26097</v>
          </cell>
        </row>
        <row r="137">
          <cell r="D137">
            <v>250952</v>
          </cell>
          <cell r="F137">
            <v>16356</v>
          </cell>
        </row>
        <row r="138">
          <cell r="D138">
            <v>611162</v>
          </cell>
          <cell r="F138">
            <v>39833</v>
          </cell>
        </row>
        <row r="139">
          <cell r="D139">
            <v>76154</v>
          </cell>
          <cell r="F139">
            <v>4963</v>
          </cell>
        </row>
        <row r="141">
          <cell r="D141">
            <v>0</v>
          </cell>
          <cell r="F141">
            <v>48763</v>
          </cell>
        </row>
        <row r="142">
          <cell r="D142">
            <v>0</v>
          </cell>
          <cell r="F142">
            <v>30561</v>
          </cell>
        </row>
        <row r="143">
          <cell r="D143">
            <v>0</v>
          </cell>
          <cell r="F143">
            <v>74428</v>
          </cell>
        </row>
        <row r="144">
          <cell r="D144">
            <v>0</v>
          </cell>
          <cell r="F144">
            <v>9274</v>
          </cell>
        </row>
        <row r="146">
          <cell r="D146">
            <v>61100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6612</v>
          </cell>
          <cell r="F150">
            <v>0</v>
          </cell>
        </row>
        <row r="151">
          <cell r="D151">
            <v>96903</v>
          </cell>
          <cell r="F151">
            <v>0</v>
          </cell>
        </row>
        <row r="152">
          <cell r="D152">
            <v>1047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2070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389948</v>
          </cell>
          <cell r="F177">
            <v>25415</v>
          </cell>
        </row>
        <row r="178">
          <cell r="D178">
            <v>0</v>
          </cell>
          <cell r="F178">
            <v>47488</v>
          </cell>
        </row>
        <row r="179">
          <cell r="D179">
            <v>38267</v>
          </cell>
          <cell r="F179">
            <v>2494</v>
          </cell>
        </row>
        <row r="180">
          <cell r="D180">
            <v>0</v>
          </cell>
          <cell r="F180">
            <v>4660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148929</v>
          </cell>
          <cell r="F183">
            <v>9706</v>
          </cell>
        </row>
        <row r="184">
          <cell r="D184">
            <v>0</v>
          </cell>
          <cell r="F184">
            <v>18136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3332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1180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71415</v>
          </cell>
          <cell r="F198">
            <v>-21210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208544</v>
          </cell>
          <cell r="F205">
            <v>0</v>
          </cell>
        </row>
        <row r="206">
          <cell r="D206">
            <v>5849</v>
          </cell>
          <cell r="F206">
            <v>0</v>
          </cell>
        </row>
        <row r="207">
          <cell r="D207">
            <v>25767</v>
          </cell>
          <cell r="F207">
            <v>-1646</v>
          </cell>
        </row>
        <row r="211">
          <cell r="D211">
            <v>110068</v>
          </cell>
          <cell r="F211">
            <v>7174</v>
          </cell>
        </row>
        <row r="212">
          <cell r="D212">
            <v>0</v>
          </cell>
          <cell r="F212">
            <v>13404</v>
          </cell>
        </row>
        <row r="213">
          <cell r="D213">
            <v>5111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6499</v>
          </cell>
          <cell r="F216">
            <v>0</v>
          </cell>
        </row>
        <row r="221">
          <cell r="D221">
            <v>6377764</v>
          </cell>
        </row>
      </sheetData>
      <sheetData sheetId="9"/>
      <sheetData sheetId="10"/>
      <sheetData sheetId="11"/>
      <sheetData sheetId="12">
        <row r="9">
          <cell r="C9">
            <v>9910</v>
          </cell>
          <cell r="D9">
            <v>0</v>
          </cell>
          <cell r="E9">
            <v>3029</v>
          </cell>
          <cell r="F9">
            <v>3931</v>
          </cell>
          <cell r="G9">
            <v>0</v>
          </cell>
          <cell r="H9">
            <v>3193</v>
          </cell>
          <cell r="I9">
            <v>0</v>
          </cell>
          <cell r="J9">
            <v>2473</v>
          </cell>
          <cell r="K9">
            <v>0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0.57168949771689492</v>
          </cell>
        </row>
        <row r="32">
          <cell r="N32">
            <v>0.25139523084728566</v>
          </cell>
        </row>
        <row r="34">
          <cell r="N34">
            <v>0.4397408590699326</v>
          </cell>
        </row>
      </sheetData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3406404.8</v>
          </cell>
          <cell r="G10">
            <v>0</v>
          </cell>
        </row>
        <row r="15">
          <cell r="E15">
            <v>269264</v>
          </cell>
          <cell r="G15">
            <v>0</v>
          </cell>
        </row>
        <row r="21">
          <cell r="E21">
            <v>1089528.9200000002</v>
          </cell>
          <cell r="G21">
            <v>0</v>
          </cell>
        </row>
        <row r="27">
          <cell r="E27">
            <v>249345.78000000003</v>
          </cell>
          <cell r="G27">
            <v>0</v>
          </cell>
        </row>
        <row r="32">
          <cell r="E32">
            <v>1493504.1</v>
          </cell>
          <cell r="G32">
            <v>0</v>
          </cell>
        </row>
        <row r="37">
          <cell r="E37">
            <v>706925.9</v>
          </cell>
          <cell r="G37">
            <v>0</v>
          </cell>
        </row>
        <row r="42">
          <cell r="E42">
            <v>217993.07</v>
          </cell>
          <cell r="G42">
            <v>0</v>
          </cell>
        </row>
        <row r="47">
          <cell r="E47">
            <v>7977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68893.399999999994</v>
          </cell>
          <cell r="G67">
            <v>-290</v>
          </cell>
        </row>
        <row r="85">
          <cell r="C85">
            <v>246.80334360554698</v>
          </cell>
          <cell r="E85">
            <v>302.38331699346406</v>
          </cell>
          <cell r="G85">
            <v>253.23046854083</v>
          </cell>
          <cell r="I85">
            <v>266.65962905718703</v>
          </cell>
        </row>
      </sheetData>
      <sheetData sheetId="6"/>
      <sheetData sheetId="7">
        <row r="10">
          <cell r="D10">
            <v>119709.8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297524.38000000006</v>
          </cell>
          <cell r="F12">
            <v>-89594.7</v>
          </cell>
        </row>
        <row r="13">
          <cell r="D13">
            <v>123979.25000000001</v>
          </cell>
          <cell r="F13">
            <v>-27055.55</v>
          </cell>
        </row>
        <row r="14">
          <cell r="D14">
            <v>0</v>
          </cell>
          <cell r="F14">
            <v>0</v>
          </cell>
        </row>
        <row r="15">
          <cell r="D15">
            <v>514109.93</v>
          </cell>
          <cell r="F15">
            <v>-514109.53</v>
          </cell>
        </row>
        <row r="16">
          <cell r="D16">
            <v>0</v>
          </cell>
          <cell r="F16">
            <v>321493</v>
          </cell>
        </row>
        <row r="17">
          <cell r="D17">
            <v>0</v>
          </cell>
          <cell r="F17">
            <v>0</v>
          </cell>
        </row>
        <row r="18">
          <cell r="D18">
            <v>16050.15</v>
          </cell>
          <cell r="F18">
            <v>0</v>
          </cell>
        </row>
        <row r="19">
          <cell r="D19">
            <v>19622</v>
          </cell>
          <cell r="F19">
            <v>0</v>
          </cell>
        </row>
        <row r="20">
          <cell r="D20">
            <v>29637.410000000003</v>
          </cell>
          <cell r="F20">
            <v>0</v>
          </cell>
        </row>
        <row r="21">
          <cell r="D21">
            <v>34130.870000000003</v>
          </cell>
          <cell r="F21">
            <v>55118</v>
          </cell>
        </row>
        <row r="22">
          <cell r="D22">
            <v>0</v>
          </cell>
          <cell r="F22">
            <v>0</v>
          </cell>
        </row>
        <row r="23">
          <cell r="D23">
            <v>37640.060000000005</v>
          </cell>
          <cell r="F23">
            <v>26067</v>
          </cell>
        </row>
        <row r="24">
          <cell r="D24">
            <v>40371.979999999996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426842.4</v>
          </cell>
          <cell r="F26">
            <v>879.36</v>
          </cell>
        </row>
        <row r="27">
          <cell r="D27">
            <v>0</v>
          </cell>
          <cell r="F27">
            <v>14792</v>
          </cell>
        </row>
        <row r="28">
          <cell r="D28">
            <v>0</v>
          </cell>
          <cell r="F28">
            <v>0</v>
          </cell>
        </row>
        <row r="29">
          <cell r="D29">
            <v>265740.13</v>
          </cell>
          <cell r="F29">
            <v>-265740.13</v>
          </cell>
        </row>
        <row r="30">
          <cell r="D30">
            <v>0</v>
          </cell>
          <cell r="F30">
            <v>0</v>
          </cell>
        </row>
        <row r="31">
          <cell r="D31">
            <v>7091</v>
          </cell>
          <cell r="F31">
            <v>0</v>
          </cell>
        </row>
        <row r="32">
          <cell r="D32">
            <v>124914.76999999999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1604</v>
          </cell>
        </row>
        <row r="35">
          <cell r="D35">
            <v>1630.55</v>
          </cell>
          <cell r="F35">
            <v>-1630.55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18114.89</v>
          </cell>
          <cell r="F39">
            <v>5851</v>
          </cell>
        </row>
        <row r="40">
          <cell r="D40">
            <v>15249.08</v>
          </cell>
          <cell r="F40">
            <v>-15249.08</v>
          </cell>
        </row>
        <row r="41">
          <cell r="D41">
            <v>27411.699999999997</v>
          </cell>
          <cell r="F41">
            <v>0</v>
          </cell>
        </row>
        <row r="42">
          <cell r="D42">
            <v>75</v>
          </cell>
          <cell r="F42">
            <v>3185</v>
          </cell>
        </row>
        <row r="43">
          <cell r="D43">
            <v>0</v>
          </cell>
          <cell r="F43">
            <v>0</v>
          </cell>
        </row>
        <row r="44">
          <cell r="D44">
            <v>900</v>
          </cell>
          <cell r="F44">
            <v>0</v>
          </cell>
        </row>
        <row r="45">
          <cell r="D45">
            <v>3349.6700000000055</v>
          </cell>
          <cell r="F45">
            <v>6327</v>
          </cell>
        </row>
        <row r="57">
          <cell r="D57">
            <v>859209.96</v>
          </cell>
          <cell r="F57">
            <v>-859209.96</v>
          </cell>
        </row>
        <row r="58">
          <cell r="D58">
            <v>13460.759999999998</v>
          </cell>
          <cell r="F58">
            <v>135861.24</v>
          </cell>
        </row>
        <row r="59">
          <cell r="D59">
            <v>0</v>
          </cell>
          <cell r="F59">
            <v>228728.44</v>
          </cell>
        </row>
        <row r="60">
          <cell r="D60">
            <v>44546.03</v>
          </cell>
          <cell r="F60">
            <v>-5072.93</v>
          </cell>
        </row>
        <row r="61">
          <cell r="D61">
            <v>15865.75</v>
          </cell>
          <cell r="F61">
            <v>2169</v>
          </cell>
        </row>
        <row r="62">
          <cell r="D62">
            <v>8937.1200000000008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19938.39</v>
          </cell>
          <cell r="F67">
            <v>14416.24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4354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43266.3</v>
          </cell>
          <cell r="F75">
            <v>0</v>
          </cell>
        </row>
        <row r="76">
          <cell r="D76">
            <v>13263.75</v>
          </cell>
          <cell r="F76">
            <v>0</v>
          </cell>
        </row>
        <row r="77">
          <cell r="D77">
            <v>12364.34</v>
          </cell>
          <cell r="F77">
            <v>0</v>
          </cell>
        </row>
        <row r="78">
          <cell r="D78">
            <v>42758.61</v>
          </cell>
          <cell r="F78">
            <v>1399</v>
          </cell>
        </row>
        <row r="79">
          <cell r="D79">
            <v>31945.390000000003</v>
          </cell>
          <cell r="F79">
            <v>0</v>
          </cell>
        </row>
        <row r="80">
          <cell r="D80">
            <v>49196.340000000004</v>
          </cell>
          <cell r="F80">
            <v>0</v>
          </cell>
        </row>
        <row r="81">
          <cell r="D81">
            <v>6886.54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112370.00000000001</v>
          </cell>
          <cell r="F84">
            <v>911</v>
          </cell>
        </row>
        <row r="85">
          <cell r="D85">
            <v>0</v>
          </cell>
          <cell r="F85">
            <v>0</v>
          </cell>
        </row>
        <row r="89">
          <cell r="D89">
            <v>251749.41999999998</v>
          </cell>
          <cell r="F89">
            <v>0</v>
          </cell>
        </row>
        <row r="90">
          <cell r="D90">
            <v>61610.709999999992</v>
          </cell>
          <cell r="F90">
            <v>0</v>
          </cell>
        </row>
        <row r="91">
          <cell r="D91">
            <v>4952.16</v>
          </cell>
          <cell r="F91">
            <v>0</v>
          </cell>
        </row>
        <row r="92">
          <cell r="D92">
            <v>216027.15000000002</v>
          </cell>
          <cell r="F92">
            <v>0</v>
          </cell>
        </row>
        <row r="93">
          <cell r="D93">
            <v>11623.52</v>
          </cell>
          <cell r="F93">
            <v>0</v>
          </cell>
        </row>
        <row r="94">
          <cell r="D94">
            <v>5454.56</v>
          </cell>
          <cell r="F94">
            <v>0</v>
          </cell>
        </row>
        <row r="98">
          <cell r="D98">
            <v>30693.379999999997</v>
          </cell>
          <cell r="F98">
            <v>0</v>
          </cell>
        </row>
        <row r="99">
          <cell r="D99">
            <v>7690.6</v>
          </cell>
          <cell r="F99">
            <v>0</v>
          </cell>
        </row>
        <row r="100">
          <cell r="D100">
            <v>9820.0500000000011</v>
          </cell>
          <cell r="F100">
            <v>0</v>
          </cell>
        </row>
        <row r="101">
          <cell r="D101">
            <v>1743.23</v>
          </cell>
          <cell r="F101">
            <v>0</v>
          </cell>
        </row>
        <row r="102">
          <cell r="D102">
            <v>6403.9000000000005</v>
          </cell>
          <cell r="F102">
            <v>0</v>
          </cell>
        </row>
        <row r="103">
          <cell r="D103">
            <v>286.61</v>
          </cell>
          <cell r="F103">
            <v>0</v>
          </cell>
        </row>
        <row r="115">
          <cell r="D115">
            <v>100871.22</v>
          </cell>
          <cell r="F115">
            <v>0</v>
          </cell>
        </row>
        <row r="116">
          <cell r="D116">
            <v>31807.49</v>
          </cell>
          <cell r="F116">
            <v>0</v>
          </cell>
        </row>
        <row r="117">
          <cell r="D117">
            <v>20606.689999999999</v>
          </cell>
          <cell r="F117">
            <v>0</v>
          </cell>
        </row>
        <row r="118">
          <cell r="D118">
            <v>2130.3199999999997</v>
          </cell>
          <cell r="F118">
            <v>0</v>
          </cell>
        </row>
        <row r="119">
          <cell r="D119">
            <v>703.72</v>
          </cell>
          <cell r="F119">
            <v>0</v>
          </cell>
        </row>
        <row r="124">
          <cell r="D124">
            <v>155363.81</v>
          </cell>
          <cell r="F124">
            <v>0</v>
          </cell>
        </row>
        <row r="125">
          <cell r="D125">
            <v>120911.17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65075.39</v>
          </cell>
          <cell r="F128">
            <v>0</v>
          </cell>
        </row>
        <row r="130">
          <cell r="D130">
            <v>33540.140516830572</v>
          </cell>
          <cell r="F130">
            <v>0</v>
          </cell>
        </row>
        <row r="131">
          <cell r="D131">
            <v>26102.459973493111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20595.060000000001</v>
          </cell>
          <cell r="F134">
            <v>0</v>
          </cell>
        </row>
        <row r="136">
          <cell r="D136">
            <v>609641.97</v>
          </cell>
          <cell r="F136">
            <v>0</v>
          </cell>
        </row>
        <row r="137">
          <cell r="D137">
            <v>408475.86</v>
          </cell>
          <cell r="F137">
            <v>0</v>
          </cell>
        </row>
        <row r="138">
          <cell r="D138">
            <v>643760.64999999991</v>
          </cell>
          <cell r="F138">
            <v>0</v>
          </cell>
        </row>
        <row r="139">
          <cell r="D139">
            <v>108330.13999999998</v>
          </cell>
          <cell r="F139">
            <v>0</v>
          </cell>
        </row>
        <row r="141">
          <cell r="D141">
            <v>131610.29804017683</v>
          </cell>
          <cell r="F141">
            <v>0</v>
          </cell>
        </row>
        <row r="142">
          <cell r="D142">
            <v>88182.297680091724</v>
          </cell>
          <cell r="F142">
            <v>0</v>
          </cell>
        </row>
        <row r="143">
          <cell r="D143">
            <v>138975.88286619764</v>
          </cell>
          <cell r="F143">
            <v>0</v>
          </cell>
        </row>
        <row r="144">
          <cell r="D144">
            <v>23386.450923210039</v>
          </cell>
          <cell r="F144">
            <v>0</v>
          </cell>
        </row>
        <row r="146">
          <cell r="D146">
            <v>50903.15</v>
          </cell>
          <cell r="F146">
            <v>0</v>
          </cell>
        </row>
        <row r="147">
          <cell r="D147">
            <v>126529.91000000003</v>
          </cell>
          <cell r="F147">
            <v>0</v>
          </cell>
        </row>
        <row r="148">
          <cell r="D148">
            <v>43438.160000000033</v>
          </cell>
          <cell r="F148">
            <v>0</v>
          </cell>
        </row>
        <row r="149">
          <cell r="D149">
            <v>145586.49</v>
          </cell>
          <cell r="F149">
            <v>0</v>
          </cell>
        </row>
        <row r="150">
          <cell r="D150">
            <v>65822.01999999999</v>
          </cell>
          <cell r="F150">
            <v>52797</v>
          </cell>
        </row>
        <row r="151">
          <cell r="D151">
            <v>113198.38</v>
          </cell>
          <cell r="F151">
            <v>0</v>
          </cell>
        </row>
        <row r="152">
          <cell r="D152">
            <v>9810.6299999999992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334.66999999999996</v>
          </cell>
          <cell r="F160">
            <v>0</v>
          </cell>
        </row>
        <row r="161">
          <cell r="D161">
            <v>11739.880000000001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335860.54</v>
          </cell>
          <cell r="F177">
            <v>0</v>
          </cell>
        </row>
        <row r="178">
          <cell r="D178">
            <v>87405.62000000001</v>
          </cell>
          <cell r="F178">
            <v>0</v>
          </cell>
        </row>
        <row r="179">
          <cell r="D179">
            <v>91261.54</v>
          </cell>
          <cell r="F179">
            <v>0</v>
          </cell>
        </row>
        <row r="180">
          <cell r="D180">
            <v>34773.040000000001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117180.73000000001</v>
          </cell>
          <cell r="F183">
            <v>0</v>
          </cell>
        </row>
        <row r="184">
          <cell r="D184">
            <v>41290.420000000006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10701.04</v>
          </cell>
          <cell r="F188">
            <v>0</v>
          </cell>
        </row>
        <row r="189">
          <cell r="D189">
            <v>1991.2300000000002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49397.29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16250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1819.07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199920.45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91787.13</v>
          </cell>
          <cell r="F207">
            <v>0</v>
          </cell>
        </row>
        <row r="211">
          <cell r="D211">
            <v>152066.60999999999</v>
          </cell>
          <cell r="F211">
            <v>0</v>
          </cell>
        </row>
        <row r="212">
          <cell r="D212">
            <v>49305.9</v>
          </cell>
          <cell r="F212">
            <v>0</v>
          </cell>
        </row>
        <row r="213">
          <cell r="D213">
            <v>8907.08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42734.13</v>
          </cell>
          <cell r="F216">
            <v>0</v>
          </cell>
        </row>
        <row r="221">
          <cell r="D221">
            <v>8619995.7200000025</v>
          </cell>
        </row>
      </sheetData>
      <sheetData sheetId="8"/>
      <sheetData sheetId="9"/>
      <sheetData sheetId="10">
        <row r="9">
          <cell r="C9">
            <v>11268</v>
          </cell>
          <cell r="D9">
            <v>1312</v>
          </cell>
          <cell r="E9">
            <v>1942</v>
          </cell>
          <cell r="F9">
            <v>535</v>
          </cell>
          <cell r="G9">
            <v>6533</v>
          </cell>
          <cell r="H9">
            <v>2655</v>
          </cell>
          <cell r="I9">
            <v>1047</v>
          </cell>
          <cell r="J9">
            <v>42</v>
          </cell>
          <cell r="K9">
            <v>0</v>
          </cell>
        </row>
        <row r="22">
          <cell r="N22">
            <v>107</v>
          </cell>
        </row>
        <row r="24">
          <cell r="N24">
            <v>107</v>
          </cell>
        </row>
        <row r="28">
          <cell r="N28">
            <v>39055</v>
          </cell>
        </row>
        <row r="30">
          <cell r="N30">
            <v>0.64867494558955319</v>
          </cell>
        </row>
        <row r="32">
          <cell r="N32">
            <v>0.32210984509025731</v>
          </cell>
        </row>
        <row r="34">
          <cell r="N34">
            <v>0.49656587984526718</v>
          </cell>
        </row>
      </sheetData>
      <sheetData sheetId="1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upp-1012"/>
      <sheetName val="Supp-10-490"/>
      <sheetName val="Supp-30-490"/>
      <sheetName val="Supp-70-490"/>
      <sheetName val="Supp-90-490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2060829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1139136</v>
          </cell>
          <cell r="G21">
            <v>0</v>
          </cell>
        </row>
        <row r="27">
          <cell r="E27">
            <v>380192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736603</v>
          </cell>
          <cell r="G37">
            <v>0</v>
          </cell>
        </row>
        <row r="42">
          <cell r="E42">
            <v>155944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101121</v>
          </cell>
          <cell r="G52">
            <v>0</v>
          </cell>
        </row>
        <row r="67">
          <cell r="E67">
            <v>131497</v>
          </cell>
          <cell r="G67">
            <v>-13345</v>
          </cell>
        </row>
        <row r="85">
          <cell r="C85">
            <v>202.30769230769232</v>
          </cell>
          <cell r="E85">
            <v>202.30701754385964</v>
          </cell>
          <cell r="G85">
            <v>202.30752453653216</v>
          </cell>
          <cell r="I85">
            <v>202.30883639545056</v>
          </cell>
        </row>
      </sheetData>
      <sheetData sheetId="6"/>
      <sheetData sheetId="7">
        <row r="10">
          <cell r="D10">
            <v>0</v>
          </cell>
          <cell r="F10">
            <v>114962</v>
          </cell>
        </row>
        <row r="11">
          <cell r="D11">
            <v>0</v>
          </cell>
          <cell r="F11">
            <v>0</v>
          </cell>
        </row>
        <row r="12">
          <cell r="D12">
            <v>227280</v>
          </cell>
          <cell r="F12">
            <v>-114962</v>
          </cell>
        </row>
        <row r="13">
          <cell r="D13">
            <v>16500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238186</v>
          </cell>
          <cell r="F16">
            <v>-8145</v>
          </cell>
        </row>
        <row r="17">
          <cell r="D17">
            <v>803</v>
          </cell>
          <cell r="F17">
            <v>0</v>
          </cell>
        </row>
        <row r="18">
          <cell r="D18">
            <v>28353</v>
          </cell>
          <cell r="F18">
            <v>0</v>
          </cell>
        </row>
        <row r="19">
          <cell r="D19">
            <v>13277</v>
          </cell>
          <cell r="F19">
            <v>0</v>
          </cell>
        </row>
        <row r="20">
          <cell r="D20">
            <v>13075</v>
          </cell>
          <cell r="F20">
            <v>0</v>
          </cell>
        </row>
        <row r="21">
          <cell r="D21">
            <v>9805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6561</v>
          </cell>
          <cell r="F23">
            <v>0</v>
          </cell>
        </row>
        <row r="24">
          <cell r="D24">
            <v>10594</v>
          </cell>
          <cell r="F24">
            <v>0</v>
          </cell>
        </row>
        <row r="25">
          <cell r="D25">
            <v>4131</v>
          </cell>
          <cell r="F25">
            <v>0</v>
          </cell>
        </row>
        <row r="26">
          <cell r="D26">
            <v>299671</v>
          </cell>
          <cell r="F26">
            <v>0</v>
          </cell>
        </row>
        <row r="27">
          <cell r="D27">
            <v>18780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17639</v>
          </cell>
          <cell r="F29">
            <v>-17639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50160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231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488</v>
          </cell>
          <cell r="F38">
            <v>0</v>
          </cell>
        </row>
        <row r="39">
          <cell r="D39">
            <v>2192</v>
          </cell>
          <cell r="F39">
            <v>0</v>
          </cell>
        </row>
        <row r="40">
          <cell r="D40">
            <v>2593</v>
          </cell>
          <cell r="F40">
            <v>0</v>
          </cell>
        </row>
        <row r="41">
          <cell r="D41">
            <v>116412</v>
          </cell>
          <cell r="F41">
            <v>50</v>
          </cell>
        </row>
        <row r="42">
          <cell r="D42">
            <v>-43</v>
          </cell>
          <cell r="F42">
            <v>0</v>
          </cell>
        </row>
        <row r="43">
          <cell r="D43">
            <v>8850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5244</v>
          </cell>
          <cell r="F45">
            <v>-11111</v>
          </cell>
        </row>
        <row r="57">
          <cell r="D57">
            <v>374559</v>
          </cell>
          <cell r="F57">
            <v>0</v>
          </cell>
        </row>
        <row r="58">
          <cell r="D58">
            <v>18993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17321</v>
          </cell>
          <cell r="F60">
            <v>0</v>
          </cell>
        </row>
        <row r="61">
          <cell r="D61">
            <v>10972</v>
          </cell>
          <cell r="F61">
            <v>0</v>
          </cell>
        </row>
        <row r="62">
          <cell r="D62">
            <v>567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44713</v>
          </cell>
          <cell r="F66">
            <v>-696</v>
          </cell>
        </row>
        <row r="67">
          <cell r="D67">
            <v>38916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4700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40572</v>
          </cell>
          <cell r="F75">
            <v>0</v>
          </cell>
        </row>
        <row r="76">
          <cell r="D76">
            <v>14654</v>
          </cell>
          <cell r="F76">
            <v>0</v>
          </cell>
        </row>
        <row r="77">
          <cell r="D77">
            <v>13890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3682</v>
          </cell>
          <cell r="F79">
            <v>0</v>
          </cell>
        </row>
        <row r="80">
          <cell r="D80">
            <v>13930</v>
          </cell>
          <cell r="F80">
            <v>0</v>
          </cell>
        </row>
        <row r="81">
          <cell r="D81">
            <v>35823</v>
          </cell>
          <cell r="F81">
            <v>0</v>
          </cell>
        </row>
        <row r="82">
          <cell r="D82">
            <v>19245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83112</v>
          </cell>
          <cell r="F84">
            <v>0</v>
          </cell>
        </row>
        <row r="85">
          <cell r="D85">
            <v>150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359716</v>
          </cell>
          <cell r="F91">
            <v>0</v>
          </cell>
        </row>
        <row r="92">
          <cell r="D92">
            <v>4154</v>
          </cell>
          <cell r="F92">
            <v>-4834</v>
          </cell>
        </row>
        <row r="93">
          <cell r="D93">
            <v>2788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33502</v>
          </cell>
          <cell r="F101">
            <v>0</v>
          </cell>
        </row>
        <row r="102">
          <cell r="D102">
            <v>3689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9145</v>
          </cell>
          <cell r="F117">
            <v>0</v>
          </cell>
        </row>
        <row r="118">
          <cell r="D118">
            <v>77470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165786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40413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55256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14514</v>
          </cell>
          <cell r="F134">
            <v>0</v>
          </cell>
        </row>
        <row r="136">
          <cell r="D136">
            <v>474326</v>
          </cell>
          <cell r="F136">
            <v>0</v>
          </cell>
        </row>
        <row r="137">
          <cell r="D137">
            <v>145152</v>
          </cell>
          <cell r="F137">
            <v>0</v>
          </cell>
        </row>
        <row r="138">
          <cell r="D138">
            <v>506145</v>
          </cell>
          <cell r="F138">
            <v>15269</v>
          </cell>
        </row>
        <row r="139">
          <cell r="D139">
            <v>15269</v>
          </cell>
          <cell r="F139">
            <v>-15269</v>
          </cell>
        </row>
        <row r="141">
          <cell r="D141">
            <v>219356</v>
          </cell>
          <cell r="F141">
            <v>-128159</v>
          </cell>
        </row>
        <row r="142">
          <cell r="D142">
            <v>0</v>
          </cell>
          <cell r="F142">
            <v>27908</v>
          </cell>
        </row>
        <row r="143">
          <cell r="D143">
            <v>0</v>
          </cell>
          <cell r="F143">
            <v>100251</v>
          </cell>
        </row>
        <row r="144">
          <cell r="D144">
            <v>0</v>
          </cell>
          <cell r="F144">
            <v>0</v>
          </cell>
        </row>
        <row r="146">
          <cell r="D146">
            <v>32893</v>
          </cell>
          <cell r="F146">
            <v>0</v>
          </cell>
        </row>
        <row r="147">
          <cell r="D147">
            <v>2018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39924</v>
          </cell>
          <cell r="F149">
            <v>0</v>
          </cell>
        </row>
        <row r="150">
          <cell r="D150">
            <v>1895</v>
          </cell>
          <cell r="F150">
            <v>0</v>
          </cell>
        </row>
        <row r="151">
          <cell r="D151">
            <v>100372</v>
          </cell>
          <cell r="F151">
            <v>3874</v>
          </cell>
        </row>
        <row r="152">
          <cell r="D152">
            <v>5050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2075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10572</v>
          </cell>
          <cell r="F161">
            <v>470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170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40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435</v>
          </cell>
          <cell r="F193">
            <v>0</v>
          </cell>
        </row>
        <row r="194">
          <cell r="D194">
            <v>149328</v>
          </cell>
          <cell r="F194">
            <v>-5779</v>
          </cell>
        </row>
        <row r="195">
          <cell r="D195">
            <v>82899</v>
          </cell>
          <cell r="F195">
            <v>-3208</v>
          </cell>
        </row>
        <row r="196">
          <cell r="D196">
            <v>0</v>
          </cell>
          <cell r="F196">
            <v>0</v>
          </cell>
        </row>
        <row r="197">
          <cell r="D197">
            <v>208555</v>
          </cell>
          <cell r="F197">
            <v>-8071</v>
          </cell>
        </row>
        <row r="198">
          <cell r="D198">
            <v>29613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130275</v>
          </cell>
          <cell r="F205">
            <v>9824</v>
          </cell>
        </row>
        <row r="206">
          <cell r="D206">
            <v>2930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79427</v>
          </cell>
          <cell r="F211">
            <v>0</v>
          </cell>
        </row>
        <row r="212">
          <cell r="D212">
            <v>20900</v>
          </cell>
          <cell r="F212">
            <v>0</v>
          </cell>
        </row>
        <row r="213">
          <cell r="D213">
            <v>6087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2578</v>
          </cell>
          <cell r="F216">
            <v>0</v>
          </cell>
        </row>
        <row r="221">
          <cell r="D221">
            <v>4861298</v>
          </cell>
        </row>
      </sheetData>
      <sheetData sheetId="8"/>
      <sheetData sheetId="9"/>
      <sheetData sheetId="10">
        <row r="9">
          <cell r="C9">
            <v>11022</v>
          </cell>
          <cell r="D9">
            <v>0</v>
          </cell>
          <cell r="E9">
            <v>2055</v>
          </cell>
          <cell r="F9">
            <v>981</v>
          </cell>
          <cell r="G9">
            <v>0</v>
          </cell>
          <cell r="H9">
            <v>3641</v>
          </cell>
          <cell r="I9">
            <v>836</v>
          </cell>
          <cell r="J9">
            <v>0</v>
          </cell>
          <cell r="K9">
            <v>390</v>
          </cell>
        </row>
        <row r="22">
          <cell r="N22">
            <v>102</v>
          </cell>
        </row>
        <row r="24">
          <cell r="N24">
            <v>102</v>
          </cell>
        </row>
        <row r="28">
          <cell r="N28">
            <v>37230</v>
          </cell>
        </row>
        <row r="30">
          <cell r="N30">
            <v>0.5083266183185603</v>
          </cell>
        </row>
        <row r="32">
          <cell r="N32">
            <v>0.29605157131345688</v>
          </cell>
        </row>
        <row r="34">
          <cell r="N34">
            <v>0.58240422721268159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10-490"/>
      <sheetName val="70-490"/>
      <sheetName val="90-490"/>
      <sheetName val="1012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369300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1208495</v>
          </cell>
          <cell r="G21">
            <v>0</v>
          </cell>
        </row>
        <row r="27">
          <cell r="E27">
            <v>363236</v>
          </cell>
          <cell r="G27">
            <v>0</v>
          </cell>
        </row>
        <row r="32">
          <cell r="E32">
            <v>7184676</v>
          </cell>
          <cell r="G32">
            <v>-2546978</v>
          </cell>
        </row>
        <row r="37">
          <cell r="E37">
            <v>2048210</v>
          </cell>
          <cell r="G37">
            <v>2546978</v>
          </cell>
        </row>
        <row r="42">
          <cell r="E42">
            <v>79934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-1034</v>
          </cell>
          <cell r="G52">
            <v>0</v>
          </cell>
        </row>
        <row r="67">
          <cell r="E67">
            <v>27610</v>
          </cell>
          <cell r="G67">
            <v>-11003</v>
          </cell>
        </row>
        <row r="85">
          <cell r="C85">
            <v>184.12415739144066</v>
          </cell>
          <cell r="E85">
            <v>184.12419329450654</v>
          </cell>
          <cell r="G85">
            <v>184.12421256662898</v>
          </cell>
          <cell r="I85">
            <v>184.12429565793835</v>
          </cell>
        </row>
      </sheetData>
      <sheetData sheetId="6"/>
      <sheetData sheetId="7">
        <row r="10">
          <cell r="D10">
            <v>0</v>
          </cell>
          <cell r="F10">
            <v>144800</v>
          </cell>
        </row>
        <row r="11">
          <cell r="D11">
            <v>0</v>
          </cell>
          <cell r="F11">
            <v>0</v>
          </cell>
        </row>
        <row r="12">
          <cell r="D12">
            <v>387344</v>
          </cell>
          <cell r="F12">
            <v>-144800</v>
          </cell>
        </row>
        <row r="13">
          <cell r="D13">
            <v>99763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676261</v>
          </cell>
        </row>
        <row r="16">
          <cell r="D16">
            <v>676261</v>
          </cell>
          <cell r="F16">
            <v>-676261</v>
          </cell>
        </row>
        <row r="17">
          <cell r="D17">
            <v>7275</v>
          </cell>
          <cell r="F17">
            <v>-7275</v>
          </cell>
        </row>
        <row r="18">
          <cell r="D18">
            <v>79370</v>
          </cell>
          <cell r="F18">
            <v>0</v>
          </cell>
        </row>
        <row r="19">
          <cell r="D19">
            <v>19351</v>
          </cell>
          <cell r="F19">
            <v>0</v>
          </cell>
        </row>
        <row r="20">
          <cell r="D20">
            <v>38253</v>
          </cell>
          <cell r="F20">
            <v>0</v>
          </cell>
        </row>
        <row r="21">
          <cell r="D21">
            <v>6796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37094</v>
          </cell>
          <cell r="F23">
            <v>0</v>
          </cell>
        </row>
        <row r="24">
          <cell r="D24">
            <v>40109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0</v>
          </cell>
          <cell r="F26">
            <v>0</v>
          </cell>
        </row>
        <row r="27">
          <cell r="D27">
            <v>426</v>
          </cell>
          <cell r="F27">
            <v>-13</v>
          </cell>
        </row>
        <row r="28">
          <cell r="D28">
            <v>0</v>
          </cell>
          <cell r="F28">
            <v>0</v>
          </cell>
        </row>
        <row r="29">
          <cell r="D29">
            <v>35160</v>
          </cell>
          <cell r="F29">
            <v>-35160</v>
          </cell>
        </row>
        <row r="30">
          <cell r="D30">
            <v>2372</v>
          </cell>
          <cell r="F30">
            <v>-2372</v>
          </cell>
        </row>
        <row r="31">
          <cell r="D31">
            <v>0</v>
          </cell>
          <cell r="F31">
            <v>0</v>
          </cell>
        </row>
        <row r="32">
          <cell r="D32">
            <v>95414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5647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53408</v>
          </cell>
          <cell r="F36">
            <v>0</v>
          </cell>
        </row>
        <row r="37">
          <cell r="D37">
            <v>11486</v>
          </cell>
          <cell r="F37">
            <v>0</v>
          </cell>
        </row>
        <row r="38">
          <cell r="D38">
            <v>19556</v>
          </cell>
          <cell r="F38">
            <v>-19556</v>
          </cell>
        </row>
        <row r="39">
          <cell r="D39">
            <v>11632</v>
          </cell>
          <cell r="F39">
            <v>0</v>
          </cell>
        </row>
        <row r="40">
          <cell r="D40">
            <v>25644</v>
          </cell>
          <cell r="F40">
            <v>-25644</v>
          </cell>
        </row>
        <row r="41">
          <cell r="D41">
            <v>61504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20183</v>
          </cell>
          <cell r="F43">
            <v>-20183</v>
          </cell>
        </row>
        <row r="44">
          <cell r="D44">
            <v>0</v>
          </cell>
          <cell r="F44">
            <v>0</v>
          </cell>
        </row>
        <row r="45">
          <cell r="D45">
            <v>439558</v>
          </cell>
          <cell r="F45">
            <v>-422840</v>
          </cell>
        </row>
        <row r="57">
          <cell r="D57">
            <v>0</v>
          </cell>
          <cell r="F57">
            <v>0</v>
          </cell>
        </row>
        <row r="58">
          <cell r="D58">
            <v>6332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872</v>
          </cell>
          <cell r="F60">
            <v>0</v>
          </cell>
        </row>
        <row r="61">
          <cell r="D61">
            <v>20477</v>
          </cell>
          <cell r="F61">
            <v>0</v>
          </cell>
        </row>
        <row r="62">
          <cell r="D62">
            <v>18780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8736</v>
          </cell>
          <cell r="F65">
            <v>0</v>
          </cell>
        </row>
        <row r="66">
          <cell r="D66">
            <v>83932</v>
          </cell>
          <cell r="F66">
            <v>0</v>
          </cell>
        </row>
        <row r="67">
          <cell r="D67">
            <v>32518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-7009</v>
          </cell>
          <cell r="F69">
            <v>0</v>
          </cell>
        </row>
        <row r="70">
          <cell r="D70">
            <v>-1160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111980</v>
          </cell>
          <cell r="F75">
            <v>0</v>
          </cell>
        </row>
        <row r="76">
          <cell r="D76">
            <v>33995</v>
          </cell>
          <cell r="F76">
            <v>0</v>
          </cell>
        </row>
        <row r="77">
          <cell r="D77">
            <v>26004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11652</v>
          </cell>
          <cell r="F79">
            <v>0</v>
          </cell>
        </row>
        <row r="80">
          <cell r="D80">
            <v>11690</v>
          </cell>
          <cell r="F80">
            <v>0</v>
          </cell>
        </row>
        <row r="81">
          <cell r="D81">
            <v>71746</v>
          </cell>
          <cell r="F81">
            <v>0</v>
          </cell>
        </row>
        <row r="82">
          <cell r="D82">
            <v>33926</v>
          </cell>
          <cell r="F82">
            <v>0</v>
          </cell>
        </row>
        <row r="83">
          <cell r="D83">
            <v>3920</v>
          </cell>
          <cell r="F83">
            <v>0</v>
          </cell>
        </row>
        <row r="84">
          <cell r="D84">
            <v>193501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492818</v>
          </cell>
          <cell r="F89">
            <v>0</v>
          </cell>
        </row>
        <row r="90">
          <cell r="D90">
            <v>84406</v>
          </cell>
          <cell r="F90">
            <v>0</v>
          </cell>
        </row>
        <row r="91">
          <cell r="D91">
            <v>17806</v>
          </cell>
          <cell r="F91">
            <v>0</v>
          </cell>
        </row>
        <row r="92">
          <cell r="D92">
            <v>356961</v>
          </cell>
          <cell r="F92">
            <v>-9090</v>
          </cell>
        </row>
        <row r="93">
          <cell r="D93">
            <v>36748</v>
          </cell>
          <cell r="F93">
            <v>0</v>
          </cell>
        </row>
        <row r="94">
          <cell r="D94">
            <v>496</v>
          </cell>
          <cell r="F94">
            <v>0</v>
          </cell>
        </row>
        <row r="98">
          <cell r="D98">
            <v>85446</v>
          </cell>
          <cell r="F98">
            <v>0</v>
          </cell>
        </row>
        <row r="99">
          <cell r="D99">
            <v>19369</v>
          </cell>
          <cell r="F99">
            <v>0</v>
          </cell>
        </row>
        <row r="100">
          <cell r="D100">
            <v>335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13121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289951</v>
          </cell>
          <cell r="F115">
            <v>0</v>
          </cell>
        </row>
        <row r="116">
          <cell r="D116">
            <v>72085</v>
          </cell>
          <cell r="F116">
            <v>0</v>
          </cell>
        </row>
        <row r="117">
          <cell r="D117">
            <v>97101</v>
          </cell>
          <cell r="F117">
            <v>0</v>
          </cell>
        </row>
        <row r="118">
          <cell r="D118">
            <v>318</v>
          </cell>
          <cell r="F118">
            <v>0</v>
          </cell>
        </row>
        <row r="119">
          <cell r="D119">
            <v>117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640794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92989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191433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29659</v>
          </cell>
          <cell r="F134">
            <v>0</v>
          </cell>
        </row>
        <row r="136">
          <cell r="D136">
            <v>1201696</v>
          </cell>
          <cell r="F136">
            <v>0</v>
          </cell>
        </row>
        <row r="137">
          <cell r="D137">
            <v>402245</v>
          </cell>
          <cell r="F137">
            <v>0</v>
          </cell>
        </row>
        <row r="138">
          <cell r="D138">
            <v>1708473</v>
          </cell>
          <cell r="F138">
            <v>48326</v>
          </cell>
        </row>
        <row r="139">
          <cell r="D139">
            <v>48326</v>
          </cell>
          <cell r="F139">
            <v>-48326</v>
          </cell>
        </row>
        <row r="141">
          <cell r="D141">
            <v>599952</v>
          </cell>
          <cell r="F141">
            <v>-385627</v>
          </cell>
        </row>
        <row r="142">
          <cell r="D142">
            <v>0</v>
          </cell>
          <cell r="F142">
            <v>71706</v>
          </cell>
        </row>
        <row r="143">
          <cell r="D143">
            <v>0</v>
          </cell>
          <cell r="F143">
            <v>313921</v>
          </cell>
        </row>
        <row r="144">
          <cell r="D144">
            <v>0</v>
          </cell>
          <cell r="F144">
            <v>0</v>
          </cell>
        </row>
        <row r="146">
          <cell r="D146">
            <v>55869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1836</v>
          </cell>
          <cell r="F150">
            <v>0</v>
          </cell>
        </row>
        <row r="151">
          <cell r="D151">
            <v>241924</v>
          </cell>
          <cell r="F151">
            <v>0</v>
          </cell>
        </row>
        <row r="152">
          <cell r="D152">
            <v>26766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34517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32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35749</v>
          </cell>
          <cell r="F193">
            <v>0</v>
          </cell>
        </row>
        <row r="194">
          <cell r="D194">
            <v>313877</v>
          </cell>
          <cell r="F194">
            <v>0</v>
          </cell>
        </row>
        <row r="195">
          <cell r="D195">
            <v>52174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191030</v>
          </cell>
          <cell r="F197">
            <v>0</v>
          </cell>
        </row>
        <row r="198">
          <cell r="D198">
            <v>78691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390519</v>
          </cell>
          <cell r="F205">
            <v>0</v>
          </cell>
        </row>
        <row r="206">
          <cell r="D206">
            <v>10280</v>
          </cell>
          <cell r="F206">
            <v>0</v>
          </cell>
        </row>
        <row r="207">
          <cell r="D207">
            <v>1474</v>
          </cell>
          <cell r="F207">
            <v>0</v>
          </cell>
        </row>
        <row r="211">
          <cell r="D211">
            <v>286523</v>
          </cell>
          <cell r="F211">
            <v>0</v>
          </cell>
        </row>
        <row r="212">
          <cell r="D212">
            <v>72822</v>
          </cell>
          <cell r="F212">
            <v>0</v>
          </cell>
        </row>
        <row r="213">
          <cell r="D213">
            <v>13618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24655</v>
          </cell>
          <cell r="F216">
            <v>0</v>
          </cell>
        </row>
        <row r="221">
          <cell r="D221">
            <v>11150499</v>
          </cell>
        </row>
      </sheetData>
      <sheetData sheetId="8"/>
      <sheetData sheetId="9"/>
      <sheetData sheetId="10">
        <row r="9">
          <cell r="C9">
            <v>1978</v>
          </cell>
          <cell r="D9">
            <v>0</v>
          </cell>
          <cell r="E9">
            <v>2020</v>
          </cell>
          <cell r="F9">
            <v>824</v>
          </cell>
          <cell r="G9">
            <v>11751</v>
          </cell>
          <cell r="H9">
            <v>24957</v>
          </cell>
          <cell r="I9">
            <v>386</v>
          </cell>
          <cell r="J9">
            <v>0</v>
          </cell>
          <cell r="K9">
            <v>29</v>
          </cell>
        </row>
        <row r="22">
          <cell r="N22">
            <v>120</v>
          </cell>
        </row>
        <row r="24">
          <cell r="N24">
            <v>12</v>
          </cell>
        </row>
        <row r="28">
          <cell r="N28">
            <v>43800</v>
          </cell>
        </row>
        <row r="30">
          <cell r="N30">
            <v>0.95764840182648403</v>
          </cell>
        </row>
        <row r="32">
          <cell r="N32">
            <v>4.5159817351598172E-2</v>
          </cell>
        </row>
        <row r="34">
          <cell r="N34">
            <v>4.7156991298128496E-2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3153103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1152722</v>
          </cell>
          <cell r="G21">
            <v>0</v>
          </cell>
        </row>
        <row r="27">
          <cell r="E27">
            <v>1136131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334838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233735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2083</v>
          </cell>
          <cell r="G67">
            <v>0</v>
          </cell>
        </row>
        <row r="85">
          <cell r="C85">
            <v>205.81027667984191</v>
          </cell>
          <cell r="E85">
            <v>190.74178403755869</v>
          </cell>
          <cell r="G85">
            <v>201.21346153846153</v>
          </cell>
          <cell r="I85">
            <v>173.93357271095152</v>
          </cell>
        </row>
      </sheetData>
      <sheetData sheetId="7"/>
      <sheetData sheetId="8">
        <row r="10">
          <cell r="D10">
            <v>125253</v>
          </cell>
          <cell r="F10">
            <v>7007</v>
          </cell>
        </row>
        <row r="11">
          <cell r="D11">
            <v>0</v>
          </cell>
          <cell r="F11">
            <v>0</v>
          </cell>
        </row>
        <row r="12">
          <cell r="D12">
            <v>188647</v>
          </cell>
          <cell r="F12">
            <v>10551</v>
          </cell>
        </row>
        <row r="13">
          <cell r="D13">
            <v>509103</v>
          </cell>
          <cell r="F13">
            <v>-467156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299401</v>
          </cell>
          <cell r="F16">
            <v>152758</v>
          </cell>
        </row>
        <row r="17">
          <cell r="D17">
            <v>0</v>
          </cell>
          <cell r="F17">
            <v>0</v>
          </cell>
        </row>
        <row r="18">
          <cell r="D18">
            <v>13720</v>
          </cell>
          <cell r="F18">
            <v>0</v>
          </cell>
        </row>
        <row r="19">
          <cell r="D19">
            <v>22659</v>
          </cell>
          <cell r="F19">
            <v>-1375</v>
          </cell>
        </row>
        <row r="20">
          <cell r="D20">
            <v>22774</v>
          </cell>
          <cell r="F20">
            <v>0</v>
          </cell>
        </row>
        <row r="21">
          <cell r="D21">
            <v>18546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22489</v>
          </cell>
          <cell r="F23">
            <v>0</v>
          </cell>
        </row>
        <row r="24">
          <cell r="D24">
            <v>51789</v>
          </cell>
          <cell r="F24">
            <v>-13680</v>
          </cell>
        </row>
        <row r="25">
          <cell r="D25">
            <v>0</v>
          </cell>
          <cell r="F25">
            <v>0</v>
          </cell>
        </row>
        <row r="26">
          <cell r="D26">
            <v>288015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336096</v>
          </cell>
          <cell r="F29">
            <v>-336096</v>
          </cell>
        </row>
        <row r="30">
          <cell r="D30">
            <v>0</v>
          </cell>
          <cell r="F30">
            <v>0</v>
          </cell>
        </row>
        <row r="31">
          <cell r="D31">
            <v>62018</v>
          </cell>
          <cell r="F31">
            <v>0</v>
          </cell>
        </row>
        <row r="32">
          <cell r="D32">
            <v>109440</v>
          </cell>
          <cell r="F32">
            <v>-37406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35</v>
          </cell>
          <cell r="F35">
            <v>-35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100</v>
          </cell>
          <cell r="F38">
            <v>-100</v>
          </cell>
        </row>
        <row r="39">
          <cell r="D39">
            <v>7370</v>
          </cell>
          <cell r="F39">
            <v>0</v>
          </cell>
        </row>
        <row r="40">
          <cell r="D40">
            <v>13669</v>
          </cell>
          <cell r="F40">
            <v>0</v>
          </cell>
        </row>
        <row r="41">
          <cell r="D41">
            <v>42910</v>
          </cell>
          <cell r="F41">
            <v>0</v>
          </cell>
        </row>
        <row r="42">
          <cell r="D42">
            <v>11105</v>
          </cell>
          <cell r="F42">
            <v>0</v>
          </cell>
        </row>
        <row r="43">
          <cell r="D43">
            <v>8853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26386</v>
          </cell>
          <cell r="F45">
            <v>-1968</v>
          </cell>
        </row>
        <row r="57">
          <cell r="D57">
            <v>721199</v>
          </cell>
          <cell r="F57">
            <v>0</v>
          </cell>
        </row>
        <row r="58">
          <cell r="D58">
            <v>15991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17223</v>
          </cell>
          <cell r="F60">
            <v>0</v>
          </cell>
        </row>
        <row r="61">
          <cell r="D61">
            <v>9248</v>
          </cell>
          <cell r="F61">
            <v>0</v>
          </cell>
        </row>
        <row r="62">
          <cell r="D62">
            <v>8919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5951</v>
          </cell>
          <cell r="F65">
            <v>0</v>
          </cell>
        </row>
        <row r="66">
          <cell r="D66">
            <v>8160</v>
          </cell>
          <cell r="F66">
            <v>0</v>
          </cell>
        </row>
        <row r="67">
          <cell r="D67">
            <v>66603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6968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46214</v>
          </cell>
          <cell r="F75">
            <v>2585</v>
          </cell>
        </row>
        <row r="76">
          <cell r="D76">
            <v>0</v>
          </cell>
          <cell r="F76">
            <v>5838</v>
          </cell>
        </row>
        <row r="77">
          <cell r="D77">
            <v>16103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10660</v>
          </cell>
          <cell r="F79">
            <v>0</v>
          </cell>
        </row>
        <row r="80">
          <cell r="D80">
            <v>24393</v>
          </cell>
          <cell r="F80">
            <v>0</v>
          </cell>
        </row>
        <row r="81">
          <cell r="D81">
            <v>13809</v>
          </cell>
          <cell r="F81">
            <v>0</v>
          </cell>
        </row>
        <row r="82">
          <cell r="D82">
            <v>5001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72347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148595</v>
          </cell>
          <cell r="F89">
            <v>8313</v>
          </cell>
        </row>
        <row r="90">
          <cell r="D90">
            <v>0</v>
          </cell>
          <cell r="F90">
            <v>18772</v>
          </cell>
        </row>
        <row r="91">
          <cell r="D91">
            <v>18409</v>
          </cell>
          <cell r="F91">
            <v>0</v>
          </cell>
        </row>
        <row r="92">
          <cell r="D92">
            <v>127539</v>
          </cell>
          <cell r="F92">
            <v>0</v>
          </cell>
        </row>
        <row r="93">
          <cell r="D93">
            <v>13500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3468</v>
          </cell>
          <cell r="F100">
            <v>0</v>
          </cell>
        </row>
        <row r="101">
          <cell r="D101">
            <v>710</v>
          </cell>
          <cell r="F101">
            <v>0</v>
          </cell>
        </row>
        <row r="102">
          <cell r="D102">
            <v>7298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75511</v>
          </cell>
          <cell r="F115">
            <v>4224</v>
          </cell>
        </row>
        <row r="116">
          <cell r="D116">
            <v>0</v>
          </cell>
          <cell r="F116">
            <v>9539</v>
          </cell>
        </row>
        <row r="117">
          <cell r="D117">
            <v>15662</v>
          </cell>
          <cell r="F117">
            <v>0</v>
          </cell>
        </row>
        <row r="118">
          <cell r="D118">
            <v>6584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158080</v>
          </cell>
          <cell r="F125">
            <v>8844</v>
          </cell>
        </row>
        <row r="126">
          <cell r="D126">
            <v>39012</v>
          </cell>
          <cell r="F126">
            <v>2183</v>
          </cell>
        </row>
        <row r="127">
          <cell r="D127">
            <v>0</v>
          </cell>
          <cell r="F127">
            <v>0</v>
          </cell>
        </row>
        <row r="128">
          <cell r="D128">
            <v>30481</v>
          </cell>
          <cell r="F128">
            <v>1705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19970</v>
          </cell>
        </row>
        <row r="132">
          <cell r="D132">
            <v>0</v>
          </cell>
          <cell r="F132">
            <v>4928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3851</v>
          </cell>
        </row>
        <row r="136">
          <cell r="D136">
            <v>256218</v>
          </cell>
          <cell r="F136">
            <v>14334</v>
          </cell>
        </row>
        <row r="137">
          <cell r="D137">
            <v>332983</v>
          </cell>
          <cell r="F137">
            <v>18629</v>
          </cell>
        </row>
        <row r="138">
          <cell r="D138">
            <v>528972</v>
          </cell>
          <cell r="F138">
            <v>29594</v>
          </cell>
        </row>
        <row r="139">
          <cell r="D139">
            <v>112416</v>
          </cell>
          <cell r="F139">
            <v>6289</v>
          </cell>
        </row>
        <row r="141">
          <cell r="D141">
            <v>0</v>
          </cell>
          <cell r="F141">
            <v>32367</v>
          </cell>
        </row>
        <row r="142">
          <cell r="D142">
            <v>0</v>
          </cell>
          <cell r="F142">
            <v>42066</v>
          </cell>
        </row>
        <row r="143">
          <cell r="D143">
            <v>0</v>
          </cell>
          <cell r="F143">
            <v>66824</v>
          </cell>
        </row>
        <row r="144">
          <cell r="D144">
            <v>0</v>
          </cell>
          <cell r="F144">
            <v>14202</v>
          </cell>
        </row>
        <row r="146">
          <cell r="D146">
            <v>23163</v>
          </cell>
          <cell r="F146">
            <v>0</v>
          </cell>
        </row>
        <row r="147">
          <cell r="D147">
            <v>2448</v>
          </cell>
          <cell r="F147">
            <v>0</v>
          </cell>
        </row>
        <row r="148">
          <cell r="D148">
            <v>484</v>
          </cell>
          <cell r="F148">
            <v>0</v>
          </cell>
        </row>
        <row r="149">
          <cell r="D149">
            <v>14253</v>
          </cell>
          <cell r="F149">
            <v>0</v>
          </cell>
        </row>
        <row r="150">
          <cell r="D150">
            <v>15300</v>
          </cell>
          <cell r="F150">
            <v>0</v>
          </cell>
        </row>
        <row r="151">
          <cell r="D151">
            <v>93111</v>
          </cell>
          <cell r="F151">
            <v>0</v>
          </cell>
        </row>
        <row r="152">
          <cell r="D152">
            <v>3253</v>
          </cell>
          <cell r="F152">
            <v>0</v>
          </cell>
        </row>
        <row r="153">
          <cell r="D153">
            <v>56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9385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240142</v>
          </cell>
          <cell r="F177">
            <v>13435</v>
          </cell>
        </row>
        <row r="178">
          <cell r="D178">
            <v>0</v>
          </cell>
          <cell r="F178">
            <v>30337</v>
          </cell>
        </row>
        <row r="179">
          <cell r="D179">
            <v>35520</v>
          </cell>
          <cell r="F179">
            <v>1987</v>
          </cell>
        </row>
        <row r="180">
          <cell r="D180">
            <v>0</v>
          </cell>
          <cell r="F180">
            <v>4487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147425</v>
          </cell>
          <cell r="F183">
            <v>8248</v>
          </cell>
        </row>
        <row r="184">
          <cell r="D184">
            <v>0</v>
          </cell>
          <cell r="F184">
            <v>18624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830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3891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32573</v>
          </cell>
          <cell r="F198">
            <v>-2717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181350</v>
          </cell>
          <cell r="F205">
            <v>0</v>
          </cell>
        </row>
        <row r="206">
          <cell r="D206">
            <v>2232</v>
          </cell>
          <cell r="F206">
            <v>0</v>
          </cell>
        </row>
        <row r="207">
          <cell r="D207">
            <v>13723</v>
          </cell>
          <cell r="F207">
            <v>-599</v>
          </cell>
        </row>
        <row r="211">
          <cell r="D211">
            <v>76092</v>
          </cell>
          <cell r="F211">
            <v>4257</v>
          </cell>
        </row>
        <row r="212">
          <cell r="D212">
            <v>0</v>
          </cell>
          <cell r="F212">
            <v>9613</v>
          </cell>
        </row>
        <row r="213">
          <cell r="D213">
            <v>2598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4617</v>
          </cell>
          <cell r="F216">
            <v>0</v>
          </cell>
        </row>
        <row r="221">
          <cell r="D221">
            <v>6007051</v>
          </cell>
        </row>
      </sheetData>
      <sheetData sheetId="9"/>
      <sheetData sheetId="10"/>
      <sheetData sheetId="11"/>
      <sheetData sheetId="12">
        <row r="9">
          <cell r="C9">
            <v>12413</v>
          </cell>
          <cell r="D9">
            <v>0</v>
          </cell>
          <cell r="E9">
            <v>1949</v>
          </cell>
          <cell r="F9">
            <v>2323</v>
          </cell>
          <cell r="G9">
            <v>0</v>
          </cell>
          <cell r="H9">
            <v>1756</v>
          </cell>
          <cell r="I9">
            <v>0</v>
          </cell>
          <cell r="J9">
            <v>1199</v>
          </cell>
          <cell r="K9">
            <v>0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0.44840182648401827</v>
          </cell>
        </row>
        <row r="32">
          <cell r="N32">
            <v>0.28340182648401824</v>
          </cell>
        </row>
        <row r="34">
          <cell r="N34">
            <v>0.63202647657841138</v>
          </cell>
        </row>
      </sheetData>
      <sheetData sheetId="1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3555849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497575</v>
          </cell>
          <cell r="G21">
            <v>0</v>
          </cell>
        </row>
        <row r="27">
          <cell r="E27">
            <v>501511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310257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233719</v>
          </cell>
          <cell r="G47">
            <v>0</v>
          </cell>
        </row>
        <row r="52">
          <cell r="E52">
            <v>176</v>
          </cell>
          <cell r="G52">
            <v>0</v>
          </cell>
        </row>
        <row r="67">
          <cell r="E67">
            <v>12800</v>
          </cell>
          <cell r="G67">
            <v>0</v>
          </cell>
        </row>
        <row r="85">
          <cell r="C85">
            <v>199.75922953451044</v>
          </cell>
          <cell r="E85">
            <v>220.9655172413793</v>
          </cell>
          <cell r="G85">
            <v>249.34628975265016</v>
          </cell>
          <cell r="I85">
            <v>339.34513274336285</v>
          </cell>
        </row>
      </sheetData>
      <sheetData sheetId="7"/>
      <sheetData sheetId="8">
        <row r="10">
          <cell r="D10">
            <v>124049</v>
          </cell>
          <cell r="F10">
            <v>6834</v>
          </cell>
        </row>
        <row r="11">
          <cell r="D11">
            <v>0</v>
          </cell>
          <cell r="F11">
            <v>0</v>
          </cell>
        </row>
        <row r="12">
          <cell r="D12">
            <v>217488</v>
          </cell>
          <cell r="F12">
            <v>11979</v>
          </cell>
        </row>
        <row r="13">
          <cell r="D13">
            <v>446494</v>
          </cell>
          <cell r="F13">
            <v>-403599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253853</v>
          </cell>
          <cell r="F16">
            <v>117972</v>
          </cell>
        </row>
        <row r="17">
          <cell r="D17">
            <v>0</v>
          </cell>
          <cell r="F17">
            <v>0</v>
          </cell>
        </row>
        <row r="18">
          <cell r="D18">
            <v>10258</v>
          </cell>
          <cell r="F18">
            <v>0</v>
          </cell>
        </row>
        <row r="19">
          <cell r="D19">
            <v>16736</v>
          </cell>
          <cell r="F19">
            <v>-780</v>
          </cell>
        </row>
        <row r="20">
          <cell r="D20">
            <v>15034</v>
          </cell>
          <cell r="F20">
            <v>0</v>
          </cell>
        </row>
        <row r="21">
          <cell r="D21">
            <v>19610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5166</v>
          </cell>
          <cell r="F23">
            <v>0</v>
          </cell>
        </row>
        <row r="24">
          <cell r="D24">
            <v>40572</v>
          </cell>
          <cell r="F24">
            <v>-10200</v>
          </cell>
        </row>
        <row r="25">
          <cell r="D25">
            <v>0</v>
          </cell>
          <cell r="F25">
            <v>0</v>
          </cell>
        </row>
        <row r="26">
          <cell r="D26">
            <v>338429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115207</v>
          </cell>
          <cell r="F29">
            <v>-115207</v>
          </cell>
        </row>
        <row r="30">
          <cell r="D30">
            <v>0</v>
          </cell>
          <cell r="F30">
            <v>0</v>
          </cell>
        </row>
        <row r="31">
          <cell r="D31">
            <v>53595</v>
          </cell>
          <cell r="F31">
            <v>0</v>
          </cell>
        </row>
        <row r="32">
          <cell r="D32">
            <v>86105</v>
          </cell>
          <cell r="F32">
            <v>-29430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24</v>
          </cell>
          <cell r="F35">
            <v>-24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10172</v>
          </cell>
          <cell r="F39">
            <v>0</v>
          </cell>
        </row>
        <row r="40">
          <cell r="D40">
            <v>8234</v>
          </cell>
          <cell r="F40">
            <v>0</v>
          </cell>
        </row>
        <row r="41">
          <cell r="D41">
            <v>18357</v>
          </cell>
          <cell r="F41">
            <v>0</v>
          </cell>
        </row>
        <row r="42">
          <cell r="D42">
            <v>5129</v>
          </cell>
          <cell r="F42">
            <v>0</v>
          </cell>
        </row>
        <row r="43">
          <cell r="D43">
            <v>6722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9642</v>
          </cell>
          <cell r="F45">
            <v>-10830</v>
          </cell>
        </row>
        <row r="57">
          <cell r="D57">
            <v>278788</v>
          </cell>
          <cell r="F57">
            <v>0</v>
          </cell>
        </row>
        <row r="58">
          <cell r="D58">
            <v>943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22413</v>
          </cell>
          <cell r="F60">
            <v>0</v>
          </cell>
        </row>
        <row r="61">
          <cell r="D61">
            <v>5790</v>
          </cell>
          <cell r="F61">
            <v>0</v>
          </cell>
        </row>
        <row r="62">
          <cell r="D62">
            <v>10084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7895</v>
          </cell>
          <cell r="F65">
            <v>0</v>
          </cell>
        </row>
        <row r="66">
          <cell r="D66">
            <v>4577</v>
          </cell>
          <cell r="F66">
            <v>0</v>
          </cell>
        </row>
        <row r="67">
          <cell r="D67">
            <v>49359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6585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55600</v>
          </cell>
          <cell r="F75">
            <v>3063</v>
          </cell>
        </row>
        <row r="76">
          <cell r="D76">
            <v>0</v>
          </cell>
          <cell r="F76">
            <v>6982</v>
          </cell>
        </row>
        <row r="77">
          <cell r="D77">
            <v>11581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6288</v>
          </cell>
          <cell r="F79">
            <v>0</v>
          </cell>
        </row>
        <row r="80">
          <cell r="D80">
            <v>17274</v>
          </cell>
          <cell r="F80">
            <v>0</v>
          </cell>
        </row>
        <row r="81">
          <cell r="D81">
            <v>4068</v>
          </cell>
          <cell r="F81">
            <v>0</v>
          </cell>
        </row>
        <row r="82">
          <cell r="D82">
            <v>1260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54915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140822</v>
          </cell>
          <cell r="F89">
            <v>7758</v>
          </cell>
        </row>
        <row r="90">
          <cell r="D90">
            <v>0</v>
          </cell>
          <cell r="F90">
            <v>17685</v>
          </cell>
        </row>
        <row r="91">
          <cell r="D91">
            <v>16939</v>
          </cell>
          <cell r="F91">
            <v>0</v>
          </cell>
        </row>
        <row r="92">
          <cell r="D92">
            <v>110747</v>
          </cell>
          <cell r="F92">
            <v>0</v>
          </cell>
        </row>
        <row r="93">
          <cell r="D93">
            <v>6912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25170</v>
          </cell>
          <cell r="F98">
            <v>1387</v>
          </cell>
        </row>
        <row r="99">
          <cell r="D99">
            <v>0</v>
          </cell>
          <cell r="F99">
            <v>3161</v>
          </cell>
        </row>
        <row r="100">
          <cell r="D100">
            <v>3250</v>
          </cell>
          <cell r="F100">
            <v>0</v>
          </cell>
        </row>
        <row r="101">
          <cell r="D101">
            <v>4353</v>
          </cell>
          <cell r="F101">
            <v>0</v>
          </cell>
        </row>
        <row r="102">
          <cell r="D102">
            <v>3933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74916</v>
          </cell>
          <cell r="F115">
            <v>4127</v>
          </cell>
        </row>
        <row r="116">
          <cell r="D116">
            <v>0</v>
          </cell>
          <cell r="F116">
            <v>9409</v>
          </cell>
        </row>
        <row r="117">
          <cell r="D117">
            <v>17219</v>
          </cell>
          <cell r="F117">
            <v>0</v>
          </cell>
        </row>
        <row r="118">
          <cell r="D118">
            <v>914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131491</v>
          </cell>
          <cell r="F125">
            <v>7244</v>
          </cell>
        </row>
        <row r="126">
          <cell r="D126">
            <v>55462</v>
          </cell>
          <cell r="F126">
            <v>3055</v>
          </cell>
        </row>
        <row r="127">
          <cell r="D127">
            <v>0</v>
          </cell>
          <cell r="F127">
            <v>0</v>
          </cell>
        </row>
        <row r="128">
          <cell r="D128">
            <v>28293</v>
          </cell>
          <cell r="F128">
            <v>1559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16513</v>
          </cell>
        </row>
        <row r="132">
          <cell r="D132">
            <v>0</v>
          </cell>
          <cell r="F132">
            <v>6965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3553</v>
          </cell>
        </row>
        <row r="136">
          <cell r="D136">
            <v>374904</v>
          </cell>
          <cell r="F136">
            <v>20654</v>
          </cell>
        </row>
        <row r="137">
          <cell r="D137">
            <v>163865</v>
          </cell>
          <cell r="F137">
            <v>9028</v>
          </cell>
        </row>
        <row r="138">
          <cell r="D138">
            <v>484581</v>
          </cell>
          <cell r="F138">
            <v>26696</v>
          </cell>
        </row>
        <row r="139">
          <cell r="D139">
            <v>27208</v>
          </cell>
          <cell r="F139">
            <v>1499</v>
          </cell>
        </row>
        <row r="141">
          <cell r="D141">
            <v>0</v>
          </cell>
          <cell r="F141">
            <v>47084</v>
          </cell>
        </row>
        <row r="142">
          <cell r="D142">
            <v>0</v>
          </cell>
          <cell r="F142">
            <v>20580</v>
          </cell>
        </row>
        <row r="143">
          <cell r="D143">
            <v>0</v>
          </cell>
          <cell r="F143">
            <v>60858</v>
          </cell>
        </row>
        <row r="144">
          <cell r="D144">
            <v>0</v>
          </cell>
          <cell r="F144">
            <v>3417</v>
          </cell>
        </row>
        <row r="146">
          <cell r="D146">
            <v>25706</v>
          </cell>
          <cell r="F146">
            <v>0</v>
          </cell>
        </row>
        <row r="147">
          <cell r="D147">
            <v>40477</v>
          </cell>
          <cell r="F147">
            <v>0</v>
          </cell>
        </row>
        <row r="148">
          <cell r="D148">
            <v>4189</v>
          </cell>
          <cell r="F148">
            <v>0</v>
          </cell>
        </row>
        <row r="149">
          <cell r="D149">
            <v>14749</v>
          </cell>
          <cell r="F149">
            <v>0</v>
          </cell>
        </row>
        <row r="150">
          <cell r="D150">
            <v>26081</v>
          </cell>
          <cell r="F150">
            <v>0</v>
          </cell>
        </row>
        <row r="151">
          <cell r="D151">
            <v>79380</v>
          </cell>
          <cell r="F151">
            <v>0</v>
          </cell>
        </row>
        <row r="152">
          <cell r="D152">
            <v>6313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1717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95286</v>
          </cell>
          <cell r="F177">
            <v>5249</v>
          </cell>
        </row>
        <row r="178">
          <cell r="D178">
            <v>0</v>
          </cell>
          <cell r="F178">
            <v>11967</v>
          </cell>
        </row>
        <row r="179">
          <cell r="D179">
            <v>20380</v>
          </cell>
          <cell r="F179">
            <v>1123</v>
          </cell>
        </row>
        <row r="180">
          <cell r="D180">
            <v>0</v>
          </cell>
          <cell r="F180">
            <v>2560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106732</v>
          </cell>
          <cell r="F183">
            <v>5880</v>
          </cell>
        </row>
        <row r="184">
          <cell r="D184">
            <v>0</v>
          </cell>
          <cell r="F184">
            <v>13404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2214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1079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26843</v>
          </cell>
          <cell r="F198">
            <v>-3968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81774</v>
          </cell>
          <cell r="F205">
            <v>-5</v>
          </cell>
        </row>
        <row r="206">
          <cell r="D206">
            <v>685</v>
          </cell>
          <cell r="F206">
            <v>0</v>
          </cell>
        </row>
        <row r="207">
          <cell r="D207">
            <v>28259</v>
          </cell>
          <cell r="F207">
            <v>-553</v>
          </cell>
        </row>
        <row r="211">
          <cell r="D211">
            <v>106548</v>
          </cell>
          <cell r="F211">
            <v>5870</v>
          </cell>
        </row>
        <row r="212">
          <cell r="D212">
            <v>0</v>
          </cell>
          <cell r="F212">
            <v>13382</v>
          </cell>
        </row>
        <row r="213">
          <cell r="D213">
            <v>2359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2033</v>
          </cell>
          <cell r="F216">
            <v>0</v>
          </cell>
        </row>
        <row r="221">
          <cell r="D221">
            <v>4682079</v>
          </cell>
        </row>
      </sheetData>
      <sheetData sheetId="9"/>
      <sheetData sheetId="10"/>
      <sheetData sheetId="11"/>
      <sheetData sheetId="12">
        <row r="9">
          <cell r="C9">
            <v>14640</v>
          </cell>
          <cell r="D9">
            <v>0</v>
          </cell>
          <cell r="E9">
            <v>849</v>
          </cell>
          <cell r="F9">
            <v>1358</v>
          </cell>
          <cell r="G9">
            <v>0</v>
          </cell>
          <cell r="H9">
            <v>1367</v>
          </cell>
          <cell r="I9">
            <v>0</v>
          </cell>
          <cell r="J9">
            <v>1306</v>
          </cell>
          <cell r="K9">
            <v>0</v>
          </cell>
        </row>
        <row r="22">
          <cell r="N22">
            <v>99</v>
          </cell>
        </row>
        <row r="24">
          <cell r="N24">
            <v>99</v>
          </cell>
        </row>
        <row r="28">
          <cell r="N28">
            <v>36135</v>
          </cell>
        </row>
        <row r="30">
          <cell r="N30">
            <v>0.54019648540196485</v>
          </cell>
        </row>
        <row r="32">
          <cell r="N32">
            <v>0.40514736405147361</v>
          </cell>
        </row>
        <row r="34">
          <cell r="N34">
            <v>0.75</v>
          </cell>
        </row>
      </sheetData>
      <sheetData sheetId="1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1153319.22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1803354.81</v>
          </cell>
          <cell r="G21">
            <v>0</v>
          </cell>
        </row>
        <row r="27">
          <cell r="E27">
            <v>176291.08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219458.57</v>
          </cell>
          <cell r="G37">
            <v>0</v>
          </cell>
        </row>
        <row r="42">
          <cell r="E42">
            <v>41362.089999999997</v>
          </cell>
          <cell r="G42">
            <v>0</v>
          </cell>
        </row>
        <row r="47">
          <cell r="E47">
            <v>675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41844.9</v>
          </cell>
          <cell r="G67">
            <v>-959.55</v>
          </cell>
        </row>
        <row r="85">
          <cell r="C85">
            <v>142.6837109375</v>
          </cell>
          <cell r="E85">
            <v>141.11692753623188</v>
          </cell>
          <cell r="G85">
            <v>152.90830188679246</v>
          </cell>
          <cell r="I85">
            <v>153.49944554455445</v>
          </cell>
        </row>
      </sheetData>
      <sheetData sheetId="6"/>
      <sheetData sheetId="7">
        <row r="10">
          <cell r="D10">
            <v>125080.21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56947.460000000006</v>
          </cell>
          <cell r="F12">
            <v>0</v>
          </cell>
        </row>
        <row r="13">
          <cell r="D13">
            <v>52458.999999999993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274276.76999999996</v>
          </cell>
          <cell r="F15">
            <v>-274276.77</v>
          </cell>
        </row>
        <row r="16">
          <cell r="D16">
            <v>0</v>
          </cell>
          <cell r="F16">
            <v>132666</v>
          </cell>
        </row>
        <row r="17">
          <cell r="D17">
            <v>88.49</v>
          </cell>
          <cell r="F17">
            <v>0</v>
          </cell>
        </row>
        <row r="18">
          <cell r="D18">
            <v>17794.22</v>
          </cell>
          <cell r="F18">
            <v>0</v>
          </cell>
        </row>
        <row r="19">
          <cell r="D19">
            <v>15006.840000000002</v>
          </cell>
          <cell r="F19">
            <v>662</v>
          </cell>
        </row>
        <row r="20">
          <cell r="D20">
            <v>12648.15</v>
          </cell>
          <cell r="F20">
            <v>0</v>
          </cell>
        </row>
        <row r="21">
          <cell r="D21">
            <v>18898.059999999998</v>
          </cell>
          <cell r="F21">
            <v>8102</v>
          </cell>
        </row>
        <row r="22">
          <cell r="D22">
            <v>0</v>
          </cell>
          <cell r="F22">
            <v>0</v>
          </cell>
        </row>
        <row r="23">
          <cell r="D23">
            <v>15933.279999999999</v>
          </cell>
          <cell r="F23">
            <v>10444</v>
          </cell>
        </row>
        <row r="24">
          <cell r="D24">
            <v>32063.379999999997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128237.81999999999</v>
          </cell>
          <cell r="F26">
            <v>0</v>
          </cell>
        </row>
        <row r="27">
          <cell r="D27">
            <v>0</v>
          </cell>
          <cell r="F27">
            <v>6193.7</v>
          </cell>
        </row>
        <row r="28">
          <cell r="D28">
            <v>0</v>
          </cell>
          <cell r="F28">
            <v>0</v>
          </cell>
        </row>
        <row r="29">
          <cell r="D29">
            <v>55512.079999999994</v>
          </cell>
          <cell r="F29">
            <v>-55512.079999999994</v>
          </cell>
        </row>
        <row r="30">
          <cell r="D30">
            <v>100</v>
          </cell>
          <cell r="F30">
            <v>-100</v>
          </cell>
        </row>
        <row r="31">
          <cell r="D31">
            <v>0</v>
          </cell>
          <cell r="F31">
            <v>0</v>
          </cell>
        </row>
        <row r="32">
          <cell r="D32">
            <v>49455.100000000006</v>
          </cell>
          <cell r="F32">
            <v>2606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19076.97</v>
          </cell>
          <cell r="F39">
            <v>2414</v>
          </cell>
        </row>
        <row r="40">
          <cell r="D40">
            <v>20178.879999999997</v>
          </cell>
          <cell r="F40">
            <v>-20178.88</v>
          </cell>
        </row>
        <row r="41">
          <cell r="D41">
            <v>23055.38</v>
          </cell>
          <cell r="F41">
            <v>15801</v>
          </cell>
        </row>
        <row r="42">
          <cell r="D42">
            <v>0</v>
          </cell>
          <cell r="F42">
            <v>1315</v>
          </cell>
        </row>
        <row r="43">
          <cell r="D43">
            <v>0</v>
          </cell>
          <cell r="F43">
            <v>0</v>
          </cell>
        </row>
        <row r="44">
          <cell r="D44">
            <v>6</v>
          </cell>
          <cell r="F44">
            <v>0</v>
          </cell>
        </row>
        <row r="45">
          <cell r="D45">
            <v>1429.15</v>
          </cell>
          <cell r="F45">
            <v>310</v>
          </cell>
        </row>
        <row r="57">
          <cell r="D57">
            <v>381060</v>
          </cell>
          <cell r="F57">
            <v>-381060</v>
          </cell>
        </row>
        <row r="58">
          <cell r="D58">
            <v>1290.8399999999997</v>
          </cell>
          <cell r="F58">
            <v>28150</v>
          </cell>
        </row>
        <row r="59">
          <cell r="D59">
            <v>0</v>
          </cell>
          <cell r="F59">
            <v>82411.740000000005</v>
          </cell>
        </row>
        <row r="60">
          <cell r="D60">
            <v>17081.739999999998</v>
          </cell>
          <cell r="F60">
            <v>-3068.4</v>
          </cell>
        </row>
        <row r="61">
          <cell r="D61">
            <v>8642.8499999999985</v>
          </cell>
          <cell r="F61">
            <v>895</v>
          </cell>
        </row>
        <row r="62">
          <cell r="D62">
            <v>4932.78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2375.04</v>
          </cell>
          <cell r="F67">
            <v>15244.14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2642.28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39337.39</v>
          </cell>
          <cell r="F75">
            <v>0</v>
          </cell>
        </row>
        <row r="76">
          <cell r="D76">
            <v>4708.9499999999989</v>
          </cell>
          <cell r="F76">
            <v>0</v>
          </cell>
        </row>
        <row r="77">
          <cell r="D77">
            <v>25255.55</v>
          </cell>
          <cell r="F77">
            <v>0</v>
          </cell>
        </row>
        <row r="78">
          <cell r="D78">
            <v>6040.07</v>
          </cell>
          <cell r="F78">
            <v>577</v>
          </cell>
        </row>
        <row r="79">
          <cell r="D79">
            <v>23558.42</v>
          </cell>
          <cell r="F79">
            <v>0</v>
          </cell>
        </row>
        <row r="80">
          <cell r="D80">
            <v>21526.940000000002</v>
          </cell>
          <cell r="F80">
            <v>0</v>
          </cell>
        </row>
        <row r="81">
          <cell r="D81">
            <v>638.85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71622.559999999998</v>
          </cell>
          <cell r="F84">
            <v>376</v>
          </cell>
        </row>
        <row r="85">
          <cell r="D85">
            <v>166.1</v>
          </cell>
          <cell r="F85">
            <v>-33.479999999999997</v>
          </cell>
        </row>
        <row r="89">
          <cell r="D89">
            <v>96796.669999999984</v>
          </cell>
          <cell r="F89">
            <v>0</v>
          </cell>
        </row>
        <row r="90">
          <cell r="D90">
            <v>14007.800000000001</v>
          </cell>
          <cell r="F90">
            <v>0</v>
          </cell>
        </row>
        <row r="91">
          <cell r="D91">
            <v>11885.16</v>
          </cell>
          <cell r="F91">
            <v>0</v>
          </cell>
        </row>
        <row r="92">
          <cell r="D92">
            <v>86707.65</v>
          </cell>
          <cell r="F92">
            <v>-895.77</v>
          </cell>
        </row>
        <row r="93">
          <cell r="D93">
            <v>2360.7799999999997</v>
          </cell>
          <cell r="F93">
            <v>0</v>
          </cell>
        </row>
        <row r="94">
          <cell r="D94">
            <v>6359.32</v>
          </cell>
          <cell r="F94">
            <v>0</v>
          </cell>
        </row>
        <row r="98">
          <cell r="D98">
            <v>30445.18</v>
          </cell>
          <cell r="F98">
            <v>0</v>
          </cell>
        </row>
        <row r="99">
          <cell r="D99">
            <v>3966.05</v>
          </cell>
          <cell r="F99">
            <v>0</v>
          </cell>
        </row>
        <row r="100">
          <cell r="D100">
            <v>1084.8900000000001</v>
          </cell>
          <cell r="F100">
            <v>0</v>
          </cell>
        </row>
        <row r="101">
          <cell r="D101">
            <v>2519.69</v>
          </cell>
          <cell r="F101">
            <v>0</v>
          </cell>
        </row>
        <row r="102">
          <cell r="D102">
            <v>1756.04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29225.949999999997</v>
          </cell>
          <cell r="F115">
            <v>0</v>
          </cell>
        </row>
        <row r="116">
          <cell r="D116">
            <v>9425.7900000000009</v>
          </cell>
          <cell r="F116">
            <v>0</v>
          </cell>
        </row>
        <row r="117">
          <cell r="D117">
            <v>9298.32</v>
          </cell>
          <cell r="F117">
            <v>0</v>
          </cell>
        </row>
        <row r="118">
          <cell r="D118">
            <v>420.33</v>
          </cell>
          <cell r="F118">
            <v>0</v>
          </cell>
        </row>
        <row r="119">
          <cell r="D119">
            <v>340.75</v>
          </cell>
          <cell r="F119">
            <v>0</v>
          </cell>
        </row>
        <row r="124">
          <cell r="D124">
            <v>75265.200000000012</v>
          </cell>
          <cell r="F124">
            <v>0</v>
          </cell>
        </row>
        <row r="125">
          <cell r="D125">
            <v>0</v>
          </cell>
          <cell r="F125">
            <v>0</v>
          </cell>
        </row>
        <row r="126">
          <cell r="D126">
            <v>827.68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28362.239999999998</v>
          </cell>
          <cell r="F128">
            <v>21787</v>
          </cell>
        </row>
        <row r="130">
          <cell r="D130">
            <v>19596.133574234049</v>
          </cell>
          <cell r="F130">
            <v>0</v>
          </cell>
        </row>
        <row r="131">
          <cell r="D131">
            <v>89.06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13247.61</v>
          </cell>
          <cell r="F134">
            <v>0</v>
          </cell>
        </row>
        <row r="136">
          <cell r="D136">
            <v>239910.28</v>
          </cell>
          <cell r="F136">
            <v>0</v>
          </cell>
        </row>
        <row r="137">
          <cell r="D137">
            <v>114251.6</v>
          </cell>
          <cell r="F137">
            <v>0</v>
          </cell>
        </row>
        <row r="138">
          <cell r="D138">
            <v>227302.21</v>
          </cell>
          <cell r="F138">
            <v>0</v>
          </cell>
        </row>
        <row r="139">
          <cell r="D139">
            <v>43470.66</v>
          </cell>
          <cell r="F139">
            <v>0</v>
          </cell>
        </row>
        <row r="141">
          <cell r="D141">
            <v>62463.314954479501</v>
          </cell>
          <cell r="F141">
            <v>0</v>
          </cell>
        </row>
        <row r="142">
          <cell r="D142">
            <v>29746.677278077499</v>
          </cell>
          <cell r="F142">
            <v>0</v>
          </cell>
        </row>
        <row r="143">
          <cell r="D143">
            <v>59180.663425840859</v>
          </cell>
          <cell r="F143">
            <v>0</v>
          </cell>
        </row>
        <row r="144">
          <cell r="D144">
            <v>11318.08</v>
          </cell>
          <cell r="F144">
            <v>0</v>
          </cell>
        </row>
        <row r="146">
          <cell r="D146">
            <v>20619.620000000003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3017</v>
          </cell>
          <cell r="F150">
            <v>0</v>
          </cell>
        </row>
        <row r="151">
          <cell r="D151">
            <v>58990.259999999995</v>
          </cell>
          <cell r="F151">
            <v>0</v>
          </cell>
        </row>
        <row r="152">
          <cell r="D152">
            <v>1746.37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3729.42</v>
          </cell>
          <cell r="F160">
            <v>0</v>
          </cell>
        </row>
        <row r="161">
          <cell r="D161">
            <v>4155.53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209589.79</v>
          </cell>
          <cell r="F177">
            <v>6705</v>
          </cell>
        </row>
        <row r="178">
          <cell r="D178">
            <v>62088.639999999999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37228.57</v>
          </cell>
          <cell r="F183">
            <v>0</v>
          </cell>
        </row>
        <row r="184">
          <cell r="D184">
            <v>8253.02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21983.919999999998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35264.149999999987</v>
          </cell>
          <cell r="F194">
            <v>0</v>
          </cell>
        </row>
        <row r="195">
          <cell r="D195">
            <v>8823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6594.3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97187.430000000008</v>
          </cell>
          <cell r="F205">
            <v>0</v>
          </cell>
        </row>
        <row r="206">
          <cell r="D206">
            <v>16195.689999999999</v>
          </cell>
          <cell r="F206">
            <v>0</v>
          </cell>
        </row>
        <row r="207">
          <cell r="D207">
            <v>5377.0499999999993</v>
          </cell>
          <cell r="F207">
            <v>0</v>
          </cell>
        </row>
        <row r="211">
          <cell r="D211">
            <v>87800.71</v>
          </cell>
          <cell r="F211">
            <v>0</v>
          </cell>
        </row>
        <row r="212">
          <cell r="D212">
            <v>18364.870000000003</v>
          </cell>
          <cell r="F212">
            <v>0</v>
          </cell>
        </row>
        <row r="213">
          <cell r="D213">
            <v>9674.64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9117.9</v>
          </cell>
          <cell r="F216">
            <v>0</v>
          </cell>
        </row>
        <row r="221">
          <cell r="D221">
            <v>3483918.9699999993</v>
          </cell>
        </row>
      </sheetData>
      <sheetData sheetId="8"/>
      <sheetData sheetId="9"/>
      <sheetData sheetId="10">
        <row r="9">
          <cell r="C9">
            <v>5119</v>
          </cell>
          <cell r="D9">
            <v>0</v>
          </cell>
          <cell r="E9">
            <v>3750</v>
          </cell>
          <cell r="F9">
            <v>482</v>
          </cell>
          <cell r="G9">
            <v>0</v>
          </cell>
          <cell r="H9">
            <v>1477</v>
          </cell>
          <cell r="I9">
            <v>242</v>
          </cell>
          <cell r="J9">
            <v>5</v>
          </cell>
          <cell r="K9">
            <v>0</v>
          </cell>
        </row>
        <row r="22">
          <cell r="N22">
            <v>58</v>
          </cell>
        </row>
        <row r="24">
          <cell r="N24">
            <v>58</v>
          </cell>
        </row>
        <row r="28">
          <cell r="N28">
            <v>21170</v>
          </cell>
        </row>
        <row r="30">
          <cell r="N30">
            <v>0.52314596126594237</v>
          </cell>
        </row>
        <row r="32">
          <cell r="N32">
            <v>0.24180444024563061</v>
          </cell>
        </row>
        <row r="34">
          <cell r="N34">
            <v>0.46221218961625282</v>
          </cell>
        </row>
      </sheetData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 Detail"/>
      <sheetName val="Sch B-1"/>
      <sheetName val="Sch C"/>
      <sheetName val="Sch C Detail"/>
      <sheetName val="Sch C-1"/>
      <sheetName val="Sch C-1 (2)"/>
      <sheetName val="Sch C-1 (3)"/>
      <sheetName val="Sch C-2"/>
      <sheetName val="Sch D"/>
      <sheetName val="Summary"/>
      <sheetName val="WTB Coded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3378526.7000000007</v>
          </cell>
          <cell r="G10">
            <v>-39226</v>
          </cell>
        </row>
        <row r="15">
          <cell r="E15">
            <v>0</v>
          </cell>
          <cell r="G15">
            <v>39226</v>
          </cell>
        </row>
        <row r="21">
          <cell r="E21">
            <v>2974533.63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81546.98</v>
          </cell>
          <cell r="G32">
            <v>0</v>
          </cell>
        </row>
        <row r="37">
          <cell r="E37">
            <v>1256619.01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119421.1</v>
          </cell>
          <cell r="G67">
            <v>-18043.16</v>
          </cell>
        </row>
        <row r="85">
          <cell r="C85">
            <v>333.01462765957444</v>
          </cell>
          <cell r="E85">
            <v>361.70943952802361</v>
          </cell>
          <cell r="G85">
            <v>310.15208747514913</v>
          </cell>
          <cell r="I85">
            <v>253.99127182044887</v>
          </cell>
        </row>
      </sheetData>
      <sheetData sheetId="6"/>
      <sheetData sheetId="7"/>
      <sheetData sheetId="8">
        <row r="10">
          <cell r="D10">
            <v>153500.26</v>
          </cell>
          <cell r="F10">
            <v>7316.8219378185322</v>
          </cell>
        </row>
        <row r="11">
          <cell r="D11">
            <v>0</v>
          </cell>
          <cell r="F11">
            <v>0</v>
          </cell>
        </row>
        <row r="12">
          <cell r="D12">
            <v>110145.06999999999</v>
          </cell>
          <cell r="F12">
            <v>98204.733967288295</v>
          </cell>
        </row>
        <row r="13">
          <cell r="D13">
            <v>496126.13</v>
          </cell>
          <cell r="F13">
            <v>-425579.79295705154</v>
          </cell>
        </row>
        <row r="14">
          <cell r="D14">
            <v>0</v>
          </cell>
          <cell r="F14">
            <v>0</v>
          </cell>
        </row>
        <row r="15">
          <cell r="D15">
            <v>378687</v>
          </cell>
          <cell r="F15">
            <v>-373752.93482124445</v>
          </cell>
        </row>
        <row r="16">
          <cell r="D16">
            <v>0</v>
          </cell>
          <cell r="F16">
            <v>0</v>
          </cell>
        </row>
        <row r="17">
          <cell r="D17">
            <v>26453.77</v>
          </cell>
          <cell r="F17">
            <v>-26453.77</v>
          </cell>
        </row>
        <row r="18">
          <cell r="D18">
            <v>14955.26</v>
          </cell>
          <cell r="F18">
            <v>0</v>
          </cell>
        </row>
        <row r="19">
          <cell r="D19">
            <v>10461.09</v>
          </cell>
          <cell r="F19">
            <v>1368.2837541055626</v>
          </cell>
        </row>
        <row r="20">
          <cell r="D20">
            <v>49875.72</v>
          </cell>
          <cell r="F20">
            <v>16.737218549577349</v>
          </cell>
        </row>
        <row r="21">
          <cell r="D21">
            <v>50051.15</v>
          </cell>
          <cell r="F21">
            <v>10005.9</v>
          </cell>
        </row>
        <row r="22">
          <cell r="D22">
            <v>0</v>
          </cell>
          <cell r="F22">
            <v>0</v>
          </cell>
        </row>
        <row r="23">
          <cell r="D23">
            <v>21553.51</v>
          </cell>
          <cell r="F23">
            <v>107.86626596820599</v>
          </cell>
        </row>
        <row r="24">
          <cell r="D24">
            <v>36429.64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339646.46</v>
          </cell>
          <cell r="F26">
            <v>0</v>
          </cell>
        </row>
        <row r="27">
          <cell r="D27">
            <v>22483.22</v>
          </cell>
          <cell r="F27">
            <v>3089.1482567816311</v>
          </cell>
        </row>
        <row r="28">
          <cell r="D28">
            <v>0</v>
          </cell>
          <cell r="F28">
            <v>0</v>
          </cell>
        </row>
        <row r="29">
          <cell r="D29">
            <v>99808</v>
          </cell>
          <cell r="F29">
            <v>-99808</v>
          </cell>
        </row>
        <row r="30">
          <cell r="D30">
            <v>2340.92</v>
          </cell>
          <cell r="F30">
            <v>-2340.92</v>
          </cell>
        </row>
        <row r="31">
          <cell r="D31">
            <v>59233</v>
          </cell>
          <cell r="F31">
            <v>0</v>
          </cell>
        </row>
        <row r="32">
          <cell r="D32">
            <v>89849.919999999998</v>
          </cell>
          <cell r="F32">
            <v>1019.815706768243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1303.3600000000001</v>
          </cell>
          <cell r="F35">
            <v>-1303.3600000000001</v>
          </cell>
        </row>
        <row r="36">
          <cell r="D36">
            <v>62286.94</v>
          </cell>
          <cell r="F36">
            <v>155.97521689483051</v>
          </cell>
        </row>
        <row r="37">
          <cell r="D37">
            <v>0</v>
          </cell>
          <cell r="F37">
            <v>10755.641727559376</v>
          </cell>
        </row>
        <row r="38">
          <cell r="D38">
            <v>0</v>
          </cell>
          <cell r="F38">
            <v>0</v>
          </cell>
        </row>
        <row r="39">
          <cell r="D39">
            <v>4008.02</v>
          </cell>
          <cell r="F39">
            <v>-4008.02</v>
          </cell>
        </row>
        <row r="40">
          <cell r="D40">
            <v>0</v>
          </cell>
          <cell r="F40">
            <v>0</v>
          </cell>
        </row>
        <row r="41">
          <cell r="D41">
            <v>56694.240000000005</v>
          </cell>
          <cell r="F41">
            <v>32597.421330621335</v>
          </cell>
        </row>
        <row r="42">
          <cell r="D42">
            <v>11101</v>
          </cell>
          <cell r="F42">
            <v>0</v>
          </cell>
        </row>
        <row r="43">
          <cell r="D43">
            <v>11303.77</v>
          </cell>
          <cell r="F43">
            <v>-11303.77</v>
          </cell>
        </row>
        <row r="44">
          <cell r="D44">
            <v>0</v>
          </cell>
          <cell r="F44">
            <v>0</v>
          </cell>
        </row>
        <row r="45">
          <cell r="D45">
            <v>71364.489999999991</v>
          </cell>
          <cell r="F45">
            <v>-71364.489999999991</v>
          </cell>
        </row>
        <row r="57">
          <cell r="D57">
            <v>626042.18000000005</v>
          </cell>
          <cell r="F57">
            <v>-626042</v>
          </cell>
        </row>
        <row r="58">
          <cell r="D58">
            <v>0</v>
          </cell>
          <cell r="F58">
            <v>1238</v>
          </cell>
        </row>
        <row r="59">
          <cell r="D59">
            <v>0</v>
          </cell>
          <cell r="F59">
            <v>317365.45</v>
          </cell>
        </row>
        <row r="60">
          <cell r="D60">
            <v>34000</v>
          </cell>
          <cell r="F60">
            <v>1196.1961402134853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10391.150000000001</v>
          </cell>
          <cell r="F66">
            <v>40.796331117504394</v>
          </cell>
        </row>
        <row r="67">
          <cell r="D67">
            <v>0</v>
          </cell>
          <cell r="F67">
            <v>360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2275.46</v>
          </cell>
          <cell r="F71">
            <v>39.478195604999854</v>
          </cell>
        </row>
        <row r="75">
          <cell r="D75">
            <v>53345.68</v>
          </cell>
          <cell r="F75">
            <v>1241.2142785892056</v>
          </cell>
        </row>
        <row r="76">
          <cell r="D76">
            <v>0</v>
          </cell>
          <cell r="F76">
            <v>9211.6164173429825</v>
          </cell>
        </row>
        <row r="77">
          <cell r="D77">
            <v>16116.98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9187.75</v>
          </cell>
          <cell r="F80">
            <v>0</v>
          </cell>
        </row>
        <row r="81">
          <cell r="D81">
            <v>16661.460000000003</v>
          </cell>
          <cell r="F81">
            <v>4669.690768395244</v>
          </cell>
        </row>
        <row r="82">
          <cell r="D82">
            <v>10233.64</v>
          </cell>
          <cell r="F82">
            <v>0</v>
          </cell>
        </row>
        <row r="83">
          <cell r="D83">
            <v>5593.47</v>
          </cell>
          <cell r="F83">
            <v>0</v>
          </cell>
        </row>
        <row r="84">
          <cell r="D84">
            <v>84099.069999999992</v>
          </cell>
          <cell r="F84">
            <v>1512.2287094706799</v>
          </cell>
        </row>
        <row r="85">
          <cell r="D85">
            <v>0</v>
          </cell>
          <cell r="F85">
            <v>0</v>
          </cell>
        </row>
        <row r="89">
          <cell r="D89">
            <v>245344.6</v>
          </cell>
          <cell r="F89">
            <v>614.37763239620131</v>
          </cell>
        </row>
        <row r="90">
          <cell r="D90">
            <v>0</v>
          </cell>
          <cell r="F90">
            <v>42365.787737116676</v>
          </cell>
        </row>
        <row r="91">
          <cell r="D91">
            <v>7087.5</v>
          </cell>
          <cell r="F91">
            <v>0</v>
          </cell>
        </row>
        <row r="92">
          <cell r="D92">
            <v>177600.12</v>
          </cell>
          <cell r="F92">
            <v>107</v>
          </cell>
        </row>
        <row r="93">
          <cell r="D93">
            <v>11238.61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59480.97</v>
          </cell>
          <cell r="F98">
            <v>148.94860687015611</v>
          </cell>
        </row>
        <row r="99">
          <cell r="D99">
            <v>0</v>
          </cell>
          <cell r="F99">
            <v>10271</v>
          </cell>
        </row>
        <row r="100">
          <cell r="D100">
            <v>4985.2800000000007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6303.92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103656.58999999998</v>
          </cell>
          <cell r="F115">
            <v>259.57138821371149</v>
          </cell>
        </row>
        <row r="116">
          <cell r="D116">
            <v>0</v>
          </cell>
          <cell r="F116">
            <v>17899.25637399004</v>
          </cell>
        </row>
        <row r="117">
          <cell r="D117">
            <v>26524.190000000002</v>
          </cell>
          <cell r="F117">
            <v>76.648975629154677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241314.13</v>
          </cell>
          <cell r="F125">
            <v>604.28345384685622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64129.160000000011</v>
          </cell>
          <cell r="F128">
            <v>160.58783830090687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41669.736166547234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11073.782596364561</v>
          </cell>
        </row>
        <row r="136">
          <cell r="D136">
            <v>449463.61999999994</v>
          </cell>
          <cell r="F136">
            <v>1125.5196892837689</v>
          </cell>
        </row>
        <row r="137">
          <cell r="D137">
            <v>329766.03999999992</v>
          </cell>
          <cell r="F137">
            <v>825.77943029108292</v>
          </cell>
        </row>
        <row r="138">
          <cell r="D138">
            <v>747346.39000000013</v>
          </cell>
          <cell r="F138">
            <v>2673.4605073129205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77612.764447243913</v>
          </cell>
        </row>
        <row r="142">
          <cell r="D142">
            <v>0</v>
          </cell>
          <cell r="F142">
            <v>56943.598321626268</v>
          </cell>
        </row>
        <row r="143">
          <cell r="D143">
            <v>0</v>
          </cell>
          <cell r="F143">
            <v>129188.96287020294</v>
          </cell>
        </row>
        <row r="144">
          <cell r="D144">
            <v>0</v>
          </cell>
          <cell r="F144">
            <v>0</v>
          </cell>
        </row>
        <row r="146">
          <cell r="D146">
            <v>10360.64</v>
          </cell>
          <cell r="F146">
            <v>0</v>
          </cell>
        </row>
        <row r="147">
          <cell r="D147">
            <v>21002.3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160</v>
          </cell>
          <cell r="F149">
            <v>0</v>
          </cell>
        </row>
        <row r="150">
          <cell r="D150">
            <v>596.21</v>
          </cell>
          <cell r="F150">
            <v>0</v>
          </cell>
        </row>
        <row r="151">
          <cell r="D151">
            <v>134294.1</v>
          </cell>
          <cell r="F151">
            <v>0</v>
          </cell>
        </row>
        <row r="152">
          <cell r="D152">
            <v>0</v>
          </cell>
          <cell r="F152">
            <v>0</v>
          </cell>
        </row>
        <row r="153">
          <cell r="D153">
            <v>6452.84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4779.7299999999996</v>
          </cell>
          <cell r="F161">
            <v>-1677.36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48059.159999999996</v>
          </cell>
          <cell r="F177">
            <v>-9571.3009202847643</v>
          </cell>
        </row>
        <row r="178">
          <cell r="D178">
            <v>7268.4500000000007</v>
          </cell>
          <cell r="F178">
            <v>-4164.1388499267605</v>
          </cell>
        </row>
        <row r="179">
          <cell r="D179">
            <v>14773.93</v>
          </cell>
          <cell r="F179">
            <v>3362.27281755274</v>
          </cell>
        </row>
        <row r="180">
          <cell r="D180">
            <v>0</v>
          </cell>
          <cell r="F180">
            <v>1462.7880642727152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27282.66</v>
          </cell>
          <cell r="F183">
            <v>6209.028102732027</v>
          </cell>
        </row>
        <row r="184">
          <cell r="D184">
            <v>0</v>
          </cell>
          <cell r="F184">
            <v>2701.3507856540464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301550.68</v>
          </cell>
          <cell r="F188">
            <v>0</v>
          </cell>
        </row>
        <row r="189">
          <cell r="D189">
            <v>94119.24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201682.98</v>
          </cell>
          <cell r="F191">
            <v>0</v>
          </cell>
        </row>
        <row r="192">
          <cell r="D192">
            <v>19116.03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297001.62</v>
          </cell>
          <cell r="F205">
            <v>0</v>
          </cell>
        </row>
        <row r="206">
          <cell r="D206">
            <v>555.86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259732.78</v>
          </cell>
          <cell r="F211">
            <v>650.40716377004856</v>
          </cell>
        </row>
        <row r="212">
          <cell r="D212">
            <v>0</v>
          </cell>
          <cell r="F212">
            <v>44850.283617812936</v>
          </cell>
        </row>
        <row r="213">
          <cell r="D213">
            <v>100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12189.43</v>
          </cell>
          <cell r="F216">
            <v>0</v>
          </cell>
        </row>
        <row r="221">
          <cell r="D221">
            <v>6982928.5399999963</v>
          </cell>
        </row>
      </sheetData>
      <sheetData sheetId="9"/>
      <sheetData sheetId="10"/>
      <sheetData sheetId="11"/>
      <sheetData sheetId="12"/>
      <sheetData sheetId="13"/>
      <sheetData sheetId="14">
        <row r="9">
          <cell r="C9">
            <v>15235</v>
          </cell>
          <cell r="D9">
            <v>365</v>
          </cell>
          <cell r="E9">
            <v>5626</v>
          </cell>
          <cell r="F9">
            <v>0</v>
          </cell>
          <cell r="G9">
            <v>392</v>
          </cell>
          <cell r="H9">
            <v>3916</v>
          </cell>
          <cell r="I9">
            <v>0</v>
          </cell>
          <cell r="J9">
            <v>0</v>
          </cell>
          <cell r="K9">
            <v>0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0.58296803652968032</v>
          </cell>
        </row>
        <row r="32">
          <cell r="N32">
            <v>0.35616438356164382</v>
          </cell>
        </row>
        <row r="34">
          <cell r="N34">
            <v>0.61095010574136444</v>
          </cell>
        </row>
      </sheetData>
      <sheetData sheetId="15"/>
      <sheetData sheetId="1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Explanation of Misc Rev"/>
      <sheetName val="Sch B-1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2120155.17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1116529.78</v>
          </cell>
          <cell r="G21">
            <v>0</v>
          </cell>
        </row>
        <row r="27">
          <cell r="E27">
            <v>449245.45000000007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192870.81</v>
          </cell>
          <cell r="G37">
            <v>0</v>
          </cell>
        </row>
        <row r="42">
          <cell r="E42">
            <v>278012.45</v>
          </cell>
          <cell r="G42">
            <v>0</v>
          </cell>
        </row>
        <row r="47">
          <cell r="E47">
            <v>17540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35262.689999999995</v>
          </cell>
          <cell r="G67">
            <v>0</v>
          </cell>
        </row>
        <row r="85">
          <cell r="C85">
            <v>185.76441269841271</v>
          </cell>
          <cell r="E85">
            <v>125.65437499999999</v>
          </cell>
          <cell r="G85">
            <v>238.34942583732058</v>
          </cell>
          <cell r="I85">
            <v>212.77188888888887</v>
          </cell>
        </row>
      </sheetData>
      <sheetData sheetId="6"/>
      <sheetData sheetId="7"/>
      <sheetData sheetId="8">
        <row r="10">
          <cell r="D10">
            <v>89053.59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112047.62</v>
          </cell>
          <cell r="F12">
            <v>0</v>
          </cell>
        </row>
        <row r="13">
          <cell r="D13">
            <v>286790.84000000003</v>
          </cell>
          <cell r="F13">
            <v>-258365.86456386617</v>
          </cell>
        </row>
        <row r="14">
          <cell r="D14">
            <v>0</v>
          </cell>
          <cell r="F14">
            <v>0</v>
          </cell>
        </row>
        <row r="15">
          <cell r="D15">
            <v>140000</v>
          </cell>
          <cell r="F15">
            <v>-140000</v>
          </cell>
        </row>
        <row r="16">
          <cell r="D16">
            <v>0</v>
          </cell>
          <cell r="F16">
            <v>157361</v>
          </cell>
        </row>
        <row r="17">
          <cell r="D17">
            <v>2938.46</v>
          </cell>
          <cell r="F17">
            <v>-2938</v>
          </cell>
        </row>
        <row r="18">
          <cell r="D18">
            <v>14124.82</v>
          </cell>
          <cell r="F18">
            <v>0</v>
          </cell>
        </row>
        <row r="19">
          <cell r="D19">
            <v>8891.18</v>
          </cell>
          <cell r="F19">
            <v>0</v>
          </cell>
        </row>
        <row r="20">
          <cell r="D20">
            <v>8660.44</v>
          </cell>
          <cell r="F20">
            <v>0</v>
          </cell>
        </row>
        <row r="21">
          <cell r="D21">
            <v>52199.31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8348.83</v>
          </cell>
          <cell r="F23">
            <v>0</v>
          </cell>
        </row>
        <row r="24">
          <cell r="D24">
            <v>43601.86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266489.48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155515.35</v>
          </cell>
          <cell r="F29">
            <v>-155515.35</v>
          </cell>
        </row>
        <row r="30">
          <cell r="D30">
            <v>0</v>
          </cell>
          <cell r="F30">
            <v>0</v>
          </cell>
        </row>
        <row r="31">
          <cell r="D31">
            <v>31375.78</v>
          </cell>
          <cell r="F31">
            <v>0</v>
          </cell>
        </row>
        <row r="32">
          <cell r="D32">
            <v>14690.24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4723.32</v>
          </cell>
          <cell r="F36">
            <v>0</v>
          </cell>
        </row>
        <row r="37">
          <cell r="D37">
            <v>0</v>
          </cell>
          <cell r="F37">
            <v>667.62529662054135</v>
          </cell>
        </row>
        <row r="38">
          <cell r="D38">
            <v>438.4</v>
          </cell>
          <cell r="F38">
            <v>0</v>
          </cell>
        </row>
        <row r="39">
          <cell r="D39">
            <v>4707.5200000000004</v>
          </cell>
          <cell r="F39">
            <v>0</v>
          </cell>
        </row>
        <row r="40">
          <cell r="D40">
            <v>2905.55</v>
          </cell>
          <cell r="F40">
            <v>-2906</v>
          </cell>
        </row>
        <row r="41">
          <cell r="D41">
            <v>803.7</v>
          </cell>
          <cell r="F41">
            <v>0</v>
          </cell>
        </row>
        <row r="42">
          <cell r="D42">
            <v>2326</v>
          </cell>
          <cell r="F42">
            <v>0</v>
          </cell>
        </row>
        <row r="43">
          <cell r="D43">
            <v>10350.41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1381.34</v>
          </cell>
          <cell r="F45">
            <v>0</v>
          </cell>
        </row>
        <row r="57">
          <cell r="D57">
            <v>600000</v>
          </cell>
          <cell r="F57">
            <v>-600000</v>
          </cell>
        </row>
        <row r="58">
          <cell r="D58">
            <v>0</v>
          </cell>
          <cell r="F58">
            <v>222961</v>
          </cell>
        </row>
        <row r="59">
          <cell r="D59">
            <v>0</v>
          </cell>
          <cell r="F59">
            <v>365510</v>
          </cell>
        </row>
        <row r="60">
          <cell r="D60">
            <v>225.76</v>
          </cell>
          <cell r="F60">
            <v>35434</v>
          </cell>
        </row>
        <row r="61">
          <cell r="D61">
            <v>0</v>
          </cell>
          <cell r="F61">
            <v>38599</v>
          </cell>
        </row>
        <row r="62">
          <cell r="D62">
            <v>-107.73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9998</v>
          </cell>
          <cell r="F65">
            <v>0</v>
          </cell>
        </row>
        <row r="66">
          <cell r="D66">
            <v>5213.3900000000003</v>
          </cell>
          <cell r="F66">
            <v>0</v>
          </cell>
        </row>
        <row r="67">
          <cell r="D67">
            <v>107413.79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9787.26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37412.17</v>
          </cell>
          <cell r="F75">
            <v>0</v>
          </cell>
        </row>
        <row r="76">
          <cell r="D76">
            <v>0</v>
          </cell>
          <cell r="F76">
            <v>5288.0836135320333</v>
          </cell>
        </row>
        <row r="77">
          <cell r="D77">
            <v>10761.47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1441.98</v>
          </cell>
          <cell r="F79">
            <v>0</v>
          </cell>
        </row>
        <row r="80">
          <cell r="D80">
            <v>5338.94</v>
          </cell>
          <cell r="F80">
            <v>0</v>
          </cell>
        </row>
        <row r="81">
          <cell r="D81">
            <v>9600.2099999999991</v>
          </cell>
          <cell r="F81">
            <v>0</v>
          </cell>
        </row>
        <row r="82">
          <cell r="D82">
            <v>6620.82</v>
          </cell>
          <cell r="F82">
            <v>0</v>
          </cell>
        </row>
        <row r="83">
          <cell r="D83">
            <v>7435.59</v>
          </cell>
          <cell r="F83">
            <v>0</v>
          </cell>
        </row>
        <row r="84">
          <cell r="D84">
            <v>76401.86</v>
          </cell>
          <cell r="F84">
            <v>0</v>
          </cell>
        </row>
        <row r="85">
          <cell r="D85">
            <v>210.43</v>
          </cell>
          <cell r="F85">
            <v>0</v>
          </cell>
        </row>
        <row r="89">
          <cell r="D89">
            <v>149889.84</v>
          </cell>
          <cell r="F89">
            <v>0</v>
          </cell>
        </row>
        <row r="90">
          <cell r="D90">
            <v>0</v>
          </cell>
          <cell r="F90">
            <v>21186.4216039577</v>
          </cell>
        </row>
        <row r="91">
          <cell r="D91">
            <v>7808.25</v>
          </cell>
          <cell r="F91">
            <v>0</v>
          </cell>
        </row>
        <row r="92">
          <cell r="D92">
            <v>119617.15</v>
          </cell>
          <cell r="F92">
            <v>0</v>
          </cell>
        </row>
        <row r="93">
          <cell r="D93">
            <v>9728.33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4194.2</v>
          </cell>
          <cell r="F100">
            <v>0</v>
          </cell>
        </row>
        <row r="101">
          <cell r="D101">
            <v>803.49</v>
          </cell>
          <cell r="F101">
            <v>0</v>
          </cell>
        </row>
        <row r="102">
          <cell r="D102">
            <v>2183.44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127820.26</v>
          </cell>
          <cell r="F115">
            <v>0</v>
          </cell>
        </row>
        <row r="116">
          <cell r="D116">
            <v>0</v>
          </cell>
          <cell r="F116">
            <v>18066.961162194122</v>
          </cell>
        </row>
        <row r="117">
          <cell r="D117">
            <v>22495.119999999999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102094.48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2848.45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14430.709224299844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402.61876734135757</v>
          </cell>
        </row>
        <row r="136">
          <cell r="D136">
            <v>417503.53</v>
          </cell>
          <cell r="F136">
            <v>0</v>
          </cell>
        </row>
        <row r="137">
          <cell r="D137">
            <v>331341.75</v>
          </cell>
          <cell r="F137">
            <v>0</v>
          </cell>
        </row>
        <row r="138">
          <cell r="D138">
            <v>594591.26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59012.710986419122</v>
          </cell>
        </row>
        <row r="142">
          <cell r="D142">
            <v>0</v>
          </cell>
          <cell r="F142">
            <v>46834.034985247512</v>
          </cell>
        </row>
        <row r="143">
          <cell r="D143">
            <v>0</v>
          </cell>
          <cell r="F143">
            <v>84043.462294632045</v>
          </cell>
        </row>
        <row r="144">
          <cell r="D144">
            <v>0</v>
          </cell>
          <cell r="F144">
            <v>0</v>
          </cell>
        </row>
        <row r="146">
          <cell r="D146">
            <v>28800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7958.24</v>
          </cell>
          <cell r="F150">
            <v>0</v>
          </cell>
        </row>
        <row r="151">
          <cell r="D151">
            <v>59087.57</v>
          </cell>
          <cell r="F151">
            <v>0</v>
          </cell>
        </row>
        <row r="152">
          <cell r="D152">
            <v>235.16</v>
          </cell>
          <cell r="F152">
            <v>0</v>
          </cell>
        </row>
        <row r="153">
          <cell r="D153">
            <v>1390.29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100.58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36.83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4660.4399999999996</v>
          </cell>
          <cell r="F193">
            <v>0</v>
          </cell>
        </row>
        <row r="194">
          <cell r="D194">
            <v>239026.38</v>
          </cell>
          <cell r="F194">
            <v>0</v>
          </cell>
        </row>
        <row r="195">
          <cell r="D195">
            <v>584.24</v>
          </cell>
          <cell r="F195">
            <v>0</v>
          </cell>
        </row>
        <row r="196">
          <cell r="D196">
            <v>156921.88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7298.65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185976.65</v>
          </cell>
          <cell r="F205">
            <v>0</v>
          </cell>
        </row>
        <row r="206">
          <cell r="D206">
            <v>565.79999999999995</v>
          </cell>
          <cell r="F206">
            <v>0</v>
          </cell>
        </row>
        <row r="207">
          <cell r="D207">
            <v>299.76</v>
          </cell>
          <cell r="F207">
            <v>0</v>
          </cell>
        </row>
        <row r="211">
          <cell r="D211">
            <v>59663.519999999997</v>
          </cell>
          <cell r="F211">
            <v>0</v>
          </cell>
        </row>
        <row r="212">
          <cell r="D212">
            <v>0</v>
          </cell>
          <cell r="F212">
            <v>8433.236629621877</v>
          </cell>
        </row>
        <row r="213">
          <cell r="D213">
            <v>8644.1200000000008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1613.97</v>
          </cell>
          <cell r="F216">
            <v>0</v>
          </cell>
        </row>
        <row r="221">
          <cell r="D221">
            <v>4805901.6100000003</v>
          </cell>
        </row>
      </sheetData>
      <sheetData sheetId="9"/>
      <sheetData sheetId="10"/>
      <sheetData sheetId="11"/>
      <sheetData sheetId="12">
        <row r="9">
          <cell r="C9">
            <v>10765</v>
          </cell>
          <cell r="D9">
            <v>0</v>
          </cell>
          <cell r="E9">
            <v>2085</v>
          </cell>
          <cell r="F9">
            <v>1704</v>
          </cell>
          <cell r="G9">
            <v>0</v>
          </cell>
          <cell r="H9">
            <v>1072</v>
          </cell>
          <cell r="I9">
            <v>1499</v>
          </cell>
          <cell r="J9">
            <v>98</v>
          </cell>
          <cell r="K9">
            <v>0</v>
          </cell>
        </row>
        <row r="22">
          <cell r="N22">
            <v>76</v>
          </cell>
        </row>
        <row r="24">
          <cell r="N24">
            <v>52</v>
          </cell>
        </row>
        <row r="28">
          <cell r="N28">
            <v>27740</v>
          </cell>
        </row>
        <row r="30">
          <cell r="N30">
            <v>0.62087238644556597</v>
          </cell>
        </row>
        <row r="32">
          <cell r="N32">
            <v>0.38806777217015143</v>
          </cell>
        </row>
        <row r="34">
          <cell r="N34">
            <v>0.62503628868373684</v>
          </cell>
        </row>
      </sheetData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2161374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31073</v>
          </cell>
          <cell r="G37">
            <v>0</v>
          </cell>
        </row>
        <row r="42">
          <cell r="E42">
            <v>41193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8446</v>
          </cell>
          <cell r="G67">
            <v>0</v>
          </cell>
        </row>
        <row r="85">
          <cell r="C85">
            <v>151.15853658536585</v>
          </cell>
          <cell r="E85">
            <v>185</v>
          </cell>
          <cell r="G85">
            <v>0</v>
          </cell>
          <cell r="I85">
            <v>0</v>
          </cell>
        </row>
      </sheetData>
      <sheetData sheetId="6"/>
      <sheetData sheetId="7">
        <row r="10">
          <cell r="D10">
            <v>96869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69026</v>
          </cell>
          <cell r="F12">
            <v>0</v>
          </cell>
        </row>
        <row r="13">
          <cell r="D13">
            <v>53326</v>
          </cell>
          <cell r="F13">
            <v>-44626</v>
          </cell>
        </row>
        <row r="14">
          <cell r="D14">
            <v>0</v>
          </cell>
          <cell r="F14">
            <v>0</v>
          </cell>
        </row>
        <row r="15">
          <cell r="D15">
            <v>8577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433</v>
          </cell>
          <cell r="F17">
            <v>-433</v>
          </cell>
        </row>
        <row r="18">
          <cell r="D18">
            <v>3804</v>
          </cell>
          <cell r="F18">
            <v>0</v>
          </cell>
        </row>
        <row r="19">
          <cell r="D19">
            <v>16666</v>
          </cell>
          <cell r="F19">
            <v>0</v>
          </cell>
        </row>
        <row r="20">
          <cell r="D20">
            <v>7419</v>
          </cell>
          <cell r="F20">
            <v>0</v>
          </cell>
        </row>
        <row r="21">
          <cell r="D21">
            <v>46072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5062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203835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15793</v>
          </cell>
          <cell r="F31">
            <v>0</v>
          </cell>
        </row>
        <row r="32">
          <cell r="D32">
            <v>28653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26</v>
          </cell>
          <cell r="F35">
            <v>-26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1114</v>
          </cell>
          <cell r="F39">
            <v>0</v>
          </cell>
        </row>
        <row r="40">
          <cell r="D40">
            <v>709</v>
          </cell>
          <cell r="F40">
            <v>-709</v>
          </cell>
        </row>
        <row r="41">
          <cell r="D41">
            <v>18987</v>
          </cell>
          <cell r="F41">
            <v>0</v>
          </cell>
        </row>
        <row r="42">
          <cell r="D42">
            <v>1001</v>
          </cell>
          <cell r="F42">
            <v>0</v>
          </cell>
        </row>
        <row r="43">
          <cell r="D43">
            <v>4239</v>
          </cell>
          <cell r="F43">
            <v>-3294</v>
          </cell>
        </row>
        <row r="44">
          <cell r="D44">
            <v>0</v>
          </cell>
          <cell r="F44">
            <v>0</v>
          </cell>
        </row>
        <row r="45">
          <cell r="D45">
            <v>4692</v>
          </cell>
          <cell r="F45">
            <v>0</v>
          </cell>
        </row>
        <row r="57">
          <cell r="D57">
            <v>164963</v>
          </cell>
          <cell r="F57">
            <v>0</v>
          </cell>
        </row>
        <row r="58">
          <cell r="D58">
            <v>0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7737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5960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13942</v>
          </cell>
          <cell r="F75">
            <v>0</v>
          </cell>
        </row>
        <row r="76">
          <cell r="D76">
            <v>1273</v>
          </cell>
          <cell r="F76">
            <v>731</v>
          </cell>
        </row>
        <row r="77">
          <cell r="D77">
            <v>7776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182</v>
          </cell>
          <cell r="F79">
            <v>0</v>
          </cell>
        </row>
        <row r="80">
          <cell r="D80">
            <v>14108</v>
          </cell>
          <cell r="F80">
            <v>0</v>
          </cell>
        </row>
        <row r="81">
          <cell r="D81">
            <v>2931</v>
          </cell>
          <cell r="F81">
            <v>0</v>
          </cell>
        </row>
        <row r="82">
          <cell r="D82">
            <v>4361</v>
          </cell>
          <cell r="F82">
            <v>0</v>
          </cell>
        </row>
        <row r="83">
          <cell r="D83">
            <v>6851</v>
          </cell>
          <cell r="F83">
            <v>0</v>
          </cell>
        </row>
        <row r="84">
          <cell r="D84">
            <v>27650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99415</v>
          </cell>
          <cell r="F89">
            <v>0</v>
          </cell>
        </row>
        <row r="90">
          <cell r="D90">
            <v>8355</v>
          </cell>
          <cell r="F90">
            <v>5214</v>
          </cell>
        </row>
        <row r="91">
          <cell r="D91">
            <v>4943</v>
          </cell>
          <cell r="F91">
            <v>0</v>
          </cell>
        </row>
        <row r="92">
          <cell r="D92">
            <v>60559</v>
          </cell>
          <cell r="F92">
            <v>0</v>
          </cell>
        </row>
        <row r="93">
          <cell r="D93">
            <v>11052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19843</v>
          </cell>
          <cell r="F98">
            <v>0</v>
          </cell>
        </row>
        <row r="99">
          <cell r="D99">
            <v>1767</v>
          </cell>
          <cell r="F99">
            <v>1041</v>
          </cell>
        </row>
        <row r="100">
          <cell r="D100">
            <v>4914</v>
          </cell>
          <cell r="F100">
            <v>0</v>
          </cell>
        </row>
        <row r="101">
          <cell r="D101">
            <v>549</v>
          </cell>
          <cell r="F101">
            <v>0</v>
          </cell>
        </row>
        <row r="102">
          <cell r="D102">
            <v>2243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36609</v>
          </cell>
          <cell r="F115">
            <v>0</v>
          </cell>
        </row>
        <row r="116">
          <cell r="D116">
            <v>3219</v>
          </cell>
          <cell r="F116">
            <v>1920</v>
          </cell>
        </row>
        <row r="117">
          <cell r="D117">
            <v>5974</v>
          </cell>
          <cell r="F117">
            <v>0</v>
          </cell>
        </row>
        <row r="118">
          <cell r="D118">
            <v>885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66202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0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9002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0</v>
          </cell>
        </row>
        <row r="136">
          <cell r="D136">
            <v>95832</v>
          </cell>
          <cell r="F136">
            <v>0</v>
          </cell>
        </row>
        <row r="137">
          <cell r="D137">
            <v>109671</v>
          </cell>
          <cell r="F137">
            <v>0</v>
          </cell>
        </row>
        <row r="138">
          <cell r="D138">
            <v>320649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22972</v>
          </cell>
          <cell r="F141">
            <v>-9666</v>
          </cell>
        </row>
        <row r="142">
          <cell r="D142">
            <v>0</v>
          </cell>
          <cell r="F142">
            <v>14914</v>
          </cell>
        </row>
        <row r="143">
          <cell r="D143">
            <v>28150</v>
          </cell>
          <cell r="F143">
            <v>16816</v>
          </cell>
        </row>
        <row r="144">
          <cell r="D144">
            <v>0</v>
          </cell>
          <cell r="F144">
            <v>0</v>
          </cell>
        </row>
        <row r="146">
          <cell r="D146">
            <v>12000</v>
          </cell>
          <cell r="F146">
            <v>0</v>
          </cell>
        </row>
        <row r="147">
          <cell r="D147">
            <v>14442</v>
          </cell>
          <cell r="F147">
            <v>0</v>
          </cell>
        </row>
        <row r="148">
          <cell r="D148">
            <v>39269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5370</v>
          </cell>
          <cell r="F150">
            <v>0</v>
          </cell>
        </row>
        <row r="151">
          <cell r="D151">
            <v>41760</v>
          </cell>
          <cell r="F151">
            <v>0</v>
          </cell>
        </row>
        <row r="152">
          <cell r="D152">
            <v>490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4137</v>
          </cell>
          <cell r="F194">
            <v>0</v>
          </cell>
        </row>
        <row r="195">
          <cell r="D195">
            <v>4725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3357</v>
          </cell>
          <cell r="F197">
            <v>0</v>
          </cell>
        </row>
        <row r="198">
          <cell r="D198">
            <v>1156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8315</v>
          </cell>
          <cell r="F205">
            <v>0</v>
          </cell>
        </row>
        <row r="206">
          <cell r="D206">
            <v>55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88761</v>
          </cell>
          <cell r="F211">
            <v>0</v>
          </cell>
        </row>
        <row r="212">
          <cell r="D212">
            <v>4386</v>
          </cell>
          <cell r="F212">
            <v>4655</v>
          </cell>
        </row>
        <row r="213">
          <cell r="D213">
            <v>6737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4786</v>
          </cell>
          <cell r="F216">
            <v>0</v>
          </cell>
        </row>
        <row r="221">
          <cell r="D221">
            <v>1987586</v>
          </cell>
        </row>
      </sheetData>
      <sheetData sheetId="8"/>
      <sheetData sheetId="9"/>
      <sheetData sheetId="10">
        <row r="9">
          <cell r="C9">
            <v>10321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348</v>
          </cell>
          <cell r="I9">
            <v>205</v>
          </cell>
          <cell r="J9">
            <v>0</v>
          </cell>
          <cell r="K9">
            <v>0</v>
          </cell>
        </row>
        <row r="22">
          <cell r="N22">
            <v>34</v>
          </cell>
        </row>
        <row r="24">
          <cell r="N24">
            <v>34</v>
          </cell>
        </row>
        <row r="28">
          <cell r="N28">
            <v>12410</v>
          </cell>
        </row>
        <row r="30">
          <cell r="N30">
            <v>0.87622884770346499</v>
          </cell>
        </row>
        <row r="32">
          <cell r="N32">
            <v>0.83166800966962129</v>
          </cell>
        </row>
        <row r="34">
          <cell r="N34">
            <v>0.9491447489424315</v>
          </cell>
        </row>
      </sheetData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2302931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1655213</v>
          </cell>
          <cell r="G21">
            <v>0</v>
          </cell>
        </row>
        <row r="27">
          <cell r="E27">
            <v>55818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322832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57325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10437</v>
          </cell>
          <cell r="G67">
            <v>0</v>
          </cell>
        </row>
        <row r="85">
          <cell r="C85">
            <v>134.5390625</v>
          </cell>
          <cell r="E85">
            <v>136.5952380952381</v>
          </cell>
          <cell r="G85">
            <v>139.98294243070362</v>
          </cell>
          <cell r="I85">
            <v>138.4858757062147</v>
          </cell>
        </row>
      </sheetData>
      <sheetData sheetId="7"/>
      <sheetData sheetId="8">
        <row r="10">
          <cell r="D10">
            <v>200620</v>
          </cell>
          <cell r="F10">
            <v>9911</v>
          </cell>
        </row>
        <row r="11">
          <cell r="D11">
            <v>0</v>
          </cell>
          <cell r="F11">
            <v>0</v>
          </cell>
        </row>
        <row r="12">
          <cell r="D12">
            <v>89320</v>
          </cell>
          <cell r="F12">
            <v>4409</v>
          </cell>
        </row>
        <row r="13">
          <cell r="D13">
            <v>366258</v>
          </cell>
          <cell r="F13">
            <v>-325290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216283</v>
          </cell>
          <cell r="F16">
            <v>94381</v>
          </cell>
        </row>
        <row r="17">
          <cell r="D17">
            <v>0</v>
          </cell>
          <cell r="F17">
            <v>0</v>
          </cell>
        </row>
        <row r="18">
          <cell r="D18">
            <v>4105</v>
          </cell>
          <cell r="F18">
            <v>0</v>
          </cell>
        </row>
        <row r="19">
          <cell r="D19">
            <v>14517</v>
          </cell>
          <cell r="F19">
            <v>-867</v>
          </cell>
        </row>
        <row r="20">
          <cell r="D20">
            <v>32377</v>
          </cell>
          <cell r="F20">
            <v>0</v>
          </cell>
        </row>
        <row r="21">
          <cell r="D21">
            <v>14855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19929</v>
          </cell>
          <cell r="F23">
            <v>0</v>
          </cell>
        </row>
        <row r="24">
          <cell r="D24">
            <v>62759</v>
          </cell>
          <cell r="F24">
            <v>-9600</v>
          </cell>
        </row>
        <row r="25">
          <cell r="D25">
            <v>0</v>
          </cell>
          <cell r="F25">
            <v>0</v>
          </cell>
        </row>
        <row r="26">
          <cell r="D26">
            <v>236195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36325</v>
          </cell>
          <cell r="F29">
            <v>-36325</v>
          </cell>
        </row>
        <row r="30">
          <cell r="D30">
            <v>0</v>
          </cell>
          <cell r="F30">
            <v>0</v>
          </cell>
        </row>
        <row r="31">
          <cell r="D31">
            <v>39372</v>
          </cell>
          <cell r="F31">
            <v>0</v>
          </cell>
        </row>
        <row r="32">
          <cell r="D32">
            <v>64000</v>
          </cell>
          <cell r="F32">
            <v>-21875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206</v>
          </cell>
          <cell r="F35">
            <v>-206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1144</v>
          </cell>
          <cell r="F38">
            <v>-1144</v>
          </cell>
        </row>
        <row r="39">
          <cell r="D39">
            <v>3650</v>
          </cell>
          <cell r="F39">
            <v>0</v>
          </cell>
        </row>
        <row r="40">
          <cell r="D40">
            <v>4179</v>
          </cell>
          <cell r="F40">
            <v>0</v>
          </cell>
        </row>
        <row r="41">
          <cell r="D41">
            <v>10738</v>
          </cell>
          <cell r="F41">
            <v>0</v>
          </cell>
        </row>
        <row r="42">
          <cell r="D42">
            <v>4272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1664</v>
          </cell>
          <cell r="F45">
            <v>-10437</v>
          </cell>
        </row>
        <row r="57">
          <cell r="D57">
            <v>333329</v>
          </cell>
          <cell r="F57">
            <v>0</v>
          </cell>
        </row>
        <row r="58">
          <cell r="D58">
            <v>3275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12948</v>
          </cell>
          <cell r="F60">
            <v>0</v>
          </cell>
        </row>
        <row r="61">
          <cell r="D61">
            <v>6022</v>
          </cell>
          <cell r="F61">
            <v>0</v>
          </cell>
        </row>
        <row r="62">
          <cell r="D62">
            <v>8018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8125</v>
          </cell>
          <cell r="F65">
            <v>0</v>
          </cell>
        </row>
        <row r="66">
          <cell r="D66">
            <v>7564</v>
          </cell>
          <cell r="F66">
            <v>0</v>
          </cell>
        </row>
        <row r="67">
          <cell r="D67">
            <v>41377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4164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28374</v>
          </cell>
          <cell r="F75">
            <v>1402</v>
          </cell>
        </row>
        <row r="76">
          <cell r="D76">
            <v>0</v>
          </cell>
          <cell r="F76">
            <v>3904</v>
          </cell>
        </row>
        <row r="77">
          <cell r="D77">
            <v>10266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2060</v>
          </cell>
          <cell r="F79">
            <v>0</v>
          </cell>
        </row>
        <row r="80">
          <cell r="D80">
            <v>5787</v>
          </cell>
          <cell r="F80">
            <v>0</v>
          </cell>
        </row>
        <row r="81">
          <cell r="D81">
            <v>3171</v>
          </cell>
          <cell r="F81">
            <v>0</v>
          </cell>
        </row>
        <row r="82">
          <cell r="D82">
            <v>1350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76431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103193</v>
          </cell>
          <cell r="F89">
            <v>5098</v>
          </cell>
        </row>
        <row r="90">
          <cell r="D90">
            <v>0</v>
          </cell>
          <cell r="F90">
            <v>14196</v>
          </cell>
        </row>
        <row r="91">
          <cell r="D91">
            <v>12685</v>
          </cell>
          <cell r="F91">
            <v>0</v>
          </cell>
        </row>
        <row r="92">
          <cell r="D92">
            <v>99315</v>
          </cell>
          <cell r="F92">
            <v>0</v>
          </cell>
        </row>
        <row r="93">
          <cell r="D93">
            <v>14155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177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1198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57810</v>
          </cell>
          <cell r="F115">
            <v>2856</v>
          </cell>
        </row>
        <row r="116">
          <cell r="D116">
            <v>0</v>
          </cell>
          <cell r="F116">
            <v>7952</v>
          </cell>
        </row>
        <row r="117">
          <cell r="D117">
            <v>15700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121721</v>
          </cell>
          <cell r="F125">
            <v>6013</v>
          </cell>
        </row>
        <row r="126">
          <cell r="D126">
            <v>52744</v>
          </cell>
          <cell r="F126">
            <v>2606</v>
          </cell>
        </row>
        <row r="127">
          <cell r="D127">
            <v>0</v>
          </cell>
          <cell r="F127">
            <v>0</v>
          </cell>
        </row>
        <row r="128">
          <cell r="D128">
            <v>30284</v>
          </cell>
          <cell r="F128">
            <v>1496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16744</v>
          </cell>
        </row>
        <row r="132">
          <cell r="D132">
            <v>0</v>
          </cell>
          <cell r="F132">
            <v>7256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4166</v>
          </cell>
        </row>
        <row r="136">
          <cell r="D136">
            <v>207206</v>
          </cell>
          <cell r="F136">
            <v>10236</v>
          </cell>
        </row>
        <row r="137">
          <cell r="D137">
            <v>124975</v>
          </cell>
          <cell r="F137">
            <v>6174</v>
          </cell>
        </row>
        <row r="138">
          <cell r="D138">
            <v>309350</v>
          </cell>
          <cell r="F138">
            <v>15282</v>
          </cell>
        </row>
        <row r="139">
          <cell r="D139">
            <v>108106</v>
          </cell>
          <cell r="F139">
            <v>5340</v>
          </cell>
        </row>
        <row r="141">
          <cell r="D141">
            <v>0</v>
          </cell>
          <cell r="F141">
            <v>28504</v>
          </cell>
        </row>
        <row r="142">
          <cell r="D142">
            <v>0</v>
          </cell>
          <cell r="F142">
            <v>17192</v>
          </cell>
        </row>
        <row r="143">
          <cell r="D143">
            <v>0</v>
          </cell>
          <cell r="F143">
            <v>42555</v>
          </cell>
        </row>
        <row r="144">
          <cell r="D144">
            <v>0</v>
          </cell>
          <cell r="F144">
            <v>14872</v>
          </cell>
        </row>
        <row r="146">
          <cell r="D146">
            <v>18000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5422</v>
          </cell>
          <cell r="F150">
            <v>0</v>
          </cell>
        </row>
        <row r="151">
          <cell r="D151">
            <v>63858</v>
          </cell>
          <cell r="F151">
            <v>0</v>
          </cell>
        </row>
        <row r="152">
          <cell r="D152">
            <v>353</v>
          </cell>
          <cell r="F152">
            <v>0</v>
          </cell>
        </row>
        <row r="153">
          <cell r="D153">
            <v>192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1120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184147</v>
          </cell>
          <cell r="F177">
            <v>9097</v>
          </cell>
        </row>
        <row r="178">
          <cell r="D178">
            <v>0</v>
          </cell>
          <cell r="F178">
            <v>25332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103280</v>
          </cell>
          <cell r="F183">
            <v>5102</v>
          </cell>
        </row>
        <row r="184">
          <cell r="D184">
            <v>0</v>
          </cell>
          <cell r="F184">
            <v>14208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1131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409</v>
          </cell>
          <cell r="F194">
            <v>0</v>
          </cell>
        </row>
        <row r="195">
          <cell r="D195">
            <v>4989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-325</v>
          </cell>
          <cell r="F197">
            <v>0</v>
          </cell>
        </row>
        <row r="198">
          <cell r="D198">
            <v>26593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74136</v>
          </cell>
          <cell r="F205">
            <v>0</v>
          </cell>
        </row>
        <row r="206">
          <cell r="D206">
            <v>3861</v>
          </cell>
          <cell r="F206">
            <v>0</v>
          </cell>
        </row>
        <row r="207">
          <cell r="D207">
            <v>15648</v>
          </cell>
          <cell r="F207">
            <v>-279</v>
          </cell>
        </row>
        <row r="211">
          <cell r="D211">
            <v>69299</v>
          </cell>
          <cell r="F211">
            <v>3423</v>
          </cell>
        </row>
        <row r="212">
          <cell r="D212">
            <v>0</v>
          </cell>
          <cell r="F212">
            <v>9533</v>
          </cell>
        </row>
        <row r="213">
          <cell r="D213">
            <v>1710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6986</v>
          </cell>
          <cell r="F216">
            <v>0</v>
          </cell>
        </row>
        <row r="221">
          <cell r="D221">
            <v>3814457</v>
          </cell>
        </row>
      </sheetData>
      <sheetData sheetId="9"/>
      <sheetData sheetId="10"/>
      <sheetData sheetId="11"/>
      <sheetData sheetId="12">
        <row r="9">
          <cell r="C9">
            <v>9883</v>
          </cell>
          <cell r="D9">
            <v>0</v>
          </cell>
          <cell r="E9">
            <v>3036</v>
          </cell>
          <cell r="F9">
            <v>169</v>
          </cell>
          <cell r="G9">
            <v>0</v>
          </cell>
          <cell r="H9">
            <v>2356</v>
          </cell>
          <cell r="I9">
            <v>0</v>
          </cell>
          <cell r="J9">
            <v>324</v>
          </cell>
          <cell r="K9">
            <v>0</v>
          </cell>
        </row>
        <row r="22">
          <cell r="N22">
            <v>100</v>
          </cell>
        </row>
        <row r="24">
          <cell r="N24">
            <v>100</v>
          </cell>
        </row>
        <row r="28">
          <cell r="N28">
            <v>36500</v>
          </cell>
        </row>
        <row r="30">
          <cell r="N30">
            <v>0.432</v>
          </cell>
        </row>
        <row r="32">
          <cell r="N32">
            <v>0.27076712328767122</v>
          </cell>
        </row>
        <row r="34">
          <cell r="N34">
            <v>0.62677574835109084</v>
          </cell>
        </row>
      </sheetData>
      <sheetData sheetId="1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upp-1012"/>
      <sheetName val="Supp-10-490"/>
      <sheetName val="Supp-70-490"/>
      <sheetName val="Supp-90-490"/>
    </sheetNames>
    <sheetDataSet>
      <sheetData sheetId="0"/>
      <sheetData sheetId="1"/>
      <sheetData sheetId="2"/>
      <sheetData sheetId="3"/>
      <sheetData sheetId="4"/>
      <sheetData sheetId="5">
        <row r="85">
          <cell r="C85">
            <v>190.50153846153847</v>
          </cell>
          <cell r="E85">
            <v>190.49886621315193</v>
          </cell>
          <cell r="G85">
            <v>190.50295857988166</v>
          </cell>
          <cell r="I85">
            <v>190.50268817204301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6159073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1544639</v>
          </cell>
          <cell r="G21">
            <v>0</v>
          </cell>
        </row>
        <row r="27">
          <cell r="E27">
            <v>1732159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288117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494312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3085</v>
          </cell>
          <cell r="G67">
            <v>0</v>
          </cell>
        </row>
        <row r="85">
          <cell r="C85">
            <v>191.31176470588235</v>
          </cell>
          <cell r="E85">
            <v>213.5595238095238</v>
          </cell>
          <cell r="G85">
            <v>196.21220930232559</v>
          </cell>
          <cell r="I85">
            <v>294.50337837837839</v>
          </cell>
        </row>
      </sheetData>
      <sheetData sheetId="7"/>
      <sheetData sheetId="8">
        <row r="10">
          <cell r="D10">
            <v>150489</v>
          </cell>
          <cell r="F10">
            <v>7911</v>
          </cell>
        </row>
        <row r="11">
          <cell r="D11">
            <v>0</v>
          </cell>
          <cell r="F11">
            <v>0</v>
          </cell>
        </row>
        <row r="12">
          <cell r="D12">
            <v>269284</v>
          </cell>
          <cell r="F12">
            <v>14154</v>
          </cell>
        </row>
        <row r="13">
          <cell r="D13">
            <v>832523</v>
          </cell>
          <cell r="F13">
            <v>-749488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506915</v>
          </cell>
          <cell r="F16">
            <v>239632</v>
          </cell>
        </row>
        <row r="17">
          <cell r="D17">
            <v>0</v>
          </cell>
          <cell r="F17">
            <v>0</v>
          </cell>
        </row>
        <row r="18">
          <cell r="D18">
            <v>19505</v>
          </cell>
          <cell r="F18">
            <v>0</v>
          </cell>
        </row>
        <row r="19">
          <cell r="D19">
            <v>21538</v>
          </cell>
          <cell r="F19">
            <v>-1459</v>
          </cell>
        </row>
        <row r="20">
          <cell r="D20">
            <v>39377</v>
          </cell>
          <cell r="F20">
            <v>0</v>
          </cell>
        </row>
        <row r="21">
          <cell r="D21">
            <v>15162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9429</v>
          </cell>
          <cell r="F23">
            <v>0</v>
          </cell>
        </row>
        <row r="24">
          <cell r="D24">
            <v>90788</v>
          </cell>
          <cell r="F24">
            <v>-24000</v>
          </cell>
        </row>
        <row r="25">
          <cell r="D25">
            <v>0</v>
          </cell>
          <cell r="F25">
            <v>0</v>
          </cell>
        </row>
        <row r="26">
          <cell r="D26">
            <v>486038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285522</v>
          </cell>
          <cell r="F29">
            <v>-285522</v>
          </cell>
        </row>
        <row r="30">
          <cell r="D30">
            <v>0</v>
          </cell>
          <cell r="F30">
            <v>0</v>
          </cell>
        </row>
        <row r="31">
          <cell r="D31">
            <v>151572</v>
          </cell>
          <cell r="F31">
            <v>0</v>
          </cell>
        </row>
        <row r="32">
          <cell r="D32">
            <v>213400</v>
          </cell>
          <cell r="F32">
            <v>-72939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7840</v>
          </cell>
          <cell r="F35">
            <v>-7840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6961</v>
          </cell>
          <cell r="F39">
            <v>0</v>
          </cell>
        </row>
        <row r="40">
          <cell r="D40">
            <v>4482</v>
          </cell>
          <cell r="F40">
            <v>0</v>
          </cell>
        </row>
        <row r="41">
          <cell r="D41">
            <v>68673</v>
          </cell>
          <cell r="F41">
            <v>0</v>
          </cell>
        </row>
        <row r="42">
          <cell r="D42">
            <v>11244</v>
          </cell>
          <cell r="F42">
            <v>0</v>
          </cell>
        </row>
        <row r="43">
          <cell r="D43">
            <v>9265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27410</v>
          </cell>
          <cell r="F45">
            <v>-2458</v>
          </cell>
        </row>
        <row r="57">
          <cell r="D57">
            <v>1163611</v>
          </cell>
          <cell r="F57">
            <v>0</v>
          </cell>
        </row>
        <row r="58">
          <cell r="D58">
            <v>19727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68131</v>
          </cell>
          <cell r="F60">
            <v>0</v>
          </cell>
        </row>
        <row r="61">
          <cell r="D61">
            <v>11862</v>
          </cell>
          <cell r="F61">
            <v>0</v>
          </cell>
        </row>
        <row r="62">
          <cell r="D62">
            <v>17574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7372</v>
          </cell>
          <cell r="F65">
            <v>0</v>
          </cell>
        </row>
        <row r="66">
          <cell r="D66">
            <v>11438</v>
          </cell>
          <cell r="F66">
            <v>0</v>
          </cell>
        </row>
        <row r="67">
          <cell r="D67">
            <v>127373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11154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73390</v>
          </cell>
          <cell r="F75">
            <v>3858</v>
          </cell>
        </row>
        <row r="76">
          <cell r="D76">
            <v>0</v>
          </cell>
          <cell r="F76">
            <v>8772</v>
          </cell>
        </row>
        <row r="77">
          <cell r="D77">
            <v>16139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6602</v>
          </cell>
          <cell r="F79">
            <v>0</v>
          </cell>
        </row>
        <row r="80">
          <cell r="D80">
            <v>40707</v>
          </cell>
          <cell r="F80">
            <v>0</v>
          </cell>
        </row>
        <row r="81">
          <cell r="D81">
            <v>27589</v>
          </cell>
          <cell r="F81">
            <v>0</v>
          </cell>
        </row>
        <row r="82">
          <cell r="D82">
            <v>11384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155465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264883</v>
          </cell>
          <cell r="F89">
            <v>13925</v>
          </cell>
        </row>
        <row r="90">
          <cell r="D90">
            <v>0</v>
          </cell>
          <cell r="F90">
            <v>31658</v>
          </cell>
        </row>
        <row r="91">
          <cell r="D91">
            <v>4304</v>
          </cell>
          <cell r="F91">
            <v>0</v>
          </cell>
        </row>
        <row r="92">
          <cell r="D92">
            <v>212253</v>
          </cell>
          <cell r="F92">
            <v>0</v>
          </cell>
        </row>
        <row r="93">
          <cell r="D93">
            <v>20150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27689</v>
          </cell>
          <cell r="F98">
            <v>1456</v>
          </cell>
        </row>
        <row r="99">
          <cell r="D99">
            <v>0</v>
          </cell>
          <cell r="F99">
            <v>3310</v>
          </cell>
        </row>
        <row r="100">
          <cell r="D100">
            <v>4973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8722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122056</v>
          </cell>
          <cell r="F115">
            <v>6417</v>
          </cell>
        </row>
        <row r="116">
          <cell r="D116">
            <v>0</v>
          </cell>
          <cell r="F116">
            <v>14588</v>
          </cell>
        </row>
        <row r="117">
          <cell r="D117">
            <v>24180</v>
          </cell>
          <cell r="F117">
            <v>0</v>
          </cell>
        </row>
        <row r="118">
          <cell r="D118">
            <v>6957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185064</v>
          </cell>
          <cell r="F125">
            <v>9729</v>
          </cell>
        </row>
        <row r="126">
          <cell r="D126">
            <v>85733</v>
          </cell>
          <cell r="F126">
            <v>4507</v>
          </cell>
        </row>
        <row r="127">
          <cell r="D127">
            <v>0</v>
          </cell>
          <cell r="F127">
            <v>0</v>
          </cell>
        </row>
        <row r="128">
          <cell r="D128">
            <v>35069</v>
          </cell>
          <cell r="F128">
            <v>1844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22118</v>
          </cell>
        </row>
        <row r="132">
          <cell r="D132">
            <v>0</v>
          </cell>
          <cell r="F132">
            <v>10247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4192</v>
          </cell>
        </row>
        <row r="136">
          <cell r="D136">
            <v>560023</v>
          </cell>
          <cell r="F136">
            <v>29441</v>
          </cell>
        </row>
        <row r="137">
          <cell r="D137">
            <v>610194</v>
          </cell>
          <cell r="F137">
            <v>32079</v>
          </cell>
        </row>
        <row r="138">
          <cell r="D138">
            <v>760114</v>
          </cell>
          <cell r="F138">
            <v>39960</v>
          </cell>
        </row>
        <row r="139">
          <cell r="D139">
            <v>171528</v>
          </cell>
          <cell r="F139">
            <v>9017</v>
          </cell>
        </row>
        <row r="141">
          <cell r="D141">
            <v>0</v>
          </cell>
          <cell r="F141">
            <v>66931</v>
          </cell>
        </row>
        <row r="142">
          <cell r="D142">
            <v>0</v>
          </cell>
          <cell r="F142">
            <v>72928</v>
          </cell>
        </row>
        <row r="143">
          <cell r="D143">
            <v>0</v>
          </cell>
          <cell r="F143">
            <v>90846</v>
          </cell>
        </row>
        <row r="144">
          <cell r="D144">
            <v>0</v>
          </cell>
          <cell r="F144">
            <v>20500</v>
          </cell>
        </row>
        <row r="146">
          <cell r="D146">
            <v>41738</v>
          </cell>
          <cell r="F146">
            <v>0</v>
          </cell>
        </row>
        <row r="147">
          <cell r="D147">
            <v>3370</v>
          </cell>
          <cell r="F147">
            <v>0</v>
          </cell>
        </row>
        <row r="148">
          <cell r="D148">
            <v>2357</v>
          </cell>
          <cell r="F148">
            <v>0</v>
          </cell>
        </row>
        <row r="149">
          <cell r="D149">
            <v>5365</v>
          </cell>
          <cell r="F149">
            <v>0</v>
          </cell>
        </row>
        <row r="150">
          <cell r="D150">
            <v>25355</v>
          </cell>
          <cell r="F150">
            <v>0</v>
          </cell>
        </row>
        <row r="151">
          <cell r="D151">
            <v>206592</v>
          </cell>
          <cell r="F151">
            <v>0</v>
          </cell>
        </row>
        <row r="152">
          <cell r="D152">
            <v>426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16946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380949</v>
          </cell>
          <cell r="F177">
            <v>20027</v>
          </cell>
        </row>
        <row r="178">
          <cell r="D178">
            <v>0</v>
          </cell>
          <cell r="F178">
            <v>45529</v>
          </cell>
        </row>
        <row r="179">
          <cell r="D179">
            <v>34487</v>
          </cell>
          <cell r="F179">
            <v>1813</v>
          </cell>
        </row>
        <row r="180">
          <cell r="D180">
            <v>0</v>
          </cell>
          <cell r="F180">
            <v>4122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216332</v>
          </cell>
          <cell r="F183">
            <v>11373</v>
          </cell>
        </row>
        <row r="184">
          <cell r="D184">
            <v>0</v>
          </cell>
          <cell r="F184">
            <v>25855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3892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3087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52762</v>
          </cell>
          <cell r="F198">
            <v>-5163</v>
          </cell>
        </row>
        <row r="199">
          <cell r="D199">
            <v>232651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295290</v>
          </cell>
          <cell r="F205">
            <v>0</v>
          </cell>
        </row>
        <row r="206">
          <cell r="D206">
            <v>32219</v>
          </cell>
          <cell r="F206">
            <v>0</v>
          </cell>
        </row>
        <row r="207">
          <cell r="D207">
            <v>66104</v>
          </cell>
          <cell r="F207">
            <v>-2052</v>
          </cell>
        </row>
        <row r="211">
          <cell r="D211">
            <v>191178</v>
          </cell>
          <cell r="F211">
            <v>10050</v>
          </cell>
        </row>
        <row r="212">
          <cell r="D212">
            <v>0</v>
          </cell>
          <cell r="F212">
            <v>22849</v>
          </cell>
        </row>
        <row r="213">
          <cell r="D213">
            <v>4717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6998</v>
          </cell>
          <cell r="F216">
            <v>0</v>
          </cell>
        </row>
        <row r="221">
          <cell r="D221">
            <v>9923642</v>
          </cell>
        </row>
      </sheetData>
      <sheetData sheetId="9"/>
      <sheetData sheetId="10"/>
      <sheetData sheetId="11"/>
      <sheetData sheetId="12">
        <row r="9">
          <cell r="C9">
            <v>22079</v>
          </cell>
          <cell r="D9">
            <v>0</v>
          </cell>
          <cell r="E9">
            <v>2681</v>
          </cell>
          <cell r="F9">
            <v>3755</v>
          </cell>
          <cell r="G9">
            <v>0</v>
          </cell>
          <cell r="H9">
            <v>1318</v>
          </cell>
          <cell r="I9">
            <v>0</v>
          </cell>
          <cell r="J9">
            <v>2571</v>
          </cell>
          <cell r="K9">
            <v>0</v>
          </cell>
        </row>
        <row r="22">
          <cell r="N22">
            <v>220</v>
          </cell>
        </row>
        <row r="24">
          <cell r="N24">
            <v>220</v>
          </cell>
        </row>
        <row r="28">
          <cell r="N28">
            <v>80300</v>
          </cell>
        </row>
        <row r="30">
          <cell r="N30">
            <v>0.40353673723536737</v>
          </cell>
        </row>
        <row r="32">
          <cell r="N32">
            <v>0.27495641344956412</v>
          </cell>
        </row>
        <row r="34">
          <cell r="N34">
            <v>0.68136649796321436</v>
          </cell>
        </row>
      </sheetData>
      <sheetData sheetId="1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2072495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3362699</v>
          </cell>
          <cell r="G21">
            <v>0</v>
          </cell>
        </row>
        <row r="27">
          <cell r="E27">
            <v>886283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635146</v>
          </cell>
          <cell r="G37">
            <v>0</v>
          </cell>
        </row>
        <row r="42">
          <cell r="E42">
            <v>253509</v>
          </cell>
          <cell r="G42">
            <v>0</v>
          </cell>
        </row>
        <row r="47">
          <cell r="E47">
            <v>21023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919989</v>
          </cell>
          <cell r="G67">
            <v>-378</v>
          </cell>
        </row>
        <row r="85">
          <cell r="C85">
            <v>160.37865612648221</v>
          </cell>
          <cell r="E85">
            <v>170.73754152823921</v>
          </cell>
          <cell r="G85">
            <v>163.75822784810126</v>
          </cell>
          <cell r="I85">
            <v>164.96610169491527</v>
          </cell>
        </row>
      </sheetData>
      <sheetData sheetId="6"/>
      <sheetData sheetId="7">
        <row r="10">
          <cell r="D10">
            <v>166476.54999999999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217835.13</v>
          </cell>
          <cell r="F12">
            <v>-33921</v>
          </cell>
        </row>
        <row r="13">
          <cell r="D13">
            <v>109477.94</v>
          </cell>
          <cell r="F13">
            <v>-11003</v>
          </cell>
        </row>
        <row r="14">
          <cell r="D14">
            <v>0</v>
          </cell>
          <cell r="F14">
            <v>0</v>
          </cell>
        </row>
        <row r="15">
          <cell r="D15">
            <v>781635.47</v>
          </cell>
          <cell r="F15">
            <v>-781635</v>
          </cell>
        </row>
        <row r="16">
          <cell r="D16">
            <v>0</v>
          </cell>
          <cell r="F16">
            <v>323166</v>
          </cell>
        </row>
        <row r="17">
          <cell r="D17">
            <v>0</v>
          </cell>
          <cell r="F17">
            <v>0</v>
          </cell>
        </row>
        <row r="18">
          <cell r="D18">
            <v>34157.19</v>
          </cell>
          <cell r="F18">
            <v>0</v>
          </cell>
        </row>
        <row r="19">
          <cell r="D19">
            <v>18456.37</v>
          </cell>
          <cell r="F19">
            <v>1613</v>
          </cell>
        </row>
        <row r="20">
          <cell r="D20">
            <v>20367.900000000001</v>
          </cell>
          <cell r="F20">
            <v>0</v>
          </cell>
        </row>
        <row r="21">
          <cell r="D21">
            <v>24805.75</v>
          </cell>
          <cell r="F21">
            <v>22724</v>
          </cell>
        </row>
        <row r="22">
          <cell r="D22">
            <v>0</v>
          </cell>
          <cell r="F22">
            <v>0</v>
          </cell>
        </row>
        <row r="23">
          <cell r="D23">
            <v>32778.92</v>
          </cell>
          <cell r="F23">
            <v>30612</v>
          </cell>
        </row>
        <row r="24">
          <cell r="D24">
            <v>45665.13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292020.38</v>
          </cell>
          <cell r="F26">
            <v>0</v>
          </cell>
        </row>
        <row r="27">
          <cell r="D27">
            <v>0</v>
          </cell>
          <cell r="F27">
            <v>15138</v>
          </cell>
        </row>
        <row r="28">
          <cell r="D28">
            <v>0</v>
          </cell>
          <cell r="F28">
            <v>0</v>
          </cell>
        </row>
        <row r="29">
          <cell r="D29">
            <v>46714.92</v>
          </cell>
          <cell r="F29">
            <v>-46714.92</v>
          </cell>
        </row>
        <row r="30">
          <cell r="D30">
            <v>100</v>
          </cell>
          <cell r="F30">
            <v>-100</v>
          </cell>
        </row>
        <row r="31">
          <cell r="D31">
            <v>0</v>
          </cell>
          <cell r="F31">
            <v>0</v>
          </cell>
        </row>
        <row r="32">
          <cell r="D32">
            <v>118836.22</v>
          </cell>
          <cell r="F32">
            <v>6349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28156.94</v>
          </cell>
          <cell r="F39">
            <v>5881</v>
          </cell>
        </row>
        <row r="40">
          <cell r="D40">
            <v>28512.53</v>
          </cell>
          <cell r="F40">
            <v>-28512.53</v>
          </cell>
        </row>
        <row r="41">
          <cell r="D41">
            <v>35687.519999999997</v>
          </cell>
          <cell r="F41">
            <v>38490</v>
          </cell>
        </row>
        <row r="42">
          <cell r="D42">
            <v>0</v>
          </cell>
          <cell r="F42">
            <v>3202</v>
          </cell>
        </row>
        <row r="43">
          <cell r="D43">
            <v>0</v>
          </cell>
          <cell r="F43">
            <v>0</v>
          </cell>
        </row>
        <row r="44">
          <cell r="D44">
            <v>-500</v>
          </cell>
          <cell r="F44">
            <v>0</v>
          </cell>
        </row>
        <row r="45">
          <cell r="D45">
            <v>5885.24</v>
          </cell>
          <cell r="F45">
            <v>755</v>
          </cell>
        </row>
        <row r="57">
          <cell r="D57">
            <v>995612.04</v>
          </cell>
          <cell r="F57">
            <v>-995612</v>
          </cell>
        </row>
        <row r="58">
          <cell r="D58">
            <v>137683.64000000001</v>
          </cell>
          <cell r="F58">
            <v>14868</v>
          </cell>
        </row>
        <row r="59">
          <cell r="D59">
            <v>0</v>
          </cell>
          <cell r="F59">
            <v>307713</v>
          </cell>
        </row>
        <row r="60">
          <cell r="D60">
            <v>43290.46</v>
          </cell>
          <cell r="F60">
            <v>-5937</v>
          </cell>
        </row>
        <row r="61">
          <cell r="D61">
            <v>14625.03</v>
          </cell>
          <cell r="F61">
            <v>2180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53111.040000000001</v>
          </cell>
          <cell r="F67">
            <v>14278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6863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47448.68</v>
          </cell>
          <cell r="F75">
            <v>0</v>
          </cell>
        </row>
        <row r="76">
          <cell r="D76">
            <v>17771.97</v>
          </cell>
          <cell r="F76">
            <v>0</v>
          </cell>
        </row>
        <row r="77">
          <cell r="D77">
            <v>10613.6</v>
          </cell>
          <cell r="F77">
            <v>0</v>
          </cell>
        </row>
        <row r="78">
          <cell r="D78">
            <v>36012.57</v>
          </cell>
          <cell r="F78">
            <v>1406</v>
          </cell>
        </row>
        <row r="79">
          <cell r="D79">
            <v>32165.919999999998</v>
          </cell>
          <cell r="F79">
            <v>0</v>
          </cell>
        </row>
        <row r="80">
          <cell r="D80">
            <v>49463.79</v>
          </cell>
          <cell r="F80">
            <v>0</v>
          </cell>
        </row>
        <row r="81">
          <cell r="D81">
            <v>7803.52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162766.18</v>
          </cell>
          <cell r="F84">
            <v>916</v>
          </cell>
        </row>
        <row r="85">
          <cell r="D85">
            <v>781.12</v>
          </cell>
          <cell r="F85">
            <v>0</v>
          </cell>
        </row>
        <row r="89">
          <cell r="D89">
            <v>255601.88</v>
          </cell>
          <cell r="F89">
            <v>0</v>
          </cell>
        </row>
        <row r="90">
          <cell r="D90">
            <v>70356.13</v>
          </cell>
          <cell r="F90">
            <v>0</v>
          </cell>
        </row>
        <row r="91">
          <cell r="D91">
            <v>23801.37</v>
          </cell>
          <cell r="F91">
            <v>0</v>
          </cell>
        </row>
        <row r="92">
          <cell r="D92">
            <v>197070.01</v>
          </cell>
          <cell r="F92">
            <v>-356</v>
          </cell>
        </row>
        <row r="93">
          <cell r="D93">
            <v>12183.84</v>
          </cell>
          <cell r="F93">
            <v>0</v>
          </cell>
        </row>
        <row r="94">
          <cell r="D94">
            <v>9938.9</v>
          </cell>
          <cell r="F94">
            <v>0</v>
          </cell>
        </row>
        <row r="98">
          <cell r="D98">
            <v>30675.08</v>
          </cell>
          <cell r="F98">
            <v>0</v>
          </cell>
        </row>
        <row r="99">
          <cell r="D99">
            <v>3982.77</v>
          </cell>
          <cell r="F99">
            <v>0</v>
          </cell>
        </row>
        <row r="100">
          <cell r="D100">
            <v>5071.22</v>
          </cell>
          <cell r="F100">
            <v>0</v>
          </cell>
        </row>
        <row r="101">
          <cell r="D101">
            <v>39.880000000000003</v>
          </cell>
          <cell r="F101">
            <v>0</v>
          </cell>
        </row>
        <row r="102">
          <cell r="D102">
            <v>6291.16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79731.62</v>
          </cell>
          <cell r="F115">
            <v>0</v>
          </cell>
        </row>
        <row r="116">
          <cell r="D116">
            <v>27489.279999999999</v>
          </cell>
          <cell r="F116">
            <v>0</v>
          </cell>
        </row>
        <row r="117">
          <cell r="D117">
            <v>18426.54</v>
          </cell>
          <cell r="F117">
            <v>0</v>
          </cell>
        </row>
        <row r="118">
          <cell r="D118">
            <v>38.4</v>
          </cell>
          <cell r="F118">
            <v>0</v>
          </cell>
        </row>
        <row r="119">
          <cell r="D119">
            <v>712</v>
          </cell>
          <cell r="F119">
            <v>0</v>
          </cell>
        </row>
        <row r="124">
          <cell r="D124">
            <v>94816.97</v>
          </cell>
          <cell r="F124">
            <v>53071</v>
          </cell>
        </row>
        <row r="125">
          <cell r="D125">
            <v>48075.73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38847.839999999997</v>
          </cell>
          <cell r="F128">
            <v>0</v>
          </cell>
        </row>
        <row r="130">
          <cell r="D130">
            <v>24395.460000000003</v>
          </cell>
          <cell r="F130">
            <v>0</v>
          </cell>
        </row>
        <row r="131">
          <cell r="D131">
            <v>12361.210000000001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11306.21</v>
          </cell>
          <cell r="F134">
            <v>0</v>
          </cell>
        </row>
        <row r="136">
          <cell r="D136">
            <v>607609.80999999994</v>
          </cell>
          <cell r="F136">
            <v>0</v>
          </cell>
        </row>
        <row r="137">
          <cell r="D137">
            <v>247841.12</v>
          </cell>
          <cell r="F137">
            <v>0</v>
          </cell>
        </row>
        <row r="138">
          <cell r="D138">
            <v>643827</v>
          </cell>
          <cell r="F138">
            <v>0</v>
          </cell>
        </row>
        <row r="139">
          <cell r="D139">
            <v>144170.13</v>
          </cell>
          <cell r="F139">
            <v>0</v>
          </cell>
        </row>
        <row r="141">
          <cell r="D141">
            <v>156331.92000000001</v>
          </cell>
          <cell r="F141">
            <v>0</v>
          </cell>
        </row>
        <row r="142">
          <cell r="D142">
            <v>63767.040000000001</v>
          </cell>
          <cell r="F142">
            <v>0</v>
          </cell>
        </row>
        <row r="143">
          <cell r="D143">
            <v>191735.95</v>
          </cell>
          <cell r="F143">
            <v>0</v>
          </cell>
        </row>
        <row r="144">
          <cell r="D144">
            <v>11007.81</v>
          </cell>
          <cell r="F144">
            <v>0</v>
          </cell>
        </row>
        <row r="146">
          <cell r="D146">
            <v>20584.919999999998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7930.3</v>
          </cell>
          <cell r="F150">
            <v>0</v>
          </cell>
        </row>
        <row r="151">
          <cell r="D151">
            <v>96494.64</v>
          </cell>
          <cell r="F151">
            <v>0</v>
          </cell>
        </row>
        <row r="152">
          <cell r="D152">
            <v>10133.15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15318.22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428679.01</v>
          </cell>
          <cell r="F177">
            <v>16334</v>
          </cell>
        </row>
        <row r="178">
          <cell r="D178">
            <v>103768.42</v>
          </cell>
          <cell r="F178">
            <v>0</v>
          </cell>
        </row>
        <row r="179">
          <cell r="D179">
            <v>85241.34</v>
          </cell>
          <cell r="F179">
            <v>0</v>
          </cell>
        </row>
        <row r="180">
          <cell r="D180">
            <v>19729.310000000001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268859.49</v>
          </cell>
          <cell r="F183">
            <v>0</v>
          </cell>
        </row>
        <row r="184">
          <cell r="D184">
            <v>77110.97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808.79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56352.89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2088.25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286502.71000000002</v>
          </cell>
          <cell r="F205">
            <v>0</v>
          </cell>
        </row>
        <row r="206">
          <cell r="D206">
            <v>17146.169999999998</v>
          </cell>
          <cell r="F206">
            <v>0</v>
          </cell>
        </row>
        <row r="207">
          <cell r="D207">
            <v>16155.75</v>
          </cell>
          <cell r="F207">
            <v>0</v>
          </cell>
        </row>
        <row r="211">
          <cell r="D211">
            <v>103863.95</v>
          </cell>
          <cell r="F211">
            <v>0</v>
          </cell>
        </row>
        <row r="212">
          <cell r="D212">
            <v>18739.63</v>
          </cell>
          <cell r="F212">
            <v>0</v>
          </cell>
        </row>
        <row r="213">
          <cell r="D213">
            <v>11789.65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5905.8</v>
          </cell>
          <cell r="F216">
            <v>0</v>
          </cell>
        </row>
        <row r="221">
          <cell r="D221">
            <v>8306927.2999999998</v>
          </cell>
        </row>
      </sheetData>
      <sheetData sheetId="8"/>
      <sheetData sheetId="9"/>
      <sheetData sheetId="10">
        <row r="9">
          <cell r="C9">
            <v>10369</v>
          </cell>
          <cell r="D9">
            <v>0</v>
          </cell>
          <cell r="E9">
            <v>6427</v>
          </cell>
          <cell r="F9">
            <v>2161</v>
          </cell>
          <cell r="G9">
            <v>0</v>
          </cell>
          <cell r="H9">
            <v>3849</v>
          </cell>
          <cell r="I9">
            <v>1264</v>
          </cell>
          <cell r="J9">
            <v>89</v>
          </cell>
          <cell r="K9">
            <v>0</v>
          </cell>
        </row>
        <row r="22">
          <cell r="N22">
            <v>124</v>
          </cell>
        </row>
        <row r="24">
          <cell r="N24">
            <v>124</v>
          </cell>
        </row>
        <row r="28">
          <cell r="N28">
            <v>45260</v>
          </cell>
        </row>
        <row r="30">
          <cell r="N30">
            <v>0.53378258948298718</v>
          </cell>
        </row>
        <row r="32">
          <cell r="N32">
            <v>0.22909854175872735</v>
          </cell>
        </row>
        <row r="34">
          <cell r="N34">
            <v>0.42919822840349353</v>
          </cell>
        </row>
      </sheetData>
      <sheetData sheetId="1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upp-1012"/>
      <sheetName val="Supp-10-490"/>
      <sheetName val="Supp-40-490"/>
      <sheetName val="Supp-70-490"/>
      <sheetName val="Supp-90-490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2010397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844353</v>
          </cell>
          <cell r="G21">
            <v>0</v>
          </cell>
        </row>
        <row r="27">
          <cell r="E27">
            <v>45116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694927</v>
          </cell>
          <cell r="G37">
            <v>0</v>
          </cell>
        </row>
        <row r="42">
          <cell r="E42">
            <v>163555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-1873</v>
          </cell>
          <cell r="G52">
            <v>0</v>
          </cell>
        </row>
        <row r="67">
          <cell r="E67">
            <v>91322</v>
          </cell>
          <cell r="G67">
            <v>-4096</v>
          </cell>
        </row>
        <row r="85">
          <cell r="C85">
            <v>187.00904977375566</v>
          </cell>
          <cell r="E85">
            <v>187.00922722029989</v>
          </cell>
          <cell r="G85">
            <v>187.00896414342628</v>
          </cell>
          <cell r="I85">
            <v>187.01015228426397</v>
          </cell>
        </row>
      </sheetData>
      <sheetData sheetId="6"/>
      <sheetData sheetId="7">
        <row r="10">
          <cell r="D10">
            <v>0</v>
          </cell>
          <cell r="F10">
            <v>97193</v>
          </cell>
        </row>
        <row r="11">
          <cell r="D11">
            <v>0</v>
          </cell>
          <cell r="F11">
            <v>0</v>
          </cell>
        </row>
        <row r="12">
          <cell r="D12">
            <v>182079</v>
          </cell>
          <cell r="F12">
            <v>-97193</v>
          </cell>
        </row>
        <row r="13">
          <cell r="D13">
            <v>50434</v>
          </cell>
          <cell r="F13">
            <v>206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194485</v>
          </cell>
          <cell r="F16">
            <v>-17100</v>
          </cell>
        </row>
        <row r="17">
          <cell r="D17">
            <v>585</v>
          </cell>
          <cell r="F17">
            <v>-585</v>
          </cell>
        </row>
        <row r="18">
          <cell r="D18">
            <v>14148</v>
          </cell>
          <cell r="F18">
            <v>0</v>
          </cell>
        </row>
        <row r="19">
          <cell r="D19">
            <v>9640</v>
          </cell>
          <cell r="F19">
            <v>0</v>
          </cell>
        </row>
        <row r="20">
          <cell r="D20">
            <v>6933</v>
          </cell>
          <cell r="F20">
            <v>0</v>
          </cell>
        </row>
        <row r="21">
          <cell r="D21">
            <v>15869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9229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6452</v>
          </cell>
          <cell r="F25">
            <v>0</v>
          </cell>
        </row>
        <row r="26">
          <cell r="D26">
            <v>274504</v>
          </cell>
          <cell r="F26">
            <v>0</v>
          </cell>
        </row>
        <row r="27">
          <cell r="D27">
            <v>9734</v>
          </cell>
          <cell r="F27">
            <v>-471</v>
          </cell>
        </row>
        <row r="28">
          <cell r="D28">
            <v>0</v>
          </cell>
          <cell r="F28">
            <v>0</v>
          </cell>
        </row>
        <row r="29">
          <cell r="D29">
            <v>13995</v>
          </cell>
          <cell r="F29">
            <v>-13995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48690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127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11489</v>
          </cell>
          <cell r="F36">
            <v>0</v>
          </cell>
        </row>
        <row r="37">
          <cell r="D37">
            <v>294</v>
          </cell>
          <cell r="F37">
            <v>0</v>
          </cell>
        </row>
        <row r="38">
          <cell r="D38">
            <v>41</v>
          </cell>
          <cell r="F38">
            <v>-41</v>
          </cell>
        </row>
        <row r="39">
          <cell r="D39">
            <v>4635</v>
          </cell>
          <cell r="F39">
            <v>0</v>
          </cell>
        </row>
        <row r="40">
          <cell r="D40">
            <v>7863</v>
          </cell>
          <cell r="F40">
            <v>-7863</v>
          </cell>
        </row>
        <row r="41">
          <cell r="D41">
            <v>46502</v>
          </cell>
          <cell r="F41">
            <v>0</v>
          </cell>
        </row>
        <row r="42">
          <cell r="D42">
            <v>75</v>
          </cell>
          <cell r="F42">
            <v>0</v>
          </cell>
        </row>
        <row r="43">
          <cell r="D43">
            <v>6127</v>
          </cell>
          <cell r="F43">
            <v>-6127</v>
          </cell>
        </row>
        <row r="44">
          <cell r="D44">
            <v>0</v>
          </cell>
          <cell r="F44">
            <v>0</v>
          </cell>
        </row>
        <row r="45">
          <cell r="D45">
            <v>4372</v>
          </cell>
          <cell r="F45">
            <v>-1655</v>
          </cell>
        </row>
        <row r="57">
          <cell r="D57">
            <v>0</v>
          </cell>
          <cell r="F57">
            <v>0</v>
          </cell>
        </row>
        <row r="58">
          <cell r="D58">
            <v>142784</v>
          </cell>
          <cell r="F58">
            <v>0</v>
          </cell>
        </row>
        <row r="59">
          <cell r="D59">
            <v>280150</v>
          </cell>
          <cell r="F59">
            <v>0</v>
          </cell>
        </row>
        <row r="60">
          <cell r="D60">
            <v>12747</v>
          </cell>
          <cell r="F60">
            <v>0</v>
          </cell>
        </row>
        <row r="61">
          <cell r="D61">
            <v>53475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2982</v>
          </cell>
          <cell r="F65">
            <v>0</v>
          </cell>
        </row>
        <row r="66">
          <cell r="D66">
            <v>25969</v>
          </cell>
          <cell r="F66">
            <v>-604</v>
          </cell>
        </row>
        <row r="67">
          <cell r="D67">
            <v>72992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4837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25265</v>
          </cell>
          <cell r="F75">
            <v>0</v>
          </cell>
        </row>
        <row r="76">
          <cell r="D76">
            <v>15414</v>
          </cell>
          <cell r="F76">
            <v>0</v>
          </cell>
        </row>
        <row r="77">
          <cell r="D77">
            <v>4495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1121</v>
          </cell>
          <cell r="F79">
            <v>0</v>
          </cell>
        </row>
        <row r="80">
          <cell r="D80">
            <v>18517</v>
          </cell>
          <cell r="F80">
            <v>0</v>
          </cell>
        </row>
        <row r="81">
          <cell r="D81">
            <v>5331</v>
          </cell>
          <cell r="F81">
            <v>0</v>
          </cell>
        </row>
        <row r="82">
          <cell r="D82">
            <v>3160</v>
          </cell>
          <cell r="F82">
            <v>0</v>
          </cell>
        </row>
        <row r="83">
          <cell r="D83">
            <v>2130</v>
          </cell>
          <cell r="F83">
            <v>0</v>
          </cell>
        </row>
        <row r="84">
          <cell r="D84">
            <v>58838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305033</v>
          </cell>
          <cell r="F91">
            <v>0</v>
          </cell>
        </row>
        <row r="92">
          <cell r="D92">
            <v>3463</v>
          </cell>
          <cell r="F92">
            <v>-3670</v>
          </cell>
        </row>
        <row r="93">
          <cell r="D93">
            <v>2468</v>
          </cell>
          <cell r="F93">
            <v>0</v>
          </cell>
        </row>
        <row r="94">
          <cell r="D94">
            <v>280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32</v>
          </cell>
          <cell r="F100">
            <v>0</v>
          </cell>
        </row>
        <row r="101">
          <cell r="D101">
            <v>47976</v>
          </cell>
          <cell r="F101">
            <v>0</v>
          </cell>
        </row>
        <row r="102">
          <cell r="D102">
            <v>3257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6458</v>
          </cell>
          <cell r="F117">
            <v>0</v>
          </cell>
        </row>
        <row r="118">
          <cell r="D118">
            <v>91320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124922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34494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34558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7303</v>
          </cell>
          <cell r="F134">
            <v>0</v>
          </cell>
        </row>
        <row r="136">
          <cell r="D136">
            <v>186763</v>
          </cell>
          <cell r="F136">
            <v>0</v>
          </cell>
        </row>
        <row r="137">
          <cell r="D137">
            <v>265473</v>
          </cell>
          <cell r="F137">
            <v>0</v>
          </cell>
        </row>
        <row r="138">
          <cell r="D138">
            <v>392014</v>
          </cell>
          <cell r="F138">
            <v>15643</v>
          </cell>
        </row>
        <row r="139">
          <cell r="D139">
            <v>15643</v>
          </cell>
          <cell r="F139">
            <v>-15643</v>
          </cell>
        </row>
        <row r="141">
          <cell r="D141">
            <v>202328</v>
          </cell>
          <cell r="F141">
            <v>-158384</v>
          </cell>
        </row>
        <row r="142">
          <cell r="D142">
            <v>0</v>
          </cell>
          <cell r="F142">
            <v>62464</v>
          </cell>
        </row>
        <row r="143">
          <cell r="D143">
            <v>0</v>
          </cell>
          <cell r="F143">
            <v>95920</v>
          </cell>
        </row>
        <row r="144">
          <cell r="D144">
            <v>0</v>
          </cell>
          <cell r="F144">
            <v>0</v>
          </cell>
        </row>
        <row r="146">
          <cell r="D146">
            <v>27070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629</v>
          </cell>
          <cell r="F150">
            <v>0</v>
          </cell>
        </row>
        <row r="151">
          <cell r="D151">
            <v>36122</v>
          </cell>
          <cell r="F151">
            <v>0</v>
          </cell>
        </row>
        <row r="152">
          <cell r="D152">
            <v>5016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75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9744</v>
          </cell>
          <cell r="F161">
            <v>396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108379</v>
          </cell>
          <cell r="F194">
            <v>-4194</v>
          </cell>
        </row>
        <row r="195">
          <cell r="D195">
            <v>3816</v>
          </cell>
          <cell r="F195">
            <v>-148</v>
          </cell>
        </row>
        <row r="196">
          <cell r="D196">
            <v>0</v>
          </cell>
          <cell r="F196">
            <v>0</v>
          </cell>
        </row>
        <row r="197">
          <cell r="D197">
            <v>88951</v>
          </cell>
          <cell r="F197">
            <v>-3442</v>
          </cell>
        </row>
        <row r="198">
          <cell r="D198">
            <v>18554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59614</v>
          </cell>
          <cell r="F205">
            <v>4486</v>
          </cell>
        </row>
        <row r="206">
          <cell r="D206">
            <v>582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86683</v>
          </cell>
          <cell r="F211">
            <v>0</v>
          </cell>
        </row>
        <row r="212">
          <cell r="D212">
            <v>19775</v>
          </cell>
          <cell r="F212">
            <v>0</v>
          </cell>
        </row>
        <row r="213">
          <cell r="D213">
            <v>1548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1976</v>
          </cell>
          <cell r="F216">
            <v>0</v>
          </cell>
        </row>
        <row r="221">
          <cell r="D221">
            <v>3840828</v>
          </cell>
        </row>
      </sheetData>
      <sheetData sheetId="8"/>
      <sheetData sheetId="9"/>
      <sheetData sheetId="10">
        <row r="9">
          <cell r="C9">
            <v>10103</v>
          </cell>
          <cell r="D9">
            <v>0</v>
          </cell>
          <cell r="E9">
            <v>1603</v>
          </cell>
          <cell r="F9">
            <v>99</v>
          </cell>
          <cell r="G9">
            <v>0</v>
          </cell>
          <cell r="H9">
            <v>3716</v>
          </cell>
          <cell r="I9">
            <v>829</v>
          </cell>
          <cell r="J9">
            <v>0</v>
          </cell>
          <cell r="K9">
            <v>0</v>
          </cell>
        </row>
        <row r="22">
          <cell r="N22">
            <v>98</v>
          </cell>
        </row>
        <row r="24">
          <cell r="N24">
            <v>98</v>
          </cell>
        </row>
        <row r="28">
          <cell r="N28">
            <v>35770</v>
          </cell>
        </row>
        <row r="30">
          <cell r="N30">
            <v>0.45708694436678782</v>
          </cell>
        </row>
        <row r="32">
          <cell r="N32">
            <v>0.28244338831422983</v>
          </cell>
        </row>
        <row r="34">
          <cell r="N34">
            <v>0.61792048929663612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6982700.5600000005</v>
          </cell>
          <cell r="G10">
            <v>144489.33000000007</v>
          </cell>
        </row>
        <row r="15">
          <cell r="E15">
            <v>0</v>
          </cell>
          <cell r="G15">
            <v>339012</v>
          </cell>
        </row>
        <row r="21">
          <cell r="E21">
            <v>3829573.79</v>
          </cell>
          <cell r="G21">
            <v>320687</v>
          </cell>
        </row>
        <row r="27">
          <cell r="E27">
            <v>1145069.6200000001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1040282.1499999999</v>
          </cell>
          <cell r="G37">
            <v>334484</v>
          </cell>
        </row>
        <row r="42">
          <cell r="E42">
            <v>0</v>
          </cell>
          <cell r="G42">
            <v>911852</v>
          </cell>
        </row>
        <row r="47">
          <cell r="E47">
            <v>1247189.9099999999</v>
          </cell>
          <cell r="G47">
            <v>-911852</v>
          </cell>
        </row>
        <row r="52">
          <cell r="E52">
            <v>0</v>
          </cell>
          <cell r="G52">
            <v>0</v>
          </cell>
        </row>
        <row r="67">
          <cell r="E67">
            <v>175711.69</v>
          </cell>
          <cell r="G67">
            <v>0</v>
          </cell>
        </row>
        <row r="85">
          <cell r="C85">
            <v>316.467903930131</v>
          </cell>
          <cell r="E85">
            <v>267.31893592677346</v>
          </cell>
          <cell r="G85">
            <v>321.30665895953757</v>
          </cell>
          <cell r="I85">
            <v>407.17906683480453</v>
          </cell>
        </row>
      </sheetData>
      <sheetData sheetId="6"/>
      <sheetData sheetId="7">
        <row r="10">
          <cell r="D10">
            <v>0</v>
          </cell>
          <cell r="F10">
            <v>106538</v>
          </cell>
        </row>
        <row r="11">
          <cell r="D11">
            <v>0</v>
          </cell>
          <cell r="F11">
            <v>0</v>
          </cell>
        </row>
        <row r="12">
          <cell r="D12">
            <v>195214.49</v>
          </cell>
          <cell r="F12">
            <v>-116674</v>
          </cell>
        </row>
        <row r="13">
          <cell r="D13">
            <v>66782.13</v>
          </cell>
          <cell r="F13">
            <v>-247.51000000000022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806549.71</v>
          </cell>
          <cell r="F16">
            <v>-22298</v>
          </cell>
        </row>
        <row r="17">
          <cell r="D17">
            <v>20325.990000000002</v>
          </cell>
          <cell r="F17">
            <v>-20326</v>
          </cell>
        </row>
        <row r="18">
          <cell r="D18">
            <v>13084.91</v>
          </cell>
          <cell r="F18">
            <v>0</v>
          </cell>
        </row>
        <row r="19">
          <cell r="D19">
            <v>49398.79</v>
          </cell>
          <cell r="F19">
            <v>0</v>
          </cell>
        </row>
        <row r="20">
          <cell r="D20">
            <v>29516.83</v>
          </cell>
          <cell r="F20">
            <v>0</v>
          </cell>
        </row>
        <row r="21">
          <cell r="D21">
            <v>111541.64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35955.54</v>
          </cell>
          <cell r="F23">
            <v>0</v>
          </cell>
        </row>
        <row r="24">
          <cell r="D24">
            <v>146583.31</v>
          </cell>
          <cell r="F24">
            <v>-14072</v>
          </cell>
        </row>
        <row r="25">
          <cell r="D25">
            <v>0</v>
          </cell>
          <cell r="F25">
            <v>0</v>
          </cell>
        </row>
        <row r="26">
          <cell r="D26">
            <v>682904.34</v>
          </cell>
          <cell r="F26">
            <v>0</v>
          </cell>
        </row>
        <row r="27">
          <cell r="D27">
            <v>13770.63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551438.36</v>
          </cell>
          <cell r="F29">
            <v>-551438.36</v>
          </cell>
        </row>
        <row r="30">
          <cell r="D30">
            <v>0</v>
          </cell>
          <cell r="F30">
            <v>0</v>
          </cell>
        </row>
        <row r="31">
          <cell r="D31">
            <v>1018.67</v>
          </cell>
          <cell r="F31">
            <v>0</v>
          </cell>
        </row>
        <row r="32">
          <cell r="D32">
            <v>500</v>
          </cell>
          <cell r="F32">
            <v>23281</v>
          </cell>
        </row>
        <row r="33">
          <cell r="D33">
            <v>-0.03</v>
          </cell>
          <cell r="F33">
            <v>0.03</v>
          </cell>
        </row>
        <row r="34">
          <cell r="D34">
            <v>0</v>
          </cell>
          <cell r="F34">
            <v>0</v>
          </cell>
        </row>
        <row r="35">
          <cell r="D35">
            <v>26097.41</v>
          </cell>
          <cell r="F35">
            <v>-26097.41</v>
          </cell>
        </row>
        <row r="36">
          <cell r="D36">
            <v>0</v>
          </cell>
          <cell r="F36">
            <v>116674</v>
          </cell>
        </row>
        <row r="37">
          <cell r="D37">
            <v>0</v>
          </cell>
          <cell r="F37">
            <v>11434</v>
          </cell>
        </row>
        <row r="38">
          <cell r="D38">
            <v>275.83999999999997</v>
          </cell>
          <cell r="F38">
            <v>0</v>
          </cell>
        </row>
        <row r="39">
          <cell r="D39">
            <v>5206.95</v>
          </cell>
          <cell r="F39">
            <v>0</v>
          </cell>
        </row>
        <row r="40">
          <cell r="D40">
            <v>20108.060000000001</v>
          </cell>
          <cell r="F40">
            <v>0</v>
          </cell>
        </row>
        <row r="41">
          <cell r="D41">
            <v>130585.64</v>
          </cell>
          <cell r="F41">
            <v>-20353</v>
          </cell>
        </row>
        <row r="42">
          <cell r="D42">
            <v>1940.26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213896.31</v>
          </cell>
          <cell r="F45">
            <v>-137655.76999999999</v>
          </cell>
        </row>
        <row r="57">
          <cell r="D57">
            <v>953218.05</v>
          </cell>
          <cell r="F57">
            <v>0</v>
          </cell>
        </row>
        <row r="58">
          <cell r="D58">
            <v>58549.98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49891.92</v>
          </cell>
          <cell r="F60">
            <v>0</v>
          </cell>
        </row>
        <row r="61">
          <cell r="D61">
            <v>36485.339999999997</v>
          </cell>
          <cell r="F61">
            <v>-23281</v>
          </cell>
        </row>
        <row r="62">
          <cell r="D62">
            <v>12287.67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1555.2</v>
          </cell>
          <cell r="F65">
            <v>0</v>
          </cell>
        </row>
        <row r="66">
          <cell r="D66">
            <v>14485.08</v>
          </cell>
          <cell r="F66">
            <v>0</v>
          </cell>
        </row>
        <row r="67">
          <cell r="D67">
            <v>203964.06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51484.83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72199</v>
          </cell>
          <cell r="F75">
            <v>0</v>
          </cell>
        </row>
        <row r="76">
          <cell r="D76">
            <v>7317.4</v>
          </cell>
          <cell r="F76">
            <v>0</v>
          </cell>
        </row>
        <row r="77">
          <cell r="D77">
            <v>4923.38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9594.2000000000007</v>
          </cell>
          <cell r="F79">
            <v>0</v>
          </cell>
        </row>
        <row r="80">
          <cell r="D80">
            <v>18177.3</v>
          </cell>
          <cell r="F80">
            <v>0</v>
          </cell>
        </row>
        <row r="81">
          <cell r="D81">
            <v>2405.5700000000002</v>
          </cell>
          <cell r="F81">
            <v>0</v>
          </cell>
        </row>
        <row r="82">
          <cell r="D82">
            <v>65707.929999999993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214026.51</v>
          </cell>
          <cell r="F84">
            <v>0</v>
          </cell>
        </row>
        <row r="85">
          <cell r="D85">
            <v>330</v>
          </cell>
          <cell r="F85">
            <v>0</v>
          </cell>
        </row>
        <row r="89">
          <cell r="D89">
            <v>479687.62</v>
          </cell>
          <cell r="F89">
            <v>0</v>
          </cell>
        </row>
        <row r="90">
          <cell r="D90">
            <v>89682.15</v>
          </cell>
          <cell r="F90">
            <v>0</v>
          </cell>
        </row>
        <row r="91">
          <cell r="D91">
            <v>3445.89</v>
          </cell>
          <cell r="F91">
            <v>0</v>
          </cell>
        </row>
        <row r="92">
          <cell r="D92">
            <v>332771.68</v>
          </cell>
          <cell r="F92">
            <v>0</v>
          </cell>
        </row>
        <row r="93">
          <cell r="D93">
            <v>40438.25</v>
          </cell>
          <cell r="F93">
            <v>0</v>
          </cell>
        </row>
        <row r="94">
          <cell r="D94">
            <v>200</v>
          </cell>
          <cell r="F94">
            <v>0</v>
          </cell>
        </row>
        <row r="98">
          <cell r="D98">
            <v>50219.73</v>
          </cell>
          <cell r="F98">
            <v>0</v>
          </cell>
        </row>
        <row r="99">
          <cell r="D99">
            <v>13807.65</v>
          </cell>
          <cell r="F99">
            <v>0</v>
          </cell>
        </row>
        <row r="100">
          <cell r="D100">
            <v>32151.02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5857.89</v>
          </cell>
          <cell r="F102">
            <v>0</v>
          </cell>
        </row>
        <row r="103">
          <cell r="D103">
            <v>586.07000000000005</v>
          </cell>
          <cell r="F103">
            <v>0</v>
          </cell>
        </row>
        <row r="115">
          <cell r="D115">
            <v>173120.92</v>
          </cell>
          <cell r="F115">
            <v>0</v>
          </cell>
        </row>
        <row r="116">
          <cell r="D116">
            <v>39955.94</v>
          </cell>
          <cell r="F116">
            <v>0</v>
          </cell>
        </row>
        <row r="117">
          <cell r="D117">
            <v>20603.77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77.16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864870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43130</v>
          </cell>
          <cell r="F127">
            <v>0</v>
          </cell>
        </row>
        <row r="128">
          <cell r="D128">
            <v>51323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128499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13970</v>
          </cell>
          <cell r="F133">
            <v>0</v>
          </cell>
        </row>
        <row r="134">
          <cell r="D134">
            <v>12439</v>
          </cell>
          <cell r="F134">
            <v>0</v>
          </cell>
        </row>
        <row r="136">
          <cell r="D136">
            <v>1227447.78</v>
          </cell>
          <cell r="F136">
            <v>0</v>
          </cell>
        </row>
        <row r="137">
          <cell r="D137">
            <v>399092.17</v>
          </cell>
          <cell r="F137">
            <v>0</v>
          </cell>
        </row>
        <row r="138">
          <cell r="D138">
            <v>1517553.25</v>
          </cell>
          <cell r="F138">
            <v>0</v>
          </cell>
        </row>
        <row r="139">
          <cell r="D139">
            <v>542923.60000000009</v>
          </cell>
          <cell r="F139">
            <v>0</v>
          </cell>
        </row>
        <row r="141">
          <cell r="D141">
            <v>207061</v>
          </cell>
          <cell r="F141">
            <v>0</v>
          </cell>
        </row>
        <row r="142">
          <cell r="D142">
            <v>67324</v>
          </cell>
          <cell r="F142">
            <v>0</v>
          </cell>
        </row>
        <row r="143">
          <cell r="D143">
            <v>256000</v>
          </cell>
          <cell r="F143">
            <v>0</v>
          </cell>
        </row>
        <row r="144">
          <cell r="D144">
            <v>91588</v>
          </cell>
          <cell r="F144">
            <v>0</v>
          </cell>
        </row>
        <row r="146">
          <cell r="D146">
            <v>84000</v>
          </cell>
          <cell r="F146">
            <v>0</v>
          </cell>
        </row>
        <row r="147">
          <cell r="D147">
            <v>70541.98</v>
          </cell>
          <cell r="F147">
            <v>0</v>
          </cell>
        </row>
        <row r="148">
          <cell r="D148">
            <v>4860.1099999999997</v>
          </cell>
          <cell r="F148">
            <v>0</v>
          </cell>
        </row>
        <row r="149">
          <cell r="D149">
            <v>39154.71</v>
          </cell>
          <cell r="F149">
            <v>0</v>
          </cell>
        </row>
        <row r="150">
          <cell r="D150">
            <v>212457.48</v>
          </cell>
          <cell r="F150">
            <v>0</v>
          </cell>
        </row>
        <row r="151">
          <cell r="D151">
            <v>523598</v>
          </cell>
          <cell r="F151">
            <v>0</v>
          </cell>
        </row>
        <row r="152">
          <cell r="D152">
            <v>2705.17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457.53</v>
          </cell>
          <cell r="F160">
            <v>0</v>
          </cell>
        </row>
        <row r="161">
          <cell r="D161">
            <v>57381.07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646964.06999999995</v>
          </cell>
          <cell r="F194">
            <v>-3905</v>
          </cell>
        </row>
        <row r="195">
          <cell r="D195">
            <v>120410.81</v>
          </cell>
          <cell r="F195">
            <v>-727</v>
          </cell>
        </row>
        <row r="196">
          <cell r="D196">
            <v>0</v>
          </cell>
          <cell r="F196">
            <v>0</v>
          </cell>
        </row>
        <row r="197">
          <cell r="D197">
            <v>594200.17000000004</v>
          </cell>
          <cell r="F197">
            <v>-3586</v>
          </cell>
        </row>
        <row r="198">
          <cell r="D198">
            <v>50274.400000000001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911994.37</v>
          </cell>
          <cell r="F205">
            <v>-544740</v>
          </cell>
        </row>
        <row r="206">
          <cell r="D206">
            <v>48085.47</v>
          </cell>
          <cell r="F206">
            <v>0</v>
          </cell>
        </row>
        <row r="207">
          <cell r="D207">
            <v>49758.94</v>
          </cell>
          <cell r="F207">
            <v>0</v>
          </cell>
        </row>
        <row r="211">
          <cell r="D211">
            <v>252831.8</v>
          </cell>
          <cell r="F211">
            <v>0</v>
          </cell>
        </row>
        <row r="212">
          <cell r="D212">
            <v>50782.59</v>
          </cell>
          <cell r="F212">
            <v>0</v>
          </cell>
        </row>
        <row r="213">
          <cell r="D213">
            <v>21447.75</v>
          </cell>
          <cell r="F213">
            <v>0</v>
          </cell>
        </row>
        <row r="214">
          <cell r="D214">
            <v>451.16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4311.84</v>
          </cell>
          <cell r="F216">
            <v>0</v>
          </cell>
        </row>
        <row r="221">
          <cell r="D221">
            <v>15351795</v>
          </cell>
        </row>
      </sheetData>
      <sheetData sheetId="8"/>
      <sheetData sheetId="9"/>
      <sheetData sheetId="10">
        <row r="9">
          <cell r="C9">
            <v>24137</v>
          </cell>
          <cell r="D9">
            <v>1850</v>
          </cell>
          <cell r="E9">
            <v>7483</v>
          </cell>
          <cell r="F9">
            <v>2695</v>
          </cell>
          <cell r="G9">
            <v>0</v>
          </cell>
          <cell r="H9">
            <v>4012</v>
          </cell>
          <cell r="I9">
            <v>4976</v>
          </cell>
          <cell r="J9">
            <v>1657</v>
          </cell>
          <cell r="K9">
            <v>0</v>
          </cell>
        </row>
        <row r="22">
          <cell r="N22">
            <v>168</v>
          </cell>
        </row>
        <row r="24">
          <cell r="N24">
            <v>168</v>
          </cell>
        </row>
        <row r="28">
          <cell r="N28">
            <v>61320</v>
          </cell>
        </row>
        <row r="30">
          <cell r="N30">
            <v>0.76337247227658189</v>
          </cell>
        </row>
        <row r="32">
          <cell r="N32">
            <v>0.4237932159165036</v>
          </cell>
        </row>
        <row r="34">
          <cell r="N34">
            <v>0.55515915402691729</v>
          </cell>
        </row>
      </sheetData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2337383.6399999997</v>
          </cell>
          <cell r="G10">
            <v>788019.44</v>
          </cell>
        </row>
        <row r="15">
          <cell r="E15">
            <v>0</v>
          </cell>
          <cell r="G15">
            <v>0</v>
          </cell>
        </row>
        <row r="21">
          <cell r="E21">
            <v>937633.31</v>
          </cell>
          <cell r="G21">
            <v>0</v>
          </cell>
        </row>
        <row r="27">
          <cell r="E27">
            <v>445479.69999999995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220454.75999999998</v>
          </cell>
          <cell r="G37">
            <v>0</v>
          </cell>
        </row>
        <row r="42">
          <cell r="E42">
            <v>0</v>
          </cell>
          <cell r="G42">
            <v>409340.79000000004</v>
          </cell>
        </row>
        <row r="47">
          <cell r="E47">
            <v>420075.29000000004</v>
          </cell>
          <cell r="G47">
            <v>-409340.79000000004</v>
          </cell>
        </row>
        <row r="52">
          <cell r="E52">
            <v>0</v>
          </cell>
          <cell r="G52">
            <v>0</v>
          </cell>
        </row>
        <row r="67">
          <cell r="E67">
            <v>-25977.13</v>
          </cell>
          <cell r="G67">
            <v>47715.97</v>
          </cell>
        </row>
      </sheetData>
      <sheetData sheetId="6"/>
      <sheetData sheetId="7">
        <row r="10">
          <cell r="D10">
            <v>0</v>
          </cell>
          <cell r="F10">
            <v>75270.490000000005</v>
          </cell>
        </row>
        <row r="11">
          <cell r="D11">
            <v>0</v>
          </cell>
          <cell r="F11">
            <v>4609.8</v>
          </cell>
        </row>
        <row r="12">
          <cell r="D12">
            <v>50634.2</v>
          </cell>
          <cell r="F12">
            <v>0</v>
          </cell>
        </row>
        <row r="13">
          <cell r="D13">
            <v>21322.19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259733.58</v>
          </cell>
          <cell r="F16">
            <v>-1623</v>
          </cell>
        </row>
        <row r="17">
          <cell r="D17">
            <v>14921.66</v>
          </cell>
          <cell r="F17">
            <v>-14921.66</v>
          </cell>
        </row>
        <row r="18">
          <cell r="D18">
            <v>4144.58</v>
          </cell>
          <cell r="F18">
            <v>0</v>
          </cell>
        </row>
        <row r="19">
          <cell r="D19">
            <v>24772.2</v>
          </cell>
          <cell r="F19">
            <v>0</v>
          </cell>
        </row>
        <row r="20">
          <cell r="D20">
            <v>15203.74</v>
          </cell>
          <cell r="F20">
            <v>0</v>
          </cell>
        </row>
        <row r="21">
          <cell r="D21">
            <v>63067.68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26286.91</v>
          </cell>
          <cell r="F23">
            <v>0</v>
          </cell>
        </row>
        <row r="24">
          <cell r="D24">
            <v>65103.040000000001</v>
          </cell>
          <cell r="F24">
            <v>-7181.15</v>
          </cell>
        </row>
        <row r="25">
          <cell r="D25">
            <v>0</v>
          </cell>
          <cell r="F25">
            <v>0</v>
          </cell>
        </row>
        <row r="26">
          <cell r="D26">
            <v>295472.34999999998</v>
          </cell>
          <cell r="F26">
            <v>0</v>
          </cell>
        </row>
        <row r="27">
          <cell r="D27">
            <v>2182.2199999999998</v>
          </cell>
          <cell r="F27">
            <v>47715.97</v>
          </cell>
        </row>
        <row r="28">
          <cell r="D28">
            <v>0</v>
          </cell>
          <cell r="F28">
            <v>0</v>
          </cell>
        </row>
        <row r="29">
          <cell r="D29">
            <v>363549.69</v>
          </cell>
          <cell r="F29">
            <v>-363549.69</v>
          </cell>
        </row>
        <row r="30">
          <cell r="D30">
            <v>0</v>
          </cell>
          <cell r="F30">
            <v>0</v>
          </cell>
        </row>
        <row r="31">
          <cell r="D31">
            <v>197.09</v>
          </cell>
          <cell r="F31">
            <v>0</v>
          </cell>
        </row>
        <row r="32">
          <cell r="D32">
            <v>0</v>
          </cell>
          <cell r="F32">
            <v>21928.400000000001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35637.64</v>
          </cell>
          <cell r="F35">
            <v>-35637.64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915.89</v>
          </cell>
          <cell r="F38">
            <v>0</v>
          </cell>
        </row>
        <row r="39">
          <cell r="D39">
            <v>4049.51</v>
          </cell>
          <cell r="F39">
            <v>0</v>
          </cell>
        </row>
        <row r="40">
          <cell r="D40">
            <v>14374.96</v>
          </cell>
          <cell r="F40">
            <v>0</v>
          </cell>
        </row>
        <row r="41">
          <cell r="D41">
            <v>42310.29</v>
          </cell>
          <cell r="F41">
            <v>-7296.37</v>
          </cell>
        </row>
        <row r="42">
          <cell r="D42">
            <v>239.7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79880.289999999994</v>
          </cell>
          <cell r="F45">
            <v>-79880.289999999994</v>
          </cell>
        </row>
        <row r="57">
          <cell r="D57">
            <v>384448</v>
          </cell>
          <cell r="F57">
            <v>-48066.520000000019</v>
          </cell>
        </row>
        <row r="58">
          <cell r="D58">
            <v>20914.66</v>
          </cell>
          <cell r="F58">
            <v>34927.919999999998</v>
          </cell>
        </row>
        <row r="59">
          <cell r="D59">
            <v>0</v>
          </cell>
          <cell r="F59">
            <v>17329.68</v>
          </cell>
        </row>
        <row r="60">
          <cell r="D60">
            <v>19999.98</v>
          </cell>
          <cell r="F60">
            <v>0</v>
          </cell>
        </row>
        <row r="61">
          <cell r="D61">
            <v>21928.400000000001</v>
          </cell>
          <cell r="F61">
            <v>-21928.400000000001</v>
          </cell>
        </row>
        <row r="62">
          <cell r="D62">
            <v>16148.2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1344.66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5934.86</v>
          </cell>
          <cell r="F66">
            <v>0</v>
          </cell>
        </row>
        <row r="67">
          <cell r="D67">
            <v>52321.74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10129.66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42108.24</v>
          </cell>
          <cell r="F75">
            <v>0</v>
          </cell>
        </row>
        <row r="76">
          <cell r="D76">
            <v>4803.05</v>
          </cell>
          <cell r="F76">
            <v>0</v>
          </cell>
        </row>
        <row r="77">
          <cell r="D77">
            <v>7157.53</v>
          </cell>
          <cell r="F77">
            <v>0</v>
          </cell>
        </row>
        <row r="78">
          <cell r="D78">
            <v>385.88</v>
          </cell>
          <cell r="F78">
            <v>0</v>
          </cell>
        </row>
        <row r="79">
          <cell r="D79">
            <v>10186.94</v>
          </cell>
          <cell r="F79">
            <v>0</v>
          </cell>
        </row>
        <row r="80">
          <cell r="D80">
            <v>14448.4</v>
          </cell>
          <cell r="F80">
            <v>0</v>
          </cell>
        </row>
        <row r="81">
          <cell r="D81">
            <v>1862.04</v>
          </cell>
          <cell r="F81">
            <v>0</v>
          </cell>
        </row>
        <row r="82">
          <cell r="D82">
            <v>1985.08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69024.149999999994</v>
          </cell>
          <cell r="F84">
            <v>0</v>
          </cell>
        </row>
        <row r="85">
          <cell r="D85">
            <v>298.91000000000003</v>
          </cell>
          <cell r="F85">
            <v>0</v>
          </cell>
        </row>
        <row r="89">
          <cell r="D89">
            <v>187684.64</v>
          </cell>
          <cell r="F89">
            <v>0</v>
          </cell>
        </row>
        <row r="90">
          <cell r="D90">
            <v>33646.730000000003</v>
          </cell>
          <cell r="F90">
            <v>0</v>
          </cell>
        </row>
        <row r="91">
          <cell r="D91">
            <v>10780.52</v>
          </cell>
          <cell r="F91">
            <v>0</v>
          </cell>
        </row>
        <row r="92">
          <cell r="D92">
            <v>134435.82</v>
          </cell>
          <cell r="F92">
            <v>0</v>
          </cell>
        </row>
        <row r="93">
          <cell r="D93">
            <v>10225.469999999999</v>
          </cell>
          <cell r="F93">
            <v>0</v>
          </cell>
        </row>
        <row r="94">
          <cell r="D94">
            <v>503.7</v>
          </cell>
          <cell r="F94">
            <v>0</v>
          </cell>
        </row>
        <row r="98">
          <cell r="D98">
            <v>7.83</v>
          </cell>
          <cell r="F98">
            <v>0</v>
          </cell>
        </row>
        <row r="99">
          <cell r="D99">
            <v>642.16999999999996</v>
          </cell>
          <cell r="F99">
            <v>0</v>
          </cell>
        </row>
        <row r="100">
          <cell r="D100">
            <v>266.54000000000002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3046.94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92365.11</v>
          </cell>
          <cell r="F115">
            <v>0</v>
          </cell>
        </row>
        <row r="116">
          <cell r="D116">
            <v>10895.81</v>
          </cell>
          <cell r="F116">
            <v>0</v>
          </cell>
        </row>
        <row r="117">
          <cell r="D117">
            <v>19375.45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224077.6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28885.4</v>
          </cell>
          <cell r="F127">
            <v>0</v>
          </cell>
        </row>
        <row r="128">
          <cell r="D128">
            <v>35126.11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41737.949999999997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5781.95</v>
          </cell>
          <cell r="F133">
            <v>0</v>
          </cell>
        </row>
        <row r="134">
          <cell r="D134">
            <v>7078.92</v>
          </cell>
          <cell r="F134">
            <v>0</v>
          </cell>
        </row>
        <row r="136">
          <cell r="D136">
            <v>377371.11</v>
          </cell>
          <cell r="F136">
            <v>0</v>
          </cell>
        </row>
        <row r="137">
          <cell r="D137">
            <v>112942.72</v>
          </cell>
          <cell r="F137">
            <v>0</v>
          </cell>
        </row>
        <row r="138">
          <cell r="D138">
            <v>438874.56</v>
          </cell>
          <cell r="F138">
            <v>0</v>
          </cell>
        </row>
        <row r="139">
          <cell r="D139">
            <v>38768.36</v>
          </cell>
          <cell r="F139">
            <v>0</v>
          </cell>
        </row>
        <row r="141">
          <cell r="D141">
            <v>82174.009999999995</v>
          </cell>
          <cell r="F141">
            <v>0</v>
          </cell>
        </row>
        <row r="142">
          <cell r="D142">
            <v>24050.93</v>
          </cell>
          <cell r="F142">
            <v>0</v>
          </cell>
        </row>
        <row r="143">
          <cell r="D143">
            <v>94199.448000000004</v>
          </cell>
          <cell r="F143">
            <v>0</v>
          </cell>
        </row>
        <row r="144">
          <cell r="D144">
            <v>4046.93</v>
          </cell>
          <cell r="F144">
            <v>0</v>
          </cell>
        </row>
        <row r="146">
          <cell r="D146">
            <v>28800</v>
          </cell>
          <cell r="F146">
            <v>0</v>
          </cell>
        </row>
        <row r="147">
          <cell r="D147">
            <v>152478.78</v>
          </cell>
          <cell r="F147">
            <v>0</v>
          </cell>
        </row>
        <row r="148">
          <cell r="D148">
            <v>48601.86</v>
          </cell>
          <cell r="F148">
            <v>0</v>
          </cell>
        </row>
        <row r="149">
          <cell r="D149">
            <v>234644.97</v>
          </cell>
          <cell r="F149">
            <v>0</v>
          </cell>
        </row>
        <row r="150">
          <cell r="D150">
            <v>5252.5</v>
          </cell>
          <cell r="F150">
            <v>0</v>
          </cell>
        </row>
        <row r="151">
          <cell r="D151">
            <v>82204.149999999994</v>
          </cell>
          <cell r="F151">
            <v>0</v>
          </cell>
        </row>
        <row r="152">
          <cell r="D152">
            <v>2520.39</v>
          </cell>
          <cell r="F152">
            <v>0</v>
          </cell>
        </row>
        <row r="153">
          <cell r="D153">
            <v>12358.58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3267.91</v>
          </cell>
          <cell r="F160">
            <v>0</v>
          </cell>
        </row>
        <row r="161">
          <cell r="D161">
            <v>60535.13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192295.05</v>
          </cell>
          <cell r="F194">
            <v>-1011.72</v>
          </cell>
        </row>
        <row r="195">
          <cell r="D195">
            <v>26737.69</v>
          </cell>
          <cell r="F195">
            <v>-138.86000000000001</v>
          </cell>
        </row>
        <row r="196">
          <cell r="D196">
            <v>160207.01</v>
          </cell>
          <cell r="F196">
            <v>-833.18</v>
          </cell>
        </row>
        <row r="197">
          <cell r="D197">
            <v>0</v>
          </cell>
          <cell r="F197">
            <v>0</v>
          </cell>
        </row>
        <row r="198">
          <cell r="D198">
            <v>16092.61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198682.75</v>
          </cell>
          <cell r="F205">
            <v>-101590.27</v>
          </cell>
        </row>
        <row r="206">
          <cell r="D206">
            <v>11797.83</v>
          </cell>
          <cell r="F206">
            <v>0</v>
          </cell>
        </row>
        <row r="207">
          <cell r="D207">
            <v>546.20000000000005</v>
          </cell>
          <cell r="F207">
            <v>0</v>
          </cell>
        </row>
        <row r="211">
          <cell r="D211">
            <v>100412.65</v>
          </cell>
          <cell r="F211">
            <v>0</v>
          </cell>
        </row>
        <row r="212">
          <cell r="D212">
            <v>35511.64</v>
          </cell>
          <cell r="F212">
            <v>0</v>
          </cell>
        </row>
        <row r="213">
          <cell r="D213">
            <v>9283.73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2842.57</v>
          </cell>
          <cell r="F216">
            <v>0</v>
          </cell>
        </row>
        <row r="221">
          <cell r="D221">
            <v>5473496.5499999998</v>
          </cell>
        </row>
      </sheetData>
      <sheetData sheetId="8"/>
      <sheetData sheetId="9"/>
      <sheetData sheetId="10">
        <row r="9">
          <cell r="C9">
            <v>12706</v>
          </cell>
          <cell r="D9">
            <v>0</v>
          </cell>
          <cell r="E9">
            <v>1627</v>
          </cell>
          <cell r="F9">
            <v>1117</v>
          </cell>
          <cell r="G9">
            <v>0</v>
          </cell>
          <cell r="H9">
            <v>791</v>
          </cell>
          <cell r="I9">
            <v>2187</v>
          </cell>
          <cell r="J9">
            <v>110</v>
          </cell>
          <cell r="K9">
            <v>0</v>
          </cell>
        </row>
        <row r="22">
          <cell r="N22">
            <v>61</v>
          </cell>
        </row>
        <row r="24">
          <cell r="N24">
            <v>61</v>
          </cell>
        </row>
        <row r="28">
          <cell r="N28">
            <v>22265</v>
          </cell>
        </row>
        <row r="30">
          <cell r="N30">
            <v>0.83260723108017065</v>
          </cell>
        </row>
        <row r="32">
          <cell r="N32">
            <v>0.57067145744441949</v>
          </cell>
        </row>
        <row r="34">
          <cell r="N34">
            <v>0.68540295609019308</v>
          </cell>
        </row>
      </sheetData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6175939.9900000002</v>
          </cell>
          <cell r="G10">
            <v>908808.60000000009</v>
          </cell>
        </row>
        <row r="15">
          <cell r="E15">
            <v>0</v>
          </cell>
          <cell r="G15">
            <v>38004</v>
          </cell>
        </row>
        <row r="21">
          <cell r="E21">
            <v>4963369.71</v>
          </cell>
          <cell r="G21">
            <v>225044</v>
          </cell>
        </row>
        <row r="27">
          <cell r="E27">
            <v>1007003.0600000002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816225.95</v>
          </cell>
          <cell r="G37">
            <v>227250</v>
          </cell>
        </row>
        <row r="42">
          <cell r="E42">
            <v>0</v>
          </cell>
          <cell r="G42">
            <v>326118</v>
          </cell>
        </row>
        <row r="47">
          <cell r="E47">
            <v>406453.59000000008</v>
          </cell>
          <cell r="G47">
            <v>-326118</v>
          </cell>
        </row>
        <row r="52">
          <cell r="E52">
            <v>0</v>
          </cell>
          <cell r="G52">
            <v>0</v>
          </cell>
        </row>
        <row r="67">
          <cell r="E67">
            <v>-995119.45</v>
          </cell>
          <cell r="G67">
            <v>1037356.2</v>
          </cell>
        </row>
        <row r="85">
          <cell r="C85">
            <v>299.16981283422456</v>
          </cell>
          <cell r="E85">
            <v>327.54602201257865</v>
          </cell>
          <cell r="G85">
            <v>277.09830508474579</v>
          </cell>
          <cell r="I85">
            <v>369.98447124304266</v>
          </cell>
        </row>
      </sheetData>
      <sheetData sheetId="6"/>
      <sheetData sheetId="7">
        <row r="10">
          <cell r="D10">
            <v>0</v>
          </cell>
          <cell r="F10">
            <v>119647.90000000001</v>
          </cell>
        </row>
        <row r="11">
          <cell r="D11">
            <v>0</v>
          </cell>
          <cell r="F11">
            <v>0</v>
          </cell>
        </row>
        <row r="12">
          <cell r="D12">
            <v>218381.34</v>
          </cell>
          <cell r="F12">
            <v>-80194.28</v>
          </cell>
        </row>
        <row r="13">
          <cell r="D13">
            <v>42310.34</v>
          </cell>
          <cell r="F13">
            <v>-676.48999999999978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644025.54</v>
          </cell>
          <cell r="F16">
            <v>95707</v>
          </cell>
        </row>
        <row r="17">
          <cell r="D17">
            <v>13604.71</v>
          </cell>
          <cell r="F17">
            <v>-13605</v>
          </cell>
        </row>
        <row r="18">
          <cell r="D18">
            <v>4932.62</v>
          </cell>
          <cell r="F18">
            <v>0</v>
          </cell>
        </row>
        <row r="19">
          <cell r="D19">
            <v>36865.96</v>
          </cell>
          <cell r="F19">
            <v>0</v>
          </cell>
        </row>
        <row r="20">
          <cell r="D20">
            <v>22689.05</v>
          </cell>
          <cell r="F20">
            <v>0</v>
          </cell>
        </row>
        <row r="21">
          <cell r="D21">
            <v>104641.39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28016.04</v>
          </cell>
          <cell r="F23">
            <v>0</v>
          </cell>
        </row>
        <row r="24">
          <cell r="D24">
            <v>116450.07</v>
          </cell>
          <cell r="F24">
            <v>-13709.04</v>
          </cell>
        </row>
        <row r="25">
          <cell r="D25">
            <v>0</v>
          </cell>
          <cell r="F25">
            <v>0</v>
          </cell>
        </row>
        <row r="26">
          <cell r="D26">
            <v>490013.52</v>
          </cell>
          <cell r="F26">
            <v>0</v>
          </cell>
        </row>
        <row r="27">
          <cell r="D27">
            <v>4562.46</v>
          </cell>
          <cell r="F27">
            <v>37356.199999999997</v>
          </cell>
        </row>
        <row r="28">
          <cell r="D28">
            <v>0</v>
          </cell>
          <cell r="F28">
            <v>0</v>
          </cell>
        </row>
        <row r="29">
          <cell r="D29">
            <v>391012.03</v>
          </cell>
          <cell r="F29">
            <v>-391012.03</v>
          </cell>
        </row>
        <row r="30">
          <cell r="D30">
            <v>1000000</v>
          </cell>
          <cell r="F30">
            <v>-1000000</v>
          </cell>
        </row>
        <row r="31">
          <cell r="D31">
            <v>19752.36</v>
          </cell>
          <cell r="F31">
            <v>0</v>
          </cell>
        </row>
        <row r="32">
          <cell r="D32">
            <v>0</v>
          </cell>
          <cell r="F32">
            <v>29636.05</v>
          </cell>
        </row>
        <row r="33">
          <cell r="D33">
            <v>-2.11</v>
          </cell>
          <cell r="F33">
            <v>2.11</v>
          </cell>
        </row>
        <row r="34">
          <cell r="D34">
            <v>0</v>
          </cell>
          <cell r="F34">
            <v>0</v>
          </cell>
        </row>
        <row r="35">
          <cell r="D35">
            <v>14984.13</v>
          </cell>
          <cell r="F35">
            <v>-14984.13</v>
          </cell>
        </row>
        <row r="36">
          <cell r="D36">
            <v>0</v>
          </cell>
          <cell r="F36">
            <v>80194.28</v>
          </cell>
        </row>
        <row r="37">
          <cell r="D37">
            <v>0</v>
          </cell>
          <cell r="F37">
            <v>7217.49</v>
          </cell>
        </row>
        <row r="38">
          <cell r="D38">
            <v>290.35000000000002</v>
          </cell>
          <cell r="F38">
            <v>0</v>
          </cell>
        </row>
        <row r="39">
          <cell r="D39">
            <v>1943.96</v>
          </cell>
          <cell r="F39">
            <v>0</v>
          </cell>
        </row>
        <row r="40">
          <cell r="D40">
            <v>29620.55</v>
          </cell>
          <cell r="F40">
            <v>0</v>
          </cell>
        </row>
        <row r="41">
          <cell r="D41">
            <v>99192.7</v>
          </cell>
          <cell r="F41">
            <v>-18165.12</v>
          </cell>
        </row>
        <row r="42">
          <cell r="D42">
            <v>698.84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199523.84</v>
          </cell>
          <cell r="F45">
            <v>-126189</v>
          </cell>
        </row>
        <row r="57">
          <cell r="D57">
            <v>900000</v>
          </cell>
          <cell r="F57">
            <v>-900000</v>
          </cell>
        </row>
        <row r="58">
          <cell r="D58">
            <v>30037.17</v>
          </cell>
          <cell r="F58">
            <v>360275.27</v>
          </cell>
        </row>
        <row r="59">
          <cell r="D59">
            <v>0</v>
          </cell>
          <cell r="F59">
            <v>488968.9</v>
          </cell>
        </row>
        <row r="60">
          <cell r="D60">
            <v>0</v>
          </cell>
          <cell r="F60">
            <v>0</v>
          </cell>
        </row>
        <row r="61">
          <cell r="D61">
            <v>22999.21</v>
          </cell>
          <cell r="F61">
            <v>-14638.05</v>
          </cell>
        </row>
        <row r="62">
          <cell r="D62">
            <v>20370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2228</v>
          </cell>
          <cell r="F65">
            <v>0</v>
          </cell>
        </row>
        <row r="66">
          <cell r="D66">
            <v>5523.67</v>
          </cell>
          <cell r="F66">
            <v>0</v>
          </cell>
        </row>
        <row r="67">
          <cell r="D67">
            <v>110127.16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2473.08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39927.629999999997</v>
          </cell>
          <cell r="F75">
            <v>0</v>
          </cell>
        </row>
        <row r="76">
          <cell r="D76">
            <v>10112.67</v>
          </cell>
          <cell r="F76">
            <v>0</v>
          </cell>
        </row>
        <row r="77">
          <cell r="D77">
            <v>10381.15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18790.27</v>
          </cell>
          <cell r="F79">
            <v>0</v>
          </cell>
        </row>
        <row r="80">
          <cell r="D80">
            <v>20031.240000000002</v>
          </cell>
          <cell r="F80">
            <v>0</v>
          </cell>
        </row>
        <row r="81">
          <cell r="D81">
            <v>1810</v>
          </cell>
          <cell r="F81">
            <v>0</v>
          </cell>
        </row>
        <row r="82">
          <cell r="D82">
            <v>22104.6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125807.12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302274.82</v>
          </cell>
          <cell r="F89">
            <v>0</v>
          </cell>
        </row>
        <row r="90">
          <cell r="D90">
            <v>85230.77</v>
          </cell>
          <cell r="F90">
            <v>0</v>
          </cell>
        </row>
        <row r="91">
          <cell r="D91">
            <v>29572.400000000001</v>
          </cell>
          <cell r="F91">
            <v>0</v>
          </cell>
        </row>
        <row r="92">
          <cell r="D92">
            <v>323092.96000000002</v>
          </cell>
          <cell r="F92">
            <v>0</v>
          </cell>
        </row>
        <row r="93">
          <cell r="D93">
            <v>34834.839999999997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49858.1</v>
          </cell>
          <cell r="F98">
            <v>0</v>
          </cell>
        </row>
        <row r="99">
          <cell r="D99">
            <v>16235.46</v>
          </cell>
          <cell r="F99">
            <v>0</v>
          </cell>
        </row>
        <row r="100">
          <cell r="D100">
            <v>14055.97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6331.54</v>
          </cell>
          <cell r="F102">
            <v>0</v>
          </cell>
        </row>
        <row r="103">
          <cell r="D103">
            <v>282</v>
          </cell>
          <cell r="F103">
            <v>0</v>
          </cell>
        </row>
        <row r="115">
          <cell r="D115">
            <v>137269.99</v>
          </cell>
          <cell r="F115">
            <v>0</v>
          </cell>
        </row>
        <row r="116">
          <cell r="D116">
            <v>20195.32</v>
          </cell>
          <cell r="F116">
            <v>0</v>
          </cell>
        </row>
        <row r="117">
          <cell r="D117">
            <v>36746.879999999997</v>
          </cell>
          <cell r="F117">
            <v>0</v>
          </cell>
        </row>
        <row r="118">
          <cell r="D118">
            <v>5630.78</v>
          </cell>
          <cell r="F118">
            <v>0</v>
          </cell>
        </row>
        <row r="119">
          <cell r="D119">
            <v>728.16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537089.51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36133.33</v>
          </cell>
          <cell r="F127">
            <v>0</v>
          </cell>
        </row>
        <row r="128">
          <cell r="D128">
            <v>43967.99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49564.43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19370.11</v>
          </cell>
          <cell r="F133">
            <v>0</v>
          </cell>
        </row>
        <row r="134">
          <cell r="D134">
            <v>10392.17</v>
          </cell>
          <cell r="F134">
            <v>0</v>
          </cell>
        </row>
        <row r="136">
          <cell r="D136">
            <v>1234428.92</v>
          </cell>
          <cell r="F136">
            <v>0</v>
          </cell>
        </row>
        <row r="137">
          <cell r="D137">
            <v>247773.17</v>
          </cell>
          <cell r="F137">
            <v>0</v>
          </cell>
        </row>
        <row r="138">
          <cell r="D138">
            <v>1372097.06</v>
          </cell>
          <cell r="F138">
            <v>0</v>
          </cell>
        </row>
        <row r="139">
          <cell r="D139">
            <v>605171.26</v>
          </cell>
          <cell r="F139">
            <v>0</v>
          </cell>
        </row>
        <row r="141">
          <cell r="D141">
            <v>185117.26</v>
          </cell>
          <cell r="F141">
            <v>0</v>
          </cell>
        </row>
        <row r="142">
          <cell r="D142">
            <v>37156.5</v>
          </cell>
          <cell r="F142">
            <v>0</v>
          </cell>
        </row>
        <row r="143">
          <cell r="D143">
            <v>205762.21</v>
          </cell>
          <cell r="F143">
            <v>0</v>
          </cell>
        </row>
        <row r="144">
          <cell r="D144">
            <v>124722.29999999999</v>
          </cell>
          <cell r="F144">
            <v>0</v>
          </cell>
        </row>
        <row r="146">
          <cell r="D146">
            <v>66000</v>
          </cell>
          <cell r="F146">
            <v>0</v>
          </cell>
        </row>
        <row r="147">
          <cell r="D147">
            <v>178.2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202278.15</v>
          </cell>
          <cell r="F150">
            <v>0</v>
          </cell>
        </row>
        <row r="151">
          <cell r="D151">
            <v>367091.89</v>
          </cell>
          <cell r="F151">
            <v>0</v>
          </cell>
        </row>
        <row r="152">
          <cell r="D152">
            <v>1606.69</v>
          </cell>
          <cell r="F152">
            <v>0</v>
          </cell>
        </row>
        <row r="153">
          <cell r="D153">
            <v>5990.36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3713.44</v>
          </cell>
          <cell r="F160">
            <v>0</v>
          </cell>
        </row>
        <row r="161">
          <cell r="D161">
            <v>84056.16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724986.74</v>
          </cell>
          <cell r="F194">
            <v>-4240.46</v>
          </cell>
        </row>
        <row r="195">
          <cell r="D195">
            <v>199060.53</v>
          </cell>
          <cell r="F195">
            <v>-1164.31</v>
          </cell>
        </row>
        <row r="196">
          <cell r="D196">
            <v>0</v>
          </cell>
          <cell r="F196">
            <v>0</v>
          </cell>
        </row>
        <row r="197">
          <cell r="D197">
            <v>743680.25</v>
          </cell>
          <cell r="F197">
            <v>-4349.79</v>
          </cell>
        </row>
        <row r="198">
          <cell r="D198">
            <v>111532.46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925302.3</v>
          </cell>
          <cell r="F205">
            <v>-495855.07</v>
          </cell>
        </row>
        <row r="206">
          <cell r="D206">
            <v>81054.990000000005</v>
          </cell>
          <cell r="F206">
            <v>0</v>
          </cell>
        </row>
        <row r="207">
          <cell r="D207">
            <v>-12428.67</v>
          </cell>
          <cell r="F207">
            <v>0</v>
          </cell>
        </row>
        <row r="211">
          <cell r="D211">
            <v>222597.66</v>
          </cell>
          <cell r="F211">
            <v>0</v>
          </cell>
        </row>
        <row r="212">
          <cell r="D212">
            <v>56724.07</v>
          </cell>
          <cell r="F212">
            <v>0</v>
          </cell>
        </row>
        <row r="213">
          <cell r="D213">
            <v>6719.86</v>
          </cell>
          <cell r="F213">
            <v>0</v>
          </cell>
        </row>
        <row r="214">
          <cell r="D214">
            <v>8387.5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15204.4</v>
          </cell>
          <cell r="F216">
            <v>0</v>
          </cell>
        </row>
        <row r="221">
          <cell r="D221">
            <v>14411056</v>
          </cell>
        </row>
      </sheetData>
      <sheetData sheetId="8"/>
      <sheetData sheetId="9"/>
      <sheetData sheetId="10">
        <row r="9">
          <cell r="C9">
            <v>20619</v>
          </cell>
          <cell r="D9">
            <v>161</v>
          </cell>
          <cell r="E9">
            <v>9111</v>
          </cell>
          <cell r="F9">
            <v>2281</v>
          </cell>
          <cell r="G9">
            <v>0</v>
          </cell>
          <cell r="H9">
            <v>3229</v>
          </cell>
          <cell r="I9">
            <v>1767</v>
          </cell>
          <cell r="J9">
            <v>314</v>
          </cell>
          <cell r="K9">
            <v>0</v>
          </cell>
        </row>
        <row r="22">
          <cell r="N22">
            <v>124</v>
          </cell>
        </row>
        <row r="24">
          <cell r="N24">
            <v>124</v>
          </cell>
        </row>
        <row r="28">
          <cell r="N28">
            <v>45260</v>
          </cell>
        </row>
        <row r="30">
          <cell r="N30">
            <v>0.82814847547503312</v>
          </cell>
        </row>
        <row r="32">
          <cell r="N32">
            <v>0.45912505523641184</v>
          </cell>
        </row>
        <row r="34">
          <cell r="N34">
            <v>0.55439944506696548</v>
          </cell>
        </row>
      </sheetData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 Detail"/>
      <sheetName val="Sch B-1"/>
      <sheetName val="Sch C"/>
      <sheetName val="Sch C Detail"/>
      <sheetName val="Sch C-1"/>
      <sheetName val="Sch C-1 (2)"/>
      <sheetName val="Sch C-1 (3)"/>
      <sheetName val="Sch C-2"/>
      <sheetName val="Sch D"/>
      <sheetName val="Summary"/>
      <sheetName val="Coded WTB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3838813.55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2450529.8299999996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1404412.48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158978.19</v>
          </cell>
          <cell r="G67">
            <v>-11685.47</v>
          </cell>
        </row>
        <row r="85">
          <cell r="C85">
            <v>243.84824902723736</v>
          </cell>
          <cell r="E85">
            <v>228.38941954445261</v>
          </cell>
          <cell r="G85">
            <v>243.92715700141443</v>
          </cell>
          <cell r="I85">
            <v>245.97161716171618</v>
          </cell>
        </row>
      </sheetData>
      <sheetData sheetId="6"/>
      <sheetData sheetId="7"/>
      <sheetData sheetId="8">
        <row r="10">
          <cell r="D10">
            <v>91100.63</v>
          </cell>
          <cell r="F10">
            <v>10674.308990853639</v>
          </cell>
        </row>
        <row r="11">
          <cell r="D11">
            <v>0</v>
          </cell>
          <cell r="F11">
            <v>0</v>
          </cell>
        </row>
        <row r="12">
          <cell r="D12">
            <v>155266.41999999998</v>
          </cell>
          <cell r="F12">
            <v>148152.42360176938</v>
          </cell>
        </row>
        <row r="13">
          <cell r="D13">
            <v>587863.35</v>
          </cell>
          <cell r="F13">
            <v>-506425.68943557731</v>
          </cell>
        </row>
        <row r="14">
          <cell r="D14">
            <v>0</v>
          </cell>
          <cell r="F14">
            <v>0</v>
          </cell>
        </row>
        <row r="15">
          <cell r="D15">
            <v>371035.55</v>
          </cell>
          <cell r="F15">
            <v>-363634.55</v>
          </cell>
        </row>
        <row r="16">
          <cell r="D16">
            <v>0</v>
          </cell>
          <cell r="F16">
            <v>0</v>
          </cell>
        </row>
        <row r="17">
          <cell r="D17">
            <v>29854.92</v>
          </cell>
          <cell r="F17">
            <v>-29854.92</v>
          </cell>
        </row>
        <row r="18">
          <cell r="D18">
            <v>43434.52</v>
          </cell>
          <cell r="F18">
            <v>0</v>
          </cell>
        </row>
        <row r="19">
          <cell r="D19">
            <v>26979.829999999998</v>
          </cell>
          <cell r="F19">
            <v>2052.425631158344</v>
          </cell>
        </row>
        <row r="20">
          <cell r="D20">
            <v>94697.409999999989</v>
          </cell>
          <cell r="F20">
            <v>-45448.73</v>
          </cell>
        </row>
        <row r="21">
          <cell r="D21">
            <v>35128.36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31380.359999999997</v>
          </cell>
          <cell r="F23">
            <v>1361.799398952309</v>
          </cell>
        </row>
        <row r="24">
          <cell r="D24">
            <v>74317.960000000006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402761.92</v>
          </cell>
          <cell r="F26">
            <v>0</v>
          </cell>
        </row>
        <row r="27">
          <cell r="D27">
            <v>3661.26</v>
          </cell>
          <cell r="F27">
            <v>4634.6607646082693</v>
          </cell>
        </row>
        <row r="28">
          <cell r="D28">
            <v>0</v>
          </cell>
          <cell r="F28">
            <v>0</v>
          </cell>
        </row>
        <row r="29">
          <cell r="D29">
            <v>104519</v>
          </cell>
          <cell r="F29">
            <v>-104519</v>
          </cell>
        </row>
        <row r="30">
          <cell r="D30">
            <v>390</v>
          </cell>
          <cell r="F30">
            <v>-390</v>
          </cell>
        </row>
        <row r="31">
          <cell r="D31">
            <v>70982</v>
          </cell>
          <cell r="F31">
            <v>0</v>
          </cell>
        </row>
        <row r="32">
          <cell r="D32">
            <v>93495.55</v>
          </cell>
          <cell r="F32">
            <v>1529.7235601523646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1855.32</v>
          </cell>
          <cell r="F35">
            <v>-1855.32</v>
          </cell>
        </row>
        <row r="36">
          <cell r="D36">
            <v>32871.299999999996</v>
          </cell>
          <cell r="F36">
            <v>99.46251126167175</v>
          </cell>
        </row>
        <row r="37">
          <cell r="D37">
            <v>0</v>
          </cell>
          <cell r="F37">
            <v>5847.0365069699092</v>
          </cell>
        </row>
        <row r="38">
          <cell r="D38">
            <v>0</v>
          </cell>
          <cell r="F38">
            <v>0</v>
          </cell>
        </row>
        <row r="39">
          <cell r="D39">
            <v>8532.58</v>
          </cell>
          <cell r="F39">
            <v>-8532.58</v>
          </cell>
        </row>
        <row r="40">
          <cell r="D40">
            <v>0</v>
          </cell>
          <cell r="F40">
            <v>0</v>
          </cell>
        </row>
        <row r="41">
          <cell r="D41">
            <v>49258.19</v>
          </cell>
          <cell r="F41">
            <v>48921.237823756375</v>
          </cell>
        </row>
        <row r="42">
          <cell r="D42">
            <v>21626.35</v>
          </cell>
          <cell r="F42">
            <v>0</v>
          </cell>
        </row>
        <row r="43">
          <cell r="D43">
            <v>18509.77</v>
          </cell>
          <cell r="F43">
            <v>-18509.77</v>
          </cell>
        </row>
        <row r="44">
          <cell r="D44">
            <v>0</v>
          </cell>
          <cell r="F44">
            <v>0</v>
          </cell>
        </row>
        <row r="45">
          <cell r="D45">
            <v>54533.33</v>
          </cell>
          <cell r="F45">
            <v>-54533.33</v>
          </cell>
        </row>
        <row r="57">
          <cell r="D57">
            <v>625852.18000000005</v>
          </cell>
          <cell r="F57">
            <v>-625852.09241123591</v>
          </cell>
        </row>
        <row r="58">
          <cell r="D58">
            <v>0</v>
          </cell>
          <cell r="F58">
            <v>1858</v>
          </cell>
        </row>
        <row r="59">
          <cell r="D59">
            <v>0</v>
          </cell>
          <cell r="F59">
            <v>317365.45</v>
          </cell>
        </row>
        <row r="60">
          <cell r="D60">
            <v>47000</v>
          </cell>
          <cell r="F60">
            <v>1794.2145422365797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13406.759999999998</v>
          </cell>
          <cell r="F66">
            <v>61.194496676256598</v>
          </cell>
        </row>
        <row r="67">
          <cell r="D67">
            <v>0</v>
          </cell>
          <cell r="F67">
            <v>540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7910.72</v>
          </cell>
          <cell r="F71">
            <v>59.217293407499781</v>
          </cell>
        </row>
        <row r="75">
          <cell r="D75">
            <v>50377.760000000002</v>
          </cell>
          <cell r="F75">
            <v>1813.8766746889571</v>
          </cell>
        </row>
        <row r="76">
          <cell r="D76">
            <v>0</v>
          </cell>
          <cell r="F76">
            <v>8961.0268489341288</v>
          </cell>
        </row>
        <row r="77">
          <cell r="D77">
            <v>17252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30960.77</v>
          </cell>
          <cell r="F80">
            <v>0</v>
          </cell>
        </row>
        <row r="81">
          <cell r="D81">
            <v>25413.3</v>
          </cell>
          <cell r="F81">
            <v>7004.5361525928665</v>
          </cell>
        </row>
        <row r="82">
          <cell r="D82">
            <v>10616.22</v>
          </cell>
          <cell r="F82">
            <v>0</v>
          </cell>
        </row>
        <row r="83">
          <cell r="D83">
            <v>8218.7000000000007</v>
          </cell>
          <cell r="F83">
            <v>0</v>
          </cell>
        </row>
        <row r="84">
          <cell r="D84">
            <v>118791.26</v>
          </cell>
          <cell r="F84">
            <v>2268.3430642060198</v>
          </cell>
        </row>
        <row r="85">
          <cell r="D85">
            <v>0</v>
          </cell>
          <cell r="F85">
            <v>0</v>
          </cell>
        </row>
        <row r="89">
          <cell r="D89">
            <v>287656.41000000003</v>
          </cell>
          <cell r="F89">
            <v>870.3954184689095</v>
          </cell>
        </row>
        <row r="90">
          <cell r="D90">
            <v>0</v>
          </cell>
          <cell r="F90">
            <v>51167.356652578506</v>
          </cell>
        </row>
        <row r="91">
          <cell r="D91">
            <v>12800</v>
          </cell>
          <cell r="F91">
            <v>0</v>
          </cell>
        </row>
        <row r="92">
          <cell r="D92">
            <v>195258.87</v>
          </cell>
          <cell r="F92">
            <v>161</v>
          </cell>
        </row>
        <row r="93">
          <cell r="D93">
            <v>18501.84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57942.110000000008</v>
          </cell>
          <cell r="F98">
            <v>175.32217370167967</v>
          </cell>
        </row>
        <row r="99">
          <cell r="D99">
            <v>0</v>
          </cell>
          <cell r="F99">
            <v>10306.548036155134</v>
          </cell>
        </row>
        <row r="100">
          <cell r="D100">
            <v>9299.36</v>
          </cell>
          <cell r="F100">
            <v>0</v>
          </cell>
        </row>
        <row r="101">
          <cell r="D101">
            <v>254.48</v>
          </cell>
          <cell r="F101">
            <v>0</v>
          </cell>
        </row>
        <row r="102">
          <cell r="D102">
            <v>2192.06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124375.11</v>
          </cell>
          <cell r="F115">
            <v>376.33621971283958</v>
          </cell>
        </row>
        <row r="116">
          <cell r="D116">
            <v>0</v>
          </cell>
          <cell r="F116">
            <v>22123.427084672592</v>
          </cell>
        </row>
        <row r="117">
          <cell r="D117">
            <v>29128.29</v>
          </cell>
          <cell r="F117">
            <v>114.97346344373202</v>
          </cell>
        </row>
        <row r="118">
          <cell r="D118">
            <v>456.74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262665.23</v>
          </cell>
          <cell r="F125">
            <v>794.7767017709856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52102.25</v>
          </cell>
          <cell r="F128">
            <v>157.65183084889972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46722.009440504269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9267.7733416467545</v>
          </cell>
        </row>
        <row r="136">
          <cell r="D136">
            <v>830108.9</v>
          </cell>
          <cell r="F136">
            <v>2511.7569373485062</v>
          </cell>
        </row>
        <row r="137">
          <cell r="D137">
            <v>416531.91000000003</v>
          </cell>
          <cell r="F137">
            <v>1260.3489910414448</v>
          </cell>
        </row>
        <row r="138">
          <cell r="D138">
            <v>746629.37</v>
          </cell>
          <cell r="F138">
            <v>2259.1632251209985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147656.98475754331</v>
          </cell>
        </row>
        <row r="142">
          <cell r="D142">
            <v>0</v>
          </cell>
          <cell r="F142">
            <v>74091.298004274373</v>
          </cell>
        </row>
        <row r="143">
          <cell r="D143">
            <v>0</v>
          </cell>
          <cell r="F143">
            <v>132807.92617164346</v>
          </cell>
        </row>
        <row r="144">
          <cell r="D144">
            <v>0</v>
          </cell>
          <cell r="F144">
            <v>0</v>
          </cell>
        </row>
        <row r="146">
          <cell r="D146">
            <v>51748.36</v>
          </cell>
          <cell r="F146">
            <v>0</v>
          </cell>
        </row>
        <row r="147">
          <cell r="D147">
            <v>25107.63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80</v>
          </cell>
          <cell r="F149">
            <v>0</v>
          </cell>
        </row>
        <row r="150">
          <cell r="D150">
            <v>162.93</v>
          </cell>
          <cell r="F150">
            <v>0</v>
          </cell>
        </row>
        <row r="151">
          <cell r="D151">
            <v>146806.94999999998</v>
          </cell>
          <cell r="F151">
            <v>0</v>
          </cell>
        </row>
        <row r="152">
          <cell r="D152">
            <v>0</v>
          </cell>
          <cell r="F152">
            <v>0</v>
          </cell>
        </row>
        <row r="153">
          <cell r="D153">
            <v>18129.34</v>
          </cell>
          <cell r="F153">
            <v>0</v>
          </cell>
        </row>
        <row r="154">
          <cell r="D154">
            <v>197002.64999999997</v>
          </cell>
          <cell r="F154">
            <v>13259.058758568086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5339.3099999999995</v>
          </cell>
          <cell r="F161">
            <v>-2851.44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47132.169999999991</v>
          </cell>
          <cell r="F177">
            <v>-11242</v>
          </cell>
        </row>
        <row r="178">
          <cell r="D178">
            <v>5698.33</v>
          </cell>
          <cell r="F178">
            <v>-4690</v>
          </cell>
        </row>
        <row r="179">
          <cell r="D179">
            <v>2756.5</v>
          </cell>
          <cell r="F179">
            <v>199.14891070679732</v>
          </cell>
        </row>
        <row r="180">
          <cell r="D180">
            <v>0</v>
          </cell>
          <cell r="F180">
            <v>83.073850510775685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23347.120000000003</v>
          </cell>
          <cell r="F183">
            <v>1686.7598462328615</v>
          </cell>
        </row>
        <row r="184">
          <cell r="D184">
            <v>0</v>
          </cell>
          <cell r="F184">
            <v>703.62240404031979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317451.62</v>
          </cell>
          <cell r="F188">
            <v>0</v>
          </cell>
        </row>
        <row r="189">
          <cell r="D189">
            <v>23329.98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166855.32</v>
          </cell>
          <cell r="F191">
            <v>0</v>
          </cell>
        </row>
        <row r="192">
          <cell r="D192">
            <v>18650.490000000002</v>
          </cell>
          <cell r="F192">
            <v>0</v>
          </cell>
        </row>
        <row r="193">
          <cell r="D193">
            <v>1585.25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199517.69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207266.03</v>
          </cell>
          <cell r="F211">
            <v>627.14890628107173</v>
          </cell>
        </row>
        <row r="212">
          <cell r="D212">
            <v>0</v>
          </cell>
          <cell r="F212">
            <v>36867.78569952269</v>
          </cell>
        </row>
        <row r="213">
          <cell r="D213">
            <v>5087.16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8681.82</v>
          </cell>
          <cell r="F216">
            <v>0</v>
          </cell>
        </row>
        <row r="221">
          <cell r="D221">
            <v>7877495.1300000018</v>
          </cell>
        </row>
      </sheetData>
      <sheetData sheetId="9"/>
      <sheetData sheetId="10"/>
      <sheetData sheetId="11"/>
      <sheetData sheetId="12"/>
      <sheetData sheetId="13"/>
      <sheetData sheetId="14">
        <row r="9">
          <cell r="C9">
            <v>16718</v>
          </cell>
          <cell r="D9">
            <v>0</v>
          </cell>
          <cell r="E9">
            <v>4174</v>
          </cell>
          <cell r="F9">
            <v>0</v>
          </cell>
          <cell r="G9">
            <v>0</v>
          </cell>
          <cell r="H9">
            <v>5832</v>
          </cell>
          <cell r="I9">
            <v>0</v>
          </cell>
          <cell r="J9">
            <v>0</v>
          </cell>
          <cell r="K9">
            <v>0</v>
          </cell>
        </row>
        <row r="22">
          <cell r="N22">
            <v>156</v>
          </cell>
        </row>
        <row r="24">
          <cell r="N24">
            <v>156</v>
          </cell>
        </row>
        <row r="28">
          <cell r="N28">
            <v>56940</v>
          </cell>
        </row>
        <row r="30">
          <cell r="N30">
            <v>0.46933614330874607</v>
          </cell>
        </row>
        <row r="32">
          <cell r="N32">
            <v>0.29360730593607304</v>
          </cell>
        </row>
        <row r="34">
          <cell r="N34">
            <v>0.62558000299356376</v>
          </cell>
        </row>
      </sheetData>
      <sheetData sheetId="15"/>
      <sheetData sheetId="1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1979157.1599999997</v>
          </cell>
          <cell r="G10">
            <v>128749.62</v>
          </cell>
        </row>
        <row r="15">
          <cell r="E15">
            <v>0</v>
          </cell>
          <cell r="G15">
            <v>0</v>
          </cell>
        </row>
        <row r="21">
          <cell r="E21">
            <v>2115780.96</v>
          </cell>
          <cell r="G21">
            <v>0</v>
          </cell>
        </row>
        <row r="27">
          <cell r="E27">
            <v>407950.37000000005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473817.74</v>
          </cell>
          <cell r="G37">
            <v>0</v>
          </cell>
        </row>
        <row r="42">
          <cell r="E42">
            <v>0</v>
          </cell>
          <cell r="G42">
            <v>692341.83</v>
          </cell>
        </row>
        <row r="47">
          <cell r="E47">
            <v>1134382.3900000001</v>
          </cell>
          <cell r="G47">
            <v>-692341.83</v>
          </cell>
        </row>
        <row r="52">
          <cell r="E52">
            <v>0</v>
          </cell>
          <cell r="G52">
            <v>0</v>
          </cell>
        </row>
        <row r="67">
          <cell r="E67">
            <v>-198692.31</v>
          </cell>
          <cell r="G67">
            <v>33465.11</v>
          </cell>
        </row>
        <row r="85">
          <cell r="C85">
            <v>225.494729299363</v>
          </cell>
          <cell r="E85">
            <v>211.69346228239843</v>
          </cell>
          <cell r="G85">
            <v>196.20633802816903</v>
          </cell>
          <cell r="I85">
            <v>219.55883629191325</v>
          </cell>
        </row>
      </sheetData>
      <sheetData sheetId="6"/>
      <sheetData sheetId="7">
        <row r="10">
          <cell r="D10">
            <v>0</v>
          </cell>
          <cell r="F10">
            <v>82950.03</v>
          </cell>
        </row>
        <row r="11">
          <cell r="D11">
            <v>0</v>
          </cell>
          <cell r="F11">
            <v>0</v>
          </cell>
        </row>
        <row r="12">
          <cell r="D12">
            <v>148251.19</v>
          </cell>
          <cell r="F12">
            <v>0</v>
          </cell>
        </row>
        <row r="13">
          <cell r="D13">
            <v>54656.95</v>
          </cell>
          <cell r="F13">
            <v>6785.32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381599.2</v>
          </cell>
          <cell r="F16">
            <v>-42567</v>
          </cell>
        </row>
        <row r="17">
          <cell r="D17">
            <v>24983.14</v>
          </cell>
          <cell r="F17">
            <v>-24983.14</v>
          </cell>
        </row>
        <row r="18">
          <cell r="D18">
            <v>13269.68</v>
          </cell>
          <cell r="F18">
            <v>0</v>
          </cell>
        </row>
        <row r="19">
          <cell r="D19">
            <v>48252.17</v>
          </cell>
          <cell r="F19">
            <v>0</v>
          </cell>
        </row>
        <row r="20">
          <cell r="D20">
            <v>19856.96</v>
          </cell>
          <cell r="F20">
            <v>0</v>
          </cell>
        </row>
        <row r="21">
          <cell r="D21">
            <v>38606.04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16625.43</v>
          </cell>
          <cell r="F23">
            <v>0</v>
          </cell>
        </row>
        <row r="24">
          <cell r="D24">
            <v>51747.18</v>
          </cell>
          <cell r="F24">
            <v>-4355.53</v>
          </cell>
        </row>
        <row r="25">
          <cell r="D25">
            <v>2000</v>
          </cell>
          <cell r="F25">
            <v>0</v>
          </cell>
        </row>
        <row r="26">
          <cell r="D26">
            <v>357587.68</v>
          </cell>
          <cell r="F26">
            <v>0</v>
          </cell>
        </row>
        <row r="27">
          <cell r="D27">
            <v>0</v>
          </cell>
          <cell r="F27">
            <v>33465.11</v>
          </cell>
        </row>
        <row r="28">
          <cell r="D28">
            <v>30095.67</v>
          </cell>
          <cell r="F28">
            <v>-30095.67</v>
          </cell>
        </row>
        <row r="29">
          <cell r="D29">
            <v>45033.82</v>
          </cell>
          <cell r="F29">
            <v>-45033.82</v>
          </cell>
        </row>
        <row r="30">
          <cell r="D30">
            <v>0</v>
          </cell>
          <cell r="F30">
            <v>0</v>
          </cell>
        </row>
        <row r="31">
          <cell r="D31">
            <v>1470.77</v>
          </cell>
          <cell r="F31">
            <v>0</v>
          </cell>
        </row>
        <row r="32">
          <cell r="D32">
            <v>250</v>
          </cell>
          <cell r="F32">
            <v>21756.06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66782.62</v>
          </cell>
          <cell r="F35">
            <v>-66782.62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3340.43</v>
          </cell>
          <cell r="F39">
            <v>0</v>
          </cell>
        </row>
        <row r="40">
          <cell r="D40">
            <v>22461.98</v>
          </cell>
          <cell r="F40">
            <v>0</v>
          </cell>
        </row>
        <row r="41">
          <cell r="D41">
            <v>76694.11</v>
          </cell>
          <cell r="F41">
            <v>-7513.68</v>
          </cell>
        </row>
        <row r="42">
          <cell r="D42">
            <v>5894.83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107169.12</v>
          </cell>
          <cell r="F45">
            <v>-89735.35</v>
          </cell>
        </row>
        <row r="57">
          <cell r="D57">
            <v>610560</v>
          </cell>
          <cell r="F57">
            <v>0</v>
          </cell>
        </row>
        <row r="58">
          <cell r="D58">
            <v>15270.89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6600</v>
          </cell>
          <cell r="F60">
            <v>0</v>
          </cell>
        </row>
        <row r="61">
          <cell r="D61">
            <v>21756.06</v>
          </cell>
          <cell r="F61">
            <v>-21756.06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22226.37</v>
          </cell>
          <cell r="F66">
            <v>0</v>
          </cell>
        </row>
        <row r="67">
          <cell r="D67">
            <v>67970.87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41780.43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34467.360000000001</v>
          </cell>
          <cell r="F75">
            <v>0</v>
          </cell>
        </row>
        <row r="76">
          <cell r="D76">
            <v>3797.56</v>
          </cell>
          <cell r="F76">
            <v>0</v>
          </cell>
        </row>
        <row r="77">
          <cell r="D77">
            <v>3587.75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10241.51</v>
          </cell>
          <cell r="F79">
            <v>0</v>
          </cell>
        </row>
        <row r="80">
          <cell r="D80">
            <v>21566.42</v>
          </cell>
          <cell r="F80">
            <v>0</v>
          </cell>
        </row>
        <row r="81">
          <cell r="D81">
            <v>12138.52</v>
          </cell>
          <cell r="F81">
            <v>0</v>
          </cell>
        </row>
        <row r="82">
          <cell r="D82">
            <v>13539.31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118921.03</v>
          </cell>
          <cell r="F84">
            <v>0</v>
          </cell>
        </row>
        <row r="85">
          <cell r="D85">
            <v>156.94</v>
          </cell>
          <cell r="F85">
            <v>0</v>
          </cell>
        </row>
        <row r="89">
          <cell r="D89">
            <v>211467.16</v>
          </cell>
          <cell r="F89">
            <v>0</v>
          </cell>
        </row>
        <row r="90">
          <cell r="D90">
            <v>39019.519999999997</v>
          </cell>
          <cell r="F90">
            <v>0</v>
          </cell>
        </row>
        <row r="91">
          <cell r="D91">
            <v>22365.65</v>
          </cell>
          <cell r="F91">
            <v>0</v>
          </cell>
        </row>
        <row r="92">
          <cell r="D92">
            <v>194900.09</v>
          </cell>
          <cell r="F92">
            <v>0</v>
          </cell>
        </row>
        <row r="93">
          <cell r="D93">
            <v>30924.21</v>
          </cell>
          <cell r="F93">
            <v>0</v>
          </cell>
        </row>
        <row r="94">
          <cell r="D94">
            <v>2411.4899999999998</v>
          </cell>
          <cell r="F94">
            <v>0</v>
          </cell>
        </row>
        <row r="98">
          <cell r="D98">
            <v>41266.239999999998</v>
          </cell>
          <cell r="F98">
            <v>0</v>
          </cell>
        </row>
        <row r="99">
          <cell r="D99">
            <v>8941.3799999999992</v>
          </cell>
          <cell r="F99">
            <v>0</v>
          </cell>
        </row>
        <row r="100">
          <cell r="D100">
            <v>4882.71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5523.45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107669.09</v>
          </cell>
          <cell r="F115">
            <v>0</v>
          </cell>
        </row>
        <row r="116">
          <cell r="D116">
            <v>13801.27</v>
          </cell>
          <cell r="F116">
            <v>0</v>
          </cell>
        </row>
        <row r="117">
          <cell r="D117">
            <v>18380.11</v>
          </cell>
          <cell r="F117">
            <v>0</v>
          </cell>
        </row>
        <row r="118">
          <cell r="D118">
            <v>775.48</v>
          </cell>
          <cell r="F118">
            <v>0</v>
          </cell>
        </row>
        <row r="119">
          <cell r="D119">
            <v>90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249788.1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32899.089999999997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47129.120000000003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8789.34</v>
          </cell>
          <cell r="F134">
            <v>0</v>
          </cell>
        </row>
        <row r="136">
          <cell r="D136">
            <v>382037.17</v>
          </cell>
          <cell r="F136">
            <v>0</v>
          </cell>
        </row>
        <row r="137">
          <cell r="D137">
            <v>318270</v>
          </cell>
          <cell r="F137">
            <v>0</v>
          </cell>
        </row>
        <row r="138">
          <cell r="D138">
            <v>606911.68000000005</v>
          </cell>
          <cell r="F138">
            <v>0</v>
          </cell>
        </row>
        <row r="139">
          <cell r="D139">
            <v>44226.2</v>
          </cell>
          <cell r="F139">
            <v>0</v>
          </cell>
        </row>
        <row r="141">
          <cell r="D141">
            <v>70521.84</v>
          </cell>
          <cell r="F141">
            <v>0</v>
          </cell>
        </row>
        <row r="142">
          <cell r="D142">
            <v>58362.9</v>
          </cell>
          <cell r="F142">
            <v>0</v>
          </cell>
        </row>
        <row r="143">
          <cell r="D143">
            <v>114294.02</v>
          </cell>
          <cell r="F143">
            <v>0</v>
          </cell>
        </row>
        <row r="144">
          <cell r="D144">
            <v>4285.22</v>
          </cell>
          <cell r="F144">
            <v>0</v>
          </cell>
        </row>
        <row r="146">
          <cell r="D146">
            <v>9497.5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1072.5</v>
          </cell>
          <cell r="F150">
            <v>0</v>
          </cell>
        </row>
        <row r="151">
          <cell r="D151">
            <v>181560.62</v>
          </cell>
          <cell r="F151">
            <v>0</v>
          </cell>
        </row>
        <row r="152">
          <cell r="D152">
            <v>615.67999999999995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351.68</v>
          </cell>
          <cell r="F160">
            <v>0</v>
          </cell>
        </row>
        <row r="161">
          <cell r="D161">
            <v>41866.400000000001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332827.19</v>
          </cell>
          <cell r="F194">
            <v>-1728.77</v>
          </cell>
        </row>
        <row r="195">
          <cell r="D195">
            <v>7143.34</v>
          </cell>
          <cell r="F195">
            <v>-36.78</v>
          </cell>
        </row>
        <row r="196">
          <cell r="D196">
            <v>0</v>
          </cell>
          <cell r="F196">
            <v>0</v>
          </cell>
        </row>
        <row r="197">
          <cell r="D197">
            <v>362888.82</v>
          </cell>
          <cell r="F197">
            <v>-1912.68</v>
          </cell>
        </row>
        <row r="198">
          <cell r="D198">
            <v>19424.95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239148.55</v>
          </cell>
          <cell r="F205">
            <v>0</v>
          </cell>
        </row>
        <row r="206">
          <cell r="D206">
            <v>7113.14</v>
          </cell>
          <cell r="F206">
            <v>0</v>
          </cell>
        </row>
        <row r="207">
          <cell r="D207">
            <v>-12668.69</v>
          </cell>
          <cell r="F207">
            <v>0</v>
          </cell>
        </row>
        <row r="211">
          <cell r="D211">
            <v>103755</v>
          </cell>
          <cell r="F211">
            <v>0</v>
          </cell>
        </row>
        <row r="212">
          <cell r="D212">
            <v>25894.03</v>
          </cell>
          <cell r="F212">
            <v>0</v>
          </cell>
        </row>
        <row r="213">
          <cell r="D213">
            <v>9631.51</v>
          </cell>
          <cell r="F213">
            <v>0</v>
          </cell>
        </row>
        <row r="214">
          <cell r="D214">
            <v>3860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2863.78</v>
          </cell>
          <cell r="F216">
            <v>0</v>
          </cell>
        </row>
        <row r="221">
          <cell r="D221">
            <v>6497988.5300000003</v>
          </cell>
        </row>
      </sheetData>
      <sheetData sheetId="8"/>
      <sheetData sheetId="9"/>
      <sheetData sheetId="10">
        <row r="9">
          <cell r="C9">
            <v>10772</v>
          </cell>
          <cell r="D9">
            <v>0</v>
          </cell>
          <cell r="E9">
            <v>4120</v>
          </cell>
          <cell r="F9">
            <v>1204</v>
          </cell>
          <cell r="G9">
            <v>0</v>
          </cell>
          <cell r="H9">
            <v>2220</v>
          </cell>
          <cell r="I9">
            <v>3699</v>
          </cell>
          <cell r="J9">
            <v>2394</v>
          </cell>
          <cell r="K9">
            <v>0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0.55728310502283107</v>
          </cell>
        </row>
        <row r="32">
          <cell r="N32">
            <v>0.24593607305936074</v>
          </cell>
        </row>
        <row r="34">
          <cell r="N34">
            <v>0.44131263058707854</v>
          </cell>
        </row>
      </sheetData>
      <sheetData sheetId="1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702133.49</v>
          </cell>
          <cell r="G10">
            <v>310238.46000000002</v>
          </cell>
        </row>
        <row r="15">
          <cell r="E15">
            <v>0</v>
          </cell>
          <cell r="G15">
            <v>0</v>
          </cell>
        </row>
        <row r="21">
          <cell r="E21">
            <v>569530.12999999989</v>
          </cell>
          <cell r="G21">
            <v>0</v>
          </cell>
        </row>
        <row r="27">
          <cell r="E27">
            <v>206563.11000000002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257539.27999999997</v>
          </cell>
          <cell r="G37">
            <v>0</v>
          </cell>
        </row>
        <row r="42">
          <cell r="E42">
            <v>0</v>
          </cell>
          <cell r="G42">
            <v>36497.5</v>
          </cell>
        </row>
        <row r="47">
          <cell r="E47">
            <v>106035.06</v>
          </cell>
          <cell r="G47">
            <v>-36497</v>
          </cell>
        </row>
        <row r="52">
          <cell r="E52">
            <v>0</v>
          </cell>
          <cell r="G52">
            <v>0</v>
          </cell>
        </row>
        <row r="67">
          <cell r="E67">
            <v>259343.62</v>
          </cell>
          <cell r="G67">
            <v>0</v>
          </cell>
        </row>
        <row r="85">
          <cell r="C85">
            <v>179.03223602484474</v>
          </cell>
          <cell r="E85">
            <v>202.00955621301773</v>
          </cell>
          <cell r="G85">
            <v>205.84074803149605</v>
          </cell>
          <cell r="I85">
            <v>192.7630916030534</v>
          </cell>
        </row>
      </sheetData>
      <sheetData sheetId="6"/>
      <sheetData sheetId="7">
        <row r="10">
          <cell r="D10">
            <v>0</v>
          </cell>
          <cell r="F10">
            <v>66411.34</v>
          </cell>
        </row>
        <row r="11">
          <cell r="D11">
            <v>0</v>
          </cell>
          <cell r="F11">
            <v>8761.66</v>
          </cell>
        </row>
        <row r="12">
          <cell r="D12">
            <v>59285.32</v>
          </cell>
          <cell r="F12">
            <v>0</v>
          </cell>
        </row>
        <row r="13">
          <cell r="D13">
            <v>20721.060000000001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145209.46</v>
          </cell>
          <cell r="F16">
            <v>-20456</v>
          </cell>
        </row>
        <row r="17">
          <cell r="D17">
            <v>11564.05</v>
          </cell>
          <cell r="F17">
            <v>-11564.05</v>
          </cell>
        </row>
        <row r="18">
          <cell r="D18">
            <v>5773.48</v>
          </cell>
          <cell r="F18">
            <v>0</v>
          </cell>
        </row>
        <row r="19">
          <cell r="D19">
            <v>19142.52</v>
          </cell>
          <cell r="F19">
            <v>0</v>
          </cell>
        </row>
        <row r="20">
          <cell r="D20">
            <v>6274.6</v>
          </cell>
          <cell r="F20">
            <v>0</v>
          </cell>
        </row>
        <row r="21">
          <cell r="D21">
            <v>18845.080000000002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23867.759999999998</v>
          </cell>
          <cell r="F23">
            <v>0</v>
          </cell>
        </row>
        <row r="24">
          <cell r="D24">
            <v>51906.34</v>
          </cell>
          <cell r="F24">
            <v>-4898.9799999999996</v>
          </cell>
        </row>
        <row r="25">
          <cell r="D25">
            <v>0</v>
          </cell>
          <cell r="F25">
            <v>0</v>
          </cell>
        </row>
        <row r="26">
          <cell r="D26">
            <v>118792.86</v>
          </cell>
          <cell r="F26">
            <v>0</v>
          </cell>
        </row>
        <row r="27">
          <cell r="D27">
            <v>1317.79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48022.87</v>
          </cell>
          <cell r="F29">
            <v>-48022.87</v>
          </cell>
        </row>
        <row r="30">
          <cell r="D30">
            <v>0</v>
          </cell>
          <cell r="F30">
            <v>0</v>
          </cell>
        </row>
        <row r="31">
          <cell r="D31">
            <v>569.20000000000005</v>
          </cell>
          <cell r="F31">
            <v>0</v>
          </cell>
        </row>
        <row r="32">
          <cell r="D32">
            <v>743.72</v>
          </cell>
          <cell r="F32">
            <v>19877.97</v>
          </cell>
        </row>
        <row r="33">
          <cell r="D33">
            <v>50257.58</v>
          </cell>
          <cell r="F33">
            <v>-50257.58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209.94</v>
          </cell>
          <cell r="F38">
            <v>0</v>
          </cell>
        </row>
        <row r="39">
          <cell r="D39">
            <v>3728.87</v>
          </cell>
          <cell r="F39">
            <v>0</v>
          </cell>
        </row>
        <row r="40">
          <cell r="D40">
            <v>8335.23</v>
          </cell>
          <cell r="F40">
            <v>0</v>
          </cell>
        </row>
        <row r="41">
          <cell r="D41">
            <v>39997.379999999997</v>
          </cell>
          <cell r="F41">
            <v>-3355.06</v>
          </cell>
        </row>
        <row r="42">
          <cell r="D42">
            <v>6687.97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91990.87</v>
          </cell>
          <cell r="F45">
            <v>-75173.429999999993</v>
          </cell>
        </row>
        <row r="57">
          <cell r="D57">
            <v>69820</v>
          </cell>
          <cell r="F57">
            <v>-69820</v>
          </cell>
        </row>
        <row r="58">
          <cell r="D58">
            <v>12002.46</v>
          </cell>
          <cell r="F58">
            <v>25832.04</v>
          </cell>
        </row>
        <row r="59">
          <cell r="D59">
            <v>0</v>
          </cell>
          <cell r="F59">
            <v>51611.35</v>
          </cell>
        </row>
        <row r="60">
          <cell r="D60">
            <v>0</v>
          </cell>
          <cell r="F60">
            <v>0</v>
          </cell>
        </row>
        <row r="61">
          <cell r="D61">
            <v>19877.97</v>
          </cell>
          <cell r="F61">
            <v>-19877.97</v>
          </cell>
        </row>
        <row r="62">
          <cell r="D62">
            <v>7851.06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2197.86</v>
          </cell>
          <cell r="F66">
            <v>0</v>
          </cell>
        </row>
        <row r="67">
          <cell r="D67">
            <v>43688.59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2659.26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37255.440000000002</v>
          </cell>
          <cell r="F75">
            <v>0</v>
          </cell>
        </row>
        <row r="76">
          <cell r="D76">
            <v>3790.12</v>
          </cell>
          <cell r="F76">
            <v>0</v>
          </cell>
        </row>
        <row r="77">
          <cell r="D77">
            <v>6491.43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14195.28</v>
          </cell>
          <cell r="F79">
            <v>0</v>
          </cell>
        </row>
        <row r="80">
          <cell r="D80">
            <v>8849.57</v>
          </cell>
          <cell r="F80">
            <v>0</v>
          </cell>
        </row>
        <row r="81">
          <cell r="D81">
            <v>2060.39</v>
          </cell>
          <cell r="F81">
            <v>0</v>
          </cell>
        </row>
        <row r="82">
          <cell r="D82">
            <v>8458.51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32023.23</v>
          </cell>
          <cell r="F84">
            <v>0</v>
          </cell>
        </row>
        <row r="85">
          <cell r="D85">
            <v>589.66</v>
          </cell>
          <cell r="F85">
            <v>0</v>
          </cell>
        </row>
        <row r="89">
          <cell r="D89">
            <v>141261.12</v>
          </cell>
          <cell r="F89">
            <v>0</v>
          </cell>
        </row>
        <row r="90">
          <cell r="D90">
            <v>27366.34</v>
          </cell>
          <cell r="F90">
            <v>0</v>
          </cell>
        </row>
        <row r="91">
          <cell r="D91">
            <v>11257.73</v>
          </cell>
          <cell r="F91">
            <v>0</v>
          </cell>
        </row>
        <row r="92">
          <cell r="D92">
            <v>73775.95</v>
          </cell>
          <cell r="F92">
            <v>0</v>
          </cell>
        </row>
        <row r="93">
          <cell r="D93">
            <v>10344.44</v>
          </cell>
          <cell r="F93">
            <v>0</v>
          </cell>
        </row>
        <row r="94">
          <cell r="D94">
            <v>507.61</v>
          </cell>
          <cell r="F94">
            <v>0</v>
          </cell>
        </row>
        <row r="98">
          <cell r="D98">
            <v>17663.39</v>
          </cell>
          <cell r="F98">
            <v>0</v>
          </cell>
        </row>
        <row r="99">
          <cell r="D99">
            <v>2008.13</v>
          </cell>
          <cell r="F99">
            <v>0</v>
          </cell>
        </row>
        <row r="100">
          <cell r="D100">
            <v>52.23</v>
          </cell>
          <cell r="F100">
            <v>0</v>
          </cell>
        </row>
        <row r="101">
          <cell r="D101">
            <v>465.35</v>
          </cell>
          <cell r="F101">
            <v>0</v>
          </cell>
        </row>
        <row r="102">
          <cell r="D102">
            <v>2452.59</v>
          </cell>
          <cell r="F102">
            <v>0</v>
          </cell>
        </row>
        <row r="103">
          <cell r="D103">
            <v>398.6</v>
          </cell>
          <cell r="F103">
            <v>0</v>
          </cell>
        </row>
        <row r="115">
          <cell r="D115">
            <v>49198.06</v>
          </cell>
          <cell r="F115">
            <v>0</v>
          </cell>
        </row>
        <row r="116">
          <cell r="D116">
            <v>5166.67</v>
          </cell>
          <cell r="F116">
            <v>0</v>
          </cell>
        </row>
        <row r="117">
          <cell r="D117">
            <v>3323.14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172541.5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0.18</v>
          </cell>
          <cell r="F127">
            <v>0</v>
          </cell>
        </row>
        <row r="128">
          <cell r="D128">
            <v>15357.88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27321.32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1167.74</v>
          </cell>
          <cell r="F134">
            <v>0</v>
          </cell>
        </row>
        <row r="136">
          <cell r="D136">
            <v>221568.01</v>
          </cell>
          <cell r="F136">
            <v>0</v>
          </cell>
        </row>
        <row r="137">
          <cell r="D137">
            <v>70488.52</v>
          </cell>
          <cell r="F137">
            <v>0</v>
          </cell>
        </row>
        <row r="138">
          <cell r="D138">
            <v>326929.28000000003</v>
          </cell>
          <cell r="F138">
            <v>0</v>
          </cell>
        </row>
        <row r="139">
          <cell r="D139">
            <v>304.38</v>
          </cell>
          <cell r="F139">
            <v>0</v>
          </cell>
        </row>
        <row r="141">
          <cell r="D141">
            <v>34531.360000000001</v>
          </cell>
          <cell r="F141">
            <v>0</v>
          </cell>
        </row>
        <row r="142">
          <cell r="D142">
            <v>11510.45</v>
          </cell>
          <cell r="F142">
            <v>0</v>
          </cell>
        </row>
        <row r="143">
          <cell r="D143">
            <v>49878.45</v>
          </cell>
          <cell r="F143">
            <v>0</v>
          </cell>
        </row>
        <row r="144">
          <cell r="D144">
            <v>22.03</v>
          </cell>
          <cell r="F144">
            <v>0</v>
          </cell>
        </row>
        <row r="146">
          <cell r="D146">
            <v>9600</v>
          </cell>
          <cell r="F146">
            <v>0</v>
          </cell>
        </row>
        <row r="147">
          <cell r="D147">
            <v>22328.36</v>
          </cell>
          <cell r="F147">
            <v>0</v>
          </cell>
        </row>
        <row r="148">
          <cell r="D148">
            <v>9325.06</v>
          </cell>
          <cell r="F148">
            <v>0</v>
          </cell>
        </row>
        <row r="149">
          <cell r="D149">
            <v>12034.37</v>
          </cell>
          <cell r="F149">
            <v>0</v>
          </cell>
        </row>
        <row r="150">
          <cell r="D150">
            <v>0</v>
          </cell>
          <cell r="F150">
            <v>0</v>
          </cell>
        </row>
        <row r="151">
          <cell r="D151">
            <v>39856.74</v>
          </cell>
          <cell r="F151">
            <v>0</v>
          </cell>
        </row>
        <row r="152">
          <cell r="D152">
            <v>1009.62</v>
          </cell>
          <cell r="F152">
            <v>0</v>
          </cell>
        </row>
        <row r="153">
          <cell r="D153">
            <v>1815.29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1848.31</v>
          </cell>
          <cell r="F160">
            <v>0</v>
          </cell>
        </row>
        <row r="161">
          <cell r="D161">
            <v>34634.1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120248.43</v>
          </cell>
          <cell r="F194">
            <v>-143.15</v>
          </cell>
        </row>
        <row r="195">
          <cell r="D195">
            <v>4307.34</v>
          </cell>
          <cell r="F195">
            <v>-4.9400000000000004</v>
          </cell>
        </row>
        <row r="196">
          <cell r="D196">
            <v>83474.720000000001</v>
          </cell>
          <cell r="F196">
            <v>-98.72</v>
          </cell>
        </row>
        <row r="197">
          <cell r="D197">
            <v>0</v>
          </cell>
          <cell r="F197">
            <v>0</v>
          </cell>
        </row>
        <row r="198">
          <cell r="D198">
            <v>11430.52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116635.68</v>
          </cell>
          <cell r="F205">
            <v>-64343.05</v>
          </cell>
        </row>
        <row r="206">
          <cell r="D206">
            <v>8421.6299999999992</v>
          </cell>
          <cell r="F206">
            <v>0</v>
          </cell>
        </row>
        <row r="207">
          <cell r="D207">
            <v>10445.94</v>
          </cell>
          <cell r="F207">
            <v>0</v>
          </cell>
        </row>
        <row r="211">
          <cell r="D211">
            <v>44395.94</v>
          </cell>
          <cell r="F211">
            <v>0</v>
          </cell>
        </row>
        <row r="212">
          <cell r="D212">
            <v>12687.53</v>
          </cell>
          <cell r="F212">
            <v>0</v>
          </cell>
        </row>
        <row r="213">
          <cell r="D213">
            <v>6976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1273.6600000000001</v>
          </cell>
          <cell r="F216">
            <v>0</v>
          </cell>
        </row>
        <row r="221">
          <cell r="D221">
            <v>2834666.69</v>
          </cell>
        </row>
      </sheetData>
      <sheetData sheetId="8"/>
      <sheetData sheetId="9"/>
      <sheetData sheetId="10">
        <row r="9">
          <cell r="C9">
            <v>4259</v>
          </cell>
          <cell r="D9">
            <v>0</v>
          </cell>
          <cell r="E9">
            <v>1201</v>
          </cell>
          <cell r="F9">
            <v>503</v>
          </cell>
          <cell r="G9">
            <v>0</v>
          </cell>
          <cell r="H9">
            <v>1337</v>
          </cell>
          <cell r="I9">
            <v>195</v>
          </cell>
          <cell r="J9">
            <v>423</v>
          </cell>
          <cell r="K9">
            <v>0</v>
          </cell>
        </row>
        <row r="22">
          <cell r="N22">
            <v>46</v>
          </cell>
        </row>
        <row r="24">
          <cell r="N24">
            <v>46</v>
          </cell>
        </row>
        <row r="28">
          <cell r="N28">
            <v>16790</v>
          </cell>
        </row>
        <row r="30">
          <cell r="N30">
            <v>0.47159023228111974</v>
          </cell>
        </row>
        <row r="32">
          <cell r="N32">
            <v>0.25366289458010721</v>
          </cell>
        </row>
        <row r="34">
          <cell r="N34">
            <v>0.53788835564536497</v>
          </cell>
        </row>
      </sheetData>
      <sheetData sheetId="1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405066.01</v>
          </cell>
          <cell r="G10">
            <v>-60144.54</v>
          </cell>
        </row>
        <row r="15">
          <cell r="E15">
            <v>0</v>
          </cell>
          <cell r="G15">
            <v>0</v>
          </cell>
        </row>
        <row r="21">
          <cell r="E21">
            <v>2412001.4000000004</v>
          </cell>
          <cell r="G21">
            <v>60144.54</v>
          </cell>
        </row>
        <row r="27">
          <cell r="E27">
            <v>1380221.1400000001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1001902.3200000001</v>
          </cell>
          <cell r="G37">
            <v>0</v>
          </cell>
        </row>
        <row r="42">
          <cell r="E42">
            <v>0</v>
          </cell>
          <cell r="G42">
            <v>82729.14</v>
          </cell>
        </row>
        <row r="47">
          <cell r="E47">
            <v>166159.35999999999</v>
          </cell>
          <cell r="G47">
            <v>-82729.14</v>
          </cell>
        </row>
        <row r="52">
          <cell r="E52">
            <v>0</v>
          </cell>
          <cell r="G52">
            <v>0</v>
          </cell>
        </row>
        <row r="67">
          <cell r="E67">
            <v>606701.07000000007</v>
          </cell>
          <cell r="G67">
            <v>0</v>
          </cell>
        </row>
      </sheetData>
      <sheetData sheetId="6"/>
      <sheetData sheetId="7">
        <row r="10">
          <cell r="D10">
            <v>0</v>
          </cell>
          <cell r="F10">
            <v>77948.649999999994</v>
          </cell>
        </row>
        <row r="11">
          <cell r="D11">
            <v>0</v>
          </cell>
          <cell r="F11">
            <v>21224.61</v>
          </cell>
        </row>
        <row r="12">
          <cell r="D12">
            <v>90013.93</v>
          </cell>
          <cell r="F12">
            <v>0</v>
          </cell>
        </row>
        <row r="13">
          <cell r="D13">
            <v>28676.09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291312.55</v>
          </cell>
          <cell r="F16">
            <v>16027.45</v>
          </cell>
        </row>
        <row r="17">
          <cell r="D17">
            <v>8229.4599999999991</v>
          </cell>
          <cell r="F17">
            <v>-8229.4599999999991</v>
          </cell>
        </row>
        <row r="18">
          <cell r="D18">
            <v>8501.93</v>
          </cell>
          <cell r="F18">
            <v>0</v>
          </cell>
        </row>
        <row r="19">
          <cell r="D19">
            <v>22386.84</v>
          </cell>
          <cell r="F19">
            <v>0</v>
          </cell>
        </row>
        <row r="20">
          <cell r="D20">
            <v>8749.17</v>
          </cell>
          <cell r="F20">
            <v>0</v>
          </cell>
        </row>
        <row r="21">
          <cell r="D21">
            <v>43748.46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17154.82</v>
          </cell>
          <cell r="F23">
            <v>0</v>
          </cell>
        </row>
        <row r="24">
          <cell r="D24">
            <v>71639.39</v>
          </cell>
          <cell r="F24">
            <v>-8025.78</v>
          </cell>
        </row>
        <row r="25">
          <cell r="D25">
            <v>0</v>
          </cell>
          <cell r="F25">
            <v>0</v>
          </cell>
        </row>
        <row r="26">
          <cell r="D26">
            <v>82397.91</v>
          </cell>
          <cell r="F26">
            <v>0</v>
          </cell>
        </row>
        <row r="27">
          <cell r="D27">
            <v>1257.19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189894.89</v>
          </cell>
          <cell r="F29">
            <v>-189894.89</v>
          </cell>
        </row>
        <row r="30">
          <cell r="D30">
            <v>-50</v>
          </cell>
          <cell r="F30">
            <v>50</v>
          </cell>
        </row>
        <row r="31">
          <cell r="D31">
            <v>2423.69</v>
          </cell>
          <cell r="F31">
            <v>0</v>
          </cell>
        </row>
        <row r="32">
          <cell r="D32">
            <v>11.29</v>
          </cell>
          <cell r="F32">
            <v>14107.11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3939.14</v>
          </cell>
          <cell r="F35">
            <v>-3939.14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7363.34</v>
          </cell>
          <cell r="F39">
            <v>0</v>
          </cell>
        </row>
        <row r="40">
          <cell r="D40">
            <v>7210.93</v>
          </cell>
          <cell r="F40">
            <v>0</v>
          </cell>
        </row>
        <row r="41">
          <cell r="D41">
            <v>41996.160000000003</v>
          </cell>
          <cell r="F41">
            <v>-7254.4056644852599</v>
          </cell>
        </row>
        <row r="42">
          <cell r="D42">
            <v>0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107003.25</v>
          </cell>
          <cell r="F45">
            <v>-99173.26</v>
          </cell>
        </row>
        <row r="57">
          <cell r="D57">
            <v>446930</v>
          </cell>
          <cell r="F57">
            <v>-446930</v>
          </cell>
        </row>
        <row r="58">
          <cell r="D58">
            <v>21445.15</v>
          </cell>
          <cell r="F58">
            <v>218823.36</v>
          </cell>
        </row>
        <row r="59">
          <cell r="D59">
            <v>0</v>
          </cell>
          <cell r="F59">
            <v>196507.56</v>
          </cell>
        </row>
        <row r="60">
          <cell r="D60">
            <v>0</v>
          </cell>
          <cell r="F60">
            <v>0</v>
          </cell>
        </row>
        <row r="61">
          <cell r="D61">
            <v>14107.11</v>
          </cell>
          <cell r="F61">
            <v>-14107.11</v>
          </cell>
        </row>
        <row r="62">
          <cell r="D62">
            <v>9615.99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1808.63</v>
          </cell>
          <cell r="F66">
            <v>0</v>
          </cell>
        </row>
        <row r="67">
          <cell r="D67">
            <v>26776.15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44602.78</v>
          </cell>
          <cell r="F75">
            <v>0</v>
          </cell>
        </row>
        <row r="76">
          <cell r="D76">
            <v>5470.76</v>
          </cell>
          <cell r="F76">
            <v>0</v>
          </cell>
        </row>
        <row r="77">
          <cell r="D77">
            <v>11645.22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16345.66</v>
          </cell>
          <cell r="F79">
            <v>0</v>
          </cell>
        </row>
        <row r="80">
          <cell r="D80">
            <v>7417.41</v>
          </cell>
          <cell r="F80">
            <v>0</v>
          </cell>
        </row>
        <row r="81">
          <cell r="D81">
            <v>4755.04</v>
          </cell>
          <cell r="F81">
            <v>0</v>
          </cell>
        </row>
        <row r="82">
          <cell r="D82">
            <v>23555.17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114244.31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145755.59</v>
          </cell>
          <cell r="F89">
            <v>0</v>
          </cell>
        </row>
        <row r="90">
          <cell r="D90">
            <v>41031.46</v>
          </cell>
          <cell r="F90">
            <v>0</v>
          </cell>
        </row>
        <row r="91">
          <cell r="D91">
            <v>35029.96</v>
          </cell>
          <cell r="F91">
            <v>0</v>
          </cell>
        </row>
        <row r="92">
          <cell r="D92">
            <v>120446.51</v>
          </cell>
          <cell r="F92">
            <v>0</v>
          </cell>
        </row>
        <row r="93">
          <cell r="D93">
            <v>15965.02</v>
          </cell>
          <cell r="F93">
            <v>0</v>
          </cell>
        </row>
        <row r="94">
          <cell r="D94">
            <v>1512</v>
          </cell>
          <cell r="F94">
            <v>0</v>
          </cell>
        </row>
        <row r="98">
          <cell r="D98">
            <v>12132.72</v>
          </cell>
          <cell r="F98">
            <v>0</v>
          </cell>
        </row>
        <row r="99">
          <cell r="D99">
            <v>1753.29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7742.66</v>
          </cell>
          <cell r="F102">
            <v>0</v>
          </cell>
        </row>
        <row r="103">
          <cell r="D103">
            <v>127.5</v>
          </cell>
          <cell r="F103">
            <v>0</v>
          </cell>
        </row>
        <row r="115">
          <cell r="D115">
            <v>32532.52</v>
          </cell>
          <cell r="F115">
            <v>0</v>
          </cell>
        </row>
        <row r="116">
          <cell r="D116">
            <v>6926.83</v>
          </cell>
          <cell r="F116">
            <v>0</v>
          </cell>
        </row>
        <row r="117">
          <cell r="D117">
            <v>8908.14</v>
          </cell>
          <cell r="F117">
            <v>0</v>
          </cell>
        </row>
        <row r="118">
          <cell r="D118">
            <v>7650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260303.92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48219.07</v>
          </cell>
          <cell r="F127">
            <v>0</v>
          </cell>
        </row>
        <row r="128">
          <cell r="D128">
            <v>27005.26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61356.27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11012.66</v>
          </cell>
          <cell r="F133">
            <v>0</v>
          </cell>
        </row>
        <row r="134">
          <cell r="D134">
            <v>6292.89</v>
          </cell>
          <cell r="F134">
            <v>0</v>
          </cell>
        </row>
        <row r="136">
          <cell r="D136">
            <v>461417.4</v>
          </cell>
          <cell r="F136">
            <v>0</v>
          </cell>
        </row>
        <row r="137">
          <cell r="D137">
            <v>218745.05</v>
          </cell>
          <cell r="F137">
            <v>0</v>
          </cell>
        </row>
        <row r="138">
          <cell r="D138">
            <v>379739.91</v>
          </cell>
          <cell r="F138">
            <v>0</v>
          </cell>
        </row>
        <row r="139">
          <cell r="D139">
            <v>3130.58</v>
          </cell>
          <cell r="F139">
            <v>0</v>
          </cell>
        </row>
        <row r="141">
          <cell r="D141">
            <v>83574.73</v>
          </cell>
          <cell r="F141">
            <v>0</v>
          </cell>
        </row>
        <row r="142">
          <cell r="D142">
            <v>40815.56</v>
          </cell>
          <cell r="F142">
            <v>0</v>
          </cell>
        </row>
        <row r="143">
          <cell r="D143">
            <v>69969.539999999994</v>
          </cell>
          <cell r="F143">
            <v>0</v>
          </cell>
        </row>
        <row r="144">
          <cell r="D144">
            <v>111.81</v>
          </cell>
          <cell r="F144">
            <v>0</v>
          </cell>
        </row>
        <row r="146">
          <cell r="D146">
            <v>33000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15220.29</v>
          </cell>
          <cell r="F149">
            <v>0</v>
          </cell>
        </row>
        <row r="150">
          <cell r="D150">
            <v>6117.76</v>
          </cell>
          <cell r="F150">
            <v>0</v>
          </cell>
        </row>
        <row r="151">
          <cell r="D151">
            <v>77756.12</v>
          </cell>
          <cell r="F151">
            <v>0</v>
          </cell>
        </row>
        <row r="152">
          <cell r="D152">
            <v>17749.59</v>
          </cell>
          <cell r="F152">
            <v>0</v>
          </cell>
        </row>
        <row r="153">
          <cell r="D153">
            <v>15765.16</v>
          </cell>
          <cell r="F153">
            <v>0</v>
          </cell>
        </row>
        <row r="154">
          <cell r="D154">
            <v>783.6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2465.08</v>
          </cell>
          <cell r="F160">
            <v>0</v>
          </cell>
        </row>
        <row r="161">
          <cell r="D161">
            <v>48652.33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624095</v>
          </cell>
          <cell r="F194">
            <v>-3562.07</v>
          </cell>
        </row>
        <row r="195">
          <cell r="D195">
            <v>76250.100000000006</v>
          </cell>
          <cell r="F195">
            <v>-419.07</v>
          </cell>
        </row>
        <row r="196">
          <cell r="D196">
            <v>518044.46</v>
          </cell>
          <cell r="F196">
            <v>-3003.32</v>
          </cell>
        </row>
        <row r="197">
          <cell r="D197">
            <v>0</v>
          </cell>
          <cell r="F197">
            <v>0</v>
          </cell>
        </row>
        <row r="198">
          <cell r="D198">
            <v>56818.46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529634.11</v>
          </cell>
          <cell r="F205">
            <v>-287582.49</v>
          </cell>
        </row>
        <row r="206">
          <cell r="D206">
            <v>14677.39</v>
          </cell>
          <cell r="F206">
            <v>0</v>
          </cell>
        </row>
        <row r="207">
          <cell r="D207">
            <v>-14680.81</v>
          </cell>
          <cell r="F207">
            <v>0</v>
          </cell>
        </row>
        <row r="211">
          <cell r="D211">
            <v>23284.66</v>
          </cell>
          <cell r="F211">
            <v>0</v>
          </cell>
        </row>
        <row r="212">
          <cell r="D212">
            <v>17106.75</v>
          </cell>
          <cell r="F212">
            <v>0</v>
          </cell>
        </row>
        <row r="213">
          <cell r="D213">
            <v>32111.95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957.74</v>
          </cell>
          <cell r="F216">
            <v>0</v>
          </cell>
        </row>
        <row r="221">
          <cell r="D221">
            <v>5987598.4699999997</v>
          </cell>
        </row>
      </sheetData>
      <sheetData sheetId="8"/>
      <sheetData sheetId="9"/>
      <sheetData sheetId="10">
        <row r="9">
          <cell r="C9">
            <v>1619</v>
          </cell>
          <cell r="D9">
            <v>0</v>
          </cell>
          <cell r="E9">
            <v>4231</v>
          </cell>
          <cell r="F9">
            <v>2797</v>
          </cell>
          <cell r="G9">
            <v>0</v>
          </cell>
          <cell r="H9">
            <v>1911</v>
          </cell>
          <cell r="I9">
            <v>343</v>
          </cell>
          <cell r="J9">
            <v>348</v>
          </cell>
          <cell r="K9">
            <v>0</v>
          </cell>
        </row>
        <row r="22">
          <cell r="N22">
            <v>40</v>
          </cell>
        </row>
        <row r="24">
          <cell r="N24">
            <v>10</v>
          </cell>
        </row>
        <row r="28">
          <cell r="N28">
            <v>13440</v>
          </cell>
        </row>
        <row r="30">
          <cell r="N30">
            <v>0.83697916666666672</v>
          </cell>
        </row>
        <row r="32">
          <cell r="N32">
            <v>0.12046130952380953</v>
          </cell>
        </row>
        <row r="34">
          <cell r="N34">
            <v>0.14392390434705307</v>
          </cell>
        </row>
      </sheetData>
      <sheetData sheetId="1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2653993.7800000003</v>
          </cell>
          <cell r="G10">
            <v>718948.93</v>
          </cell>
        </row>
        <row r="15">
          <cell r="E15">
            <v>0</v>
          </cell>
          <cell r="G15">
            <v>0</v>
          </cell>
        </row>
        <row r="21">
          <cell r="E21">
            <v>2810549.9799999995</v>
          </cell>
          <cell r="G21">
            <v>0</v>
          </cell>
        </row>
        <row r="27">
          <cell r="E27">
            <v>478125.13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465576.51</v>
          </cell>
          <cell r="G37">
            <v>0</v>
          </cell>
        </row>
        <row r="42">
          <cell r="E42">
            <v>0</v>
          </cell>
          <cell r="G42">
            <v>110167.26</v>
          </cell>
        </row>
        <row r="47">
          <cell r="E47">
            <v>164161.11000000002</v>
          </cell>
          <cell r="G47">
            <v>-110167.26</v>
          </cell>
        </row>
        <row r="52">
          <cell r="E52">
            <v>0</v>
          </cell>
          <cell r="G52">
            <v>0</v>
          </cell>
        </row>
        <row r="67">
          <cell r="E67">
            <v>-2834497.92</v>
          </cell>
          <cell r="G67">
            <v>0</v>
          </cell>
        </row>
        <row r="85">
          <cell r="C85">
            <v>182.03871212121211</v>
          </cell>
          <cell r="E85">
            <v>244.02570564516122</v>
          </cell>
          <cell r="G85">
            <v>209.08069679849342</v>
          </cell>
          <cell r="I85">
            <v>235.68005145797599</v>
          </cell>
        </row>
      </sheetData>
      <sheetData sheetId="6"/>
      <sheetData sheetId="7">
        <row r="10">
          <cell r="D10">
            <v>0</v>
          </cell>
          <cell r="F10">
            <v>65548.62</v>
          </cell>
        </row>
        <row r="11">
          <cell r="D11">
            <v>0</v>
          </cell>
          <cell r="F11">
            <v>6934.15</v>
          </cell>
        </row>
        <row r="12">
          <cell r="D12">
            <v>155681.93</v>
          </cell>
          <cell r="F12">
            <v>0</v>
          </cell>
        </row>
        <row r="13">
          <cell r="D13">
            <v>54017.77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444017.71</v>
          </cell>
          <cell r="F16">
            <v>-135405</v>
          </cell>
        </row>
        <row r="17">
          <cell r="D17">
            <v>15172.48</v>
          </cell>
          <cell r="F17">
            <v>-15172.48</v>
          </cell>
        </row>
        <row r="18">
          <cell r="D18">
            <v>10152.719999999999</v>
          </cell>
          <cell r="F18">
            <v>0</v>
          </cell>
        </row>
        <row r="19">
          <cell r="D19">
            <v>24730.99</v>
          </cell>
          <cell r="F19">
            <v>0</v>
          </cell>
        </row>
        <row r="20">
          <cell r="D20">
            <v>24915.360000000001</v>
          </cell>
          <cell r="F20">
            <v>0</v>
          </cell>
        </row>
        <row r="21">
          <cell r="D21">
            <v>40245.120000000003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19635.95</v>
          </cell>
          <cell r="F23">
            <v>0</v>
          </cell>
        </row>
        <row r="24">
          <cell r="D24">
            <v>112940.14</v>
          </cell>
          <cell r="F24">
            <v>-9572.2900000000009</v>
          </cell>
        </row>
        <row r="25">
          <cell r="D25">
            <v>0</v>
          </cell>
          <cell r="F25">
            <v>0</v>
          </cell>
        </row>
        <row r="26">
          <cell r="D26">
            <v>315525.38</v>
          </cell>
          <cell r="F26">
            <v>0</v>
          </cell>
        </row>
        <row r="27">
          <cell r="D27">
            <v>18301.46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120383.28</v>
          </cell>
          <cell r="F29">
            <v>-120383.28</v>
          </cell>
        </row>
        <row r="30">
          <cell r="D30">
            <v>0</v>
          </cell>
          <cell r="F30">
            <v>0</v>
          </cell>
        </row>
        <row r="31">
          <cell r="D31">
            <v>335.18</v>
          </cell>
          <cell r="F31">
            <v>0</v>
          </cell>
        </row>
        <row r="32">
          <cell r="D32">
            <v>500</v>
          </cell>
          <cell r="F32">
            <v>20608.88</v>
          </cell>
        </row>
        <row r="33">
          <cell r="D33">
            <v>-0.05</v>
          </cell>
          <cell r="F33">
            <v>0.05</v>
          </cell>
        </row>
        <row r="34">
          <cell r="D34">
            <v>0</v>
          </cell>
          <cell r="F34">
            <v>0</v>
          </cell>
        </row>
        <row r="35">
          <cell r="D35">
            <v>6401.86</v>
          </cell>
          <cell r="F35">
            <v>-6401.86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4035.1</v>
          </cell>
          <cell r="F39">
            <v>0</v>
          </cell>
        </row>
        <row r="40">
          <cell r="D40">
            <v>13600.97</v>
          </cell>
          <cell r="F40">
            <v>0</v>
          </cell>
        </row>
        <row r="41">
          <cell r="D41">
            <v>72886.720000000001</v>
          </cell>
          <cell r="F41">
            <v>-6935.69</v>
          </cell>
        </row>
        <row r="42">
          <cell r="D42">
            <v>4026.23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72991.3</v>
          </cell>
          <cell r="F45">
            <v>-72991</v>
          </cell>
        </row>
        <row r="57">
          <cell r="D57">
            <v>467000</v>
          </cell>
          <cell r="F57">
            <v>-467000</v>
          </cell>
        </row>
        <row r="58">
          <cell r="D58">
            <v>33893.4</v>
          </cell>
          <cell r="F58">
            <v>0</v>
          </cell>
        </row>
        <row r="59">
          <cell r="D59">
            <v>0</v>
          </cell>
          <cell r="F59">
            <v>125672.84</v>
          </cell>
        </row>
        <row r="60">
          <cell r="D60">
            <v>2303.04</v>
          </cell>
          <cell r="F60">
            <v>0</v>
          </cell>
        </row>
        <row r="61">
          <cell r="D61">
            <v>20608.88</v>
          </cell>
          <cell r="F61">
            <v>-20608.88</v>
          </cell>
        </row>
        <row r="62">
          <cell r="D62">
            <v>8946.68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9004.1299999999992</v>
          </cell>
          <cell r="F66">
            <v>0</v>
          </cell>
        </row>
        <row r="67">
          <cell r="D67">
            <v>46269.63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14184.23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53761.74</v>
          </cell>
          <cell r="F75">
            <v>0</v>
          </cell>
        </row>
        <row r="76">
          <cell r="D76">
            <v>15457.84</v>
          </cell>
          <cell r="F76">
            <v>0</v>
          </cell>
        </row>
        <row r="77">
          <cell r="D77">
            <v>7398.56</v>
          </cell>
          <cell r="F77">
            <v>0</v>
          </cell>
        </row>
        <row r="78">
          <cell r="D78">
            <v>218.22</v>
          </cell>
          <cell r="F78">
            <v>0</v>
          </cell>
        </row>
        <row r="79">
          <cell r="D79">
            <v>5841.4</v>
          </cell>
          <cell r="F79">
            <v>0</v>
          </cell>
        </row>
        <row r="80">
          <cell r="D80">
            <v>18058.3</v>
          </cell>
          <cell r="F80">
            <v>0</v>
          </cell>
        </row>
        <row r="81">
          <cell r="D81">
            <v>4185.92</v>
          </cell>
          <cell r="F81">
            <v>0</v>
          </cell>
        </row>
        <row r="82">
          <cell r="D82">
            <v>4557.8900000000003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159437.39000000001</v>
          </cell>
          <cell r="F84">
            <v>0</v>
          </cell>
        </row>
        <row r="85">
          <cell r="D85">
            <v>160</v>
          </cell>
          <cell r="F85">
            <v>0</v>
          </cell>
        </row>
        <row r="89">
          <cell r="D89">
            <v>235122.44</v>
          </cell>
          <cell r="F89">
            <v>0</v>
          </cell>
        </row>
        <row r="90">
          <cell r="D90">
            <v>42204.13</v>
          </cell>
          <cell r="F90">
            <v>0</v>
          </cell>
        </row>
        <row r="91">
          <cell r="D91">
            <v>23008.6</v>
          </cell>
          <cell r="F91">
            <v>0</v>
          </cell>
        </row>
        <row r="92">
          <cell r="D92">
            <v>181711.73</v>
          </cell>
          <cell r="F92">
            <v>0</v>
          </cell>
        </row>
        <row r="93">
          <cell r="D93">
            <v>17519.89</v>
          </cell>
          <cell r="F93">
            <v>0</v>
          </cell>
        </row>
        <row r="94">
          <cell r="D94">
            <v>1388.14</v>
          </cell>
          <cell r="F94">
            <v>0</v>
          </cell>
        </row>
        <row r="98">
          <cell r="D98">
            <v>83715.199999999997</v>
          </cell>
          <cell r="F98">
            <v>0</v>
          </cell>
        </row>
        <row r="99">
          <cell r="D99">
            <v>18678.189999999999</v>
          </cell>
          <cell r="F99">
            <v>0</v>
          </cell>
        </row>
        <row r="100">
          <cell r="D100">
            <v>5881.71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1334.64</v>
          </cell>
          <cell r="F102">
            <v>0</v>
          </cell>
        </row>
        <row r="103">
          <cell r="D103">
            <v>1540.88</v>
          </cell>
          <cell r="F103">
            <v>0</v>
          </cell>
        </row>
        <row r="115">
          <cell r="D115">
            <v>113476.5</v>
          </cell>
          <cell r="F115">
            <v>0</v>
          </cell>
        </row>
        <row r="116">
          <cell r="D116">
            <v>20381.7</v>
          </cell>
          <cell r="F116">
            <v>0</v>
          </cell>
        </row>
        <row r="117">
          <cell r="D117">
            <v>12007.06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803.49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237332.37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15189.46</v>
          </cell>
          <cell r="F127">
            <v>0</v>
          </cell>
        </row>
        <row r="128">
          <cell r="D128">
            <v>27110.37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44088.57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12285.5</v>
          </cell>
          <cell r="F133">
            <v>0</v>
          </cell>
        </row>
        <row r="134">
          <cell r="D134">
            <v>3862.7</v>
          </cell>
          <cell r="F134">
            <v>0</v>
          </cell>
        </row>
        <row r="136">
          <cell r="D136">
            <v>509922.39</v>
          </cell>
          <cell r="F136">
            <v>0</v>
          </cell>
        </row>
        <row r="137">
          <cell r="D137">
            <v>230487.02</v>
          </cell>
          <cell r="F137">
            <v>0</v>
          </cell>
        </row>
        <row r="138">
          <cell r="D138">
            <v>643446.21</v>
          </cell>
          <cell r="F138">
            <v>0</v>
          </cell>
        </row>
        <row r="139">
          <cell r="D139">
            <v>206722.33</v>
          </cell>
          <cell r="F139">
            <v>0</v>
          </cell>
        </row>
        <row r="141">
          <cell r="D141">
            <v>101820.92</v>
          </cell>
          <cell r="F141">
            <v>0</v>
          </cell>
        </row>
        <row r="142">
          <cell r="D142">
            <v>44546.65</v>
          </cell>
          <cell r="F142">
            <v>0</v>
          </cell>
        </row>
        <row r="143">
          <cell r="D143">
            <v>127276.16</v>
          </cell>
          <cell r="F143">
            <v>0</v>
          </cell>
        </row>
        <row r="144">
          <cell r="D144">
            <v>50733.51</v>
          </cell>
          <cell r="F144">
            <v>0</v>
          </cell>
        </row>
        <row r="146">
          <cell r="D146">
            <v>32400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7992.5</v>
          </cell>
          <cell r="F150">
            <v>0</v>
          </cell>
        </row>
        <row r="151">
          <cell r="D151">
            <v>241800.53</v>
          </cell>
          <cell r="F151">
            <v>0</v>
          </cell>
        </row>
        <row r="152">
          <cell r="D152">
            <v>1865.3</v>
          </cell>
          <cell r="F152">
            <v>0</v>
          </cell>
        </row>
        <row r="153">
          <cell r="D153">
            <v>3603.37</v>
          </cell>
          <cell r="F153">
            <v>0</v>
          </cell>
        </row>
        <row r="154">
          <cell r="D154">
            <v>963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883.3</v>
          </cell>
          <cell r="F160">
            <v>0</v>
          </cell>
        </row>
        <row r="161">
          <cell r="D161">
            <v>40833.93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423944.71</v>
          </cell>
          <cell r="F194">
            <v>-2111.36</v>
          </cell>
        </row>
        <row r="195">
          <cell r="D195">
            <v>73320.08</v>
          </cell>
          <cell r="F195">
            <v>-375.35</v>
          </cell>
        </row>
        <row r="196">
          <cell r="D196">
            <v>436531.67</v>
          </cell>
          <cell r="F196">
            <v>-2205.1999999999998</v>
          </cell>
        </row>
        <row r="197">
          <cell r="D197">
            <v>0</v>
          </cell>
          <cell r="F197">
            <v>0</v>
          </cell>
        </row>
        <row r="198">
          <cell r="D198">
            <v>14952.3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314468.99</v>
          </cell>
          <cell r="F205">
            <v>-182472.58</v>
          </cell>
        </row>
        <row r="206">
          <cell r="D206">
            <v>30044.53</v>
          </cell>
          <cell r="F206">
            <v>0</v>
          </cell>
        </row>
        <row r="207">
          <cell r="D207">
            <v>-40296.61</v>
          </cell>
          <cell r="F207">
            <v>0</v>
          </cell>
        </row>
        <row r="211">
          <cell r="D211">
            <v>122829.23</v>
          </cell>
          <cell r="F211">
            <v>0</v>
          </cell>
        </row>
        <row r="212">
          <cell r="D212">
            <v>23268.02</v>
          </cell>
          <cell r="F212">
            <v>0</v>
          </cell>
        </row>
        <row r="213">
          <cell r="D213">
            <v>26340.75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1420.16</v>
          </cell>
          <cell r="F216">
            <v>0</v>
          </cell>
        </row>
        <row r="221">
          <cell r="D221">
            <v>7172548.8200000003</v>
          </cell>
        </row>
      </sheetData>
      <sheetData sheetId="8"/>
      <sheetData sheetId="9"/>
      <sheetData sheetId="10">
        <row r="9">
          <cell r="C9">
            <v>13625</v>
          </cell>
          <cell r="D9">
            <v>0</v>
          </cell>
          <cell r="E9">
            <v>4648</v>
          </cell>
          <cell r="F9">
            <v>1120</v>
          </cell>
          <cell r="G9">
            <v>0</v>
          </cell>
          <cell r="H9">
            <v>2138</v>
          </cell>
          <cell r="I9">
            <v>524</v>
          </cell>
          <cell r="J9">
            <v>333</v>
          </cell>
          <cell r="K9">
            <v>160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0.51479452054794517</v>
          </cell>
        </row>
        <row r="32">
          <cell r="N32">
            <v>0.3110730593607306</v>
          </cell>
        </row>
        <row r="34">
          <cell r="N34">
            <v>0.60426645378747568</v>
          </cell>
        </row>
      </sheetData>
      <sheetData sheetId="1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_Pg1"/>
      <sheetName val="Sch C-1_Pg2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5194553.3899999997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2355332.27</v>
          </cell>
          <cell r="G21">
            <v>0</v>
          </cell>
        </row>
        <row r="27">
          <cell r="E27">
            <v>1509756.48</v>
          </cell>
          <cell r="G27">
            <v>0</v>
          </cell>
        </row>
        <row r="32">
          <cell r="E32">
            <v>1137323.42</v>
          </cell>
          <cell r="G32">
            <v>0</v>
          </cell>
        </row>
        <row r="37">
          <cell r="E37">
            <v>1078509.56</v>
          </cell>
          <cell r="G37">
            <v>0</v>
          </cell>
        </row>
        <row r="42">
          <cell r="E42">
            <v>481885.31999999995</v>
          </cell>
          <cell r="G42">
            <v>0</v>
          </cell>
        </row>
        <row r="47">
          <cell r="E47">
            <v>32421.829999999994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396267.41</v>
          </cell>
          <cell r="G67">
            <v>-1116.6799999999998</v>
          </cell>
        </row>
        <row r="85">
          <cell r="C85">
            <v>215.26554408260526</v>
          </cell>
          <cell r="E85">
            <v>226.78983761840325</v>
          </cell>
          <cell r="G85">
            <v>219.94661417322837</v>
          </cell>
          <cell r="I85">
            <v>232.48537349397591</v>
          </cell>
        </row>
      </sheetData>
      <sheetData sheetId="6"/>
      <sheetData sheetId="7">
        <row r="10">
          <cell r="D10">
            <v>119557.20999999999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348254.14</v>
          </cell>
          <cell r="F12">
            <v>-68022</v>
          </cell>
        </row>
        <row r="13">
          <cell r="D13">
            <v>148117.76999999999</v>
          </cell>
          <cell r="F13">
            <v>-19733.27</v>
          </cell>
        </row>
        <row r="14">
          <cell r="D14">
            <v>0</v>
          </cell>
          <cell r="F14">
            <v>0</v>
          </cell>
        </row>
        <row r="15">
          <cell r="D15">
            <v>759380.97</v>
          </cell>
          <cell r="F15">
            <v>-759380.97</v>
          </cell>
        </row>
        <row r="16">
          <cell r="D16">
            <v>0</v>
          </cell>
          <cell r="F16">
            <v>491974</v>
          </cell>
        </row>
        <row r="17">
          <cell r="D17">
            <v>0</v>
          </cell>
          <cell r="F17">
            <v>0</v>
          </cell>
        </row>
        <row r="18">
          <cell r="D18">
            <v>28928.920000000002</v>
          </cell>
          <cell r="F18">
            <v>0</v>
          </cell>
        </row>
        <row r="19">
          <cell r="D19">
            <v>30513.119999999999</v>
          </cell>
          <cell r="F19">
            <v>0</v>
          </cell>
        </row>
        <row r="20">
          <cell r="D20">
            <v>31254.59</v>
          </cell>
          <cell r="F20">
            <v>0</v>
          </cell>
        </row>
        <row r="21">
          <cell r="D21">
            <v>27643.669999999991</v>
          </cell>
          <cell r="F21">
            <v>83177</v>
          </cell>
        </row>
        <row r="22">
          <cell r="D22">
            <v>0</v>
          </cell>
          <cell r="F22">
            <v>0</v>
          </cell>
        </row>
        <row r="23">
          <cell r="D23">
            <v>40926.800000000003</v>
          </cell>
          <cell r="F23">
            <v>38731</v>
          </cell>
        </row>
        <row r="24">
          <cell r="D24">
            <v>58352.62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584294.88</v>
          </cell>
          <cell r="F26">
            <v>18.32</v>
          </cell>
        </row>
        <row r="27">
          <cell r="D27">
            <v>0</v>
          </cell>
          <cell r="F27">
            <v>22911.360000000001</v>
          </cell>
        </row>
        <row r="28">
          <cell r="D28">
            <v>0</v>
          </cell>
          <cell r="F28">
            <v>0</v>
          </cell>
        </row>
        <row r="29">
          <cell r="D29">
            <v>253993.11</v>
          </cell>
          <cell r="F29">
            <v>-253993.11</v>
          </cell>
        </row>
        <row r="30">
          <cell r="D30">
            <v>0</v>
          </cell>
          <cell r="F30">
            <v>0</v>
          </cell>
        </row>
        <row r="31">
          <cell r="D31">
            <v>9016.31</v>
          </cell>
          <cell r="F31">
            <v>0</v>
          </cell>
        </row>
        <row r="32">
          <cell r="D32">
            <v>190963.44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2455</v>
          </cell>
        </row>
        <row r="35">
          <cell r="D35">
            <v>1730.5900000000001</v>
          </cell>
          <cell r="F35">
            <v>-1730.5900000000001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27647.279999999999</v>
          </cell>
          <cell r="F39">
            <v>8953</v>
          </cell>
        </row>
        <row r="40">
          <cell r="D40">
            <v>47775.68</v>
          </cell>
          <cell r="F40">
            <v>-47775.68</v>
          </cell>
        </row>
        <row r="41">
          <cell r="D41">
            <v>43520.160000000003</v>
          </cell>
          <cell r="F41">
            <v>0</v>
          </cell>
        </row>
        <row r="42">
          <cell r="D42">
            <v>0</v>
          </cell>
          <cell r="F42">
            <v>4875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10736.229999999998</v>
          </cell>
          <cell r="F45">
            <v>9683</v>
          </cell>
        </row>
        <row r="57">
          <cell r="D57">
            <v>1405250.04</v>
          </cell>
          <cell r="F57">
            <v>-1405250.04</v>
          </cell>
        </row>
        <row r="58">
          <cell r="D58">
            <v>5189.7299999999996</v>
          </cell>
          <cell r="F58">
            <v>160983.5</v>
          </cell>
        </row>
        <row r="59">
          <cell r="D59">
            <v>0</v>
          </cell>
          <cell r="F59">
            <v>374687.37</v>
          </cell>
        </row>
        <row r="60">
          <cell r="D60">
            <v>101338.85</v>
          </cell>
          <cell r="F60">
            <v>-3445.34</v>
          </cell>
        </row>
        <row r="61">
          <cell r="D61">
            <v>20918.349999999999</v>
          </cell>
          <cell r="F61">
            <v>3319</v>
          </cell>
        </row>
        <row r="62">
          <cell r="D62">
            <v>13250.04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13542.119999999999</v>
          </cell>
          <cell r="F67">
            <v>53581.18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3653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95511.16</v>
          </cell>
          <cell r="F75">
            <v>0</v>
          </cell>
        </row>
        <row r="76">
          <cell r="D76">
            <v>19076.489999999998</v>
          </cell>
          <cell r="F76">
            <v>0</v>
          </cell>
        </row>
        <row r="77">
          <cell r="D77">
            <v>79955.12</v>
          </cell>
          <cell r="F77">
            <v>0</v>
          </cell>
        </row>
        <row r="78">
          <cell r="D78">
            <v>50750.18</v>
          </cell>
          <cell r="F78">
            <v>2141</v>
          </cell>
        </row>
        <row r="79">
          <cell r="D79">
            <v>60247.05</v>
          </cell>
          <cell r="F79">
            <v>0</v>
          </cell>
        </row>
        <row r="80">
          <cell r="D80">
            <v>87122.700000000012</v>
          </cell>
          <cell r="F80">
            <v>0</v>
          </cell>
        </row>
        <row r="81">
          <cell r="D81">
            <v>1570.49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251704.32000000001</v>
          </cell>
          <cell r="F84">
            <v>812.96</v>
          </cell>
        </row>
        <row r="85">
          <cell r="D85">
            <v>2222.12</v>
          </cell>
          <cell r="F85">
            <v>0</v>
          </cell>
        </row>
        <row r="89">
          <cell r="D89">
            <v>428386.42000000004</v>
          </cell>
          <cell r="F89">
            <v>0</v>
          </cell>
        </row>
        <row r="90">
          <cell r="D90">
            <v>95582.900000000009</v>
          </cell>
          <cell r="F90">
            <v>0</v>
          </cell>
        </row>
        <row r="91">
          <cell r="D91">
            <v>907.34999999999991</v>
          </cell>
          <cell r="F91">
            <v>0</v>
          </cell>
        </row>
        <row r="92">
          <cell r="D92">
            <v>347526.07</v>
          </cell>
          <cell r="F92">
            <v>-368</v>
          </cell>
        </row>
        <row r="93">
          <cell r="D93">
            <v>24246.16</v>
          </cell>
          <cell r="F93">
            <v>0</v>
          </cell>
        </row>
        <row r="94">
          <cell r="D94">
            <v>14505.22</v>
          </cell>
          <cell r="F94">
            <v>0</v>
          </cell>
        </row>
        <row r="98">
          <cell r="D98">
            <v>112958.96</v>
          </cell>
          <cell r="F98">
            <v>0</v>
          </cell>
        </row>
        <row r="99">
          <cell r="D99">
            <v>24875.399999999998</v>
          </cell>
          <cell r="F99">
            <v>0</v>
          </cell>
        </row>
        <row r="100">
          <cell r="D100">
            <v>18201.949999999997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14246.23</v>
          </cell>
          <cell r="F102">
            <v>0</v>
          </cell>
        </row>
        <row r="103">
          <cell r="D103">
            <v>801.5</v>
          </cell>
          <cell r="F103">
            <v>0</v>
          </cell>
        </row>
        <row r="115">
          <cell r="D115">
            <v>99671.26999999999</v>
          </cell>
          <cell r="F115">
            <v>0</v>
          </cell>
        </row>
        <row r="116">
          <cell r="D116">
            <v>32273.199999999997</v>
          </cell>
          <cell r="F116">
            <v>0</v>
          </cell>
        </row>
        <row r="117">
          <cell r="D117">
            <v>46143.86</v>
          </cell>
          <cell r="F117">
            <v>0</v>
          </cell>
        </row>
        <row r="118">
          <cell r="D118">
            <v>148.75</v>
          </cell>
          <cell r="F118">
            <v>0</v>
          </cell>
        </row>
        <row r="119">
          <cell r="D119">
            <v>596.25</v>
          </cell>
          <cell r="F119">
            <v>0</v>
          </cell>
        </row>
        <row r="124">
          <cell r="D124">
            <v>245642.1</v>
          </cell>
          <cell r="F124">
            <v>0</v>
          </cell>
        </row>
        <row r="125">
          <cell r="D125">
            <v>140887.35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72605.680000000008</v>
          </cell>
          <cell r="F128">
            <v>0</v>
          </cell>
        </row>
        <row r="130">
          <cell r="D130">
            <v>61797.062520474137</v>
          </cell>
          <cell r="F130">
            <v>0</v>
          </cell>
        </row>
        <row r="131">
          <cell r="D131">
            <v>35443.535030411811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26442.309999999998</v>
          </cell>
          <cell r="F134">
            <v>0</v>
          </cell>
        </row>
        <row r="136">
          <cell r="D136">
            <v>630272.03</v>
          </cell>
          <cell r="F136">
            <v>0</v>
          </cell>
        </row>
        <row r="137">
          <cell r="D137">
            <v>663879.34</v>
          </cell>
          <cell r="F137">
            <v>0</v>
          </cell>
        </row>
        <row r="138">
          <cell r="D138">
            <v>1128377.1499999999</v>
          </cell>
          <cell r="F138">
            <v>0</v>
          </cell>
        </row>
        <row r="139">
          <cell r="D139">
            <v>194916.85</v>
          </cell>
          <cell r="F139">
            <v>0</v>
          </cell>
        </row>
        <row r="141">
          <cell r="D141">
            <v>158559.79102448703</v>
          </cell>
          <cell r="F141">
            <v>0</v>
          </cell>
        </row>
        <row r="142">
          <cell r="D142">
            <v>167014.50231874382</v>
          </cell>
          <cell r="F142">
            <v>0</v>
          </cell>
        </row>
        <row r="143">
          <cell r="D143">
            <v>283869.87932941626</v>
          </cell>
          <cell r="F143">
            <v>0</v>
          </cell>
        </row>
        <row r="144">
          <cell r="D144">
            <v>49035.929776466968</v>
          </cell>
          <cell r="F144">
            <v>0</v>
          </cell>
        </row>
        <row r="146">
          <cell r="D146">
            <v>60816.04</v>
          </cell>
          <cell r="F146">
            <v>0</v>
          </cell>
        </row>
        <row r="147">
          <cell r="D147">
            <v>3509.0999999999767</v>
          </cell>
          <cell r="F147">
            <v>0</v>
          </cell>
        </row>
        <row r="148">
          <cell r="D148">
            <v>110.84999999997672</v>
          </cell>
          <cell r="F148">
            <v>0</v>
          </cell>
        </row>
        <row r="149">
          <cell r="D149">
            <v>136667.82000000007</v>
          </cell>
          <cell r="F149">
            <v>0</v>
          </cell>
        </row>
        <row r="150">
          <cell r="D150">
            <v>35758.160000000003</v>
          </cell>
          <cell r="F150">
            <v>80794</v>
          </cell>
        </row>
        <row r="151">
          <cell r="D151">
            <v>158640.09</v>
          </cell>
          <cell r="F151">
            <v>0</v>
          </cell>
        </row>
        <row r="152">
          <cell r="D152">
            <v>10559.75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3330.88</v>
          </cell>
          <cell r="F160">
            <v>0</v>
          </cell>
        </row>
        <row r="161">
          <cell r="D161">
            <v>13118.01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553704.26</v>
          </cell>
          <cell r="F177">
            <v>0</v>
          </cell>
        </row>
        <row r="178">
          <cell r="D178">
            <v>139896.21</v>
          </cell>
          <cell r="F178">
            <v>0</v>
          </cell>
        </row>
        <row r="179">
          <cell r="D179">
            <v>118558.87</v>
          </cell>
          <cell r="F179">
            <v>0</v>
          </cell>
        </row>
        <row r="180">
          <cell r="D180">
            <v>25117.84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217412.18</v>
          </cell>
          <cell r="F183">
            <v>0</v>
          </cell>
        </row>
        <row r="184">
          <cell r="D184">
            <v>68234.549999999988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135.72</v>
          </cell>
          <cell r="F188">
            <v>0</v>
          </cell>
        </row>
        <row r="189">
          <cell r="D189">
            <v>18427.71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5060.49</v>
          </cell>
          <cell r="F191">
            <v>0</v>
          </cell>
        </row>
        <row r="192">
          <cell r="D192">
            <v>54701.539999999994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24866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40925.64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325247.21999999997</v>
          </cell>
          <cell r="F205">
            <v>0</v>
          </cell>
        </row>
        <row r="206">
          <cell r="D206">
            <v>14970.58</v>
          </cell>
          <cell r="F206">
            <v>0</v>
          </cell>
        </row>
        <row r="207">
          <cell r="D207">
            <v>20519.559999999998</v>
          </cell>
          <cell r="F207">
            <v>0</v>
          </cell>
        </row>
        <row r="211">
          <cell r="D211">
            <v>221396.62</v>
          </cell>
          <cell r="F211">
            <v>0</v>
          </cell>
        </row>
        <row r="212">
          <cell r="D212">
            <v>58881.710000000006</v>
          </cell>
          <cell r="F212">
            <v>0</v>
          </cell>
        </row>
        <row r="213">
          <cell r="D213">
            <v>4738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68507.600000000006</v>
          </cell>
          <cell r="F216">
            <v>0</v>
          </cell>
        </row>
        <row r="221">
          <cell r="D221">
            <v>12469018.25</v>
          </cell>
        </row>
      </sheetData>
      <sheetData sheetId="8"/>
      <sheetData sheetId="9"/>
      <sheetData sheetId="10"/>
      <sheetData sheetId="11">
        <row r="9">
          <cell r="C9">
            <v>18913</v>
          </cell>
          <cell r="D9">
            <v>0</v>
          </cell>
          <cell r="E9">
            <v>4464</v>
          </cell>
          <cell r="F9">
            <v>3183</v>
          </cell>
          <cell r="G9">
            <v>4736</v>
          </cell>
          <cell r="H9">
            <v>4837</v>
          </cell>
          <cell r="I9">
            <v>2540</v>
          </cell>
          <cell r="J9">
            <v>154</v>
          </cell>
          <cell r="K9">
            <v>0</v>
          </cell>
        </row>
        <row r="22">
          <cell r="N22">
            <v>154</v>
          </cell>
        </row>
        <row r="24">
          <cell r="N24">
            <v>154</v>
          </cell>
        </row>
        <row r="28">
          <cell r="N28">
            <v>56210</v>
          </cell>
        </row>
        <row r="30">
          <cell r="N30">
            <v>0.69074897705034688</v>
          </cell>
        </row>
        <row r="32">
          <cell r="N32">
            <v>0.33647037893613235</v>
          </cell>
        </row>
        <row r="34">
          <cell r="N34">
            <v>0.48710948566719037</v>
          </cell>
        </row>
      </sheetData>
      <sheetData sheetId="1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Explanation of Misc Exp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1780749.28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791695.33</v>
          </cell>
          <cell r="G21">
            <v>0</v>
          </cell>
        </row>
        <row r="27">
          <cell r="E27">
            <v>57852.49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550785.12</v>
          </cell>
          <cell r="G37">
            <v>0</v>
          </cell>
        </row>
        <row r="42">
          <cell r="E42">
            <v>227541.62</v>
          </cell>
          <cell r="G42">
            <v>0</v>
          </cell>
        </row>
        <row r="47">
          <cell r="E47">
            <v>9580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53728.54</v>
          </cell>
          <cell r="G67">
            <v>0</v>
          </cell>
        </row>
        <row r="85">
          <cell r="C85">
            <v>151.41266494178527</v>
          </cell>
          <cell r="E85">
            <v>194.11716106604865</v>
          </cell>
          <cell r="G85">
            <v>172.65868131868132</v>
          </cell>
          <cell r="I85">
            <v>178.33058375634519</v>
          </cell>
        </row>
      </sheetData>
      <sheetData sheetId="6"/>
      <sheetData sheetId="7"/>
      <sheetData sheetId="8">
        <row r="10">
          <cell r="D10">
            <v>70019.56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55277.11</v>
          </cell>
          <cell r="F12">
            <v>0</v>
          </cell>
        </row>
        <row r="13">
          <cell r="D13">
            <v>242358.58</v>
          </cell>
          <cell r="F13">
            <v>-232219.33875262074</v>
          </cell>
        </row>
        <row r="14">
          <cell r="D14">
            <v>0</v>
          </cell>
          <cell r="F14">
            <v>0</v>
          </cell>
        </row>
        <row r="15">
          <cell r="D15">
            <v>103315.45</v>
          </cell>
          <cell r="F15">
            <v>-103315</v>
          </cell>
        </row>
        <row r="16">
          <cell r="D16">
            <v>0</v>
          </cell>
          <cell r="F16">
            <v>157453</v>
          </cell>
        </row>
        <row r="17">
          <cell r="D17">
            <v>2441.29</v>
          </cell>
          <cell r="F17">
            <v>-2441</v>
          </cell>
        </row>
        <row r="18">
          <cell r="D18">
            <v>6306.95</v>
          </cell>
          <cell r="F18">
            <v>0</v>
          </cell>
        </row>
        <row r="19">
          <cell r="D19">
            <v>8245.35</v>
          </cell>
          <cell r="F19">
            <v>0</v>
          </cell>
        </row>
        <row r="20">
          <cell r="D20">
            <v>9277.0400000000009</v>
          </cell>
          <cell r="F20">
            <v>0</v>
          </cell>
        </row>
        <row r="21">
          <cell r="D21">
            <v>8262.9500000000007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7828.17</v>
          </cell>
          <cell r="F23">
            <v>0</v>
          </cell>
        </row>
        <row r="24">
          <cell r="D24">
            <v>27101.96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290459.71000000002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22366.36</v>
          </cell>
          <cell r="F29">
            <v>-22366.36</v>
          </cell>
        </row>
        <row r="30">
          <cell r="D30">
            <v>0</v>
          </cell>
          <cell r="F30">
            <v>0</v>
          </cell>
        </row>
        <row r="31">
          <cell r="D31">
            <v>17014.54</v>
          </cell>
          <cell r="F31">
            <v>0</v>
          </cell>
        </row>
        <row r="32">
          <cell r="D32">
            <v>9690.76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44406.29</v>
          </cell>
          <cell r="F36">
            <v>0</v>
          </cell>
        </row>
        <row r="37">
          <cell r="D37">
            <v>0</v>
          </cell>
          <cell r="F37">
            <v>6430.2901533669292</v>
          </cell>
        </row>
        <row r="38">
          <cell r="D38">
            <v>49.13</v>
          </cell>
          <cell r="F38">
            <v>0</v>
          </cell>
        </row>
        <row r="39">
          <cell r="D39">
            <v>3133.4</v>
          </cell>
          <cell r="F39">
            <v>0</v>
          </cell>
        </row>
        <row r="40">
          <cell r="D40">
            <v>2020.61</v>
          </cell>
          <cell r="F40">
            <v>-2021</v>
          </cell>
        </row>
        <row r="41">
          <cell r="D41">
            <v>579.95000000000005</v>
          </cell>
          <cell r="F41">
            <v>0</v>
          </cell>
        </row>
        <row r="42">
          <cell r="D42">
            <v>847</v>
          </cell>
          <cell r="F42">
            <v>0</v>
          </cell>
        </row>
        <row r="43">
          <cell r="D43">
            <v>14560.96</v>
          </cell>
          <cell r="F43">
            <v>0</v>
          </cell>
        </row>
        <row r="44">
          <cell r="D44">
            <v>9445.19</v>
          </cell>
          <cell r="F44">
            <v>0</v>
          </cell>
        </row>
        <row r="45">
          <cell r="D45">
            <v>2317.14</v>
          </cell>
          <cell r="F45">
            <v>-2317</v>
          </cell>
        </row>
        <row r="57">
          <cell r="D57">
            <v>548944</v>
          </cell>
          <cell r="F57">
            <v>0</v>
          </cell>
        </row>
        <row r="58">
          <cell r="D58">
            <v>133.74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29006.51</v>
          </cell>
          <cell r="F60">
            <v>0</v>
          </cell>
        </row>
        <row r="61">
          <cell r="D61">
            <v>1565</v>
          </cell>
          <cell r="F61">
            <v>0</v>
          </cell>
        </row>
        <row r="62">
          <cell r="D62">
            <v>1066.72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1699</v>
          </cell>
          <cell r="F65">
            <v>0</v>
          </cell>
        </row>
        <row r="66">
          <cell r="D66">
            <v>2083.0500000000002</v>
          </cell>
          <cell r="F66">
            <v>0</v>
          </cell>
        </row>
        <row r="67">
          <cell r="D67">
            <v>8903.98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5628.45</v>
          </cell>
          <cell r="F69">
            <v>0</v>
          </cell>
        </row>
        <row r="70">
          <cell r="D70">
            <v>-1100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29133.07</v>
          </cell>
          <cell r="F75">
            <v>0</v>
          </cell>
        </row>
        <row r="76">
          <cell r="D76">
            <v>0</v>
          </cell>
          <cell r="F76">
            <v>4218.638691913904</v>
          </cell>
        </row>
        <row r="77">
          <cell r="D77">
            <v>1410.24</v>
          </cell>
          <cell r="F77">
            <v>0</v>
          </cell>
        </row>
        <row r="78">
          <cell r="D78">
            <v>5041.75</v>
          </cell>
          <cell r="F78">
            <v>0</v>
          </cell>
        </row>
        <row r="79">
          <cell r="D79">
            <v>8346.57</v>
          </cell>
          <cell r="F79">
            <v>0</v>
          </cell>
        </row>
        <row r="80">
          <cell r="D80">
            <v>8821.86</v>
          </cell>
          <cell r="F80">
            <v>0</v>
          </cell>
        </row>
        <row r="81">
          <cell r="D81">
            <v>8831.4500000000007</v>
          </cell>
          <cell r="F81">
            <v>0</v>
          </cell>
        </row>
        <row r="82">
          <cell r="D82">
            <v>19717.689999999999</v>
          </cell>
          <cell r="F82">
            <v>0</v>
          </cell>
        </row>
        <row r="83">
          <cell r="D83">
            <v>6417.27</v>
          </cell>
          <cell r="F83">
            <v>0</v>
          </cell>
        </row>
        <row r="84">
          <cell r="D84">
            <v>65254.81</v>
          </cell>
          <cell r="F84">
            <v>0</v>
          </cell>
        </row>
        <row r="85">
          <cell r="D85">
            <v>3.18</v>
          </cell>
          <cell r="F85">
            <v>0</v>
          </cell>
        </row>
        <row r="89">
          <cell r="D89">
            <v>154153.46</v>
          </cell>
          <cell r="F89">
            <v>0</v>
          </cell>
        </row>
        <row r="90">
          <cell r="D90">
            <v>0</v>
          </cell>
          <cell r="F90">
            <v>22322.321363605079</v>
          </cell>
        </row>
        <row r="91">
          <cell r="D91">
            <v>6720</v>
          </cell>
          <cell r="F91">
            <v>0</v>
          </cell>
        </row>
        <row r="92">
          <cell r="D92">
            <v>124399.13</v>
          </cell>
          <cell r="F92">
            <v>0</v>
          </cell>
        </row>
        <row r="93">
          <cell r="D93">
            <v>20500.52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31668.77</v>
          </cell>
          <cell r="F98">
            <v>0</v>
          </cell>
        </row>
        <row r="99">
          <cell r="D99">
            <v>0</v>
          </cell>
          <cell r="F99">
            <v>4585.8228620369318</v>
          </cell>
        </row>
        <row r="100">
          <cell r="D100">
            <v>3931.86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3800.83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76461.570000000007</v>
          </cell>
          <cell r="F115">
            <v>0</v>
          </cell>
        </row>
        <row r="116">
          <cell r="D116">
            <v>0</v>
          </cell>
          <cell r="F116">
            <v>11072.081920871484</v>
          </cell>
        </row>
        <row r="117">
          <cell r="D117">
            <v>14393.67</v>
          </cell>
          <cell r="F117">
            <v>0</v>
          </cell>
        </row>
        <row r="118">
          <cell r="D118">
            <v>40</v>
          </cell>
          <cell r="F118">
            <v>0</v>
          </cell>
        </row>
        <row r="119">
          <cell r="D119">
            <v>86.48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138473.39000000001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42048.67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20051.755645885722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6088.8930073459269</v>
          </cell>
        </row>
        <row r="136">
          <cell r="D136">
            <v>301392.03999999998</v>
          </cell>
          <cell r="F136">
            <v>0</v>
          </cell>
        </row>
        <row r="137">
          <cell r="D137">
            <v>136848.18</v>
          </cell>
          <cell r="F137">
            <v>0</v>
          </cell>
        </row>
        <row r="138">
          <cell r="D138">
            <v>571163.30000000005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43643.327715852225</v>
          </cell>
        </row>
        <row r="142">
          <cell r="D142">
            <v>0</v>
          </cell>
          <cell r="F142">
            <v>19816.415745611379</v>
          </cell>
        </row>
        <row r="143">
          <cell r="D143">
            <v>0</v>
          </cell>
          <cell r="F143">
            <v>82707.781801960067</v>
          </cell>
        </row>
        <row r="144">
          <cell r="D144">
            <v>0</v>
          </cell>
          <cell r="F144">
            <v>0</v>
          </cell>
        </row>
        <row r="146">
          <cell r="D146">
            <v>13999.83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7834</v>
          </cell>
          <cell r="F150">
            <v>0</v>
          </cell>
        </row>
        <row r="151">
          <cell r="D151">
            <v>74600.820000000007</v>
          </cell>
          <cell r="F151">
            <v>0</v>
          </cell>
        </row>
        <row r="152">
          <cell r="D152">
            <v>275.83</v>
          </cell>
          <cell r="F152">
            <v>0</v>
          </cell>
        </row>
        <row r="153">
          <cell r="D153">
            <v>10395.24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1275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848.75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19.3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292.02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214</v>
          </cell>
          <cell r="F193">
            <v>0</v>
          </cell>
        </row>
        <row r="194">
          <cell r="D194">
            <v>109701.22</v>
          </cell>
          <cell r="F194">
            <v>-54850.5</v>
          </cell>
        </row>
        <row r="195">
          <cell r="D195">
            <v>4525.1899999999996</v>
          </cell>
          <cell r="F195">
            <v>-2262.5100000000002</v>
          </cell>
        </row>
        <row r="196">
          <cell r="D196">
            <v>0</v>
          </cell>
          <cell r="F196">
            <v>0</v>
          </cell>
        </row>
        <row r="197">
          <cell r="D197">
            <v>66566.25</v>
          </cell>
          <cell r="F197">
            <v>-33283</v>
          </cell>
        </row>
        <row r="198">
          <cell r="D198">
            <v>9890.3799999999992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9.99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79968.09</v>
          </cell>
          <cell r="F205">
            <v>0</v>
          </cell>
        </row>
        <row r="206">
          <cell r="D206">
            <v>651</v>
          </cell>
          <cell r="F206">
            <v>0</v>
          </cell>
        </row>
        <row r="207">
          <cell r="D207">
            <v>94.29</v>
          </cell>
          <cell r="F207">
            <v>0</v>
          </cell>
        </row>
        <row r="211">
          <cell r="D211">
            <v>77911.289999999994</v>
          </cell>
          <cell r="F211">
            <v>0</v>
          </cell>
        </row>
        <row r="212">
          <cell r="D212">
            <v>0</v>
          </cell>
          <cell r="F212">
            <v>11282.009844171069</v>
          </cell>
        </row>
        <row r="213">
          <cell r="D213">
            <v>9431.25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3498.92</v>
          </cell>
          <cell r="F216">
            <v>0</v>
          </cell>
        </row>
        <row r="221">
          <cell r="D221">
            <v>3806318.35</v>
          </cell>
        </row>
      </sheetData>
      <sheetData sheetId="9"/>
      <sheetData sheetId="10"/>
      <sheetData sheetId="11"/>
      <sheetData sheetId="12"/>
      <sheetData sheetId="13">
        <row r="9">
          <cell r="C9">
            <v>10693</v>
          </cell>
          <cell r="D9">
            <v>0</v>
          </cell>
          <cell r="E9">
            <v>1624</v>
          </cell>
          <cell r="F9">
            <v>136</v>
          </cell>
          <cell r="G9">
            <v>0</v>
          </cell>
          <cell r="H9">
            <v>3152</v>
          </cell>
          <cell r="I9">
            <v>1364</v>
          </cell>
          <cell r="J9">
            <v>55</v>
          </cell>
          <cell r="K9">
            <v>0</v>
          </cell>
        </row>
        <row r="22">
          <cell r="N22">
            <v>53</v>
          </cell>
        </row>
        <row r="24">
          <cell r="N24">
            <v>53</v>
          </cell>
        </row>
        <row r="28">
          <cell r="N28">
            <v>19345</v>
          </cell>
        </row>
        <row r="30">
          <cell r="N30">
            <v>0.88002067717756527</v>
          </cell>
        </row>
        <row r="32">
          <cell r="N32">
            <v>0.55275264926337553</v>
          </cell>
        </row>
        <row r="34">
          <cell r="N34">
            <v>0.62811325187969924</v>
          </cell>
        </row>
      </sheetData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10150159</v>
          </cell>
          <cell r="G10">
            <v>-1201828</v>
          </cell>
        </row>
        <row r="15">
          <cell r="E15">
            <v>0</v>
          </cell>
          <cell r="G15">
            <v>1201828</v>
          </cell>
        </row>
        <row r="21">
          <cell r="E21">
            <v>4381601</v>
          </cell>
          <cell r="G21">
            <v>0</v>
          </cell>
        </row>
        <row r="27">
          <cell r="E27">
            <v>0</v>
          </cell>
          <cell r="G27">
            <v>1567591</v>
          </cell>
        </row>
        <row r="32">
          <cell r="E32">
            <v>0</v>
          </cell>
          <cell r="G32">
            <v>0</v>
          </cell>
        </row>
        <row r="37">
          <cell r="E37">
            <v>4360230</v>
          </cell>
          <cell r="G37">
            <v>-1567591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353624</v>
          </cell>
          <cell r="G67">
            <v>0</v>
          </cell>
        </row>
        <row r="85">
          <cell r="C85">
            <v>525.60511756569849</v>
          </cell>
          <cell r="E85">
            <v>345.55719921104537</v>
          </cell>
          <cell r="G85">
            <v>393.12507374631269</v>
          </cell>
          <cell r="I85">
            <v>390.30909090909091</v>
          </cell>
        </row>
      </sheetData>
      <sheetData sheetId="6"/>
      <sheetData sheetId="7">
        <row r="10">
          <cell r="D10">
            <v>0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1226909</v>
          </cell>
          <cell r="F12">
            <v>0</v>
          </cell>
        </row>
        <row r="13">
          <cell r="D13">
            <v>1603346</v>
          </cell>
          <cell r="F13">
            <v>-1419754</v>
          </cell>
        </row>
        <row r="14">
          <cell r="D14">
            <v>1013</v>
          </cell>
          <cell r="F14">
            <v>0</v>
          </cell>
        </row>
        <row r="15">
          <cell r="D15">
            <v>464981</v>
          </cell>
          <cell r="F15">
            <v>-353624</v>
          </cell>
        </row>
        <row r="16">
          <cell r="D16">
            <v>0</v>
          </cell>
          <cell r="F16">
            <v>0</v>
          </cell>
        </row>
        <row r="17">
          <cell r="D17">
            <v>63126</v>
          </cell>
          <cell r="F17">
            <v>0</v>
          </cell>
        </row>
        <row r="18">
          <cell r="D18">
            <v>65642</v>
          </cell>
          <cell r="F18">
            <v>0</v>
          </cell>
        </row>
        <row r="19">
          <cell r="D19">
            <v>13796</v>
          </cell>
          <cell r="F19">
            <v>0</v>
          </cell>
        </row>
        <row r="20">
          <cell r="D20">
            <v>95144</v>
          </cell>
          <cell r="F20">
            <v>0</v>
          </cell>
        </row>
        <row r="21">
          <cell r="D21">
            <v>87529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37679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605172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264102</v>
          </cell>
          <cell r="F29">
            <v>-264102</v>
          </cell>
        </row>
        <row r="30">
          <cell r="D30">
            <v>0</v>
          </cell>
          <cell r="F30">
            <v>0</v>
          </cell>
        </row>
        <row r="31">
          <cell r="D31">
            <v>107839</v>
          </cell>
          <cell r="F31">
            <v>0</v>
          </cell>
        </row>
        <row r="32">
          <cell r="D32">
            <v>103396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153821</v>
          </cell>
          <cell r="F36">
            <v>0</v>
          </cell>
        </row>
        <row r="37">
          <cell r="D37">
            <v>0</v>
          </cell>
          <cell r="F37">
            <v>23018</v>
          </cell>
        </row>
        <row r="38">
          <cell r="D38">
            <v>0</v>
          </cell>
          <cell r="F38">
            <v>0</v>
          </cell>
        </row>
        <row r="39">
          <cell r="D39">
            <v>10299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80933</v>
          </cell>
          <cell r="F41">
            <v>0</v>
          </cell>
        </row>
        <row r="42">
          <cell r="D42">
            <v>38743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18286</v>
          </cell>
          <cell r="F45">
            <v>0</v>
          </cell>
        </row>
        <row r="57">
          <cell r="D57">
            <v>5797</v>
          </cell>
          <cell r="F57">
            <v>0</v>
          </cell>
        </row>
        <row r="58">
          <cell r="D58">
            <v>0</v>
          </cell>
          <cell r="F58">
            <v>0</v>
          </cell>
        </row>
        <row r="59">
          <cell r="D59">
            <v>8012</v>
          </cell>
          <cell r="F59">
            <v>0</v>
          </cell>
        </row>
        <row r="60">
          <cell r="D60">
            <v>2769</v>
          </cell>
          <cell r="F60">
            <v>0</v>
          </cell>
        </row>
        <row r="61">
          <cell r="D61">
            <v>24842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260412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129625</v>
          </cell>
          <cell r="F75">
            <v>0</v>
          </cell>
        </row>
        <row r="76">
          <cell r="D76">
            <v>0</v>
          </cell>
          <cell r="F76">
            <v>19397</v>
          </cell>
        </row>
        <row r="77">
          <cell r="D77">
            <v>57343</v>
          </cell>
          <cell r="F77">
            <v>0</v>
          </cell>
        </row>
        <row r="78">
          <cell r="D78">
            <v>3328</v>
          </cell>
          <cell r="F78">
            <v>0</v>
          </cell>
        </row>
        <row r="79">
          <cell r="D79">
            <v>24097</v>
          </cell>
          <cell r="F79">
            <v>0</v>
          </cell>
        </row>
        <row r="80">
          <cell r="D80">
            <v>49024</v>
          </cell>
          <cell r="F80">
            <v>0</v>
          </cell>
        </row>
        <row r="81">
          <cell r="D81">
            <v>25139</v>
          </cell>
          <cell r="F81">
            <v>0</v>
          </cell>
        </row>
        <row r="82">
          <cell r="D82">
            <v>54366</v>
          </cell>
          <cell r="F82">
            <v>0</v>
          </cell>
        </row>
        <row r="83">
          <cell r="D83">
            <v>12678</v>
          </cell>
          <cell r="F83">
            <v>0</v>
          </cell>
        </row>
        <row r="84">
          <cell r="D84">
            <v>177394</v>
          </cell>
          <cell r="F84">
            <v>0</v>
          </cell>
        </row>
        <row r="85">
          <cell r="D85">
            <v>3557</v>
          </cell>
          <cell r="F85">
            <v>0</v>
          </cell>
        </row>
        <row r="89">
          <cell r="D89">
            <v>428347</v>
          </cell>
          <cell r="F89">
            <v>0</v>
          </cell>
        </row>
        <row r="90">
          <cell r="D90">
            <v>0</v>
          </cell>
          <cell r="F90">
            <v>64097</v>
          </cell>
        </row>
        <row r="91">
          <cell r="D91">
            <v>0</v>
          </cell>
          <cell r="F91">
            <v>0</v>
          </cell>
        </row>
        <row r="92">
          <cell r="D92">
            <v>332904</v>
          </cell>
          <cell r="F92">
            <v>0</v>
          </cell>
        </row>
        <row r="93">
          <cell r="D93">
            <v>48490</v>
          </cell>
          <cell r="F93">
            <v>0</v>
          </cell>
        </row>
        <row r="94">
          <cell r="D94">
            <v>393</v>
          </cell>
          <cell r="F94">
            <v>0</v>
          </cell>
        </row>
        <row r="98">
          <cell r="D98">
            <v>79862</v>
          </cell>
          <cell r="F98">
            <v>0</v>
          </cell>
        </row>
        <row r="99">
          <cell r="D99">
            <v>0</v>
          </cell>
          <cell r="F99">
            <v>11950</v>
          </cell>
        </row>
        <row r="100">
          <cell r="D100">
            <v>5943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22917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208798</v>
          </cell>
          <cell r="F115">
            <v>0</v>
          </cell>
        </row>
        <row r="116">
          <cell r="D116">
            <v>0</v>
          </cell>
          <cell r="F116">
            <v>31244</v>
          </cell>
        </row>
        <row r="117">
          <cell r="D117">
            <v>62859</v>
          </cell>
          <cell r="F117">
            <v>0</v>
          </cell>
        </row>
        <row r="118">
          <cell r="D118">
            <v>1199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586119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404396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87706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60513</v>
          </cell>
        </row>
        <row r="136">
          <cell r="D136">
            <v>2867916</v>
          </cell>
          <cell r="F136">
            <v>0</v>
          </cell>
        </row>
        <row r="137">
          <cell r="D137">
            <v>918361</v>
          </cell>
          <cell r="F137">
            <v>0</v>
          </cell>
        </row>
        <row r="138">
          <cell r="D138">
            <v>2208491</v>
          </cell>
          <cell r="F138">
            <v>0</v>
          </cell>
        </row>
        <row r="139">
          <cell r="D139">
            <v>1212046</v>
          </cell>
          <cell r="F139">
            <v>0</v>
          </cell>
        </row>
        <row r="141">
          <cell r="D141">
            <v>0</v>
          </cell>
          <cell r="F141">
            <v>429150</v>
          </cell>
        </row>
        <row r="142">
          <cell r="D142">
            <v>0</v>
          </cell>
          <cell r="F142">
            <v>137422</v>
          </cell>
        </row>
        <row r="143">
          <cell r="D143">
            <v>0</v>
          </cell>
          <cell r="F143">
            <v>330475</v>
          </cell>
        </row>
        <row r="144">
          <cell r="D144">
            <v>0</v>
          </cell>
          <cell r="F144">
            <v>181369</v>
          </cell>
        </row>
        <row r="146">
          <cell r="D146">
            <v>396028</v>
          </cell>
          <cell r="F146">
            <v>0</v>
          </cell>
        </row>
        <row r="147">
          <cell r="D147">
            <v>33135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39205</v>
          </cell>
          <cell r="F150">
            <v>0</v>
          </cell>
        </row>
        <row r="151">
          <cell r="D151">
            <v>808390</v>
          </cell>
          <cell r="F151">
            <v>0</v>
          </cell>
        </row>
        <row r="152">
          <cell r="D152">
            <v>23171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9210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24172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746527</v>
          </cell>
          <cell r="F194">
            <v>0</v>
          </cell>
        </row>
        <row r="195">
          <cell r="D195">
            <v>85892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598756</v>
          </cell>
          <cell r="F197">
            <v>0</v>
          </cell>
        </row>
        <row r="198">
          <cell r="D198">
            <v>183583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782209</v>
          </cell>
          <cell r="F205">
            <v>0</v>
          </cell>
        </row>
        <row r="206">
          <cell r="D206">
            <v>170414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290120</v>
          </cell>
          <cell r="F211">
            <v>0</v>
          </cell>
        </row>
        <row r="212">
          <cell r="D212">
            <v>0</v>
          </cell>
          <cell r="F212">
            <v>43413</v>
          </cell>
        </row>
        <row r="213">
          <cell r="D213">
            <v>6863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10019</v>
          </cell>
          <cell r="F216">
            <v>0</v>
          </cell>
        </row>
        <row r="221">
          <cell r="D221">
            <v>19476874</v>
          </cell>
        </row>
      </sheetData>
      <sheetData sheetId="8"/>
      <sheetData sheetId="9"/>
      <sheetData sheetId="10">
        <row r="9">
          <cell r="C9">
            <v>22897</v>
          </cell>
          <cell r="D9">
            <v>2465</v>
          </cell>
          <cell r="E9">
            <v>8999</v>
          </cell>
          <cell r="F9">
            <v>4079</v>
          </cell>
          <cell r="G9">
            <v>0</v>
          </cell>
          <cell r="H9">
            <v>6874</v>
          </cell>
          <cell r="I9">
            <v>0</v>
          </cell>
          <cell r="J9">
            <v>0</v>
          </cell>
          <cell r="K9">
            <v>0</v>
          </cell>
        </row>
        <row r="22">
          <cell r="N22">
            <v>160</v>
          </cell>
        </row>
        <row r="24">
          <cell r="N24">
            <v>160</v>
          </cell>
        </row>
        <row r="28">
          <cell r="N28">
            <v>58400</v>
          </cell>
        </row>
        <row r="30">
          <cell r="N30">
            <v>0.77592465753424655</v>
          </cell>
        </row>
        <row r="32">
          <cell r="N32">
            <v>0.4342808219178082</v>
          </cell>
        </row>
        <row r="34">
          <cell r="N34">
            <v>0.55969457562784131</v>
          </cell>
        </row>
      </sheetData>
      <sheetData sheetId="1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5221878.17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1815033.1500000004</v>
          </cell>
          <cell r="G21">
            <v>0</v>
          </cell>
        </row>
        <row r="27">
          <cell r="E27">
            <v>900132.44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810542.40999999992</v>
          </cell>
          <cell r="G37">
            <v>0</v>
          </cell>
        </row>
        <row r="42">
          <cell r="E42">
            <v>306819.81000000006</v>
          </cell>
          <cell r="G42">
            <v>0</v>
          </cell>
        </row>
        <row r="47">
          <cell r="E47">
            <v>50572.65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203352.25</v>
          </cell>
          <cell r="G67">
            <v>-435.16</v>
          </cell>
        </row>
        <row r="85">
          <cell r="C85">
            <v>278.56973995271869</v>
          </cell>
          <cell r="E85">
            <v>269.5791245791246</v>
          </cell>
          <cell r="G85">
            <v>271.00490196078431</v>
          </cell>
          <cell r="I85">
            <v>282.18978102189783</v>
          </cell>
        </row>
      </sheetData>
      <sheetData sheetId="6"/>
      <sheetData sheetId="7">
        <row r="10">
          <cell r="D10">
            <v>104869.01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164291.15</v>
          </cell>
          <cell r="F12">
            <v>-54537</v>
          </cell>
        </row>
        <row r="13">
          <cell r="D13">
            <v>85372.82</v>
          </cell>
          <cell r="F13">
            <v>-17702</v>
          </cell>
        </row>
        <row r="14">
          <cell r="D14">
            <v>0</v>
          </cell>
          <cell r="F14">
            <v>0</v>
          </cell>
        </row>
        <row r="15">
          <cell r="D15">
            <v>596213.05000000005</v>
          </cell>
          <cell r="F15">
            <v>-596213.05000000005</v>
          </cell>
        </row>
        <row r="16">
          <cell r="D16">
            <v>0</v>
          </cell>
          <cell r="F16">
            <v>355762</v>
          </cell>
        </row>
        <row r="17">
          <cell r="D17">
            <v>0</v>
          </cell>
          <cell r="F17">
            <v>0</v>
          </cell>
        </row>
        <row r="18">
          <cell r="D18">
            <v>4420.29</v>
          </cell>
          <cell r="F18">
            <v>0</v>
          </cell>
        </row>
        <row r="19">
          <cell r="D19">
            <v>30253.37</v>
          </cell>
          <cell r="F19">
            <v>1775</v>
          </cell>
        </row>
        <row r="20">
          <cell r="D20">
            <v>26214.76</v>
          </cell>
          <cell r="F20">
            <v>0</v>
          </cell>
        </row>
        <row r="21">
          <cell r="D21">
            <v>24765.33</v>
          </cell>
          <cell r="F21">
            <v>53458</v>
          </cell>
        </row>
        <row r="22">
          <cell r="D22">
            <v>0</v>
          </cell>
          <cell r="F22">
            <v>0</v>
          </cell>
        </row>
        <row r="23">
          <cell r="D23">
            <v>16782.990000000002</v>
          </cell>
          <cell r="F23">
            <v>29057</v>
          </cell>
        </row>
        <row r="24">
          <cell r="D24">
            <v>51634.69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452609.47</v>
          </cell>
          <cell r="F26">
            <v>0</v>
          </cell>
        </row>
        <row r="27">
          <cell r="D27">
            <v>9620.4500000000007</v>
          </cell>
          <cell r="F27">
            <v>16658</v>
          </cell>
        </row>
        <row r="28">
          <cell r="D28">
            <v>0</v>
          </cell>
          <cell r="F28">
            <v>0</v>
          </cell>
        </row>
        <row r="29">
          <cell r="D29">
            <v>246330.16</v>
          </cell>
          <cell r="F29">
            <v>-246330.16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136088.04</v>
          </cell>
          <cell r="F32">
            <v>6990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10</v>
          </cell>
          <cell r="F35">
            <v>-10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16572.68</v>
          </cell>
          <cell r="F39">
            <v>6474</v>
          </cell>
        </row>
        <row r="40">
          <cell r="D40">
            <v>9910.49</v>
          </cell>
          <cell r="F40">
            <v>0</v>
          </cell>
        </row>
        <row r="41">
          <cell r="D41">
            <v>38167.75</v>
          </cell>
          <cell r="F41">
            <v>42372</v>
          </cell>
        </row>
        <row r="42">
          <cell r="D42">
            <v>0</v>
          </cell>
          <cell r="F42">
            <v>3525</v>
          </cell>
        </row>
        <row r="43">
          <cell r="D43">
            <v>0</v>
          </cell>
          <cell r="F43">
            <v>0</v>
          </cell>
        </row>
        <row r="44">
          <cell r="D44">
            <v>327</v>
          </cell>
          <cell r="F44">
            <v>0</v>
          </cell>
        </row>
        <row r="45">
          <cell r="D45">
            <v>4083.06</v>
          </cell>
          <cell r="F45">
            <v>831</v>
          </cell>
        </row>
        <row r="57">
          <cell r="D57">
            <v>1026000</v>
          </cell>
          <cell r="F57">
            <v>-1026000</v>
          </cell>
        </row>
        <row r="58">
          <cell r="D58">
            <v>2341.3200000000002</v>
          </cell>
          <cell r="F58">
            <v>161751.95000000001</v>
          </cell>
        </row>
        <row r="59">
          <cell r="D59">
            <v>0</v>
          </cell>
          <cell r="F59">
            <v>335849.28</v>
          </cell>
        </row>
        <row r="60">
          <cell r="D60">
            <v>49456.65</v>
          </cell>
          <cell r="F60">
            <v>3000</v>
          </cell>
        </row>
        <row r="61">
          <cell r="D61">
            <v>25824.68</v>
          </cell>
          <cell r="F61">
            <v>2400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15852.9</v>
          </cell>
          <cell r="F67">
            <v>17165.150000000001</v>
          </cell>
        </row>
        <row r="68">
          <cell r="D68">
            <v>0</v>
          </cell>
          <cell r="F68">
            <v>0</v>
          </cell>
        </row>
        <row r="69">
          <cell r="D69">
            <v>7555.64</v>
          </cell>
          <cell r="F69">
            <v>271.14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56487.35</v>
          </cell>
          <cell r="F75">
            <v>0</v>
          </cell>
        </row>
        <row r="76">
          <cell r="D76">
            <v>14084.04</v>
          </cell>
          <cell r="F76">
            <v>0</v>
          </cell>
        </row>
        <row r="77">
          <cell r="D77">
            <v>10535.55</v>
          </cell>
          <cell r="F77">
            <v>0</v>
          </cell>
        </row>
        <row r="78">
          <cell r="D78">
            <v>23555.96</v>
          </cell>
          <cell r="F78">
            <v>1548</v>
          </cell>
        </row>
        <row r="79">
          <cell r="D79">
            <v>40683.56</v>
          </cell>
          <cell r="F79">
            <v>0</v>
          </cell>
        </row>
        <row r="80">
          <cell r="D80">
            <v>63039.05</v>
          </cell>
          <cell r="F80">
            <v>0</v>
          </cell>
        </row>
        <row r="81">
          <cell r="D81">
            <v>4837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231942</v>
          </cell>
          <cell r="F84">
            <v>1008</v>
          </cell>
        </row>
        <row r="85">
          <cell r="D85">
            <v>40</v>
          </cell>
          <cell r="F85">
            <v>0</v>
          </cell>
        </row>
        <row r="89">
          <cell r="D89">
            <v>326225.61</v>
          </cell>
          <cell r="F89">
            <v>0</v>
          </cell>
        </row>
        <row r="90">
          <cell r="D90">
            <v>57079.14</v>
          </cell>
          <cell r="F90">
            <v>0</v>
          </cell>
        </row>
        <row r="91">
          <cell r="D91">
            <v>18961.189999999999</v>
          </cell>
          <cell r="F91">
            <v>0</v>
          </cell>
        </row>
        <row r="92">
          <cell r="D92">
            <v>264232.5</v>
          </cell>
          <cell r="F92">
            <v>0</v>
          </cell>
        </row>
        <row r="93">
          <cell r="D93">
            <v>14329.88</v>
          </cell>
          <cell r="F93">
            <v>0</v>
          </cell>
        </row>
        <row r="94">
          <cell r="D94">
            <v>8602.16</v>
          </cell>
          <cell r="F94">
            <v>0</v>
          </cell>
        </row>
        <row r="98">
          <cell r="D98">
            <v>52528.99</v>
          </cell>
          <cell r="F98">
            <v>0</v>
          </cell>
        </row>
        <row r="99">
          <cell r="D99">
            <v>19416.79</v>
          </cell>
          <cell r="F99">
            <v>0</v>
          </cell>
        </row>
        <row r="100">
          <cell r="D100">
            <v>10002.94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5430.4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120216.09</v>
          </cell>
          <cell r="F115">
            <v>0</v>
          </cell>
        </row>
        <row r="116">
          <cell r="D116">
            <v>31642.2</v>
          </cell>
          <cell r="F116">
            <v>0</v>
          </cell>
        </row>
        <row r="117">
          <cell r="D117">
            <v>26888.63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640.25</v>
          </cell>
          <cell r="F119">
            <v>0</v>
          </cell>
        </row>
        <row r="124">
          <cell r="D124">
            <v>206568.52</v>
          </cell>
          <cell r="F124">
            <v>0</v>
          </cell>
        </row>
        <row r="125">
          <cell r="D125">
            <v>85919.34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39726.67</v>
          </cell>
          <cell r="F128">
            <v>58425</v>
          </cell>
        </row>
        <row r="130">
          <cell r="D130">
            <v>39530.32</v>
          </cell>
          <cell r="F130">
            <v>0</v>
          </cell>
        </row>
        <row r="131">
          <cell r="D131">
            <v>14643.58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17152.7</v>
          </cell>
          <cell r="F134">
            <v>0</v>
          </cell>
        </row>
        <row r="136">
          <cell r="D136">
            <v>778627.43</v>
          </cell>
          <cell r="F136">
            <v>0</v>
          </cell>
        </row>
        <row r="137">
          <cell r="D137">
            <v>343056.89</v>
          </cell>
          <cell r="F137">
            <v>0</v>
          </cell>
        </row>
        <row r="138">
          <cell r="D138">
            <v>790741.85</v>
          </cell>
          <cell r="F138">
            <v>0</v>
          </cell>
        </row>
        <row r="139">
          <cell r="D139">
            <v>75812.09</v>
          </cell>
          <cell r="F139">
            <v>0</v>
          </cell>
        </row>
        <row r="141">
          <cell r="D141">
            <v>149003.29</v>
          </cell>
          <cell r="F141">
            <v>0</v>
          </cell>
        </row>
        <row r="142">
          <cell r="D142">
            <v>65649.63</v>
          </cell>
          <cell r="F142">
            <v>0</v>
          </cell>
        </row>
        <row r="143">
          <cell r="D143">
            <v>151321.57999999999</v>
          </cell>
          <cell r="F143">
            <v>0</v>
          </cell>
        </row>
        <row r="144">
          <cell r="D144">
            <v>14507.91</v>
          </cell>
          <cell r="F144">
            <v>0</v>
          </cell>
        </row>
        <row r="146">
          <cell r="D146">
            <v>38903.259999999995</v>
          </cell>
          <cell r="F146">
            <v>0</v>
          </cell>
        </row>
        <row r="147">
          <cell r="D147">
            <v>11456.93</v>
          </cell>
          <cell r="F147">
            <v>0</v>
          </cell>
        </row>
        <row r="148">
          <cell r="D148">
            <v>1614.25</v>
          </cell>
          <cell r="F148">
            <v>0</v>
          </cell>
        </row>
        <row r="149">
          <cell r="D149">
            <v>20667.7</v>
          </cell>
          <cell r="F149">
            <v>0</v>
          </cell>
        </row>
        <row r="150">
          <cell r="D150">
            <v>19249.920000000002</v>
          </cell>
          <cell r="F150">
            <v>0</v>
          </cell>
        </row>
        <row r="151">
          <cell r="D151">
            <v>188522.6</v>
          </cell>
          <cell r="F151">
            <v>0</v>
          </cell>
        </row>
        <row r="152">
          <cell r="D152">
            <v>67481.05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21129.87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330751.71000000002</v>
          </cell>
          <cell r="F177">
            <v>17981</v>
          </cell>
        </row>
        <row r="178">
          <cell r="D178">
            <v>90469.28</v>
          </cell>
          <cell r="F178">
            <v>0</v>
          </cell>
        </row>
        <row r="179">
          <cell r="D179">
            <v>58496.63</v>
          </cell>
          <cell r="F179">
            <v>0</v>
          </cell>
        </row>
        <row r="180">
          <cell r="D180">
            <v>12108.47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167894.19</v>
          </cell>
          <cell r="F183">
            <v>0</v>
          </cell>
        </row>
        <row r="184">
          <cell r="D184">
            <v>56050.59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13936.28</v>
          </cell>
          <cell r="F188">
            <v>0</v>
          </cell>
        </row>
        <row r="189">
          <cell r="D189">
            <v>195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69872.23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-1723.82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548.35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206600.13</v>
          </cell>
          <cell r="F205">
            <v>0</v>
          </cell>
        </row>
        <row r="206">
          <cell r="D206">
            <v>30502.48</v>
          </cell>
          <cell r="F206">
            <v>0</v>
          </cell>
        </row>
        <row r="207">
          <cell r="D207">
            <v>36360.660000000003</v>
          </cell>
          <cell r="F207">
            <v>0</v>
          </cell>
        </row>
        <row r="211">
          <cell r="D211">
            <v>172380.91</v>
          </cell>
          <cell r="F211">
            <v>0</v>
          </cell>
        </row>
        <row r="212">
          <cell r="D212">
            <v>45820.52</v>
          </cell>
          <cell r="F212">
            <v>0</v>
          </cell>
        </row>
        <row r="213">
          <cell r="D213">
            <v>4881.7299999999996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36793.760000000002</v>
          </cell>
          <cell r="F216">
            <v>0</v>
          </cell>
        </row>
        <row r="221">
          <cell r="D221">
            <v>9020195.5</v>
          </cell>
        </row>
      </sheetData>
      <sheetData sheetId="8"/>
      <sheetData sheetId="9"/>
      <sheetData sheetId="10">
        <row r="9">
          <cell r="C9">
            <v>19221</v>
          </cell>
          <cell r="D9">
            <v>0</v>
          </cell>
          <cell r="E9">
            <v>3220</v>
          </cell>
          <cell r="F9">
            <v>2298</v>
          </cell>
          <cell r="G9">
            <v>0</v>
          </cell>
          <cell r="H9">
            <v>2941</v>
          </cell>
          <cell r="I9">
            <v>1738</v>
          </cell>
          <cell r="J9">
            <v>246</v>
          </cell>
          <cell r="K9">
            <v>0</v>
          </cell>
        </row>
        <row r="22">
          <cell r="N22">
            <v>140</v>
          </cell>
        </row>
        <row r="24">
          <cell r="N24">
            <v>140</v>
          </cell>
        </row>
        <row r="28">
          <cell r="N28">
            <v>51100</v>
          </cell>
        </row>
        <row r="30">
          <cell r="N30">
            <v>0.58050880626223089</v>
          </cell>
        </row>
        <row r="32">
          <cell r="N32">
            <v>0.3761448140900196</v>
          </cell>
        </row>
        <row r="34">
          <cell r="N34">
            <v>0.64795711974110037</v>
          </cell>
        </row>
      </sheetData>
      <sheetData sheetId="1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upp-1012"/>
      <sheetName val="Supp-10-490"/>
      <sheetName val="Supp-40-490"/>
      <sheetName val="Supp-60-490"/>
      <sheetName val="Supp-70-490"/>
      <sheetName val="Supp-80-490"/>
      <sheetName val="Supp-90-490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479427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2569516</v>
          </cell>
          <cell r="G21">
            <v>0</v>
          </cell>
        </row>
        <row r="27">
          <cell r="E27">
            <v>137388</v>
          </cell>
          <cell r="G27">
            <v>0</v>
          </cell>
        </row>
        <row r="32">
          <cell r="E32">
            <v>6259552</v>
          </cell>
          <cell r="G32">
            <v>-2721023</v>
          </cell>
        </row>
        <row r="37">
          <cell r="E37">
            <v>2007489</v>
          </cell>
          <cell r="G37">
            <v>2721023</v>
          </cell>
        </row>
        <row r="42">
          <cell r="E42">
            <v>29650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244711</v>
          </cell>
          <cell r="G52">
            <v>0</v>
          </cell>
        </row>
        <row r="67">
          <cell r="E67">
            <v>27865</v>
          </cell>
          <cell r="G67">
            <v>-11991</v>
          </cell>
        </row>
        <row r="85">
          <cell r="C85">
            <v>222.246357167062</v>
          </cell>
          <cell r="E85">
            <v>222.24629418472063</v>
          </cell>
          <cell r="G85">
            <v>222.24619038195132</v>
          </cell>
          <cell r="I85">
            <v>222.24629373393952</v>
          </cell>
        </row>
      </sheetData>
      <sheetData sheetId="6"/>
      <sheetData sheetId="7">
        <row r="10">
          <cell r="D10">
            <v>0</v>
          </cell>
          <cell r="F10">
            <v>142271</v>
          </cell>
        </row>
        <row r="11">
          <cell r="D11">
            <v>0</v>
          </cell>
          <cell r="F11">
            <v>0</v>
          </cell>
        </row>
        <row r="12">
          <cell r="D12">
            <v>457717</v>
          </cell>
          <cell r="F12">
            <v>-142271</v>
          </cell>
        </row>
        <row r="13">
          <cell r="D13">
            <v>115768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704920</v>
          </cell>
        </row>
        <row r="16">
          <cell r="D16">
            <v>704920</v>
          </cell>
          <cell r="F16">
            <v>-704920</v>
          </cell>
        </row>
        <row r="17">
          <cell r="D17">
            <v>5057</v>
          </cell>
          <cell r="F17">
            <v>-5057</v>
          </cell>
        </row>
        <row r="18">
          <cell r="D18">
            <v>77356</v>
          </cell>
          <cell r="F18">
            <v>0</v>
          </cell>
        </row>
        <row r="19">
          <cell r="D19">
            <v>8662</v>
          </cell>
          <cell r="F19">
            <v>0</v>
          </cell>
        </row>
        <row r="20">
          <cell r="D20">
            <v>34943</v>
          </cell>
          <cell r="F20">
            <v>0</v>
          </cell>
        </row>
        <row r="21">
          <cell r="D21">
            <v>5456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27450</v>
          </cell>
          <cell r="F23">
            <v>0</v>
          </cell>
        </row>
        <row r="24">
          <cell r="D24">
            <v>25566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0</v>
          </cell>
          <cell r="F26">
            <v>0</v>
          </cell>
        </row>
        <row r="27">
          <cell r="D27">
            <v>343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-2973</v>
          </cell>
          <cell r="F29">
            <v>2973</v>
          </cell>
        </row>
        <row r="30">
          <cell r="D30">
            <v>2150</v>
          </cell>
          <cell r="F30">
            <v>-2150</v>
          </cell>
        </row>
        <row r="31">
          <cell r="D31">
            <v>0</v>
          </cell>
          <cell r="F31">
            <v>0</v>
          </cell>
        </row>
        <row r="32">
          <cell r="D32">
            <v>82320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556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106038</v>
          </cell>
          <cell r="F36">
            <v>0</v>
          </cell>
        </row>
        <row r="37">
          <cell r="D37">
            <v>15574</v>
          </cell>
          <cell r="F37">
            <v>0</v>
          </cell>
        </row>
        <row r="38">
          <cell r="D38">
            <v>1381</v>
          </cell>
          <cell r="F38">
            <v>-1381</v>
          </cell>
        </row>
        <row r="39">
          <cell r="D39">
            <v>27432</v>
          </cell>
          <cell r="F39">
            <v>0</v>
          </cell>
        </row>
        <row r="40">
          <cell r="D40">
            <v>20042</v>
          </cell>
          <cell r="F40">
            <v>-20042</v>
          </cell>
        </row>
        <row r="41">
          <cell r="D41">
            <v>53415</v>
          </cell>
          <cell r="F41">
            <v>0</v>
          </cell>
        </row>
        <row r="42">
          <cell r="D42">
            <v>2370</v>
          </cell>
          <cell r="F42">
            <v>0</v>
          </cell>
        </row>
        <row r="43">
          <cell r="D43">
            <v>15265</v>
          </cell>
          <cell r="F43">
            <v>-15265</v>
          </cell>
        </row>
        <row r="44">
          <cell r="D44">
            <v>0</v>
          </cell>
          <cell r="F44">
            <v>0</v>
          </cell>
        </row>
        <row r="45">
          <cell r="D45">
            <v>419191</v>
          </cell>
          <cell r="F45">
            <v>-387945</v>
          </cell>
        </row>
        <row r="57">
          <cell r="D57">
            <v>0</v>
          </cell>
          <cell r="F57">
            <v>0</v>
          </cell>
        </row>
        <row r="58">
          <cell r="D58">
            <v>1537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16622</v>
          </cell>
          <cell r="F61">
            <v>0</v>
          </cell>
        </row>
        <row r="62">
          <cell r="D62">
            <v>805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3570</v>
          </cell>
          <cell r="F65">
            <v>0</v>
          </cell>
        </row>
        <row r="66">
          <cell r="D66">
            <v>54896</v>
          </cell>
          <cell r="F66">
            <v>0</v>
          </cell>
        </row>
        <row r="67">
          <cell r="D67">
            <v>35536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-2309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71231</v>
          </cell>
          <cell r="F75">
            <v>0</v>
          </cell>
        </row>
        <row r="76">
          <cell r="D76">
            <v>26859</v>
          </cell>
          <cell r="F76">
            <v>0</v>
          </cell>
        </row>
        <row r="77">
          <cell r="D77">
            <v>31790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7167</v>
          </cell>
          <cell r="F79">
            <v>0</v>
          </cell>
        </row>
        <row r="80">
          <cell r="D80">
            <v>15155</v>
          </cell>
          <cell r="F80">
            <v>0</v>
          </cell>
        </row>
        <row r="81">
          <cell r="D81">
            <v>44803</v>
          </cell>
          <cell r="F81">
            <v>0</v>
          </cell>
        </row>
        <row r="82">
          <cell r="D82">
            <v>19520</v>
          </cell>
          <cell r="F82">
            <v>0</v>
          </cell>
        </row>
        <row r="83">
          <cell r="D83">
            <v>11239</v>
          </cell>
          <cell r="F83">
            <v>0</v>
          </cell>
        </row>
        <row r="84">
          <cell r="D84">
            <v>223564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378757</v>
          </cell>
          <cell r="F89">
            <v>0</v>
          </cell>
        </row>
        <row r="90">
          <cell r="D90">
            <v>79824</v>
          </cell>
          <cell r="F90">
            <v>0</v>
          </cell>
        </row>
        <row r="91">
          <cell r="D91">
            <v>19162</v>
          </cell>
          <cell r="F91">
            <v>0</v>
          </cell>
        </row>
        <row r="92">
          <cell r="D92">
            <v>422302</v>
          </cell>
          <cell r="F92">
            <v>-5486</v>
          </cell>
        </row>
        <row r="93">
          <cell r="D93">
            <v>22940</v>
          </cell>
          <cell r="F93">
            <v>0</v>
          </cell>
        </row>
        <row r="94">
          <cell r="D94">
            <v>25</v>
          </cell>
          <cell r="F94">
            <v>0</v>
          </cell>
        </row>
        <row r="98">
          <cell r="D98">
            <v>44868</v>
          </cell>
          <cell r="F98">
            <v>0</v>
          </cell>
        </row>
        <row r="99">
          <cell r="D99">
            <v>7468</v>
          </cell>
          <cell r="F99">
            <v>0</v>
          </cell>
        </row>
        <row r="100">
          <cell r="D100">
            <v>2026</v>
          </cell>
          <cell r="F100">
            <v>0</v>
          </cell>
        </row>
        <row r="101">
          <cell r="D101">
            <v>81</v>
          </cell>
          <cell r="F101">
            <v>0</v>
          </cell>
        </row>
        <row r="102">
          <cell r="D102">
            <v>8840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186537</v>
          </cell>
          <cell r="F115">
            <v>0</v>
          </cell>
        </row>
        <row r="116">
          <cell r="D116">
            <v>42579</v>
          </cell>
          <cell r="F116">
            <v>0</v>
          </cell>
        </row>
        <row r="117">
          <cell r="D117">
            <v>69453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4480</v>
          </cell>
          <cell r="F119">
            <v>0</v>
          </cell>
        </row>
        <row r="124">
          <cell r="D124">
            <v>62310</v>
          </cell>
          <cell r="F124">
            <v>0</v>
          </cell>
        </row>
        <row r="125">
          <cell r="D125">
            <v>428036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107221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129294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22406</v>
          </cell>
          <cell r="F134">
            <v>0</v>
          </cell>
        </row>
        <row r="136">
          <cell r="D136">
            <v>1391704</v>
          </cell>
          <cell r="F136">
            <v>0</v>
          </cell>
        </row>
        <row r="137">
          <cell r="D137">
            <v>370686</v>
          </cell>
          <cell r="F137">
            <v>0</v>
          </cell>
        </row>
        <row r="138">
          <cell r="D138">
            <v>1564407</v>
          </cell>
          <cell r="F138">
            <v>67662</v>
          </cell>
        </row>
        <row r="139">
          <cell r="D139">
            <v>67662</v>
          </cell>
          <cell r="F139">
            <v>-67662</v>
          </cell>
        </row>
        <row r="141">
          <cell r="D141">
            <v>781002</v>
          </cell>
          <cell r="F141">
            <v>-460797</v>
          </cell>
        </row>
        <row r="142">
          <cell r="D142">
            <v>0</v>
          </cell>
          <cell r="F142">
            <v>85288</v>
          </cell>
        </row>
        <row r="143">
          <cell r="D143">
            <v>0</v>
          </cell>
          <cell r="F143">
            <v>375509</v>
          </cell>
        </row>
        <row r="144">
          <cell r="D144">
            <v>0</v>
          </cell>
          <cell r="F144">
            <v>0</v>
          </cell>
        </row>
        <row r="146">
          <cell r="D146">
            <v>65243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180</v>
          </cell>
          <cell r="F150">
            <v>0</v>
          </cell>
        </row>
        <row r="151">
          <cell r="D151">
            <v>162855</v>
          </cell>
          <cell r="F151">
            <v>0</v>
          </cell>
        </row>
        <row r="152">
          <cell r="D152">
            <v>20456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525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417</v>
          </cell>
          <cell r="F160">
            <v>0</v>
          </cell>
        </row>
        <row r="161">
          <cell r="D161">
            <v>123357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1524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76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34130</v>
          </cell>
          <cell r="F193">
            <v>0</v>
          </cell>
        </row>
        <row r="194">
          <cell r="D194">
            <v>410044</v>
          </cell>
          <cell r="F194">
            <v>0</v>
          </cell>
        </row>
        <row r="195">
          <cell r="D195">
            <v>160523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249617</v>
          </cell>
          <cell r="F197">
            <v>0</v>
          </cell>
        </row>
        <row r="198">
          <cell r="D198">
            <v>63477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428777</v>
          </cell>
          <cell r="F205">
            <v>0</v>
          </cell>
        </row>
        <row r="206">
          <cell r="D206">
            <v>28378</v>
          </cell>
          <cell r="F206">
            <v>0</v>
          </cell>
        </row>
        <row r="207">
          <cell r="D207">
            <v>1670</v>
          </cell>
          <cell r="F207">
            <v>0</v>
          </cell>
        </row>
        <row r="211">
          <cell r="D211">
            <v>293212</v>
          </cell>
          <cell r="F211">
            <v>0</v>
          </cell>
        </row>
        <row r="212">
          <cell r="D212">
            <v>117250</v>
          </cell>
          <cell r="F212">
            <v>0</v>
          </cell>
        </row>
        <row r="213">
          <cell r="D213">
            <v>15835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10640</v>
          </cell>
          <cell r="F216">
            <v>0</v>
          </cell>
        </row>
        <row r="221">
          <cell r="D221">
            <v>11170240</v>
          </cell>
        </row>
      </sheetData>
      <sheetData sheetId="8"/>
      <sheetData sheetId="9"/>
      <sheetData sheetId="10">
        <row r="9">
          <cell r="C9">
            <v>2615</v>
          </cell>
          <cell r="D9">
            <v>0</v>
          </cell>
          <cell r="E9">
            <v>4461</v>
          </cell>
          <cell r="F9">
            <v>219</v>
          </cell>
          <cell r="G9">
            <v>8593</v>
          </cell>
          <cell r="H9">
            <v>21276</v>
          </cell>
          <cell r="I9">
            <v>216</v>
          </cell>
          <cell r="J9">
            <v>0</v>
          </cell>
          <cell r="K9">
            <v>452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0.95971588026382548</v>
          </cell>
        </row>
        <row r="32">
          <cell r="N32">
            <v>6.6336884830035511E-2</v>
          </cell>
        </row>
        <row r="34">
          <cell r="N34">
            <v>6.9121378727003593E-2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heet1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2139959.4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1057807.2</v>
          </cell>
          <cell r="G21">
            <v>0</v>
          </cell>
        </row>
        <row r="27">
          <cell r="E27">
            <v>41126.400000000001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36946</v>
          </cell>
          <cell r="G37">
            <v>0</v>
          </cell>
        </row>
        <row r="42">
          <cell r="E42">
            <v>1602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27518</v>
          </cell>
          <cell r="G67">
            <v>0</v>
          </cell>
        </row>
        <row r="85">
          <cell r="C85">
            <v>109.85869565217391</v>
          </cell>
          <cell r="E85">
            <v>20.781914893617021</v>
          </cell>
          <cell r="G85">
            <v>381.60317460317458</v>
          </cell>
          <cell r="I85">
            <v>589.79999999999995</v>
          </cell>
        </row>
      </sheetData>
      <sheetData sheetId="6"/>
      <sheetData sheetId="7">
        <row r="10">
          <cell r="D10">
            <v>143845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41659</v>
          </cell>
          <cell r="F12">
            <v>0</v>
          </cell>
        </row>
        <row r="13">
          <cell r="D13">
            <v>72120</v>
          </cell>
          <cell r="F13">
            <v>-48977</v>
          </cell>
        </row>
        <row r="14">
          <cell r="D14">
            <v>0</v>
          </cell>
          <cell r="F14">
            <v>0</v>
          </cell>
        </row>
        <row r="15">
          <cell r="D15">
            <v>772520</v>
          </cell>
          <cell r="F15">
            <v>-772520</v>
          </cell>
        </row>
        <row r="16">
          <cell r="D16">
            <v>52236</v>
          </cell>
          <cell r="F16">
            <v>9076</v>
          </cell>
        </row>
        <row r="17">
          <cell r="D17">
            <v>1675</v>
          </cell>
          <cell r="F17">
            <v>-1675</v>
          </cell>
        </row>
        <row r="18">
          <cell r="D18">
            <v>6360</v>
          </cell>
          <cell r="F18">
            <v>0</v>
          </cell>
        </row>
        <row r="19">
          <cell r="D19">
            <v>20687</v>
          </cell>
          <cell r="F19">
            <v>0</v>
          </cell>
        </row>
        <row r="20">
          <cell r="D20">
            <v>5583</v>
          </cell>
          <cell r="F20">
            <v>0</v>
          </cell>
        </row>
        <row r="21">
          <cell r="D21">
            <v>28427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8646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147256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1620</v>
          </cell>
          <cell r="F30">
            <v>-1620</v>
          </cell>
        </row>
        <row r="31">
          <cell r="D31">
            <v>12506</v>
          </cell>
          <cell r="F31">
            <v>-3295</v>
          </cell>
        </row>
        <row r="32">
          <cell r="D32">
            <v>34667</v>
          </cell>
          <cell r="F32">
            <v>-5416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1832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10554</v>
          </cell>
          <cell r="F41">
            <v>0</v>
          </cell>
        </row>
        <row r="42">
          <cell r="D42">
            <v>7546</v>
          </cell>
          <cell r="F42">
            <v>0</v>
          </cell>
        </row>
        <row r="43">
          <cell r="D43">
            <v>5310</v>
          </cell>
          <cell r="F43">
            <v>-5310</v>
          </cell>
        </row>
        <row r="44">
          <cell r="D44">
            <v>0</v>
          </cell>
          <cell r="F44">
            <v>0</v>
          </cell>
        </row>
        <row r="45">
          <cell r="D45">
            <v>13408</v>
          </cell>
          <cell r="F45">
            <v>0</v>
          </cell>
        </row>
        <row r="57">
          <cell r="D57">
            <v>285792</v>
          </cell>
          <cell r="F57">
            <v>-280913</v>
          </cell>
        </row>
        <row r="58">
          <cell r="D58">
            <v>0</v>
          </cell>
          <cell r="F58">
            <v>51475</v>
          </cell>
        </row>
        <row r="59">
          <cell r="D59">
            <v>0</v>
          </cell>
          <cell r="F59">
            <v>53255</v>
          </cell>
        </row>
        <row r="60">
          <cell r="D60">
            <v>5340</v>
          </cell>
          <cell r="F60">
            <v>0</v>
          </cell>
        </row>
        <row r="61">
          <cell r="D61">
            <v>0</v>
          </cell>
          <cell r="F61">
            <v>4663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3295</v>
          </cell>
        </row>
        <row r="66">
          <cell r="D66">
            <v>0</v>
          </cell>
          <cell r="F66">
            <v>0</v>
          </cell>
        </row>
        <row r="67">
          <cell r="D67">
            <v>0</v>
          </cell>
          <cell r="F67">
            <v>3022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8150</v>
          </cell>
          <cell r="F75">
            <v>0</v>
          </cell>
        </row>
        <row r="76">
          <cell r="D76">
            <v>594</v>
          </cell>
          <cell r="F76">
            <v>516</v>
          </cell>
        </row>
        <row r="77">
          <cell r="D77">
            <v>3942</v>
          </cell>
          <cell r="F77">
            <v>0</v>
          </cell>
        </row>
        <row r="78">
          <cell r="D78">
            <v>400</v>
          </cell>
          <cell r="F78">
            <v>0</v>
          </cell>
        </row>
        <row r="79">
          <cell r="D79">
            <v>123</v>
          </cell>
          <cell r="F79">
            <v>0</v>
          </cell>
        </row>
        <row r="80">
          <cell r="D80">
            <v>17597</v>
          </cell>
          <cell r="F80">
            <v>0</v>
          </cell>
        </row>
        <row r="81">
          <cell r="D81">
            <v>15185</v>
          </cell>
          <cell r="F81">
            <v>-10838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19672</v>
          </cell>
          <cell r="F84">
            <v>0</v>
          </cell>
        </row>
        <row r="85">
          <cell r="D85">
            <v>1563</v>
          </cell>
          <cell r="F85">
            <v>0</v>
          </cell>
        </row>
        <row r="89">
          <cell r="D89">
            <v>74374</v>
          </cell>
          <cell r="F89">
            <v>0</v>
          </cell>
        </row>
        <row r="90">
          <cell r="D90">
            <v>6148</v>
          </cell>
          <cell r="F90">
            <v>4711</v>
          </cell>
        </row>
        <row r="91">
          <cell r="D91">
            <v>7098</v>
          </cell>
          <cell r="F91">
            <v>0</v>
          </cell>
        </row>
        <row r="92">
          <cell r="D92">
            <v>62099</v>
          </cell>
          <cell r="F92">
            <v>0</v>
          </cell>
        </row>
        <row r="93">
          <cell r="D93">
            <v>10151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2162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599</v>
          </cell>
          <cell r="F102">
            <v>0</v>
          </cell>
        </row>
        <row r="103">
          <cell r="D103">
            <v>773</v>
          </cell>
          <cell r="F103">
            <v>0</v>
          </cell>
        </row>
        <row r="115">
          <cell r="D115">
            <v>38207</v>
          </cell>
          <cell r="F115">
            <v>0</v>
          </cell>
        </row>
        <row r="116">
          <cell r="D116">
            <v>3033</v>
          </cell>
          <cell r="F116">
            <v>2420</v>
          </cell>
        </row>
        <row r="117">
          <cell r="D117">
            <v>6534</v>
          </cell>
          <cell r="F117">
            <v>0</v>
          </cell>
        </row>
        <row r="118">
          <cell r="D118">
            <v>2697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84019</v>
          </cell>
          <cell r="F124">
            <v>0</v>
          </cell>
        </row>
        <row r="125">
          <cell r="D125">
            <v>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0</v>
          </cell>
          <cell r="F128">
            <v>0</v>
          </cell>
        </row>
        <row r="130">
          <cell r="D130">
            <v>0</v>
          </cell>
          <cell r="F130">
            <v>12276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0</v>
          </cell>
        </row>
        <row r="136">
          <cell r="D136">
            <v>135052</v>
          </cell>
          <cell r="F136">
            <v>-10765</v>
          </cell>
        </row>
        <row r="137">
          <cell r="D137">
            <v>121581</v>
          </cell>
          <cell r="F137">
            <v>10765</v>
          </cell>
        </row>
        <row r="138">
          <cell r="D138">
            <v>254036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28193</v>
          </cell>
          <cell r="F141">
            <v>-10034</v>
          </cell>
        </row>
        <row r="142">
          <cell r="D142">
            <v>0</v>
          </cell>
          <cell r="F142">
            <v>19337</v>
          </cell>
        </row>
        <row r="143">
          <cell r="D143">
            <v>21083</v>
          </cell>
          <cell r="F143">
            <v>16092</v>
          </cell>
        </row>
        <row r="144">
          <cell r="D144">
            <v>0</v>
          </cell>
          <cell r="F144">
            <v>0</v>
          </cell>
        </row>
        <row r="146">
          <cell r="D146">
            <v>12125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5184</v>
          </cell>
          <cell r="F150">
            <v>0</v>
          </cell>
        </row>
        <row r="151">
          <cell r="D151">
            <v>30937</v>
          </cell>
          <cell r="F151">
            <v>0</v>
          </cell>
        </row>
        <row r="152">
          <cell r="D152">
            <v>5240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142852</v>
          </cell>
          <cell r="F194">
            <v>0</v>
          </cell>
        </row>
        <row r="195">
          <cell r="D195">
            <v>10017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137587</v>
          </cell>
          <cell r="F197">
            <v>0</v>
          </cell>
        </row>
        <row r="198">
          <cell r="D198">
            <v>7822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92556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57740</v>
          </cell>
          <cell r="F211">
            <v>0</v>
          </cell>
        </row>
        <row r="212">
          <cell r="D212">
            <v>4695</v>
          </cell>
          <cell r="F212">
            <v>3658</v>
          </cell>
        </row>
        <row r="213">
          <cell r="D213">
            <v>8900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4623</v>
          </cell>
          <cell r="F216">
            <v>0</v>
          </cell>
        </row>
        <row r="221">
          <cell r="D221">
            <v>3124932</v>
          </cell>
        </row>
      </sheetData>
      <sheetData sheetId="8"/>
      <sheetData sheetId="9"/>
      <sheetData sheetId="10">
        <row r="9">
          <cell r="C9">
            <v>7674</v>
          </cell>
          <cell r="D9">
            <v>0</v>
          </cell>
          <cell r="E9">
            <v>2129</v>
          </cell>
          <cell r="F9">
            <v>42</v>
          </cell>
          <cell r="G9">
            <v>0</v>
          </cell>
          <cell r="H9">
            <v>213</v>
          </cell>
          <cell r="I9">
            <v>8</v>
          </cell>
          <cell r="J9">
            <v>0</v>
          </cell>
          <cell r="K9">
            <v>0</v>
          </cell>
        </row>
        <row r="22">
          <cell r="N22">
            <v>29</v>
          </cell>
        </row>
        <row r="24">
          <cell r="N24">
            <v>29</v>
          </cell>
        </row>
        <row r="28">
          <cell r="N28">
            <v>10585</v>
          </cell>
        </row>
        <row r="30">
          <cell r="N30">
            <v>0.95096835144071801</v>
          </cell>
        </row>
        <row r="32">
          <cell r="N32">
            <v>0.72498819083608879</v>
          </cell>
        </row>
        <row r="34">
          <cell r="N34">
            <v>0.76236836876614344</v>
          </cell>
        </row>
      </sheetData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upp-1012"/>
      <sheetName val="Supp-10-490"/>
      <sheetName val="Supp-60-490"/>
      <sheetName val="Supp-70-490"/>
      <sheetName val="Supp-80-490"/>
      <sheetName val="Supp-90-490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3218102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1686078</v>
          </cell>
          <cell r="G21">
            <v>0</v>
          </cell>
        </row>
        <row r="27">
          <cell r="E27">
            <v>1596307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365858</v>
          </cell>
          <cell r="G37">
            <v>0</v>
          </cell>
        </row>
        <row r="42">
          <cell r="E42">
            <v>608700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285693</v>
          </cell>
          <cell r="G52">
            <v>0</v>
          </cell>
        </row>
        <row r="67">
          <cell r="E67">
            <v>189591</v>
          </cell>
          <cell r="G67">
            <v>-10252</v>
          </cell>
        </row>
        <row r="85">
          <cell r="C85">
            <v>217.77187499999999</v>
          </cell>
          <cell r="E85">
            <v>217.77258566978193</v>
          </cell>
          <cell r="G85">
            <v>217.77333333333334</v>
          </cell>
          <cell r="I85">
            <v>217.77238805970148</v>
          </cell>
        </row>
      </sheetData>
      <sheetData sheetId="6"/>
      <sheetData sheetId="7">
        <row r="10">
          <cell r="D10">
            <v>0</v>
          </cell>
          <cell r="F10">
            <v>121938</v>
          </cell>
        </row>
        <row r="11">
          <cell r="D11">
            <v>0</v>
          </cell>
          <cell r="F11">
            <v>0</v>
          </cell>
        </row>
        <row r="12">
          <cell r="D12">
            <v>331129</v>
          </cell>
          <cell r="F12">
            <v>-121938</v>
          </cell>
        </row>
        <row r="13">
          <cell r="D13">
            <v>19756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397184</v>
          </cell>
          <cell r="F16">
            <v>33316</v>
          </cell>
        </row>
        <row r="17">
          <cell r="D17">
            <v>2567</v>
          </cell>
          <cell r="F17">
            <v>-2567</v>
          </cell>
        </row>
        <row r="18">
          <cell r="D18">
            <v>16639</v>
          </cell>
          <cell r="F18">
            <v>0</v>
          </cell>
        </row>
        <row r="19">
          <cell r="D19">
            <v>15508</v>
          </cell>
          <cell r="F19">
            <v>0</v>
          </cell>
        </row>
        <row r="20">
          <cell r="D20">
            <v>17127</v>
          </cell>
          <cell r="F20">
            <v>0</v>
          </cell>
        </row>
        <row r="21">
          <cell r="D21">
            <v>19295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5423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7629</v>
          </cell>
          <cell r="F25">
            <v>0</v>
          </cell>
        </row>
        <row r="26">
          <cell r="D26">
            <v>423674</v>
          </cell>
          <cell r="F26">
            <v>0</v>
          </cell>
        </row>
        <row r="27">
          <cell r="D27">
            <v>37721</v>
          </cell>
          <cell r="F27">
            <v>-107</v>
          </cell>
        </row>
        <row r="28">
          <cell r="D28">
            <v>0</v>
          </cell>
          <cell r="F28">
            <v>0</v>
          </cell>
        </row>
        <row r="29">
          <cell r="D29">
            <v>235826</v>
          </cell>
          <cell r="F29">
            <v>-235826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91200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649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31</v>
          </cell>
          <cell r="F38">
            <v>-31</v>
          </cell>
        </row>
        <row r="39">
          <cell r="D39">
            <v>3001</v>
          </cell>
          <cell r="F39">
            <v>0</v>
          </cell>
        </row>
        <row r="40">
          <cell r="D40">
            <v>9198</v>
          </cell>
          <cell r="F40">
            <v>-9198</v>
          </cell>
        </row>
        <row r="41">
          <cell r="D41">
            <v>192589</v>
          </cell>
          <cell r="F41">
            <v>90</v>
          </cell>
        </row>
        <row r="42">
          <cell r="D42">
            <v>0</v>
          </cell>
          <cell r="F42">
            <v>0</v>
          </cell>
        </row>
        <row r="43">
          <cell r="D43">
            <v>19054</v>
          </cell>
          <cell r="F43">
            <v>-19054</v>
          </cell>
        </row>
        <row r="44">
          <cell r="D44">
            <v>0</v>
          </cell>
          <cell r="F44">
            <v>0</v>
          </cell>
        </row>
        <row r="45">
          <cell r="D45">
            <v>6387</v>
          </cell>
          <cell r="F45">
            <v>-2270</v>
          </cell>
        </row>
        <row r="57">
          <cell r="D57">
            <v>882817</v>
          </cell>
          <cell r="F57">
            <v>0</v>
          </cell>
        </row>
        <row r="58">
          <cell r="D58">
            <v>27459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30000</v>
          </cell>
          <cell r="F60">
            <v>0</v>
          </cell>
        </row>
        <row r="61">
          <cell r="D61">
            <v>5283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1229</v>
          </cell>
          <cell r="F65">
            <v>0</v>
          </cell>
        </row>
        <row r="66">
          <cell r="D66">
            <v>80232</v>
          </cell>
          <cell r="F66">
            <v>-1538</v>
          </cell>
        </row>
        <row r="67">
          <cell r="D67">
            <v>48506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4907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36826</v>
          </cell>
          <cell r="F75">
            <v>0</v>
          </cell>
        </row>
        <row r="76">
          <cell r="D76">
            <v>10386</v>
          </cell>
          <cell r="F76">
            <v>0</v>
          </cell>
        </row>
        <row r="77">
          <cell r="D77">
            <v>10649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2466</v>
          </cell>
          <cell r="F79">
            <v>0</v>
          </cell>
        </row>
        <row r="80">
          <cell r="D80">
            <v>27277</v>
          </cell>
          <cell r="F80">
            <v>0</v>
          </cell>
        </row>
        <row r="81">
          <cell r="D81">
            <v>22802</v>
          </cell>
          <cell r="F81">
            <v>0</v>
          </cell>
        </row>
        <row r="82">
          <cell r="D82">
            <v>13013</v>
          </cell>
          <cell r="F82">
            <v>0</v>
          </cell>
        </row>
        <row r="83">
          <cell r="D83">
            <v>646</v>
          </cell>
          <cell r="F83">
            <v>0</v>
          </cell>
        </row>
        <row r="84">
          <cell r="D84">
            <v>142072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594780</v>
          </cell>
          <cell r="F91">
            <v>0</v>
          </cell>
        </row>
        <row r="92">
          <cell r="D92">
            <v>6413</v>
          </cell>
          <cell r="F92">
            <v>-12375</v>
          </cell>
        </row>
        <row r="93">
          <cell r="D93">
            <v>2889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94935</v>
          </cell>
          <cell r="F101">
            <v>0</v>
          </cell>
        </row>
        <row r="102">
          <cell r="D102">
            <v>6840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16228</v>
          </cell>
          <cell r="F117">
            <v>0</v>
          </cell>
        </row>
        <row r="118">
          <cell r="D118">
            <v>142403</v>
          </cell>
          <cell r="F118">
            <v>0</v>
          </cell>
        </row>
        <row r="119">
          <cell r="D119">
            <v>193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248530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73073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47005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21537</v>
          </cell>
          <cell r="F134">
            <v>0</v>
          </cell>
        </row>
        <row r="136">
          <cell r="D136">
            <v>992629</v>
          </cell>
          <cell r="F136">
            <v>0</v>
          </cell>
        </row>
        <row r="137">
          <cell r="D137">
            <v>176779</v>
          </cell>
          <cell r="F137">
            <v>0</v>
          </cell>
        </row>
        <row r="138">
          <cell r="D138">
            <v>770800</v>
          </cell>
          <cell r="F138">
            <v>19003</v>
          </cell>
        </row>
        <row r="139">
          <cell r="D139">
            <v>19003</v>
          </cell>
          <cell r="F139">
            <v>-19003</v>
          </cell>
        </row>
        <row r="141">
          <cell r="D141">
            <v>421410</v>
          </cell>
          <cell r="F141">
            <v>-207903.75340889776</v>
          </cell>
        </row>
        <row r="142">
          <cell r="D142">
            <v>0</v>
          </cell>
          <cell r="F142">
            <v>38023.693410255459</v>
          </cell>
        </row>
        <row r="143">
          <cell r="D143">
            <v>0</v>
          </cell>
          <cell r="F143">
            <v>169880.0599986423</v>
          </cell>
        </row>
        <row r="144">
          <cell r="D144">
            <v>0</v>
          </cell>
          <cell r="F144">
            <v>0</v>
          </cell>
        </row>
        <row r="146">
          <cell r="D146">
            <v>48668</v>
          </cell>
          <cell r="F146">
            <v>0</v>
          </cell>
        </row>
        <row r="147">
          <cell r="D147">
            <v>41839</v>
          </cell>
          <cell r="F147">
            <v>0</v>
          </cell>
        </row>
        <row r="148">
          <cell r="D148">
            <v>55759</v>
          </cell>
          <cell r="F148">
            <v>0</v>
          </cell>
        </row>
        <row r="149">
          <cell r="D149">
            <v>113337</v>
          </cell>
          <cell r="F149">
            <v>0</v>
          </cell>
        </row>
        <row r="150">
          <cell r="D150">
            <v>6951</v>
          </cell>
          <cell r="F150">
            <v>0</v>
          </cell>
        </row>
        <row r="151">
          <cell r="D151">
            <v>231617</v>
          </cell>
          <cell r="F151">
            <v>6912</v>
          </cell>
        </row>
        <row r="152">
          <cell r="D152">
            <v>4282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1885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14445</v>
          </cell>
          <cell r="F161">
            <v>722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2050</v>
          </cell>
          <cell r="F193">
            <v>0</v>
          </cell>
        </row>
        <row r="194">
          <cell r="D194">
            <v>473614</v>
          </cell>
          <cell r="F194">
            <v>-18329</v>
          </cell>
        </row>
        <row r="195">
          <cell r="D195">
            <v>182521</v>
          </cell>
          <cell r="F195">
            <v>-7064</v>
          </cell>
        </row>
        <row r="196">
          <cell r="D196">
            <v>0</v>
          </cell>
          <cell r="F196">
            <v>0</v>
          </cell>
        </row>
        <row r="197">
          <cell r="D197">
            <v>380817</v>
          </cell>
          <cell r="F197">
            <v>-14738</v>
          </cell>
        </row>
        <row r="198">
          <cell r="D198">
            <v>110152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393867</v>
          </cell>
          <cell r="F205">
            <v>27233</v>
          </cell>
        </row>
        <row r="206">
          <cell r="D206">
            <v>3301</v>
          </cell>
          <cell r="F206">
            <v>0</v>
          </cell>
        </row>
        <row r="207">
          <cell r="D207">
            <v>3135</v>
          </cell>
          <cell r="F207">
            <v>0</v>
          </cell>
        </row>
        <row r="211">
          <cell r="D211">
            <v>131916</v>
          </cell>
          <cell r="F211">
            <v>0</v>
          </cell>
        </row>
        <row r="212">
          <cell r="D212">
            <v>30330</v>
          </cell>
          <cell r="F212">
            <v>0</v>
          </cell>
        </row>
        <row r="213">
          <cell r="D213">
            <v>8449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1331</v>
          </cell>
          <cell r="F216">
            <v>0</v>
          </cell>
        </row>
        <row r="221">
          <cell r="D221">
            <v>9073870</v>
          </cell>
        </row>
      </sheetData>
      <sheetData sheetId="8"/>
      <sheetData sheetId="9"/>
      <sheetData sheetId="10">
        <row r="9">
          <cell r="C9">
            <v>16820</v>
          </cell>
          <cell r="D9">
            <v>0</v>
          </cell>
          <cell r="E9">
            <v>2862</v>
          </cell>
          <cell r="F9">
            <v>3755</v>
          </cell>
          <cell r="G9">
            <v>0</v>
          </cell>
          <cell r="H9">
            <v>1680</v>
          </cell>
          <cell r="I9">
            <v>3151</v>
          </cell>
          <cell r="J9">
            <v>0</v>
          </cell>
          <cell r="K9">
            <v>1118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0.67091324200913238</v>
          </cell>
        </row>
        <row r="32">
          <cell r="N32">
            <v>0.38401826484018264</v>
          </cell>
        </row>
        <row r="34">
          <cell r="N34">
            <v>0.57238140611175392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3948304.4899999998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1378224.0899999999</v>
          </cell>
          <cell r="G21">
            <v>0</v>
          </cell>
        </row>
        <row r="27">
          <cell r="E27">
            <v>462803.32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268117.31</v>
          </cell>
          <cell r="G37">
            <v>0</v>
          </cell>
        </row>
        <row r="42">
          <cell r="E42">
            <v>406716.75</v>
          </cell>
          <cell r="G42">
            <v>0</v>
          </cell>
        </row>
        <row r="47">
          <cell r="E47">
            <v>25995.510000000002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73748.200000000012</v>
          </cell>
          <cell r="G67">
            <v>-18248.379999999997</v>
          </cell>
        </row>
        <row r="85">
          <cell r="C85">
            <v>240.23529411764707</v>
          </cell>
          <cell r="E85">
            <v>256.61616161616161</v>
          </cell>
          <cell r="G85">
            <v>271.34078212290501</v>
          </cell>
          <cell r="I85">
            <v>259.72249999999997</v>
          </cell>
        </row>
      </sheetData>
      <sheetData sheetId="6"/>
      <sheetData sheetId="7">
        <row r="10">
          <cell r="D10">
            <v>75289.08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230353.41</v>
          </cell>
          <cell r="F12">
            <v>-74207.66</v>
          </cell>
        </row>
        <row r="13">
          <cell r="D13">
            <v>89594.60000000002</v>
          </cell>
          <cell r="F13">
            <v>-22155.5</v>
          </cell>
        </row>
        <row r="14">
          <cell r="D14">
            <v>0</v>
          </cell>
          <cell r="F14">
            <v>0</v>
          </cell>
        </row>
        <row r="15">
          <cell r="D15">
            <v>407820.16000000003</v>
          </cell>
          <cell r="F15">
            <v>-407820.16</v>
          </cell>
        </row>
        <row r="16">
          <cell r="D16">
            <v>0</v>
          </cell>
          <cell r="F16">
            <v>248460</v>
          </cell>
        </row>
        <row r="17">
          <cell r="D17">
            <v>0</v>
          </cell>
          <cell r="F17">
            <v>0</v>
          </cell>
        </row>
        <row r="18">
          <cell r="D18">
            <v>27107.329999999998</v>
          </cell>
          <cell r="F18">
            <v>0</v>
          </cell>
        </row>
        <row r="19">
          <cell r="D19">
            <v>16921.8</v>
          </cell>
          <cell r="F19">
            <v>0</v>
          </cell>
        </row>
        <row r="20">
          <cell r="D20">
            <v>12938.35</v>
          </cell>
          <cell r="F20">
            <v>0</v>
          </cell>
        </row>
        <row r="21">
          <cell r="D21">
            <v>21431.11</v>
          </cell>
          <cell r="F21">
            <v>52600</v>
          </cell>
        </row>
        <row r="22">
          <cell r="D22">
            <v>0</v>
          </cell>
          <cell r="F22">
            <v>0</v>
          </cell>
        </row>
        <row r="23">
          <cell r="D23">
            <v>37326.97</v>
          </cell>
          <cell r="F23">
            <v>19560</v>
          </cell>
        </row>
        <row r="24">
          <cell r="D24">
            <v>35556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337863.46</v>
          </cell>
          <cell r="F26">
            <v>0</v>
          </cell>
        </row>
        <row r="27">
          <cell r="D27">
            <v>0</v>
          </cell>
          <cell r="F27">
            <v>11598.29</v>
          </cell>
        </row>
        <row r="28">
          <cell r="D28">
            <v>0</v>
          </cell>
          <cell r="F28">
            <v>0</v>
          </cell>
        </row>
        <row r="29">
          <cell r="D29">
            <v>131452.46</v>
          </cell>
          <cell r="F29">
            <v>-131452.46</v>
          </cell>
        </row>
        <row r="30">
          <cell r="D30">
            <v>0</v>
          </cell>
          <cell r="F30">
            <v>0</v>
          </cell>
        </row>
        <row r="31">
          <cell r="D31">
            <v>5776.01</v>
          </cell>
          <cell r="F31">
            <v>0</v>
          </cell>
        </row>
        <row r="32">
          <cell r="D32">
            <v>95788.700000000012</v>
          </cell>
          <cell r="F32">
            <v>-18191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1240</v>
          </cell>
        </row>
        <row r="35">
          <cell r="D35">
            <v>500</v>
          </cell>
          <cell r="F35">
            <v>-500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24265.08</v>
          </cell>
          <cell r="F39">
            <v>4522</v>
          </cell>
        </row>
        <row r="40">
          <cell r="D40">
            <v>19252.82</v>
          </cell>
          <cell r="F40">
            <v>-19252.82</v>
          </cell>
        </row>
        <row r="41">
          <cell r="D41">
            <v>18410.259999999998</v>
          </cell>
          <cell r="F41">
            <v>0</v>
          </cell>
        </row>
        <row r="42">
          <cell r="D42">
            <v>0</v>
          </cell>
          <cell r="F42">
            <v>2462</v>
          </cell>
        </row>
        <row r="43">
          <cell r="D43">
            <v>0</v>
          </cell>
          <cell r="F43">
            <v>0</v>
          </cell>
        </row>
        <row r="44">
          <cell r="D44">
            <v>3195</v>
          </cell>
          <cell r="F44">
            <v>0</v>
          </cell>
        </row>
        <row r="45">
          <cell r="D45">
            <v>6404.9900000000007</v>
          </cell>
          <cell r="F45">
            <v>4890</v>
          </cell>
        </row>
        <row r="57">
          <cell r="D57">
            <v>483624.96000000008</v>
          </cell>
          <cell r="F57">
            <v>0</v>
          </cell>
        </row>
        <row r="58">
          <cell r="D58">
            <v>450</v>
          </cell>
          <cell r="F58">
            <v>6469</v>
          </cell>
        </row>
        <row r="59">
          <cell r="D59">
            <v>0</v>
          </cell>
          <cell r="F59">
            <v>0</v>
          </cell>
        </row>
        <row r="60">
          <cell r="D60">
            <v>26544.619999999995</v>
          </cell>
          <cell r="F60">
            <v>1724.2100000000005</v>
          </cell>
        </row>
        <row r="61">
          <cell r="D61">
            <v>10858.65</v>
          </cell>
          <cell r="F61">
            <v>1676</v>
          </cell>
        </row>
        <row r="62">
          <cell r="D62">
            <v>23409.919999999998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15008.28</v>
          </cell>
          <cell r="F67">
            <v>8434.2200000000012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3600.73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70674.03</v>
          </cell>
          <cell r="F75">
            <v>0</v>
          </cell>
        </row>
        <row r="76">
          <cell r="D76">
            <v>16760.120000000003</v>
          </cell>
          <cell r="F76">
            <v>0</v>
          </cell>
        </row>
        <row r="77">
          <cell r="D77">
            <v>27217.179999999997</v>
          </cell>
          <cell r="F77">
            <v>0</v>
          </cell>
        </row>
        <row r="78">
          <cell r="D78">
            <v>72008.06</v>
          </cell>
          <cell r="F78">
            <v>1081</v>
          </cell>
        </row>
        <row r="79">
          <cell r="D79">
            <v>35874.42</v>
          </cell>
          <cell r="F79">
            <v>0</v>
          </cell>
        </row>
        <row r="80">
          <cell r="D80">
            <v>62185.599999999999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25183.65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98476</v>
          </cell>
          <cell r="F84">
            <v>704</v>
          </cell>
        </row>
        <row r="85">
          <cell r="D85">
            <v>836.58999999999992</v>
          </cell>
          <cell r="F85">
            <v>0</v>
          </cell>
        </row>
        <row r="89">
          <cell r="D89">
            <v>249343.16999999998</v>
          </cell>
          <cell r="F89">
            <v>0</v>
          </cell>
        </row>
        <row r="90">
          <cell r="D90">
            <v>87812.540000000008</v>
          </cell>
          <cell r="F90">
            <v>0</v>
          </cell>
        </row>
        <row r="91">
          <cell r="D91">
            <v>2924.2999999999997</v>
          </cell>
          <cell r="F91">
            <v>0</v>
          </cell>
        </row>
        <row r="92">
          <cell r="D92">
            <v>155339.29999999999</v>
          </cell>
          <cell r="F92">
            <v>0</v>
          </cell>
        </row>
        <row r="93">
          <cell r="D93">
            <v>5824.12</v>
          </cell>
          <cell r="F93">
            <v>0</v>
          </cell>
        </row>
        <row r="94">
          <cell r="D94">
            <v>16676.579999999998</v>
          </cell>
          <cell r="F94">
            <v>0</v>
          </cell>
        </row>
        <row r="98">
          <cell r="D98">
            <v>17578.12</v>
          </cell>
          <cell r="F98">
            <v>0</v>
          </cell>
        </row>
        <row r="99">
          <cell r="D99">
            <v>3248.27</v>
          </cell>
          <cell r="F99">
            <v>0</v>
          </cell>
        </row>
        <row r="100">
          <cell r="D100">
            <v>14551.04</v>
          </cell>
          <cell r="F100">
            <v>0</v>
          </cell>
        </row>
        <row r="101">
          <cell r="D101">
            <v>706.56</v>
          </cell>
          <cell r="F101">
            <v>0</v>
          </cell>
        </row>
        <row r="102">
          <cell r="D102">
            <v>5028.93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92311.77</v>
          </cell>
          <cell r="F115">
            <v>0</v>
          </cell>
        </row>
        <row r="116">
          <cell r="D116">
            <v>13722.980000000003</v>
          </cell>
          <cell r="F116">
            <v>0</v>
          </cell>
        </row>
        <row r="117">
          <cell r="D117">
            <v>22203.17</v>
          </cell>
          <cell r="F117">
            <v>0</v>
          </cell>
        </row>
        <row r="118">
          <cell r="D118">
            <v>4325</v>
          </cell>
          <cell r="F118">
            <v>0</v>
          </cell>
        </row>
        <row r="119">
          <cell r="D119">
            <v>932.88</v>
          </cell>
          <cell r="F119">
            <v>0</v>
          </cell>
        </row>
        <row r="124">
          <cell r="D124">
            <v>137251.70000000001</v>
          </cell>
          <cell r="F124">
            <v>0</v>
          </cell>
        </row>
        <row r="125">
          <cell r="D125">
            <v>80039.490000000005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64483.46</v>
          </cell>
          <cell r="F128">
            <v>0</v>
          </cell>
        </row>
        <row r="130">
          <cell r="D130">
            <v>28034.271529766374</v>
          </cell>
          <cell r="F130">
            <v>0</v>
          </cell>
        </row>
        <row r="131">
          <cell r="D131">
            <v>16348.422611625367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18347.29</v>
          </cell>
          <cell r="F134">
            <v>0</v>
          </cell>
        </row>
        <row r="136">
          <cell r="D136">
            <v>359044.97</v>
          </cell>
          <cell r="F136">
            <v>0</v>
          </cell>
        </row>
        <row r="137">
          <cell r="D137">
            <v>427155.62000000005</v>
          </cell>
          <cell r="F137">
            <v>0</v>
          </cell>
        </row>
        <row r="138">
          <cell r="D138">
            <v>494484.61</v>
          </cell>
          <cell r="F138">
            <v>0</v>
          </cell>
        </row>
        <row r="139">
          <cell r="D139">
            <v>145260.6</v>
          </cell>
          <cell r="F139">
            <v>0</v>
          </cell>
        </row>
        <row r="141">
          <cell r="D141">
            <v>73336.535579354007</v>
          </cell>
          <cell r="F141">
            <v>0</v>
          </cell>
        </row>
        <row r="142">
          <cell r="D142">
            <v>87248.439447713274</v>
          </cell>
          <cell r="F142">
            <v>0</v>
          </cell>
        </row>
        <row r="143">
          <cell r="D143">
            <v>101000.68577679279</v>
          </cell>
          <cell r="F143">
            <v>0</v>
          </cell>
        </row>
        <row r="144">
          <cell r="D144">
            <v>29670.125054748187</v>
          </cell>
          <cell r="F144">
            <v>0</v>
          </cell>
        </row>
        <row r="146">
          <cell r="D146">
            <v>38903.15</v>
          </cell>
          <cell r="F146">
            <v>0</v>
          </cell>
        </row>
        <row r="147">
          <cell r="D147">
            <v>33614.390000000014</v>
          </cell>
          <cell r="F147">
            <v>0</v>
          </cell>
        </row>
        <row r="148">
          <cell r="D148">
            <v>2038.460000000021</v>
          </cell>
          <cell r="F148">
            <v>0</v>
          </cell>
        </row>
        <row r="149">
          <cell r="D149">
            <v>27087.910000000033</v>
          </cell>
          <cell r="F149">
            <v>0</v>
          </cell>
        </row>
        <row r="150">
          <cell r="D150">
            <v>20982.97</v>
          </cell>
          <cell r="F150">
            <v>40803</v>
          </cell>
        </row>
        <row r="151">
          <cell r="D151">
            <v>133990.66</v>
          </cell>
          <cell r="F151">
            <v>0</v>
          </cell>
        </row>
        <row r="152">
          <cell r="D152">
            <v>151.88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885.48</v>
          </cell>
          <cell r="F160">
            <v>0</v>
          </cell>
        </row>
        <row r="161">
          <cell r="D161">
            <v>16287.31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247477.94</v>
          </cell>
          <cell r="F177">
            <v>0</v>
          </cell>
        </row>
        <row r="178">
          <cell r="D178">
            <v>68202.2</v>
          </cell>
          <cell r="F178">
            <v>0</v>
          </cell>
        </row>
        <row r="179">
          <cell r="D179">
            <v>48481.94</v>
          </cell>
          <cell r="F179">
            <v>0</v>
          </cell>
        </row>
        <row r="180">
          <cell r="D180">
            <v>13710.18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134822.29999999999</v>
          </cell>
          <cell r="F183">
            <v>0</v>
          </cell>
        </row>
        <row r="184">
          <cell r="D184">
            <v>41132.259999999995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8991.58</v>
          </cell>
          <cell r="F188">
            <v>0</v>
          </cell>
        </row>
        <row r="189">
          <cell r="D189">
            <v>4380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46152.130000000012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12558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50076.79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210163.94000000003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4171.7</v>
          </cell>
          <cell r="F207">
            <v>0</v>
          </cell>
        </row>
        <row r="211">
          <cell r="D211">
            <v>123248.83</v>
          </cell>
          <cell r="F211">
            <v>0</v>
          </cell>
        </row>
        <row r="212">
          <cell r="D212">
            <v>36168.79</v>
          </cell>
          <cell r="F212">
            <v>0</v>
          </cell>
        </row>
        <row r="213">
          <cell r="D213">
            <v>10430.469999999999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33688.1</v>
          </cell>
          <cell r="F216">
            <v>0</v>
          </cell>
        </row>
        <row r="221">
          <cell r="D221">
            <v>6675835.9800000004</v>
          </cell>
        </row>
      </sheetData>
      <sheetData sheetId="8"/>
      <sheetData sheetId="9"/>
      <sheetData sheetId="10">
        <row r="9">
          <cell r="C9">
            <v>14575</v>
          </cell>
          <cell r="D9">
            <v>0</v>
          </cell>
          <cell r="E9">
            <v>2877</v>
          </cell>
          <cell r="F9">
            <v>1275</v>
          </cell>
          <cell r="G9">
            <v>0</v>
          </cell>
          <cell r="H9">
            <v>1047</v>
          </cell>
          <cell r="I9">
            <v>2210</v>
          </cell>
          <cell r="J9">
            <v>105</v>
          </cell>
          <cell r="K9">
            <v>0</v>
          </cell>
        </row>
        <row r="22">
          <cell r="N22">
            <v>100</v>
          </cell>
        </row>
        <row r="24">
          <cell r="N24">
            <v>100</v>
          </cell>
        </row>
        <row r="28">
          <cell r="N28">
            <v>36500</v>
          </cell>
        </row>
        <row r="30">
          <cell r="N30">
            <v>0.60517808219178082</v>
          </cell>
        </row>
        <row r="32">
          <cell r="N32">
            <v>0.39931506849315068</v>
          </cell>
        </row>
        <row r="34">
          <cell r="N34">
            <v>0.65983068495631314</v>
          </cell>
        </row>
      </sheetData>
      <sheetData sheetId="1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 1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1132109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289621</v>
          </cell>
          <cell r="G21">
            <v>0</v>
          </cell>
        </row>
        <row r="27">
          <cell r="E27">
            <v>182136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102522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136950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547</v>
          </cell>
          <cell r="G67">
            <v>0</v>
          </cell>
        </row>
      </sheetData>
      <sheetData sheetId="7"/>
      <sheetData sheetId="8">
        <row r="10">
          <cell r="D10">
            <v>43320</v>
          </cell>
          <cell r="F10">
            <v>2569</v>
          </cell>
        </row>
        <row r="11">
          <cell r="D11">
            <v>0</v>
          </cell>
          <cell r="F11">
            <v>0</v>
          </cell>
        </row>
        <row r="12">
          <cell r="D12">
            <v>39515</v>
          </cell>
          <cell r="F12">
            <v>2396</v>
          </cell>
        </row>
        <row r="13">
          <cell r="D13">
            <v>181471</v>
          </cell>
          <cell r="F13">
            <v>-167720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92858</v>
          </cell>
          <cell r="F16">
            <v>54600</v>
          </cell>
        </row>
        <row r="17">
          <cell r="D17">
            <v>0</v>
          </cell>
          <cell r="F17">
            <v>0</v>
          </cell>
        </row>
        <row r="18">
          <cell r="D18">
            <v>9648</v>
          </cell>
          <cell r="F18">
            <v>0</v>
          </cell>
        </row>
        <row r="19">
          <cell r="D19">
            <v>9358</v>
          </cell>
          <cell r="F19">
            <v>0</v>
          </cell>
        </row>
        <row r="20">
          <cell r="D20">
            <v>4427</v>
          </cell>
          <cell r="F20">
            <v>0</v>
          </cell>
        </row>
        <row r="21">
          <cell r="D21">
            <v>424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1774</v>
          </cell>
          <cell r="F23">
            <v>0</v>
          </cell>
        </row>
        <row r="24">
          <cell r="D24">
            <v>27252</v>
          </cell>
          <cell r="F24">
            <v>-6500</v>
          </cell>
        </row>
        <row r="25">
          <cell r="D25">
            <v>0</v>
          </cell>
          <cell r="F25">
            <v>0</v>
          </cell>
        </row>
        <row r="26">
          <cell r="D26">
            <v>133534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43331</v>
          </cell>
          <cell r="F29">
            <v>-43331</v>
          </cell>
        </row>
        <row r="30">
          <cell r="D30">
            <v>0</v>
          </cell>
          <cell r="F30">
            <v>0</v>
          </cell>
        </row>
        <row r="31">
          <cell r="D31">
            <v>17886</v>
          </cell>
          <cell r="F31">
            <v>0</v>
          </cell>
        </row>
        <row r="32">
          <cell r="D32">
            <v>48800</v>
          </cell>
          <cell r="F32">
            <v>-15706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155</v>
          </cell>
          <cell r="F38">
            <v>-155</v>
          </cell>
        </row>
        <row r="39">
          <cell r="D39">
            <v>2586</v>
          </cell>
          <cell r="F39">
            <v>0</v>
          </cell>
        </row>
        <row r="40">
          <cell r="D40">
            <v>2043</v>
          </cell>
          <cell r="F40">
            <v>0</v>
          </cell>
        </row>
        <row r="41">
          <cell r="D41">
            <v>5426</v>
          </cell>
          <cell r="F41">
            <v>0</v>
          </cell>
        </row>
        <row r="42">
          <cell r="D42">
            <v>733</v>
          </cell>
          <cell r="F42">
            <v>0</v>
          </cell>
        </row>
        <row r="43">
          <cell r="D43">
            <v>4104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666</v>
          </cell>
          <cell r="F45">
            <v>-253</v>
          </cell>
        </row>
        <row r="57">
          <cell r="D57">
            <v>287043</v>
          </cell>
          <cell r="F57">
            <v>-287043</v>
          </cell>
        </row>
        <row r="58">
          <cell r="D58">
            <v>0</v>
          </cell>
          <cell r="F58">
            <v>77337</v>
          </cell>
        </row>
        <row r="59">
          <cell r="D59">
            <v>0</v>
          </cell>
          <cell r="F59">
            <v>0</v>
          </cell>
        </row>
        <row r="60">
          <cell r="D60">
            <v>9338</v>
          </cell>
          <cell r="F60">
            <v>0</v>
          </cell>
        </row>
        <row r="61">
          <cell r="D61">
            <v>3710</v>
          </cell>
          <cell r="F61">
            <v>0</v>
          </cell>
        </row>
        <row r="62">
          <cell r="D62">
            <v>0</v>
          </cell>
          <cell r="F62">
            <v>3729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1681</v>
          </cell>
          <cell r="F65">
            <v>0</v>
          </cell>
        </row>
        <row r="66">
          <cell r="D66">
            <v>2115</v>
          </cell>
          <cell r="F66">
            <v>0</v>
          </cell>
        </row>
        <row r="67">
          <cell r="D67">
            <v>0</v>
          </cell>
          <cell r="F67">
            <v>44083</v>
          </cell>
        </row>
        <row r="68">
          <cell r="D68">
            <v>0</v>
          </cell>
          <cell r="F68">
            <v>0</v>
          </cell>
        </row>
        <row r="69">
          <cell r="D69">
            <v>2135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17440</v>
          </cell>
          <cell r="F75">
            <v>1059</v>
          </cell>
        </row>
        <row r="76">
          <cell r="D76">
            <v>0</v>
          </cell>
          <cell r="F76">
            <v>2939</v>
          </cell>
        </row>
        <row r="77">
          <cell r="D77">
            <v>829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931</v>
          </cell>
          <cell r="F79">
            <v>0</v>
          </cell>
        </row>
        <row r="80">
          <cell r="D80">
            <v>4723</v>
          </cell>
          <cell r="F80">
            <v>0</v>
          </cell>
        </row>
        <row r="81">
          <cell r="D81">
            <v>6502</v>
          </cell>
          <cell r="F81">
            <v>0</v>
          </cell>
        </row>
        <row r="82">
          <cell r="D82">
            <v>1125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41743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64175</v>
          </cell>
          <cell r="F89">
            <v>3896</v>
          </cell>
        </row>
        <row r="90">
          <cell r="D90">
            <v>0</v>
          </cell>
          <cell r="F90">
            <v>10813</v>
          </cell>
        </row>
        <row r="91">
          <cell r="D91">
            <v>653</v>
          </cell>
          <cell r="F91">
            <v>0</v>
          </cell>
        </row>
        <row r="92">
          <cell r="D92">
            <v>49709</v>
          </cell>
          <cell r="F92">
            <v>0</v>
          </cell>
        </row>
        <row r="93">
          <cell r="D93">
            <v>4243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15620</v>
          </cell>
          <cell r="F98">
            <v>948</v>
          </cell>
        </row>
        <row r="99">
          <cell r="D99">
            <v>0</v>
          </cell>
          <cell r="F99">
            <v>2632</v>
          </cell>
        </row>
        <row r="100">
          <cell r="D100">
            <v>5215</v>
          </cell>
          <cell r="F100">
            <v>0</v>
          </cell>
        </row>
        <row r="101">
          <cell r="D101">
            <v>578</v>
          </cell>
          <cell r="F101">
            <v>0</v>
          </cell>
        </row>
        <row r="102">
          <cell r="D102">
            <v>1013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20562</v>
          </cell>
          <cell r="F115">
            <v>1248</v>
          </cell>
        </row>
        <row r="116">
          <cell r="D116">
            <v>0</v>
          </cell>
          <cell r="F116">
            <v>3465</v>
          </cell>
        </row>
        <row r="117">
          <cell r="D117">
            <v>3819</v>
          </cell>
          <cell r="F117">
            <v>0</v>
          </cell>
        </row>
        <row r="118">
          <cell r="D118">
            <v>1730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37738</v>
          </cell>
          <cell r="F125">
            <v>2291</v>
          </cell>
        </row>
        <row r="126">
          <cell r="D126">
            <v>21919</v>
          </cell>
          <cell r="F126">
            <v>1331</v>
          </cell>
        </row>
        <row r="127">
          <cell r="D127">
            <v>0</v>
          </cell>
          <cell r="F127">
            <v>0</v>
          </cell>
        </row>
        <row r="128">
          <cell r="D128">
            <v>11470</v>
          </cell>
          <cell r="F128">
            <v>696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6359</v>
          </cell>
        </row>
        <row r="132">
          <cell r="D132">
            <v>0</v>
          </cell>
          <cell r="F132">
            <v>3693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1932</v>
          </cell>
        </row>
        <row r="136">
          <cell r="D136">
            <v>87878</v>
          </cell>
          <cell r="F136">
            <v>5335</v>
          </cell>
        </row>
        <row r="137">
          <cell r="D137">
            <v>98308</v>
          </cell>
          <cell r="F137">
            <v>5968</v>
          </cell>
        </row>
        <row r="138">
          <cell r="D138">
            <v>195084</v>
          </cell>
          <cell r="F138">
            <v>11842</v>
          </cell>
        </row>
        <row r="139">
          <cell r="D139">
            <v>9147</v>
          </cell>
          <cell r="F139">
            <v>555</v>
          </cell>
        </row>
        <row r="141">
          <cell r="D141">
            <v>0</v>
          </cell>
          <cell r="F141">
            <v>14808</v>
          </cell>
        </row>
        <row r="142">
          <cell r="D142">
            <v>0</v>
          </cell>
          <cell r="F142">
            <v>16565</v>
          </cell>
        </row>
        <row r="143">
          <cell r="D143">
            <v>0</v>
          </cell>
          <cell r="F143">
            <v>32871</v>
          </cell>
        </row>
        <row r="144">
          <cell r="D144">
            <v>0</v>
          </cell>
          <cell r="F144">
            <v>1541</v>
          </cell>
        </row>
        <row r="146">
          <cell r="D146">
            <v>15000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840</v>
          </cell>
          <cell r="F148">
            <v>0</v>
          </cell>
        </row>
        <row r="149">
          <cell r="D149">
            <v>317</v>
          </cell>
          <cell r="F149">
            <v>0</v>
          </cell>
        </row>
        <row r="150">
          <cell r="D150">
            <v>3729</v>
          </cell>
          <cell r="F150">
            <v>0</v>
          </cell>
        </row>
        <row r="151">
          <cell r="D151">
            <v>22172</v>
          </cell>
          <cell r="F151">
            <v>0</v>
          </cell>
        </row>
        <row r="152">
          <cell r="D152">
            <v>543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864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49660</v>
          </cell>
          <cell r="F177">
            <v>3015</v>
          </cell>
        </row>
        <row r="178">
          <cell r="D178">
            <v>0</v>
          </cell>
          <cell r="F178">
            <v>8367</v>
          </cell>
        </row>
        <row r="179">
          <cell r="D179">
            <v>3473</v>
          </cell>
          <cell r="F179">
            <v>211</v>
          </cell>
        </row>
        <row r="180">
          <cell r="D180">
            <v>0</v>
          </cell>
          <cell r="F180">
            <v>585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35364</v>
          </cell>
          <cell r="F183">
            <v>2147</v>
          </cell>
        </row>
        <row r="184">
          <cell r="D184">
            <v>0</v>
          </cell>
          <cell r="F184">
            <v>5959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59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256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3026</v>
          </cell>
          <cell r="F197">
            <v>0</v>
          </cell>
        </row>
        <row r="198">
          <cell r="D198">
            <v>2952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25269</v>
          </cell>
          <cell r="F205">
            <v>0</v>
          </cell>
        </row>
        <row r="206">
          <cell r="D206">
            <v>2219</v>
          </cell>
          <cell r="F206">
            <v>0</v>
          </cell>
        </row>
        <row r="207">
          <cell r="D207">
            <v>2418</v>
          </cell>
          <cell r="F207">
            <v>0</v>
          </cell>
        </row>
        <row r="211">
          <cell r="D211">
            <v>27577</v>
          </cell>
          <cell r="F211">
            <v>1674</v>
          </cell>
        </row>
        <row r="212">
          <cell r="D212">
            <v>0</v>
          </cell>
          <cell r="F212">
            <v>4647</v>
          </cell>
        </row>
        <row r="213">
          <cell r="D213">
            <v>1495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172</v>
          </cell>
          <cell r="F216">
            <v>0</v>
          </cell>
        </row>
        <row r="221">
          <cell r="D221">
            <v>1874892</v>
          </cell>
        </row>
      </sheetData>
      <sheetData sheetId="9"/>
      <sheetData sheetId="10"/>
      <sheetData sheetId="11"/>
      <sheetData sheetId="12">
        <row r="9">
          <cell r="C9">
            <v>6031</v>
          </cell>
          <cell r="D9">
            <v>0</v>
          </cell>
          <cell r="E9">
            <v>463</v>
          </cell>
          <cell r="F9">
            <v>474</v>
          </cell>
          <cell r="G9">
            <v>0</v>
          </cell>
          <cell r="H9">
            <v>523</v>
          </cell>
          <cell r="I9">
            <v>0</v>
          </cell>
          <cell r="J9">
            <v>735</v>
          </cell>
          <cell r="K9">
            <v>0</v>
          </cell>
        </row>
        <row r="22">
          <cell r="N22">
            <v>130</v>
          </cell>
        </row>
        <row r="24">
          <cell r="N24">
            <v>130</v>
          </cell>
        </row>
        <row r="28">
          <cell r="N28">
            <v>19890</v>
          </cell>
        </row>
        <row r="30">
          <cell r="N30">
            <v>0.41357466063348414</v>
          </cell>
        </row>
        <row r="32">
          <cell r="N32">
            <v>0.30321769733534437</v>
          </cell>
        </row>
        <row r="34">
          <cell r="N34">
            <v>0.73316314125942139</v>
          </cell>
        </row>
      </sheetData>
      <sheetData sheetId="1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2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>
        <row r="39">
          <cell r="B39">
            <v>42552</v>
          </cell>
          <cell r="G39">
            <v>42916</v>
          </cell>
        </row>
      </sheetData>
      <sheetData sheetId="3"/>
      <sheetData sheetId="4"/>
      <sheetData sheetId="5"/>
      <sheetData sheetId="6">
        <row r="85">
          <cell r="C85">
            <v>203.75656201749871</v>
          </cell>
          <cell r="E85">
            <v>207.37166666666667</v>
          </cell>
          <cell r="G85">
            <v>217.50879566982408</v>
          </cell>
          <cell r="I85">
            <v>204.90988735919899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1330775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8212184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336005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48209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721</v>
          </cell>
          <cell r="G67">
            <v>0</v>
          </cell>
        </row>
        <row r="85">
          <cell r="C85">
            <v>118.60356347438753</v>
          </cell>
          <cell r="E85">
            <v>118.60382513661202</v>
          </cell>
          <cell r="G85">
            <v>118.60393873085339</v>
          </cell>
          <cell r="I85">
            <v>118.60433604336043</v>
          </cell>
        </row>
      </sheetData>
      <sheetData sheetId="6"/>
      <sheetData sheetId="7">
        <row r="10">
          <cell r="D10">
            <v>118368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209221</v>
          </cell>
          <cell r="F12">
            <v>0</v>
          </cell>
        </row>
        <row r="13">
          <cell r="D13">
            <v>660962</v>
          </cell>
          <cell r="F13">
            <v>-608860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462640</v>
          </cell>
          <cell r="F16">
            <v>-179681</v>
          </cell>
        </row>
        <row r="17">
          <cell r="D17">
            <v>0</v>
          </cell>
          <cell r="F17">
            <v>0</v>
          </cell>
        </row>
        <row r="18">
          <cell r="D18">
            <v>11095</v>
          </cell>
          <cell r="F18">
            <v>0</v>
          </cell>
        </row>
        <row r="19">
          <cell r="D19">
            <v>25951</v>
          </cell>
          <cell r="F19">
            <v>0</v>
          </cell>
        </row>
        <row r="20">
          <cell r="D20">
            <v>42877</v>
          </cell>
          <cell r="F20">
            <v>0</v>
          </cell>
        </row>
        <row r="21">
          <cell r="D21">
            <v>17151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76818</v>
          </cell>
          <cell r="F23">
            <v>0</v>
          </cell>
        </row>
        <row r="24">
          <cell r="D24">
            <v>669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166176</v>
          </cell>
          <cell r="F26">
            <v>0</v>
          </cell>
        </row>
        <row r="27">
          <cell r="D27">
            <v>188</v>
          </cell>
          <cell r="F27">
            <v>-271</v>
          </cell>
        </row>
        <row r="28">
          <cell r="D28">
            <v>0</v>
          </cell>
          <cell r="F28">
            <v>0</v>
          </cell>
        </row>
        <row r="29">
          <cell r="D29">
            <v>48011</v>
          </cell>
          <cell r="F29">
            <v>-48011</v>
          </cell>
        </row>
        <row r="30">
          <cell r="D30">
            <v>0</v>
          </cell>
          <cell r="F30">
            <v>0</v>
          </cell>
        </row>
        <row r="31">
          <cell r="D31">
            <v>82242</v>
          </cell>
          <cell r="F31">
            <v>0</v>
          </cell>
        </row>
        <row r="32">
          <cell r="D32">
            <v>53530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64960</v>
          </cell>
          <cell r="F36">
            <v>0</v>
          </cell>
        </row>
        <row r="37">
          <cell r="D37">
            <v>0</v>
          </cell>
          <cell r="F37">
            <v>10332</v>
          </cell>
        </row>
        <row r="38">
          <cell r="D38">
            <v>0</v>
          </cell>
          <cell r="F38">
            <v>0</v>
          </cell>
        </row>
        <row r="39">
          <cell r="D39">
            <v>3739</v>
          </cell>
          <cell r="F39">
            <v>0</v>
          </cell>
        </row>
        <row r="40">
          <cell r="D40">
            <v>5967</v>
          </cell>
          <cell r="F40">
            <v>0</v>
          </cell>
        </row>
        <row r="41">
          <cell r="D41">
            <v>0</v>
          </cell>
          <cell r="F41">
            <v>0</v>
          </cell>
        </row>
        <row r="42">
          <cell r="D42">
            <v>13028</v>
          </cell>
          <cell r="F42">
            <v>0</v>
          </cell>
        </row>
        <row r="43">
          <cell r="D43">
            <v>10745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15461</v>
          </cell>
          <cell r="F45">
            <v>0</v>
          </cell>
        </row>
        <row r="57">
          <cell r="D57">
            <v>0</v>
          </cell>
          <cell r="F57">
            <v>0</v>
          </cell>
        </row>
        <row r="58">
          <cell r="D58">
            <v>454349</v>
          </cell>
          <cell r="F58">
            <v>0</v>
          </cell>
        </row>
        <row r="59">
          <cell r="D59">
            <v>398364</v>
          </cell>
          <cell r="F59">
            <v>0</v>
          </cell>
        </row>
        <row r="60">
          <cell r="D60">
            <v>74773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2610</v>
          </cell>
          <cell r="F65">
            <v>0</v>
          </cell>
        </row>
        <row r="66">
          <cell r="D66">
            <v>47030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50637</v>
          </cell>
          <cell r="F75">
            <v>0</v>
          </cell>
        </row>
        <row r="76">
          <cell r="D76">
            <v>0</v>
          </cell>
          <cell r="F76">
            <v>8054</v>
          </cell>
        </row>
        <row r="77">
          <cell r="D77">
            <v>41436</v>
          </cell>
          <cell r="F77">
            <v>0</v>
          </cell>
        </row>
        <row r="78">
          <cell r="D78">
            <v>790</v>
          </cell>
          <cell r="F78">
            <v>0</v>
          </cell>
        </row>
        <row r="79">
          <cell r="D79">
            <v>58563</v>
          </cell>
          <cell r="F79">
            <v>0</v>
          </cell>
        </row>
        <row r="80">
          <cell r="D80">
            <v>24148</v>
          </cell>
          <cell r="F80">
            <v>0</v>
          </cell>
        </row>
        <row r="81">
          <cell r="D81">
            <v>5033</v>
          </cell>
          <cell r="F81">
            <v>0</v>
          </cell>
        </row>
        <row r="82">
          <cell r="D82">
            <v>-8650</v>
          </cell>
          <cell r="F82">
            <v>0</v>
          </cell>
        </row>
        <row r="83">
          <cell r="D83">
            <v>9966</v>
          </cell>
          <cell r="F83">
            <v>0</v>
          </cell>
        </row>
        <row r="84">
          <cell r="D84">
            <v>122589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345019</v>
          </cell>
          <cell r="F89">
            <v>0</v>
          </cell>
        </row>
        <row r="90">
          <cell r="D90">
            <v>0</v>
          </cell>
          <cell r="F90">
            <v>54875</v>
          </cell>
        </row>
        <row r="91">
          <cell r="D91">
            <v>10379</v>
          </cell>
          <cell r="F91">
            <v>0</v>
          </cell>
        </row>
        <row r="92">
          <cell r="D92">
            <v>221402</v>
          </cell>
          <cell r="F92">
            <v>-450</v>
          </cell>
        </row>
        <row r="93">
          <cell r="D93">
            <v>28273</v>
          </cell>
          <cell r="F93">
            <v>0</v>
          </cell>
        </row>
        <row r="94">
          <cell r="D94">
            <v>-371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18710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8209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129927</v>
          </cell>
          <cell r="F115">
            <v>0</v>
          </cell>
        </row>
        <row r="116">
          <cell r="D116">
            <v>0</v>
          </cell>
          <cell r="F116">
            <v>20665</v>
          </cell>
        </row>
        <row r="117">
          <cell r="D117">
            <v>22670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-1915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501707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25847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48629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35278</v>
          </cell>
        </row>
        <row r="136">
          <cell r="D136">
            <v>578037</v>
          </cell>
          <cell r="F136">
            <v>0</v>
          </cell>
        </row>
        <row r="137">
          <cell r="D137">
            <v>451704</v>
          </cell>
          <cell r="F137">
            <v>0</v>
          </cell>
        </row>
        <row r="138">
          <cell r="D138">
            <v>932915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91936</v>
          </cell>
        </row>
        <row r="142">
          <cell r="D142">
            <v>0</v>
          </cell>
          <cell r="F142">
            <v>71843</v>
          </cell>
        </row>
        <row r="143">
          <cell r="D143">
            <v>0</v>
          </cell>
          <cell r="F143">
            <v>148379</v>
          </cell>
        </row>
        <row r="144">
          <cell r="D144">
            <v>0</v>
          </cell>
          <cell r="F144">
            <v>0</v>
          </cell>
        </row>
        <row r="146">
          <cell r="D146">
            <v>29917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29215</v>
          </cell>
          <cell r="F150">
            <v>0</v>
          </cell>
        </row>
        <row r="151">
          <cell r="D151">
            <v>252437</v>
          </cell>
          <cell r="F151">
            <v>0</v>
          </cell>
        </row>
        <row r="152">
          <cell r="D152">
            <v>1356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8385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345237</v>
          </cell>
          <cell r="F177">
            <v>0</v>
          </cell>
        </row>
        <row r="178">
          <cell r="D178">
            <v>0</v>
          </cell>
          <cell r="F178">
            <v>54910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306727</v>
          </cell>
          <cell r="F183">
            <v>0</v>
          </cell>
        </row>
        <row r="184">
          <cell r="D184">
            <v>0</v>
          </cell>
          <cell r="F184">
            <v>48785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15062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36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227754</v>
          </cell>
          <cell r="F194">
            <v>0</v>
          </cell>
        </row>
        <row r="195">
          <cell r="D195">
            <v>78141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190108</v>
          </cell>
          <cell r="F197">
            <v>0</v>
          </cell>
        </row>
        <row r="198">
          <cell r="D198">
            <v>166586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390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549268</v>
          </cell>
          <cell r="F205">
            <v>0</v>
          </cell>
        </row>
        <row r="206">
          <cell r="D206">
            <v>23843</v>
          </cell>
          <cell r="F206">
            <v>0</v>
          </cell>
        </row>
        <row r="207">
          <cell r="D207">
            <v>500</v>
          </cell>
          <cell r="F207">
            <v>0</v>
          </cell>
        </row>
        <row r="211">
          <cell r="D211">
            <v>95404</v>
          </cell>
          <cell r="F211">
            <v>0</v>
          </cell>
        </row>
        <row r="212">
          <cell r="D212">
            <v>0</v>
          </cell>
          <cell r="F212">
            <v>15174</v>
          </cell>
        </row>
        <row r="213">
          <cell r="D213">
            <v>14841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6612</v>
          </cell>
          <cell r="F216">
            <v>0</v>
          </cell>
        </row>
        <row r="221">
          <cell r="D221">
            <v>8985769</v>
          </cell>
        </row>
      </sheetData>
      <sheetData sheetId="8"/>
      <sheetData sheetId="9"/>
      <sheetData sheetId="10">
        <row r="9">
          <cell r="C9">
            <v>7305</v>
          </cell>
          <cell r="D9">
            <v>0</v>
          </cell>
          <cell r="E9">
            <v>14037</v>
          </cell>
          <cell r="F9">
            <v>0</v>
          </cell>
          <cell r="G9">
            <v>0</v>
          </cell>
          <cell r="H9">
            <v>2833</v>
          </cell>
          <cell r="I9">
            <v>0</v>
          </cell>
          <cell r="J9">
            <v>221</v>
          </cell>
          <cell r="K9">
            <v>0</v>
          </cell>
        </row>
        <row r="22">
          <cell r="N22">
            <v>119</v>
          </cell>
        </row>
        <row r="24">
          <cell r="N24">
            <v>119</v>
          </cell>
        </row>
        <row r="28">
          <cell r="N28">
            <v>43435</v>
          </cell>
        </row>
        <row r="30">
          <cell r="N30">
            <v>0.56166685852423159</v>
          </cell>
        </row>
        <row r="32">
          <cell r="N32">
            <v>0.16818234142972258</v>
          </cell>
        </row>
        <row r="34">
          <cell r="N34">
            <v>0.29943433349729465</v>
          </cell>
        </row>
      </sheetData>
      <sheetData sheetId="1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193072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3694970</v>
          </cell>
          <cell r="G21">
            <v>0</v>
          </cell>
        </row>
        <row r="27">
          <cell r="E27">
            <v>1197297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646376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27708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335</v>
          </cell>
          <cell r="G67">
            <v>0</v>
          </cell>
        </row>
        <row r="85">
          <cell r="C85">
            <v>289.9121756487026</v>
          </cell>
          <cell r="E85">
            <v>295.16173570019726</v>
          </cell>
          <cell r="G85">
            <v>284.7072</v>
          </cell>
          <cell r="I85">
            <v>293.63959390862942</v>
          </cell>
        </row>
      </sheetData>
      <sheetData sheetId="6"/>
      <sheetData sheetId="7">
        <row r="10">
          <cell r="D10">
            <v>103608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162776</v>
          </cell>
          <cell r="F12">
            <v>0</v>
          </cell>
        </row>
        <row r="13">
          <cell r="D13">
            <v>507431</v>
          </cell>
          <cell r="F13">
            <v>-458706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232120</v>
          </cell>
          <cell r="F16">
            <v>-40556</v>
          </cell>
        </row>
        <row r="17">
          <cell r="D17">
            <v>0</v>
          </cell>
          <cell r="F17">
            <v>0</v>
          </cell>
        </row>
        <row r="18">
          <cell r="D18">
            <v>5876</v>
          </cell>
          <cell r="F18">
            <v>0</v>
          </cell>
        </row>
        <row r="19">
          <cell r="D19">
            <v>17885</v>
          </cell>
          <cell r="F19">
            <v>0</v>
          </cell>
        </row>
        <row r="20">
          <cell r="D20">
            <v>20740</v>
          </cell>
          <cell r="F20">
            <v>0</v>
          </cell>
        </row>
        <row r="21">
          <cell r="D21">
            <v>13121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43141</v>
          </cell>
          <cell r="F23">
            <v>0</v>
          </cell>
        </row>
        <row r="24">
          <cell r="D24">
            <v>2056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62140</v>
          </cell>
          <cell r="F26">
            <v>0</v>
          </cell>
        </row>
        <row r="27">
          <cell r="D27">
            <v>0</v>
          </cell>
          <cell r="F27">
            <v>-75</v>
          </cell>
        </row>
        <row r="28">
          <cell r="D28">
            <v>0</v>
          </cell>
          <cell r="F28">
            <v>0</v>
          </cell>
        </row>
        <row r="29">
          <cell r="D29">
            <v>-55809</v>
          </cell>
          <cell r="F29">
            <v>55809</v>
          </cell>
        </row>
        <row r="30">
          <cell r="D30">
            <v>0</v>
          </cell>
          <cell r="F30">
            <v>0</v>
          </cell>
        </row>
        <row r="31">
          <cell r="D31">
            <v>50099</v>
          </cell>
          <cell r="F31">
            <v>0</v>
          </cell>
        </row>
        <row r="32">
          <cell r="D32">
            <v>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75522</v>
          </cell>
          <cell r="F36">
            <v>0</v>
          </cell>
        </row>
        <row r="37">
          <cell r="D37">
            <v>0</v>
          </cell>
          <cell r="F37">
            <v>13814</v>
          </cell>
        </row>
        <row r="38">
          <cell r="D38">
            <v>0</v>
          </cell>
          <cell r="F38">
            <v>0</v>
          </cell>
        </row>
        <row r="39">
          <cell r="D39">
            <v>6313</v>
          </cell>
          <cell r="F39">
            <v>0</v>
          </cell>
        </row>
        <row r="40">
          <cell r="D40">
            <v>6501</v>
          </cell>
          <cell r="F40">
            <v>0</v>
          </cell>
        </row>
        <row r="41">
          <cell r="D41">
            <v>0</v>
          </cell>
          <cell r="F41">
            <v>0</v>
          </cell>
        </row>
        <row r="42">
          <cell r="D42">
            <v>2097</v>
          </cell>
          <cell r="F42">
            <v>0</v>
          </cell>
        </row>
        <row r="43">
          <cell r="D43">
            <v>11087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13808</v>
          </cell>
          <cell r="F45">
            <v>305</v>
          </cell>
        </row>
        <row r="57">
          <cell r="D57">
            <v>0</v>
          </cell>
          <cell r="F57">
            <v>0</v>
          </cell>
        </row>
        <row r="58">
          <cell r="D58">
            <v>373385</v>
          </cell>
          <cell r="F58">
            <v>0</v>
          </cell>
        </row>
        <row r="59">
          <cell r="D59">
            <v>339286</v>
          </cell>
          <cell r="F59">
            <v>0</v>
          </cell>
        </row>
        <row r="60">
          <cell r="D60">
            <v>76608</v>
          </cell>
          <cell r="F60">
            <v>0</v>
          </cell>
        </row>
        <row r="61">
          <cell r="D61">
            <v>30851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1512</v>
          </cell>
          <cell r="F65">
            <v>0</v>
          </cell>
        </row>
        <row r="66">
          <cell r="D66">
            <v>32665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1449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42554</v>
          </cell>
          <cell r="F75">
            <v>0</v>
          </cell>
        </row>
        <row r="76">
          <cell r="D76">
            <v>0</v>
          </cell>
          <cell r="F76">
            <v>7784</v>
          </cell>
        </row>
        <row r="77">
          <cell r="D77">
            <v>3710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11677</v>
          </cell>
          <cell r="F79">
            <v>0</v>
          </cell>
        </row>
        <row r="80">
          <cell r="D80">
            <v>11213</v>
          </cell>
          <cell r="F80">
            <v>0</v>
          </cell>
        </row>
        <row r="81">
          <cell r="D81">
            <v>13204</v>
          </cell>
          <cell r="F81">
            <v>0</v>
          </cell>
        </row>
        <row r="82">
          <cell r="D82">
            <v>1975</v>
          </cell>
          <cell r="F82">
            <v>0</v>
          </cell>
        </row>
        <row r="83">
          <cell r="D83">
            <v>8054</v>
          </cell>
          <cell r="F83">
            <v>0</v>
          </cell>
        </row>
        <row r="84">
          <cell r="D84">
            <v>84457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230288</v>
          </cell>
          <cell r="F89">
            <v>0</v>
          </cell>
        </row>
        <row r="90">
          <cell r="D90">
            <v>0</v>
          </cell>
          <cell r="F90">
            <v>42122</v>
          </cell>
        </row>
        <row r="91">
          <cell r="D91">
            <v>20553</v>
          </cell>
          <cell r="F91">
            <v>0</v>
          </cell>
        </row>
        <row r="92">
          <cell r="D92">
            <v>97168</v>
          </cell>
          <cell r="F92">
            <v>-565</v>
          </cell>
        </row>
        <row r="93">
          <cell r="D93">
            <v>11271</v>
          </cell>
          <cell r="F93">
            <v>0</v>
          </cell>
        </row>
        <row r="94">
          <cell r="D94">
            <v>2033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7907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1311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96897</v>
          </cell>
          <cell r="F115">
            <v>0</v>
          </cell>
        </row>
        <row r="116">
          <cell r="D116">
            <v>0</v>
          </cell>
          <cell r="F116">
            <v>17724</v>
          </cell>
        </row>
        <row r="117">
          <cell r="D117">
            <v>16194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89361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292836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35448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34460</v>
          </cell>
        </row>
        <row r="136">
          <cell r="D136">
            <v>396852</v>
          </cell>
          <cell r="F136">
            <v>0</v>
          </cell>
        </row>
        <row r="137">
          <cell r="D137">
            <v>231349</v>
          </cell>
          <cell r="F137">
            <v>0</v>
          </cell>
        </row>
        <row r="138">
          <cell r="D138">
            <v>515738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72589</v>
          </cell>
        </row>
        <row r="142">
          <cell r="D142">
            <v>0</v>
          </cell>
          <cell r="F142">
            <v>42316</v>
          </cell>
        </row>
        <row r="143">
          <cell r="D143">
            <v>0</v>
          </cell>
          <cell r="F143">
            <v>94335</v>
          </cell>
        </row>
        <row r="144">
          <cell r="D144">
            <v>0</v>
          </cell>
          <cell r="F144">
            <v>0</v>
          </cell>
        </row>
        <row r="146">
          <cell r="D146">
            <v>38750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10046</v>
          </cell>
          <cell r="F150">
            <v>0</v>
          </cell>
        </row>
        <row r="151">
          <cell r="D151">
            <v>150533</v>
          </cell>
          <cell r="F151">
            <v>0</v>
          </cell>
        </row>
        <row r="152">
          <cell r="D152">
            <v>1718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169020</v>
          </cell>
          <cell r="F177">
            <v>0</v>
          </cell>
        </row>
        <row r="178">
          <cell r="D178">
            <v>0</v>
          </cell>
          <cell r="F178">
            <v>30916</v>
          </cell>
        </row>
        <row r="179">
          <cell r="D179">
            <v>93150</v>
          </cell>
          <cell r="F179">
            <v>0</v>
          </cell>
        </row>
        <row r="180">
          <cell r="D180">
            <v>0</v>
          </cell>
          <cell r="F180">
            <v>17038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175344</v>
          </cell>
          <cell r="F183">
            <v>0</v>
          </cell>
        </row>
        <row r="184">
          <cell r="D184">
            <v>0</v>
          </cell>
          <cell r="F184">
            <v>32072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6043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219595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198683</v>
          </cell>
          <cell r="F197">
            <v>0</v>
          </cell>
        </row>
        <row r="198">
          <cell r="D198">
            <v>117594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348839</v>
          </cell>
          <cell r="F205">
            <v>0</v>
          </cell>
        </row>
        <row r="206">
          <cell r="D206">
            <v>9339</v>
          </cell>
          <cell r="F206">
            <v>0</v>
          </cell>
        </row>
        <row r="207">
          <cell r="D207">
            <v>7271</v>
          </cell>
          <cell r="F207">
            <v>0</v>
          </cell>
        </row>
        <row r="211">
          <cell r="D211">
            <v>98890</v>
          </cell>
          <cell r="F211">
            <v>0</v>
          </cell>
        </row>
        <row r="212">
          <cell r="D212">
            <v>0</v>
          </cell>
          <cell r="F212">
            <v>18088</v>
          </cell>
        </row>
        <row r="213">
          <cell r="D213">
            <v>8346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2840</v>
          </cell>
          <cell r="F216">
            <v>0</v>
          </cell>
        </row>
        <row r="221">
          <cell r="D221">
            <v>5978871</v>
          </cell>
        </row>
      </sheetData>
      <sheetData sheetId="8"/>
      <sheetData sheetId="9"/>
      <sheetData sheetId="10">
        <row r="9">
          <cell r="C9">
            <v>958</v>
          </cell>
          <cell r="D9">
            <v>0</v>
          </cell>
          <cell r="E9">
            <v>7187</v>
          </cell>
          <cell r="F9">
            <v>3117</v>
          </cell>
          <cell r="G9">
            <v>0</v>
          </cell>
          <cell r="H9">
            <v>2224</v>
          </cell>
          <cell r="I9">
            <v>0</v>
          </cell>
          <cell r="J9">
            <v>124</v>
          </cell>
          <cell r="K9">
            <v>0</v>
          </cell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18980</v>
          </cell>
        </row>
        <row r="30">
          <cell r="N30">
            <v>0.71707060063224448</v>
          </cell>
        </row>
        <row r="32">
          <cell r="N32">
            <v>5.0474183350895679E-2</v>
          </cell>
        </row>
        <row r="34">
          <cell r="N34">
            <v>7.0389419544452603E-2</v>
          </cell>
        </row>
      </sheetData>
      <sheetData sheetId="1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5765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3508073</v>
          </cell>
          <cell r="G21">
            <v>0</v>
          </cell>
        </row>
        <row r="27">
          <cell r="E27">
            <v>991843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297128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1670</v>
          </cell>
          <cell r="G67">
            <v>0</v>
          </cell>
        </row>
        <row r="85">
          <cell r="C85">
            <v>256.01351351351349</v>
          </cell>
          <cell r="E85">
            <v>256.87796610169494</v>
          </cell>
          <cell r="G85">
            <v>256.87796610169494</v>
          </cell>
          <cell r="I85">
            <v>256.87796610169494</v>
          </cell>
        </row>
      </sheetData>
      <sheetData sheetId="6"/>
      <sheetData sheetId="7">
        <row r="10">
          <cell r="D10">
            <v>116048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144917</v>
          </cell>
          <cell r="F12">
            <v>0</v>
          </cell>
        </row>
        <row r="13">
          <cell r="D13">
            <v>394819</v>
          </cell>
          <cell r="F13">
            <v>-347264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0</v>
          </cell>
          <cell r="F16">
            <v>157137</v>
          </cell>
        </row>
        <row r="17">
          <cell r="D17">
            <v>0</v>
          </cell>
          <cell r="F17">
            <v>0</v>
          </cell>
        </row>
        <row r="18">
          <cell r="D18">
            <v>12302</v>
          </cell>
          <cell r="F18">
            <v>0</v>
          </cell>
        </row>
        <row r="19">
          <cell r="D19">
            <v>8888</v>
          </cell>
          <cell r="F19">
            <v>0</v>
          </cell>
        </row>
        <row r="20">
          <cell r="D20">
            <v>12652</v>
          </cell>
          <cell r="F20">
            <v>0</v>
          </cell>
        </row>
        <row r="21">
          <cell r="D21">
            <v>10841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37645</v>
          </cell>
          <cell r="F23">
            <v>0</v>
          </cell>
        </row>
        <row r="24">
          <cell r="D24">
            <v>3239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7571</v>
          </cell>
          <cell r="F26">
            <v>0</v>
          </cell>
        </row>
        <row r="27">
          <cell r="D27">
            <v>0</v>
          </cell>
          <cell r="F27">
            <v>-689</v>
          </cell>
        </row>
        <row r="28">
          <cell r="D28">
            <v>0</v>
          </cell>
          <cell r="F28">
            <v>0</v>
          </cell>
        </row>
        <row r="29">
          <cell r="D29">
            <v>463</v>
          </cell>
          <cell r="F29">
            <v>-463</v>
          </cell>
        </row>
        <row r="30">
          <cell r="D30">
            <v>0</v>
          </cell>
          <cell r="F30">
            <v>0</v>
          </cell>
        </row>
        <row r="31">
          <cell r="D31">
            <v>34312</v>
          </cell>
          <cell r="F31">
            <v>0</v>
          </cell>
        </row>
        <row r="32">
          <cell r="D32">
            <v>21903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45953</v>
          </cell>
          <cell r="F36">
            <v>0</v>
          </cell>
        </row>
        <row r="37">
          <cell r="D37">
            <v>0</v>
          </cell>
          <cell r="F37">
            <v>8374</v>
          </cell>
        </row>
        <row r="38">
          <cell r="D38">
            <v>0</v>
          </cell>
          <cell r="F38">
            <v>0</v>
          </cell>
        </row>
        <row r="39">
          <cell r="D39">
            <v>5083</v>
          </cell>
          <cell r="F39">
            <v>0</v>
          </cell>
        </row>
        <row r="40">
          <cell r="D40">
            <v>10975</v>
          </cell>
          <cell r="F40">
            <v>0</v>
          </cell>
        </row>
        <row r="41">
          <cell r="D41">
            <v>5066</v>
          </cell>
          <cell r="F41">
            <v>0</v>
          </cell>
        </row>
        <row r="42">
          <cell r="D42">
            <v>4415</v>
          </cell>
          <cell r="F42">
            <v>0</v>
          </cell>
        </row>
        <row r="43">
          <cell r="D43">
            <v>7110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14800</v>
          </cell>
          <cell r="F45">
            <v>941</v>
          </cell>
        </row>
        <row r="57">
          <cell r="D57">
            <v>0</v>
          </cell>
          <cell r="F57">
            <v>0</v>
          </cell>
        </row>
        <row r="58">
          <cell r="D58">
            <v>235335</v>
          </cell>
          <cell r="F58">
            <v>0</v>
          </cell>
        </row>
        <row r="59">
          <cell r="D59">
            <v>268813</v>
          </cell>
          <cell r="F59">
            <v>0</v>
          </cell>
        </row>
        <row r="60">
          <cell r="D60">
            <v>43526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1482</v>
          </cell>
          <cell r="F65">
            <v>0</v>
          </cell>
        </row>
        <row r="66">
          <cell r="D66">
            <v>24549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42148</v>
          </cell>
          <cell r="F75">
            <v>0</v>
          </cell>
        </row>
        <row r="76">
          <cell r="D76">
            <v>0</v>
          </cell>
          <cell r="F76">
            <v>7681</v>
          </cell>
        </row>
        <row r="77">
          <cell r="D77">
            <v>7219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4592</v>
          </cell>
          <cell r="F79">
            <v>0</v>
          </cell>
        </row>
        <row r="80">
          <cell r="D80">
            <v>27320</v>
          </cell>
          <cell r="F80">
            <v>0</v>
          </cell>
        </row>
        <row r="81">
          <cell r="D81">
            <v>11285</v>
          </cell>
          <cell r="F81">
            <v>0</v>
          </cell>
        </row>
        <row r="82">
          <cell r="D82">
            <v>6690</v>
          </cell>
          <cell r="F82">
            <v>0</v>
          </cell>
        </row>
        <row r="83">
          <cell r="D83">
            <v>8831</v>
          </cell>
          <cell r="F83">
            <v>0</v>
          </cell>
        </row>
        <row r="84">
          <cell r="D84">
            <v>61910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175626</v>
          </cell>
          <cell r="F89">
            <v>0</v>
          </cell>
        </row>
        <row r="90">
          <cell r="D90">
            <v>0</v>
          </cell>
          <cell r="F90">
            <v>32004</v>
          </cell>
        </row>
        <row r="91">
          <cell r="D91">
            <v>6781</v>
          </cell>
          <cell r="F91">
            <v>0</v>
          </cell>
        </row>
        <row r="92">
          <cell r="D92">
            <v>83593</v>
          </cell>
          <cell r="F92">
            <v>-1922</v>
          </cell>
        </row>
        <row r="93">
          <cell r="D93">
            <v>8096</v>
          </cell>
          <cell r="F93">
            <v>0</v>
          </cell>
        </row>
        <row r="94">
          <cell r="D94">
            <v>1433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7624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20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74795</v>
          </cell>
          <cell r="F115">
            <v>0</v>
          </cell>
        </row>
        <row r="116">
          <cell r="D116">
            <v>0</v>
          </cell>
          <cell r="F116">
            <v>13630</v>
          </cell>
        </row>
        <row r="117">
          <cell r="D117">
            <v>12760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342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148963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125592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27145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22887</v>
          </cell>
        </row>
        <row r="136">
          <cell r="D136">
            <v>283862</v>
          </cell>
          <cell r="F136">
            <v>0</v>
          </cell>
        </row>
        <row r="137">
          <cell r="D137">
            <v>171333</v>
          </cell>
          <cell r="F137">
            <v>0</v>
          </cell>
        </row>
        <row r="138">
          <cell r="D138">
            <v>380345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51728</v>
          </cell>
        </row>
        <row r="142">
          <cell r="D142">
            <v>0</v>
          </cell>
          <cell r="F142">
            <v>31222</v>
          </cell>
        </row>
        <row r="143">
          <cell r="D143">
            <v>0</v>
          </cell>
          <cell r="F143">
            <v>69310</v>
          </cell>
        </row>
        <row r="144">
          <cell r="D144">
            <v>0</v>
          </cell>
          <cell r="F144">
            <v>0</v>
          </cell>
        </row>
        <row r="146">
          <cell r="D146">
            <v>50200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9993</v>
          </cell>
          <cell r="F150">
            <v>0</v>
          </cell>
        </row>
        <row r="151">
          <cell r="D151">
            <v>87768</v>
          </cell>
          <cell r="F151">
            <v>0</v>
          </cell>
        </row>
        <row r="152">
          <cell r="D152">
            <v>1551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229905</v>
          </cell>
          <cell r="F177">
            <v>0</v>
          </cell>
        </row>
        <row r="178">
          <cell r="D178">
            <v>0</v>
          </cell>
          <cell r="F178">
            <v>41895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136761</v>
          </cell>
          <cell r="F183">
            <v>0</v>
          </cell>
        </row>
        <row r="184">
          <cell r="D184">
            <v>0</v>
          </cell>
          <cell r="F184">
            <v>24922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2058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183568</v>
          </cell>
          <cell r="F194">
            <v>0</v>
          </cell>
        </row>
        <row r="195">
          <cell r="D195">
            <v>21798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136946</v>
          </cell>
          <cell r="F197">
            <v>0</v>
          </cell>
        </row>
        <row r="198">
          <cell r="D198">
            <v>63257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304336</v>
          </cell>
          <cell r="F205">
            <v>0</v>
          </cell>
        </row>
        <row r="206">
          <cell r="D206">
            <v>11781</v>
          </cell>
          <cell r="F206">
            <v>0</v>
          </cell>
        </row>
        <row r="207">
          <cell r="D207">
            <v>53</v>
          </cell>
          <cell r="F207">
            <v>0</v>
          </cell>
        </row>
        <row r="211">
          <cell r="D211">
            <v>90359</v>
          </cell>
          <cell r="F211">
            <v>0</v>
          </cell>
        </row>
        <row r="212">
          <cell r="D212">
            <v>0</v>
          </cell>
          <cell r="F212">
            <v>16466</v>
          </cell>
        </row>
        <row r="213">
          <cell r="D213">
            <v>4130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5077</v>
          </cell>
          <cell r="F216">
            <v>0</v>
          </cell>
        </row>
        <row r="221">
          <cell r="D221">
            <v>4463408</v>
          </cell>
        </row>
      </sheetData>
      <sheetData sheetId="8"/>
      <sheetData sheetId="9"/>
      <sheetData sheetId="10">
        <row r="9">
          <cell r="C9">
            <v>35</v>
          </cell>
          <cell r="D9">
            <v>0</v>
          </cell>
          <cell r="E9">
            <v>5964</v>
          </cell>
          <cell r="F9">
            <v>2427</v>
          </cell>
          <cell r="G9">
            <v>0</v>
          </cell>
          <cell r="H9">
            <v>1181</v>
          </cell>
          <cell r="I9">
            <v>0</v>
          </cell>
          <cell r="J9">
            <v>0</v>
          </cell>
          <cell r="K9">
            <v>0</v>
          </cell>
        </row>
        <row r="22">
          <cell r="N22">
            <v>36</v>
          </cell>
        </row>
        <row r="24">
          <cell r="N24">
            <v>0</v>
          </cell>
        </row>
        <row r="28">
          <cell r="N28">
            <v>13140</v>
          </cell>
        </row>
        <row r="30">
          <cell r="N30">
            <v>0.7311263318112633</v>
          </cell>
        </row>
        <row r="32">
          <cell r="N32">
            <v>2.6636225266362251E-3</v>
          </cell>
        </row>
        <row r="34">
          <cell r="N34">
            <v>3.6431768502133859E-3</v>
          </cell>
        </row>
      </sheetData>
      <sheetData sheetId="1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361315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2483700</v>
          </cell>
          <cell r="G21">
            <v>0</v>
          </cell>
        </row>
        <row r="27">
          <cell r="E27">
            <v>223887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103773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5740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1969</v>
          </cell>
          <cell r="G67">
            <v>0</v>
          </cell>
        </row>
        <row r="85">
          <cell r="C85">
            <v>210.85567010309279</v>
          </cell>
          <cell r="E85">
            <v>208.97872340425531</v>
          </cell>
          <cell r="G85">
            <v>223.23500000000001</v>
          </cell>
          <cell r="I85">
            <v>210.5912408759124</v>
          </cell>
        </row>
      </sheetData>
      <sheetData sheetId="6"/>
      <sheetData sheetId="7">
        <row r="10">
          <cell r="D10">
            <v>92695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54911</v>
          </cell>
          <cell r="F12">
            <v>0</v>
          </cell>
        </row>
        <row r="13">
          <cell r="D13">
            <v>248941</v>
          </cell>
          <cell r="F13">
            <v>-218760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92015</v>
          </cell>
          <cell r="F16">
            <v>8925</v>
          </cell>
        </row>
        <row r="17">
          <cell r="D17">
            <v>0</v>
          </cell>
          <cell r="F17">
            <v>0</v>
          </cell>
        </row>
        <row r="18">
          <cell r="D18">
            <v>2472</v>
          </cell>
          <cell r="F18">
            <v>0</v>
          </cell>
        </row>
        <row r="19">
          <cell r="D19">
            <v>4228</v>
          </cell>
          <cell r="F19">
            <v>0</v>
          </cell>
        </row>
        <row r="20">
          <cell r="D20">
            <v>4698</v>
          </cell>
          <cell r="F20">
            <v>0</v>
          </cell>
        </row>
        <row r="21">
          <cell r="D21">
            <v>8458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17711</v>
          </cell>
          <cell r="F23">
            <v>0</v>
          </cell>
        </row>
        <row r="24">
          <cell r="D24">
            <v>3042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46643</v>
          </cell>
          <cell r="F26">
            <v>0</v>
          </cell>
        </row>
        <row r="27">
          <cell r="D27">
            <v>0</v>
          </cell>
          <cell r="F27">
            <v>-170</v>
          </cell>
        </row>
        <row r="28">
          <cell r="D28">
            <v>0</v>
          </cell>
          <cell r="F28">
            <v>0</v>
          </cell>
        </row>
        <row r="29">
          <cell r="D29">
            <v>-2462</v>
          </cell>
          <cell r="F29">
            <v>2462</v>
          </cell>
        </row>
        <row r="30">
          <cell r="D30">
            <v>0</v>
          </cell>
          <cell r="F30">
            <v>0</v>
          </cell>
        </row>
        <row r="31">
          <cell r="D31">
            <v>24109</v>
          </cell>
          <cell r="F31">
            <v>0</v>
          </cell>
        </row>
        <row r="32">
          <cell r="D32">
            <v>18111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8879</v>
          </cell>
          <cell r="F36">
            <v>0</v>
          </cell>
        </row>
        <row r="37">
          <cell r="D37">
            <v>0</v>
          </cell>
          <cell r="F37">
            <v>1815</v>
          </cell>
        </row>
        <row r="38">
          <cell r="D38">
            <v>0</v>
          </cell>
          <cell r="F38">
            <v>0</v>
          </cell>
        </row>
        <row r="39">
          <cell r="D39">
            <v>561</v>
          </cell>
          <cell r="F39">
            <v>0</v>
          </cell>
        </row>
        <row r="40">
          <cell r="D40">
            <v>5370</v>
          </cell>
          <cell r="F40">
            <v>0</v>
          </cell>
        </row>
        <row r="41">
          <cell r="D41">
            <v>0</v>
          </cell>
          <cell r="F41">
            <v>0</v>
          </cell>
        </row>
        <row r="42">
          <cell r="D42">
            <v>1148</v>
          </cell>
          <cell r="F42">
            <v>0</v>
          </cell>
        </row>
        <row r="43">
          <cell r="D43">
            <v>5560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14295</v>
          </cell>
          <cell r="F45">
            <v>0</v>
          </cell>
        </row>
        <row r="57">
          <cell r="D57">
            <v>0</v>
          </cell>
          <cell r="F57">
            <v>0</v>
          </cell>
        </row>
        <row r="58">
          <cell r="D58">
            <v>174504</v>
          </cell>
          <cell r="F58">
            <v>0</v>
          </cell>
        </row>
        <row r="59">
          <cell r="D59">
            <v>107625</v>
          </cell>
          <cell r="F59">
            <v>0</v>
          </cell>
        </row>
        <row r="60">
          <cell r="D60">
            <v>45088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2060</v>
          </cell>
          <cell r="F65">
            <v>0</v>
          </cell>
        </row>
        <row r="66">
          <cell r="D66">
            <v>31694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2135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26833</v>
          </cell>
          <cell r="F75">
            <v>0</v>
          </cell>
        </row>
        <row r="76">
          <cell r="D76">
            <v>0</v>
          </cell>
          <cell r="F76">
            <v>5486</v>
          </cell>
        </row>
        <row r="77">
          <cell r="D77">
            <v>2909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6768</v>
          </cell>
          <cell r="F79">
            <v>0</v>
          </cell>
        </row>
        <row r="80">
          <cell r="D80">
            <v>14169</v>
          </cell>
          <cell r="F80">
            <v>0</v>
          </cell>
        </row>
        <row r="81">
          <cell r="D81">
            <v>1102</v>
          </cell>
          <cell r="F81">
            <v>0</v>
          </cell>
        </row>
        <row r="82">
          <cell r="D82">
            <v>361</v>
          </cell>
          <cell r="F82">
            <v>0</v>
          </cell>
        </row>
        <row r="83">
          <cell r="D83">
            <v>7441</v>
          </cell>
          <cell r="F83">
            <v>0</v>
          </cell>
        </row>
        <row r="84">
          <cell r="D84">
            <v>44636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133479</v>
          </cell>
          <cell r="F89">
            <v>0</v>
          </cell>
        </row>
        <row r="90">
          <cell r="D90">
            <v>0</v>
          </cell>
          <cell r="F90">
            <v>27292</v>
          </cell>
        </row>
        <row r="91">
          <cell r="D91">
            <v>7230</v>
          </cell>
          <cell r="F91">
            <v>0</v>
          </cell>
        </row>
        <row r="92">
          <cell r="D92">
            <v>71025</v>
          </cell>
          <cell r="F92">
            <v>-1799</v>
          </cell>
        </row>
        <row r="93">
          <cell r="D93">
            <v>12507</v>
          </cell>
          <cell r="F93">
            <v>0</v>
          </cell>
        </row>
        <row r="94">
          <cell r="D94">
            <v>1798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2318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1815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60776</v>
          </cell>
          <cell r="F115">
            <v>0</v>
          </cell>
        </row>
        <row r="116">
          <cell r="D116">
            <v>0</v>
          </cell>
          <cell r="F116">
            <v>12427</v>
          </cell>
        </row>
        <row r="117">
          <cell r="D117">
            <v>11509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72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141081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0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28846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0</v>
          </cell>
        </row>
        <row r="136">
          <cell r="D136">
            <v>274908</v>
          </cell>
          <cell r="F136">
            <v>0</v>
          </cell>
        </row>
        <row r="137">
          <cell r="D137">
            <v>116754</v>
          </cell>
          <cell r="F137">
            <v>0</v>
          </cell>
        </row>
        <row r="138">
          <cell r="D138">
            <v>249632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56210</v>
          </cell>
        </row>
        <row r="142">
          <cell r="D142">
            <v>0</v>
          </cell>
          <cell r="F142">
            <v>23872</v>
          </cell>
        </row>
        <row r="143">
          <cell r="D143">
            <v>0</v>
          </cell>
          <cell r="F143">
            <v>51042</v>
          </cell>
        </row>
        <row r="144">
          <cell r="D144">
            <v>0</v>
          </cell>
          <cell r="F144">
            <v>0</v>
          </cell>
        </row>
        <row r="146">
          <cell r="D146">
            <v>21600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6637</v>
          </cell>
          <cell r="F150">
            <v>0</v>
          </cell>
        </row>
        <row r="151">
          <cell r="D151">
            <v>46322</v>
          </cell>
          <cell r="F151">
            <v>0</v>
          </cell>
        </row>
        <row r="152">
          <cell r="D152">
            <v>329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4870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543234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24350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236168</v>
          </cell>
          <cell r="F205">
            <v>0</v>
          </cell>
        </row>
        <row r="206">
          <cell r="D206">
            <v>14543</v>
          </cell>
          <cell r="F206">
            <v>0</v>
          </cell>
        </row>
        <row r="207">
          <cell r="D207">
            <v>1387</v>
          </cell>
          <cell r="F207">
            <v>0</v>
          </cell>
        </row>
        <row r="211">
          <cell r="D211">
            <v>57564</v>
          </cell>
          <cell r="F211">
            <v>0</v>
          </cell>
        </row>
        <row r="212">
          <cell r="D212">
            <v>0</v>
          </cell>
          <cell r="F212">
            <v>11770</v>
          </cell>
        </row>
        <row r="213">
          <cell r="D213">
            <v>6686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2616</v>
          </cell>
          <cell r="F216">
            <v>0</v>
          </cell>
        </row>
        <row r="221">
          <cell r="D221">
            <v>3169920</v>
          </cell>
        </row>
      </sheetData>
      <sheetData sheetId="8"/>
      <sheetData sheetId="9"/>
      <sheetData sheetId="10">
        <row r="9">
          <cell r="C9">
            <v>1934</v>
          </cell>
          <cell r="D9">
            <v>0</v>
          </cell>
          <cell r="E9">
            <v>4868</v>
          </cell>
          <cell r="F9">
            <v>546</v>
          </cell>
          <cell r="G9">
            <v>0</v>
          </cell>
          <cell r="H9">
            <v>481</v>
          </cell>
          <cell r="I9">
            <v>0</v>
          </cell>
          <cell r="J9">
            <v>23</v>
          </cell>
          <cell r="K9">
            <v>0</v>
          </cell>
        </row>
        <row r="22">
          <cell r="N22">
            <v>30</v>
          </cell>
        </row>
        <row r="24">
          <cell r="N24">
            <v>8</v>
          </cell>
        </row>
        <row r="28">
          <cell r="N28">
            <v>10950</v>
          </cell>
        </row>
        <row r="30">
          <cell r="N30">
            <v>0.71707762557077626</v>
          </cell>
        </row>
        <row r="32">
          <cell r="N32">
            <v>0.17662100456621005</v>
          </cell>
        </row>
        <row r="34">
          <cell r="N34">
            <v>0.24630667345899135</v>
          </cell>
        </row>
      </sheetData>
      <sheetData sheetId="1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588641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3429856</v>
          </cell>
          <cell r="G21">
            <v>0</v>
          </cell>
        </row>
        <row r="27">
          <cell r="E27">
            <v>399237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468997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-1576</v>
          </cell>
          <cell r="G67">
            <v>0</v>
          </cell>
        </row>
        <row r="85">
          <cell r="C85">
            <v>322.01165501165502</v>
          </cell>
          <cell r="E85">
            <v>308.30418250950572</v>
          </cell>
          <cell r="G85">
            <v>335.69252873563221</v>
          </cell>
          <cell r="I85">
            <v>312.82117647058823</v>
          </cell>
        </row>
      </sheetData>
      <sheetData sheetId="6"/>
      <sheetData sheetId="7">
        <row r="10">
          <cell r="D10">
            <v>74959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149179</v>
          </cell>
          <cell r="F12">
            <v>0</v>
          </cell>
        </row>
        <row r="13">
          <cell r="D13">
            <v>387590</v>
          </cell>
          <cell r="F13">
            <v>-354485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71250</v>
          </cell>
          <cell r="F16">
            <v>42213</v>
          </cell>
        </row>
        <row r="17">
          <cell r="D17">
            <v>0</v>
          </cell>
          <cell r="F17">
            <v>0</v>
          </cell>
        </row>
        <row r="18">
          <cell r="D18">
            <v>7851</v>
          </cell>
          <cell r="F18">
            <v>0</v>
          </cell>
        </row>
        <row r="19">
          <cell r="D19">
            <v>8788</v>
          </cell>
          <cell r="F19">
            <v>0</v>
          </cell>
        </row>
        <row r="20">
          <cell r="D20">
            <v>29217</v>
          </cell>
          <cell r="F20">
            <v>0</v>
          </cell>
        </row>
        <row r="21">
          <cell r="D21">
            <v>9416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3316</v>
          </cell>
          <cell r="F23">
            <v>0</v>
          </cell>
        </row>
        <row r="24">
          <cell r="D24">
            <v>28023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91382</v>
          </cell>
          <cell r="F26">
            <v>0</v>
          </cell>
        </row>
        <row r="27">
          <cell r="D27">
            <v>28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-180</v>
          </cell>
          <cell r="F29">
            <v>180</v>
          </cell>
        </row>
        <row r="30">
          <cell r="D30">
            <v>0</v>
          </cell>
          <cell r="F30">
            <v>0</v>
          </cell>
        </row>
        <row r="31">
          <cell r="D31">
            <v>47776</v>
          </cell>
          <cell r="F31">
            <v>0</v>
          </cell>
        </row>
        <row r="32">
          <cell r="D32">
            <v>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26023</v>
          </cell>
          <cell r="F36">
            <v>0</v>
          </cell>
        </row>
        <row r="37">
          <cell r="D37">
            <v>0</v>
          </cell>
          <cell r="F37">
            <v>3844</v>
          </cell>
        </row>
        <row r="38">
          <cell r="D38">
            <v>0</v>
          </cell>
          <cell r="F38">
            <v>0</v>
          </cell>
        </row>
        <row r="39">
          <cell r="D39">
            <v>5190</v>
          </cell>
          <cell r="F39">
            <v>0</v>
          </cell>
        </row>
        <row r="40">
          <cell r="D40">
            <v>1846</v>
          </cell>
          <cell r="F40">
            <v>0</v>
          </cell>
        </row>
        <row r="41">
          <cell r="D41">
            <v>16701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5016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18228</v>
          </cell>
          <cell r="F45">
            <v>4541</v>
          </cell>
        </row>
        <row r="57">
          <cell r="D57">
            <v>0</v>
          </cell>
          <cell r="F57">
            <v>0</v>
          </cell>
        </row>
        <row r="58">
          <cell r="D58">
            <v>383832</v>
          </cell>
          <cell r="F58">
            <v>0</v>
          </cell>
        </row>
        <row r="59">
          <cell r="D59">
            <v>289166</v>
          </cell>
          <cell r="F59">
            <v>0</v>
          </cell>
        </row>
        <row r="60">
          <cell r="D60">
            <v>51719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1966</v>
          </cell>
          <cell r="F65">
            <v>0</v>
          </cell>
        </row>
        <row r="66">
          <cell r="D66">
            <v>42826</v>
          </cell>
          <cell r="F66">
            <v>0</v>
          </cell>
        </row>
        <row r="67">
          <cell r="D67">
            <v>-6136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408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30110</v>
          </cell>
          <cell r="F75">
            <v>0</v>
          </cell>
        </row>
        <row r="76">
          <cell r="D76">
            <v>0</v>
          </cell>
          <cell r="F76">
            <v>4447</v>
          </cell>
        </row>
        <row r="77">
          <cell r="D77">
            <v>28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-26788</v>
          </cell>
          <cell r="F79">
            <v>0</v>
          </cell>
        </row>
        <row r="80">
          <cell r="D80">
            <v>40488</v>
          </cell>
          <cell r="F80">
            <v>0</v>
          </cell>
        </row>
        <row r="81">
          <cell r="D81">
            <v>7140</v>
          </cell>
          <cell r="F81">
            <v>0</v>
          </cell>
        </row>
        <row r="82">
          <cell r="D82">
            <v>816</v>
          </cell>
          <cell r="F82">
            <v>0</v>
          </cell>
        </row>
        <row r="83">
          <cell r="D83">
            <v>8005</v>
          </cell>
          <cell r="F83">
            <v>0</v>
          </cell>
        </row>
        <row r="84">
          <cell r="D84">
            <v>65390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227057</v>
          </cell>
          <cell r="F89">
            <v>0</v>
          </cell>
        </row>
        <row r="90">
          <cell r="D90">
            <v>0</v>
          </cell>
          <cell r="F90">
            <v>33537</v>
          </cell>
        </row>
        <row r="91">
          <cell r="D91">
            <v>16754</v>
          </cell>
          <cell r="F91">
            <v>0</v>
          </cell>
        </row>
        <row r="92">
          <cell r="D92">
            <v>111832</v>
          </cell>
          <cell r="F92">
            <v>-2965</v>
          </cell>
        </row>
        <row r="93">
          <cell r="D93">
            <v>10329</v>
          </cell>
          <cell r="F93">
            <v>0</v>
          </cell>
        </row>
        <row r="94">
          <cell r="D94">
            <v>407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-5030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70771</v>
          </cell>
          <cell r="F115">
            <v>0</v>
          </cell>
        </row>
        <row r="116">
          <cell r="D116">
            <v>0</v>
          </cell>
          <cell r="F116">
            <v>10453</v>
          </cell>
        </row>
        <row r="117">
          <cell r="D117">
            <v>13013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7846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75225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208370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11111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30777</v>
          </cell>
        </row>
        <row r="136">
          <cell r="D136">
            <v>295264</v>
          </cell>
          <cell r="F136">
            <v>0</v>
          </cell>
        </row>
        <row r="137">
          <cell r="D137">
            <v>303470</v>
          </cell>
          <cell r="F137">
            <v>0</v>
          </cell>
        </row>
        <row r="138">
          <cell r="D138">
            <v>520967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43611</v>
          </cell>
        </row>
        <row r="142">
          <cell r="D142">
            <v>0</v>
          </cell>
          <cell r="F142">
            <v>44823</v>
          </cell>
        </row>
        <row r="143">
          <cell r="D143">
            <v>0</v>
          </cell>
          <cell r="F143">
            <v>76948</v>
          </cell>
        </row>
        <row r="144">
          <cell r="D144">
            <v>0</v>
          </cell>
          <cell r="F144">
            <v>0</v>
          </cell>
        </row>
        <row r="146">
          <cell r="D146">
            <v>56400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7950</v>
          </cell>
          <cell r="F150">
            <v>0</v>
          </cell>
        </row>
        <row r="151">
          <cell r="D151">
            <v>63478</v>
          </cell>
          <cell r="F151">
            <v>0</v>
          </cell>
        </row>
        <row r="152">
          <cell r="D152">
            <v>9908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15667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323217</v>
          </cell>
          <cell r="F177">
            <v>0</v>
          </cell>
        </row>
        <row r="178">
          <cell r="D178">
            <v>0</v>
          </cell>
          <cell r="F178">
            <v>47740</v>
          </cell>
        </row>
        <row r="179">
          <cell r="D179">
            <v>19742</v>
          </cell>
          <cell r="F179">
            <v>0</v>
          </cell>
        </row>
        <row r="180">
          <cell r="D180">
            <v>0</v>
          </cell>
          <cell r="F180">
            <v>2916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237135</v>
          </cell>
          <cell r="F183">
            <v>0</v>
          </cell>
        </row>
        <row r="184">
          <cell r="D184">
            <v>0</v>
          </cell>
          <cell r="F184">
            <v>35025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15906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63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1052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82928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895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243761</v>
          </cell>
          <cell r="F205">
            <v>0</v>
          </cell>
        </row>
        <row r="206">
          <cell r="D206">
            <v>7970</v>
          </cell>
          <cell r="F206">
            <v>0</v>
          </cell>
        </row>
        <row r="207">
          <cell r="D207">
            <v>5801</v>
          </cell>
          <cell r="F207">
            <v>0</v>
          </cell>
        </row>
        <row r="211">
          <cell r="D211">
            <v>62649</v>
          </cell>
          <cell r="F211">
            <v>0</v>
          </cell>
        </row>
        <row r="212">
          <cell r="D212">
            <v>0</v>
          </cell>
          <cell r="F212">
            <v>9253</v>
          </cell>
        </row>
        <row r="213">
          <cell r="D213">
            <v>13705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2978</v>
          </cell>
          <cell r="F216">
            <v>0</v>
          </cell>
        </row>
        <row r="221">
          <cell r="D221">
            <v>4898049</v>
          </cell>
        </row>
      </sheetData>
      <sheetData sheetId="8"/>
      <sheetData sheetId="9"/>
      <sheetData sheetId="10">
        <row r="9">
          <cell r="C9">
            <v>3395</v>
          </cell>
          <cell r="D9">
            <v>0</v>
          </cell>
          <cell r="E9">
            <v>6172</v>
          </cell>
          <cell r="F9">
            <v>1055</v>
          </cell>
          <cell r="G9">
            <v>0</v>
          </cell>
          <cell r="H9">
            <v>1465</v>
          </cell>
          <cell r="I9">
            <v>0</v>
          </cell>
          <cell r="J9">
            <v>0</v>
          </cell>
          <cell r="K9">
            <v>0</v>
          </cell>
        </row>
        <row r="22">
          <cell r="N22">
            <v>30</v>
          </cell>
        </row>
        <row r="24">
          <cell r="N24">
            <v>8</v>
          </cell>
        </row>
        <row r="28">
          <cell r="N28">
            <v>10950</v>
          </cell>
        </row>
        <row r="30">
          <cell r="N30">
            <v>1.1038356164383563</v>
          </cell>
        </row>
        <row r="32">
          <cell r="N32">
            <v>0.31004566210045664</v>
          </cell>
        </row>
        <row r="34">
          <cell r="N34">
            <v>0.28088028460329278</v>
          </cell>
        </row>
      </sheetData>
      <sheetData sheetId="1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>
        <row r="39">
          <cell r="B39">
            <v>42552</v>
          </cell>
          <cell r="G39">
            <v>42916</v>
          </cell>
        </row>
      </sheetData>
      <sheetData sheetId="3"/>
      <sheetData sheetId="4"/>
      <sheetData sheetId="5">
        <row r="10">
          <cell r="E10">
            <v>3731165.41</v>
          </cell>
          <cell r="G10">
            <v>0</v>
          </cell>
        </row>
        <row r="15">
          <cell r="E15">
            <v>62838.119999999995</v>
          </cell>
          <cell r="G15">
            <v>0</v>
          </cell>
        </row>
        <row r="21">
          <cell r="E21">
            <v>2008165.35</v>
          </cell>
          <cell r="G21">
            <v>0</v>
          </cell>
        </row>
        <row r="27">
          <cell r="E27">
            <v>688557.28999999992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1175481.53</v>
          </cell>
          <cell r="G37">
            <v>0</v>
          </cell>
        </row>
        <row r="42">
          <cell r="E42">
            <v>178769.38</v>
          </cell>
          <cell r="G42">
            <v>0</v>
          </cell>
        </row>
        <row r="47">
          <cell r="E47">
            <v>71910.8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170749.45</v>
          </cell>
          <cell r="G67">
            <v>0</v>
          </cell>
        </row>
        <row r="85">
          <cell r="C85">
            <v>195.96054254007399</v>
          </cell>
          <cell r="E85">
            <v>154.94808743169398</v>
          </cell>
          <cell r="G85">
            <v>171.69308176100628</v>
          </cell>
          <cell r="I85">
            <v>214.2967971530249</v>
          </cell>
        </row>
      </sheetData>
      <sheetData sheetId="6"/>
      <sheetData sheetId="7">
        <row r="10">
          <cell r="D10">
            <v>77727.600000000006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94863.69</v>
          </cell>
          <cell r="F12">
            <v>0</v>
          </cell>
        </row>
        <row r="13">
          <cell r="D13">
            <v>262103.69</v>
          </cell>
          <cell r="F13">
            <v>-229417.68</v>
          </cell>
        </row>
        <row r="14">
          <cell r="D14">
            <v>0</v>
          </cell>
          <cell r="F14">
            <v>0</v>
          </cell>
        </row>
        <row r="15">
          <cell r="D15">
            <v>563950.18999999994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646</v>
          </cell>
          <cell r="F17">
            <v>-646</v>
          </cell>
        </row>
        <row r="18">
          <cell r="D18">
            <v>3034.38</v>
          </cell>
          <cell r="F18">
            <v>0</v>
          </cell>
        </row>
        <row r="19">
          <cell r="D19">
            <v>22830.37</v>
          </cell>
          <cell r="F19">
            <v>0</v>
          </cell>
        </row>
        <row r="20">
          <cell r="D20">
            <v>7239.31</v>
          </cell>
          <cell r="F20">
            <v>0</v>
          </cell>
        </row>
        <row r="21">
          <cell r="D21">
            <v>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16330.36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528007.88</v>
          </cell>
          <cell r="F26">
            <v>0</v>
          </cell>
        </row>
        <row r="27">
          <cell r="D27">
            <v>119.16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182004.98</v>
          </cell>
          <cell r="F29">
            <v>-182004.98</v>
          </cell>
        </row>
        <row r="30">
          <cell r="D30">
            <v>8124.5</v>
          </cell>
          <cell r="F30">
            <v>-8124.5</v>
          </cell>
        </row>
        <row r="31">
          <cell r="D31">
            <v>35922.35</v>
          </cell>
          <cell r="F31">
            <v>0</v>
          </cell>
        </row>
        <row r="32">
          <cell r="D32">
            <v>103569.31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56045.37</v>
          </cell>
          <cell r="F36">
            <v>0</v>
          </cell>
        </row>
        <row r="37">
          <cell r="D37">
            <v>3848.85</v>
          </cell>
          <cell r="F37">
            <v>4234.6499999999996</v>
          </cell>
        </row>
        <row r="38">
          <cell r="D38">
            <v>0</v>
          </cell>
          <cell r="F38">
            <v>0</v>
          </cell>
        </row>
        <row r="39">
          <cell r="D39">
            <v>0</v>
          </cell>
          <cell r="F39">
            <v>0</v>
          </cell>
        </row>
        <row r="40">
          <cell r="D40">
            <v>1383.82</v>
          </cell>
          <cell r="F40">
            <v>0</v>
          </cell>
        </row>
        <row r="41">
          <cell r="D41">
            <v>59240.83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29983.94</v>
          </cell>
          <cell r="F43">
            <v>-29983.94</v>
          </cell>
        </row>
        <row r="44">
          <cell r="D44">
            <v>40390.65</v>
          </cell>
          <cell r="F44">
            <v>0</v>
          </cell>
        </row>
        <row r="45">
          <cell r="D45">
            <v>0</v>
          </cell>
          <cell r="F45">
            <v>0</v>
          </cell>
        </row>
        <row r="57">
          <cell r="D57">
            <v>0</v>
          </cell>
          <cell r="F57">
            <v>0</v>
          </cell>
        </row>
        <row r="58">
          <cell r="D58">
            <v>478333.02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613.62</v>
          </cell>
          <cell r="F66">
            <v>0</v>
          </cell>
        </row>
        <row r="67">
          <cell r="D67">
            <v>45804.05</v>
          </cell>
          <cell r="F67">
            <v>0</v>
          </cell>
        </row>
        <row r="68">
          <cell r="D68">
            <v>171151.71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79944.600000000006</v>
          </cell>
          <cell r="F75">
            <v>0</v>
          </cell>
        </row>
        <row r="76">
          <cell r="D76">
            <v>9280.1299999999992</v>
          </cell>
          <cell r="F76">
            <v>6040.42</v>
          </cell>
        </row>
        <row r="77">
          <cell r="D77">
            <v>3618.91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102.74</v>
          </cell>
          <cell r="F79">
            <v>0</v>
          </cell>
        </row>
        <row r="80">
          <cell r="D80">
            <v>23899.119999999999</v>
          </cell>
          <cell r="F80">
            <v>0</v>
          </cell>
        </row>
        <row r="81">
          <cell r="D81">
            <v>75530.02</v>
          </cell>
          <cell r="F81">
            <v>0</v>
          </cell>
        </row>
        <row r="82">
          <cell r="D82">
            <v>1944</v>
          </cell>
          <cell r="F82">
            <v>0</v>
          </cell>
        </row>
        <row r="83">
          <cell r="D83">
            <v>15897.69</v>
          </cell>
          <cell r="F83">
            <v>0</v>
          </cell>
        </row>
        <row r="84">
          <cell r="D84">
            <v>145343.89000000001</v>
          </cell>
          <cell r="F84">
            <v>0</v>
          </cell>
        </row>
        <row r="85">
          <cell r="D85">
            <v>170</v>
          </cell>
          <cell r="F85">
            <v>0</v>
          </cell>
        </row>
        <row r="89">
          <cell r="D89">
            <v>244872.42</v>
          </cell>
          <cell r="F89">
            <v>0</v>
          </cell>
        </row>
        <row r="90">
          <cell r="D90">
            <v>23383.56</v>
          </cell>
          <cell r="F90">
            <v>18501.98</v>
          </cell>
        </row>
        <row r="91">
          <cell r="D91">
            <v>41425</v>
          </cell>
          <cell r="F91">
            <v>0</v>
          </cell>
        </row>
        <row r="92">
          <cell r="D92">
            <v>250881.55</v>
          </cell>
          <cell r="F92">
            <v>0</v>
          </cell>
        </row>
        <row r="93">
          <cell r="D93">
            <v>49098.93</v>
          </cell>
          <cell r="F93">
            <v>0</v>
          </cell>
        </row>
        <row r="94">
          <cell r="D94">
            <v>2996.21</v>
          </cell>
          <cell r="F94">
            <v>0</v>
          </cell>
        </row>
        <row r="98">
          <cell r="D98">
            <v>34332.449999999997</v>
          </cell>
          <cell r="F98">
            <v>0</v>
          </cell>
        </row>
        <row r="99">
          <cell r="D99">
            <v>2180.33</v>
          </cell>
          <cell r="F99">
            <v>2594.08</v>
          </cell>
        </row>
        <row r="100">
          <cell r="D100">
            <v>7067.43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168034</v>
          </cell>
          <cell r="F115">
            <v>0</v>
          </cell>
        </row>
        <row r="116">
          <cell r="D116">
            <v>15889.28</v>
          </cell>
          <cell r="F116">
            <v>12696.25</v>
          </cell>
        </row>
        <row r="117">
          <cell r="D117">
            <v>15156.29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481.23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181002.97</v>
          </cell>
          <cell r="F125">
            <v>28089.91</v>
          </cell>
        </row>
        <row r="126">
          <cell r="D126">
            <v>0</v>
          </cell>
          <cell r="F126">
            <v>0</v>
          </cell>
        </row>
        <row r="127">
          <cell r="D127">
            <v>29966.799999999999</v>
          </cell>
          <cell r="F127">
            <v>0</v>
          </cell>
        </row>
        <row r="128">
          <cell r="D128">
            <v>58459.25</v>
          </cell>
          <cell r="F128">
            <v>-28089.91</v>
          </cell>
        </row>
        <row r="130">
          <cell r="D130">
            <v>0</v>
          </cell>
          <cell r="F130">
            <v>0</v>
          </cell>
        </row>
        <row r="131">
          <cell r="D131">
            <v>27520.17</v>
          </cell>
          <cell r="F131">
            <v>9635.67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5325.11</v>
          </cell>
        </row>
        <row r="134">
          <cell r="D134">
            <v>0</v>
          </cell>
          <cell r="F134">
            <v>5396.64</v>
          </cell>
        </row>
        <row r="136">
          <cell r="D136">
            <v>522795.58</v>
          </cell>
          <cell r="F136">
            <v>0</v>
          </cell>
        </row>
        <row r="137">
          <cell r="D137">
            <v>467328.1</v>
          </cell>
          <cell r="F137">
            <v>0</v>
          </cell>
        </row>
        <row r="138">
          <cell r="D138">
            <v>1044982.35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179864.71</v>
          </cell>
          <cell r="F141">
            <v>-94158.32</v>
          </cell>
        </row>
        <row r="142">
          <cell r="D142">
            <v>0</v>
          </cell>
          <cell r="F142">
            <v>76613.13</v>
          </cell>
        </row>
        <row r="143">
          <cell r="D143">
            <v>0</v>
          </cell>
          <cell r="F143">
            <v>171312.97</v>
          </cell>
        </row>
        <row r="144">
          <cell r="D144">
            <v>0</v>
          </cell>
          <cell r="F144">
            <v>0</v>
          </cell>
        </row>
        <row r="146">
          <cell r="D146">
            <v>45500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0</v>
          </cell>
          <cell r="F150">
            <v>0</v>
          </cell>
        </row>
        <row r="151">
          <cell r="D151">
            <v>120982.53</v>
          </cell>
          <cell r="F151">
            <v>0</v>
          </cell>
        </row>
        <row r="152">
          <cell r="D152">
            <v>158.36000000000001</v>
          </cell>
          <cell r="F152">
            <v>0</v>
          </cell>
        </row>
        <row r="153">
          <cell r="D153">
            <v>3257.85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32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56.01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674341.13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15767.53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17463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292205.19</v>
          </cell>
          <cell r="F205">
            <v>0</v>
          </cell>
        </row>
        <row r="206">
          <cell r="D206">
            <v>20230.88</v>
          </cell>
          <cell r="F206">
            <v>0</v>
          </cell>
        </row>
        <row r="207">
          <cell r="D207">
            <v>973.12</v>
          </cell>
          <cell r="F207">
            <v>0</v>
          </cell>
        </row>
        <row r="211">
          <cell r="D211">
            <v>148563.57</v>
          </cell>
          <cell r="F211">
            <v>0</v>
          </cell>
        </row>
        <row r="212">
          <cell r="D212">
            <v>15138.09</v>
          </cell>
          <cell r="F212">
            <v>11225.11</v>
          </cell>
        </row>
        <row r="213">
          <cell r="D213">
            <v>4630.2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988.39</v>
          </cell>
          <cell r="F216">
            <v>0</v>
          </cell>
        </row>
        <row r="221">
          <cell r="D221">
            <v>7877007.1900000004</v>
          </cell>
        </row>
      </sheetData>
      <sheetData sheetId="8"/>
      <sheetData sheetId="9"/>
      <sheetData sheetId="10">
        <row r="9">
          <cell r="C9">
            <v>19763</v>
          </cell>
          <cell r="D9">
            <v>359</v>
          </cell>
          <cell r="E9">
            <v>3984</v>
          </cell>
          <cell r="F9">
            <v>2610</v>
          </cell>
          <cell r="G9">
            <v>0</v>
          </cell>
          <cell r="H9">
            <v>6447</v>
          </cell>
          <cell r="I9">
            <v>859</v>
          </cell>
          <cell r="J9">
            <v>412</v>
          </cell>
          <cell r="K9">
            <v>0</v>
          </cell>
        </row>
        <row r="22">
          <cell r="N22">
            <v>172</v>
          </cell>
        </row>
        <row r="24">
          <cell r="N24">
            <v>172</v>
          </cell>
        </row>
        <row r="28">
          <cell r="N28">
            <v>62780</v>
          </cell>
        </row>
        <row r="30">
          <cell r="N30">
            <v>0.54848677922905387</v>
          </cell>
        </row>
        <row r="32">
          <cell r="N32">
            <v>0.3205160879260911</v>
          </cell>
        </row>
        <row r="34">
          <cell r="N34">
            <v>0.58436429110762611</v>
          </cell>
        </row>
      </sheetData>
      <sheetData sheetId="1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3293216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1288744</v>
          </cell>
          <cell r="G21">
            <v>0</v>
          </cell>
        </row>
        <row r="27">
          <cell r="E27">
            <v>224316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739615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63151</v>
          </cell>
          <cell r="G67">
            <v>0</v>
          </cell>
        </row>
        <row r="85">
          <cell r="C85">
            <v>197.77523809523811</v>
          </cell>
          <cell r="E85">
            <v>199.36918869644484</v>
          </cell>
          <cell r="G85">
            <v>193.86741573033709</v>
          </cell>
          <cell r="I85">
            <v>194.87673130193906</v>
          </cell>
        </row>
      </sheetData>
      <sheetData sheetId="6"/>
      <sheetData sheetId="7">
        <row r="10">
          <cell r="D10">
            <v>103285.8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96357.66</v>
          </cell>
          <cell r="F12">
            <v>0</v>
          </cell>
        </row>
        <row r="13">
          <cell r="D13">
            <v>69518.710000000006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230909.15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1256.72</v>
          </cell>
          <cell r="F17">
            <v>-1257</v>
          </cell>
        </row>
        <row r="18">
          <cell r="D18">
            <v>14785.12</v>
          </cell>
          <cell r="F18">
            <v>0</v>
          </cell>
        </row>
        <row r="19">
          <cell r="D19">
            <v>28718.14</v>
          </cell>
          <cell r="F19">
            <v>0</v>
          </cell>
        </row>
        <row r="20">
          <cell r="D20">
            <v>74368.08</v>
          </cell>
          <cell r="F20">
            <v>0</v>
          </cell>
        </row>
        <row r="21">
          <cell r="D21">
            <v>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7507.46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350456.64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8239.9</v>
          </cell>
          <cell r="F29">
            <v>-8239.9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39076.160000000003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12628.01</v>
          </cell>
          <cell r="F36">
            <v>0</v>
          </cell>
        </row>
        <row r="37">
          <cell r="D37">
            <v>0</v>
          </cell>
          <cell r="F37">
            <v>3512</v>
          </cell>
        </row>
        <row r="38">
          <cell r="D38">
            <v>0</v>
          </cell>
          <cell r="F38">
            <v>0</v>
          </cell>
        </row>
        <row r="39">
          <cell r="D39">
            <v>0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34194</v>
          </cell>
          <cell r="F41">
            <v>0</v>
          </cell>
        </row>
        <row r="42">
          <cell r="D42">
            <v>1016</v>
          </cell>
          <cell r="F42">
            <v>0</v>
          </cell>
        </row>
        <row r="43">
          <cell r="D43">
            <v>10196.14</v>
          </cell>
          <cell r="F43">
            <v>-10196</v>
          </cell>
        </row>
        <row r="44">
          <cell r="D44">
            <v>0</v>
          </cell>
          <cell r="F44">
            <v>0</v>
          </cell>
        </row>
        <row r="45">
          <cell r="D45">
            <v>0</v>
          </cell>
          <cell r="F45">
            <v>0</v>
          </cell>
        </row>
        <row r="57">
          <cell r="D57">
            <v>492750</v>
          </cell>
          <cell r="F57">
            <v>0</v>
          </cell>
        </row>
        <row r="58">
          <cell r="D58">
            <v>0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32821.19</v>
          </cell>
          <cell r="F75">
            <v>0</v>
          </cell>
        </row>
        <row r="76">
          <cell r="D76">
            <v>19183.77</v>
          </cell>
          <cell r="F76">
            <v>0</v>
          </cell>
        </row>
        <row r="77">
          <cell r="D77">
            <v>12725.2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3839.64</v>
          </cell>
          <cell r="F79">
            <v>0</v>
          </cell>
        </row>
        <row r="80">
          <cell r="D80">
            <v>12737.82</v>
          </cell>
          <cell r="F80">
            <v>0</v>
          </cell>
        </row>
        <row r="81">
          <cell r="D81">
            <v>20107.37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12559.96</v>
          </cell>
          <cell r="F83">
            <v>0</v>
          </cell>
        </row>
        <row r="84">
          <cell r="D84">
            <v>116157.97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220894.84</v>
          </cell>
          <cell r="F89">
            <v>0</v>
          </cell>
        </row>
        <row r="90">
          <cell r="D90">
            <v>56643.27</v>
          </cell>
          <cell r="F90">
            <v>0</v>
          </cell>
        </row>
        <row r="91">
          <cell r="D91">
            <v>10503.92</v>
          </cell>
          <cell r="F91">
            <v>0</v>
          </cell>
        </row>
        <row r="92">
          <cell r="D92">
            <v>153520.10999999999</v>
          </cell>
          <cell r="F92">
            <v>0</v>
          </cell>
        </row>
        <row r="93">
          <cell r="D93">
            <v>21858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63141.120000000003</v>
          </cell>
          <cell r="F98">
            <v>0</v>
          </cell>
        </row>
        <row r="99">
          <cell r="D99">
            <v>20083.810000000001</v>
          </cell>
          <cell r="F99">
            <v>0</v>
          </cell>
        </row>
        <row r="100">
          <cell r="D100">
            <v>10358.040000000001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7372.95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146534.06</v>
          </cell>
          <cell r="F115">
            <v>0</v>
          </cell>
        </row>
        <row r="116">
          <cell r="D116">
            <v>64203.21</v>
          </cell>
          <cell r="F116">
            <v>0</v>
          </cell>
        </row>
        <row r="117">
          <cell r="D117">
            <v>20333.27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273144.71000000002</v>
          </cell>
          <cell r="F125">
            <v>-29436.7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29436.7</v>
          </cell>
        </row>
        <row r="128">
          <cell r="D128">
            <v>33989.15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498317</v>
          </cell>
          <cell r="F131">
            <v>-430542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8186</v>
          </cell>
        </row>
        <row r="134">
          <cell r="D134">
            <v>14637.37</v>
          </cell>
          <cell r="F134">
            <v>9452</v>
          </cell>
        </row>
        <row r="136">
          <cell r="D136">
            <v>363789.31</v>
          </cell>
          <cell r="F136">
            <v>0</v>
          </cell>
        </row>
        <row r="137">
          <cell r="D137">
            <v>332253.68</v>
          </cell>
          <cell r="F137">
            <v>0</v>
          </cell>
        </row>
        <row r="138">
          <cell r="D138">
            <v>772983.8</v>
          </cell>
          <cell r="F138">
            <v>0</v>
          </cell>
        </row>
        <row r="139">
          <cell r="D139">
            <v>3078.77</v>
          </cell>
          <cell r="F139">
            <v>0</v>
          </cell>
        </row>
        <row r="141">
          <cell r="D141">
            <v>0</v>
          </cell>
          <cell r="F141">
            <v>101169</v>
          </cell>
        </row>
        <row r="142">
          <cell r="D142">
            <v>0</v>
          </cell>
          <cell r="F142">
            <v>92400</v>
          </cell>
        </row>
        <row r="143">
          <cell r="D143">
            <v>0</v>
          </cell>
          <cell r="F143">
            <v>214966</v>
          </cell>
        </row>
        <row r="144">
          <cell r="D144">
            <v>0</v>
          </cell>
          <cell r="F144">
            <v>856</v>
          </cell>
        </row>
        <row r="146">
          <cell r="D146">
            <v>24000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59432</v>
          </cell>
          <cell r="F150">
            <v>0</v>
          </cell>
        </row>
        <row r="151">
          <cell r="D151">
            <v>132031.67000000001</v>
          </cell>
          <cell r="F151">
            <v>0</v>
          </cell>
        </row>
        <row r="152">
          <cell r="D152">
            <v>4594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156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33687.129999999997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202000.69</v>
          </cell>
          <cell r="F177">
            <v>-72237</v>
          </cell>
        </row>
        <row r="178">
          <cell r="D178">
            <v>63905</v>
          </cell>
          <cell r="F178">
            <v>-22844</v>
          </cell>
        </row>
        <row r="179">
          <cell r="D179">
            <v>0</v>
          </cell>
          <cell r="F179">
            <v>878</v>
          </cell>
        </row>
        <row r="180">
          <cell r="D180">
            <v>0</v>
          </cell>
          <cell r="F180">
            <v>277.81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71359</v>
          </cell>
        </row>
        <row r="184">
          <cell r="D184">
            <v>0</v>
          </cell>
          <cell r="F184">
            <v>22566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59384.63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150172.76</v>
          </cell>
          <cell r="F205">
            <v>0</v>
          </cell>
        </row>
        <row r="206">
          <cell r="D206">
            <v>17105.66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115474.68</v>
          </cell>
          <cell r="F211">
            <v>0</v>
          </cell>
        </row>
        <row r="212">
          <cell r="D212">
            <v>51458.87</v>
          </cell>
          <cell r="F212">
            <v>0</v>
          </cell>
        </row>
        <row r="213">
          <cell r="D213">
            <v>10846.89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10001.040000000001</v>
          </cell>
          <cell r="F216">
            <v>0</v>
          </cell>
        </row>
        <row r="221">
          <cell r="D221">
            <v>5827288</v>
          </cell>
        </row>
      </sheetData>
      <sheetData sheetId="8"/>
      <sheetData sheetId="9"/>
      <sheetData sheetId="10">
        <row r="9">
          <cell r="C9">
            <v>14374</v>
          </cell>
          <cell r="D9">
            <v>0</v>
          </cell>
          <cell r="E9">
            <v>1782</v>
          </cell>
          <cell r="F9">
            <v>1256</v>
          </cell>
          <cell r="G9">
            <v>0</v>
          </cell>
          <cell r="H9">
            <v>3759</v>
          </cell>
          <cell r="I9">
            <v>0</v>
          </cell>
          <cell r="J9">
            <v>0</v>
          </cell>
          <cell r="K9">
            <v>0</v>
          </cell>
        </row>
        <row r="22">
          <cell r="N22">
            <v>90</v>
          </cell>
        </row>
        <row r="24">
          <cell r="N24">
            <v>90</v>
          </cell>
        </row>
        <row r="28">
          <cell r="N28">
            <v>32850</v>
          </cell>
        </row>
        <row r="30">
          <cell r="N30">
            <v>0.64447488584474888</v>
          </cell>
        </row>
        <row r="32">
          <cell r="N32">
            <v>0.4375646879756469</v>
          </cell>
        </row>
        <row r="34">
          <cell r="N34">
            <v>0.67894761702328654</v>
          </cell>
        </row>
      </sheetData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11627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2480037</v>
          </cell>
          <cell r="G21">
            <v>0</v>
          </cell>
        </row>
        <row r="27">
          <cell r="E27">
            <v>574502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1753786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7448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15767</v>
          </cell>
          <cell r="G67">
            <v>-15767</v>
          </cell>
        </row>
        <row r="85">
          <cell r="C85">
            <v>254.68600867678958</v>
          </cell>
          <cell r="E85">
            <v>258.36174985978687</v>
          </cell>
          <cell r="G85">
            <v>255.24689899586534</v>
          </cell>
          <cell r="I85">
            <v>255.95356442119032</v>
          </cell>
        </row>
      </sheetData>
      <sheetData sheetId="6"/>
      <sheetData sheetId="7">
        <row r="10">
          <cell r="D10">
            <v>39038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61653</v>
          </cell>
          <cell r="F12">
            <v>0</v>
          </cell>
        </row>
        <row r="13">
          <cell r="D13">
            <v>15355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148714</v>
          </cell>
          <cell r="F16">
            <v>11906</v>
          </cell>
        </row>
        <row r="17">
          <cell r="D17">
            <v>1986</v>
          </cell>
          <cell r="F17">
            <v>0</v>
          </cell>
        </row>
        <row r="18">
          <cell r="D18">
            <v>8520</v>
          </cell>
          <cell r="F18">
            <v>0</v>
          </cell>
        </row>
        <row r="19">
          <cell r="D19">
            <v>5515</v>
          </cell>
          <cell r="F19">
            <v>0</v>
          </cell>
        </row>
        <row r="20">
          <cell r="D20">
            <v>1533</v>
          </cell>
          <cell r="F20">
            <v>0</v>
          </cell>
        </row>
        <row r="21">
          <cell r="D21">
            <v>24956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26632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131042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23995</v>
          </cell>
          <cell r="F29">
            <v>-23995</v>
          </cell>
        </row>
        <row r="30">
          <cell r="D30">
            <v>0</v>
          </cell>
          <cell r="F30">
            <v>0</v>
          </cell>
        </row>
        <row r="31">
          <cell r="D31">
            <v>25587</v>
          </cell>
          <cell r="F31">
            <v>0</v>
          </cell>
        </row>
        <row r="32">
          <cell r="D32">
            <v>17283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0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26826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6077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0</v>
          </cell>
          <cell r="F45">
            <v>0</v>
          </cell>
        </row>
        <row r="57">
          <cell r="D57">
            <v>262597</v>
          </cell>
          <cell r="F57">
            <v>0</v>
          </cell>
        </row>
        <row r="58">
          <cell r="D58">
            <v>12643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13449</v>
          </cell>
          <cell r="F60">
            <v>0</v>
          </cell>
        </row>
        <row r="61">
          <cell r="D61">
            <v>8607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385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9481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1172</v>
          </cell>
          <cell r="F69">
            <v>0</v>
          </cell>
        </row>
        <row r="70">
          <cell r="D70">
            <v>-81524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14196</v>
          </cell>
          <cell r="F75">
            <v>0</v>
          </cell>
        </row>
        <row r="76">
          <cell r="D76">
            <v>2165</v>
          </cell>
          <cell r="F76">
            <v>0</v>
          </cell>
        </row>
        <row r="77">
          <cell r="D77">
            <v>12401</v>
          </cell>
          <cell r="F77">
            <v>0</v>
          </cell>
        </row>
        <row r="78">
          <cell r="D78">
            <v>7821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15857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4786</v>
          </cell>
          <cell r="F82">
            <v>0</v>
          </cell>
        </row>
        <row r="83">
          <cell r="D83">
            <v>1060</v>
          </cell>
          <cell r="F83">
            <v>0</v>
          </cell>
        </row>
        <row r="84">
          <cell r="D84">
            <v>30275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147833</v>
          </cell>
          <cell r="F89">
            <v>0</v>
          </cell>
        </row>
        <row r="90">
          <cell r="D90">
            <v>22545</v>
          </cell>
          <cell r="F90">
            <v>0</v>
          </cell>
        </row>
        <row r="91">
          <cell r="D91">
            <v>9676</v>
          </cell>
          <cell r="F91">
            <v>0</v>
          </cell>
        </row>
        <row r="92">
          <cell r="D92">
            <v>96046</v>
          </cell>
          <cell r="F92">
            <v>0</v>
          </cell>
        </row>
        <row r="93">
          <cell r="D93">
            <v>7197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9072</v>
          </cell>
          <cell r="F98">
            <v>0</v>
          </cell>
        </row>
        <row r="99">
          <cell r="D99">
            <v>1384</v>
          </cell>
          <cell r="F99">
            <v>0</v>
          </cell>
        </row>
        <row r="100">
          <cell r="D100">
            <v>6449</v>
          </cell>
          <cell r="F100">
            <v>0</v>
          </cell>
        </row>
        <row r="101">
          <cell r="D101">
            <v>68</v>
          </cell>
          <cell r="F101">
            <v>0</v>
          </cell>
        </row>
        <row r="102">
          <cell r="D102">
            <v>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21215</v>
          </cell>
          <cell r="F115">
            <v>0</v>
          </cell>
        </row>
        <row r="116">
          <cell r="D116">
            <v>3235</v>
          </cell>
          <cell r="F116">
            <v>0</v>
          </cell>
        </row>
        <row r="117">
          <cell r="D117">
            <v>3489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244965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44190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37358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6739</v>
          </cell>
          <cell r="F134">
            <v>0</v>
          </cell>
        </row>
        <row r="136">
          <cell r="D136">
            <v>335554</v>
          </cell>
          <cell r="F136">
            <v>0</v>
          </cell>
        </row>
        <row r="137">
          <cell r="D137">
            <v>260460</v>
          </cell>
          <cell r="F137">
            <v>0</v>
          </cell>
        </row>
        <row r="138">
          <cell r="D138">
            <v>434118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51173</v>
          </cell>
          <cell r="F141">
            <v>0</v>
          </cell>
        </row>
        <row r="142">
          <cell r="D142">
            <v>39721</v>
          </cell>
          <cell r="F142">
            <v>0</v>
          </cell>
        </row>
        <row r="143">
          <cell r="D143">
            <v>66204</v>
          </cell>
          <cell r="F143">
            <v>0</v>
          </cell>
        </row>
        <row r="144">
          <cell r="D144">
            <v>0</v>
          </cell>
          <cell r="F144">
            <v>0</v>
          </cell>
        </row>
        <row r="146">
          <cell r="D146">
            <v>60037</v>
          </cell>
          <cell r="F146">
            <v>0</v>
          </cell>
        </row>
        <row r="147">
          <cell r="D147">
            <v>126668</v>
          </cell>
          <cell r="F147">
            <v>0</v>
          </cell>
        </row>
        <row r="148">
          <cell r="D148">
            <v>21795</v>
          </cell>
          <cell r="F148">
            <v>0</v>
          </cell>
        </row>
        <row r="149">
          <cell r="D149">
            <v>112488</v>
          </cell>
          <cell r="F149">
            <v>0</v>
          </cell>
        </row>
        <row r="150">
          <cell r="D150">
            <v>0</v>
          </cell>
          <cell r="F150">
            <v>0</v>
          </cell>
        </row>
        <row r="151">
          <cell r="D151">
            <v>59513</v>
          </cell>
          <cell r="F151">
            <v>0</v>
          </cell>
        </row>
        <row r="152">
          <cell r="D152">
            <v>57876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40915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353425</v>
          </cell>
          <cell r="F194">
            <v>0</v>
          </cell>
        </row>
        <row r="195">
          <cell r="D195">
            <v>68535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321158</v>
          </cell>
          <cell r="F197">
            <v>0</v>
          </cell>
        </row>
        <row r="198">
          <cell r="D198">
            <v>9744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18054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870</v>
          </cell>
          <cell r="F204">
            <v>0</v>
          </cell>
        </row>
        <row r="205">
          <cell r="D205">
            <v>266620</v>
          </cell>
          <cell r="F205">
            <v>0</v>
          </cell>
        </row>
        <row r="206">
          <cell r="D206">
            <v>29635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76558</v>
          </cell>
          <cell r="F211">
            <v>0</v>
          </cell>
        </row>
        <row r="212">
          <cell r="D212">
            <v>11675</v>
          </cell>
          <cell r="F212">
            <v>0</v>
          </cell>
        </row>
        <row r="213">
          <cell r="D213">
            <v>14159</v>
          </cell>
          <cell r="F213">
            <v>0</v>
          </cell>
        </row>
        <row r="214">
          <cell r="D214">
            <v>5155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0</v>
          </cell>
          <cell r="F216">
            <v>0</v>
          </cell>
        </row>
        <row r="221">
          <cell r="D221">
            <v>4383654</v>
          </cell>
        </row>
      </sheetData>
      <sheetData sheetId="8"/>
      <sheetData sheetId="9"/>
      <sheetData sheetId="10">
        <row r="9">
          <cell r="C9">
            <v>62</v>
          </cell>
          <cell r="D9">
            <v>0</v>
          </cell>
          <cell r="E9">
            <v>5358</v>
          </cell>
          <cell r="F9">
            <v>1512</v>
          </cell>
          <cell r="G9">
            <v>0</v>
          </cell>
          <cell r="H9">
            <v>6849</v>
          </cell>
          <cell r="I9">
            <v>0</v>
          </cell>
          <cell r="J9">
            <v>28</v>
          </cell>
          <cell r="K9">
            <v>0</v>
          </cell>
        </row>
        <row r="22">
          <cell r="N22">
            <v>45</v>
          </cell>
        </row>
        <row r="24">
          <cell r="N24">
            <v>5</v>
          </cell>
        </row>
        <row r="28">
          <cell r="N28">
            <v>16425</v>
          </cell>
        </row>
        <row r="30">
          <cell r="N30">
            <v>0.84073059360730595</v>
          </cell>
        </row>
        <row r="32">
          <cell r="N32">
            <v>3.7747336377473364E-3</v>
          </cell>
        </row>
        <row r="34">
          <cell r="N34">
            <v>4.4898254761387502E-3</v>
          </cell>
        </row>
      </sheetData>
      <sheetData sheetId="1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planation of Misc 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>
        <row r="39">
          <cell r="B39">
            <v>42552</v>
          </cell>
          <cell r="G39">
            <v>42916</v>
          </cell>
        </row>
      </sheetData>
      <sheetData sheetId="3"/>
      <sheetData sheetId="4"/>
      <sheetData sheetId="5">
        <row r="10">
          <cell r="E10">
            <v>2544075.83</v>
          </cell>
          <cell r="G10">
            <v>851994.99</v>
          </cell>
        </row>
        <row r="15">
          <cell r="E15">
            <v>0</v>
          </cell>
          <cell r="G15">
            <v>0</v>
          </cell>
        </row>
        <row r="21">
          <cell r="E21">
            <v>964003.33999999985</v>
          </cell>
          <cell r="G21">
            <v>0</v>
          </cell>
        </row>
        <row r="27">
          <cell r="E27">
            <v>-4583.03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1121323.69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1982573.25</v>
          </cell>
          <cell r="G67">
            <v>-1380569.76</v>
          </cell>
        </row>
        <row r="85">
          <cell r="C85">
            <v>189.85530906990178</v>
          </cell>
          <cell r="E85">
            <v>188.96832892998677</v>
          </cell>
          <cell r="G85">
            <v>191.49251111111113</v>
          </cell>
          <cell r="I85">
            <v>207.59122175732219</v>
          </cell>
        </row>
      </sheetData>
      <sheetData sheetId="6"/>
      <sheetData sheetId="7"/>
      <sheetData sheetId="8">
        <row r="10">
          <cell r="D10">
            <v>101984.98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124801.73</v>
          </cell>
          <cell r="F12">
            <v>0</v>
          </cell>
        </row>
        <row r="13">
          <cell r="D13">
            <v>1770774.29</v>
          </cell>
          <cell r="F13">
            <v>-1655748</v>
          </cell>
        </row>
        <row r="14">
          <cell r="D14">
            <v>0</v>
          </cell>
          <cell r="F14">
            <v>0</v>
          </cell>
        </row>
        <row r="15">
          <cell r="D15">
            <v>126462.11</v>
          </cell>
          <cell r="F15">
            <v>-126462</v>
          </cell>
        </row>
        <row r="16">
          <cell r="D16">
            <v>0</v>
          </cell>
          <cell r="F16">
            <v>214193</v>
          </cell>
        </row>
        <row r="17">
          <cell r="D17">
            <v>748.7</v>
          </cell>
          <cell r="F17">
            <v>0</v>
          </cell>
        </row>
        <row r="18">
          <cell r="D18">
            <v>27794.09</v>
          </cell>
          <cell r="F18">
            <v>0</v>
          </cell>
        </row>
        <row r="19">
          <cell r="D19">
            <v>13339.18</v>
          </cell>
          <cell r="F19">
            <v>0</v>
          </cell>
        </row>
        <row r="20">
          <cell r="D20">
            <v>8335.52</v>
          </cell>
          <cell r="F20">
            <v>0</v>
          </cell>
        </row>
        <row r="21">
          <cell r="D21">
            <v>1364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18909.36</v>
          </cell>
          <cell r="F23">
            <v>0</v>
          </cell>
        </row>
        <row r="24">
          <cell r="D24">
            <v>64803.43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372926</v>
          </cell>
          <cell r="F26">
            <v>0</v>
          </cell>
        </row>
        <row r="27">
          <cell r="D27">
            <v>100.62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24204.89</v>
          </cell>
          <cell r="F29">
            <v>-24204.89</v>
          </cell>
        </row>
        <row r="30">
          <cell r="D30">
            <v>0</v>
          </cell>
          <cell r="F30">
            <v>0</v>
          </cell>
        </row>
        <row r="31">
          <cell r="D31">
            <v>107880.63</v>
          </cell>
          <cell r="F31">
            <v>0</v>
          </cell>
        </row>
        <row r="32">
          <cell r="D32">
            <v>2532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7876.96</v>
          </cell>
          <cell r="F39">
            <v>0</v>
          </cell>
        </row>
        <row r="40">
          <cell r="D40">
            <v>12520.31</v>
          </cell>
          <cell r="F40">
            <v>-12520</v>
          </cell>
        </row>
        <row r="41">
          <cell r="D41">
            <v>0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8515.56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530374.93999999994</v>
          </cell>
          <cell r="F45">
            <v>-528575</v>
          </cell>
        </row>
        <row r="57">
          <cell r="D57">
            <v>0</v>
          </cell>
          <cell r="F57">
            <v>0</v>
          </cell>
        </row>
        <row r="58">
          <cell r="D58">
            <v>198451.92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11725.58</v>
          </cell>
          <cell r="F61">
            <v>0</v>
          </cell>
        </row>
        <row r="62">
          <cell r="D62">
            <v>999.96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1940.06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14492.4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143115.04999999999</v>
          </cell>
          <cell r="F75">
            <v>0</v>
          </cell>
        </row>
        <row r="76">
          <cell r="D76">
            <v>0</v>
          </cell>
          <cell r="F76">
            <v>72588</v>
          </cell>
        </row>
        <row r="77">
          <cell r="D77">
            <v>3940.22</v>
          </cell>
          <cell r="F77">
            <v>0</v>
          </cell>
        </row>
        <row r="78">
          <cell r="D78">
            <v>949.89</v>
          </cell>
          <cell r="F78">
            <v>0</v>
          </cell>
        </row>
        <row r="79">
          <cell r="D79">
            <v>18784.759999999998</v>
          </cell>
          <cell r="F79">
            <v>0</v>
          </cell>
        </row>
        <row r="80">
          <cell r="D80">
            <v>33068.32</v>
          </cell>
          <cell r="F80">
            <v>0</v>
          </cell>
        </row>
        <row r="81">
          <cell r="D81">
            <v>18773.43</v>
          </cell>
          <cell r="F81">
            <v>0</v>
          </cell>
        </row>
        <row r="82">
          <cell r="D82">
            <v>22589.29</v>
          </cell>
          <cell r="F82">
            <v>0</v>
          </cell>
        </row>
        <row r="83">
          <cell r="D83">
            <v>3856.63</v>
          </cell>
          <cell r="F83">
            <v>0</v>
          </cell>
        </row>
        <row r="84">
          <cell r="D84">
            <v>163705.18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229301.43</v>
          </cell>
          <cell r="F89">
            <v>0</v>
          </cell>
        </row>
        <row r="90">
          <cell r="D90">
            <v>0</v>
          </cell>
          <cell r="F90">
            <v>116302</v>
          </cell>
        </row>
        <row r="91">
          <cell r="D91">
            <v>5744</v>
          </cell>
          <cell r="F91">
            <v>0</v>
          </cell>
        </row>
        <row r="92">
          <cell r="D92">
            <v>198051.12</v>
          </cell>
          <cell r="F92">
            <v>0</v>
          </cell>
        </row>
        <row r="93">
          <cell r="D93">
            <v>25875.38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24423.99</v>
          </cell>
          <cell r="F98">
            <v>0</v>
          </cell>
        </row>
        <row r="99">
          <cell r="D99">
            <v>0</v>
          </cell>
          <cell r="F99">
            <v>12388</v>
          </cell>
        </row>
        <row r="100">
          <cell r="D100">
            <v>418.43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988.57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191561.27</v>
          </cell>
          <cell r="F115">
            <v>0</v>
          </cell>
        </row>
        <row r="116">
          <cell r="D116">
            <v>0</v>
          </cell>
          <cell r="F116">
            <v>97160</v>
          </cell>
        </row>
        <row r="117">
          <cell r="D117">
            <v>48777.919999999998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85429.36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80912.31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43330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41039</v>
          </cell>
        </row>
        <row r="136">
          <cell r="D136">
            <v>623310.76</v>
          </cell>
          <cell r="F136">
            <v>0</v>
          </cell>
        </row>
        <row r="137">
          <cell r="D137">
            <v>375080.78</v>
          </cell>
          <cell r="F137">
            <v>0</v>
          </cell>
        </row>
        <row r="138">
          <cell r="D138">
            <v>1075688.67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316144</v>
          </cell>
        </row>
        <row r="142">
          <cell r="D142">
            <v>0</v>
          </cell>
          <cell r="F142">
            <v>190241</v>
          </cell>
        </row>
        <row r="143">
          <cell r="D143">
            <v>0</v>
          </cell>
          <cell r="F143">
            <v>545590</v>
          </cell>
        </row>
        <row r="144">
          <cell r="D144">
            <v>0</v>
          </cell>
          <cell r="F144">
            <v>0</v>
          </cell>
        </row>
        <row r="146">
          <cell r="D146">
            <v>16800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8211.82</v>
          </cell>
          <cell r="F150">
            <v>0</v>
          </cell>
        </row>
        <row r="151">
          <cell r="D151">
            <v>129313.64</v>
          </cell>
          <cell r="F151">
            <v>0</v>
          </cell>
        </row>
        <row r="152">
          <cell r="D152">
            <v>880.08</v>
          </cell>
          <cell r="F152">
            <v>0</v>
          </cell>
        </row>
        <row r="153">
          <cell r="D153">
            <v>3739.47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167784.77</v>
          </cell>
          <cell r="F177">
            <v>0</v>
          </cell>
        </row>
        <row r="178">
          <cell r="D178">
            <v>0</v>
          </cell>
          <cell r="F178">
            <v>85101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93974.66</v>
          </cell>
          <cell r="F183">
            <v>0</v>
          </cell>
        </row>
        <row r="184">
          <cell r="D184">
            <v>0</v>
          </cell>
          <cell r="F184">
            <v>47664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3804.59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255.5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7949.06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139044.45000000001</v>
          </cell>
          <cell r="F205">
            <v>0</v>
          </cell>
        </row>
        <row r="206">
          <cell r="D206">
            <v>6036.85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173897.9</v>
          </cell>
          <cell r="F211">
            <v>0</v>
          </cell>
        </row>
        <row r="212">
          <cell r="D212">
            <v>0</v>
          </cell>
          <cell r="F212">
            <v>88201</v>
          </cell>
        </row>
        <row r="213">
          <cell r="D213">
            <v>13441.5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0</v>
          </cell>
          <cell r="F216">
            <v>0</v>
          </cell>
        </row>
        <row r="221">
          <cell r="D221">
            <v>7693340.2699999996</v>
          </cell>
        </row>
      </sheetData>
      <sheetData sheetId="9"/>
      <sheetData sheetId="10"/>
      <sheetData sheetId="11"/>
      <sheetData sheetId="12">
        <row r="9">
          <cell r="C9">
            <v>14110</v>
          </cell>
          <cell r="D9">
            <v>0</v>
          </cell>
          <cell r="E9">
            <v>2332</v>
          </cell>
          <cell r="F9">
            <v>3</v>
          </cell>
          <cell r="G9">
            <v>0</v>
          </cell>
          <cell r="H9">
            <v>5790</v>
          </cell>
          <cell r="I9">
            <v>0</v>
          </cell>
          <cell r="J9">
            <v>0</v>
          </cell>
          <cell r="K9">
            <v>0</v>
          </cell>
        </row>
        <row r="22">
          <cell r="N22">
            <v>110</v>
          </cell>
        </row>
        <row r="24">
          <cell r="N24">
            <v>110</v>
          </cell>
        </row>
        <row r="28">
          <cell r="N28">
            <v>40150</v>
          </cell>
        </row>
        <row r="30">
          <cell r="N30">
            <v>0.55379825653798254</v>
          </cell>
        </row>
        <row r="32">
          <cell r="N32">
            <v>0.35143212951432129</v>
          </cell>
        </row>
        <row r="34">
          <cell r="N34">
            <v>0.63458511355970315</v>
          </cell>
        </row>
      </sheetData>
      <sheetData sheetId="13"/>
      <sheetData sheetId="1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Cont.)"/>
      <sheetName val="Sch C-2"/>
      <sheetName val="Sch D"/>
      <sheetName val="Summary"/>
      <sheetName val="10-490"/>
      <sheetName val="30-490"/>
      <sheetName val="70-490"/>
      <sheetName val="90-490"/>
      <sheetName val="10-12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1985265</v>
          </cell>
          <cell r="G10">
            <v>-3348</v>
          </cell>
        </row>
        <row r="15">
          <cell r="E15">
            <v>0</v>
          </cell>
          <cell r="G15">
            <v>0</v>
          </cell>
        </row>
        <row r="21">
          <cell r="E21">
            <v>566534</v>
          </cell>
          <cell r="G21">
            <v>-2459</v>
          </cell>
        </row>
        <row r="27">
          <cell r="E27">
            <v>148889</v>
          </cell>
          <cell r="G27">
            <v>-1207</v>
          </cell>
        </row>
        <row r="32">
          <cell r="E32">
            <v>0</v>
          </cell>
          <cell r="G32">
            <v>0</v>
          </cell>
        </row>
        <row r="37">
          <cell r="E37">
            <v>130686</v>
          </cell>
          <cell r="G37">
            <v>0</v>
          </cell>
        </row>
        <row r="42">
          <cell r="E42">
            <v>178811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60036</v>
          </cell>
          <cell r="G52">
            <v>2600</v>
          </cell>
        </row>
        <row r="67">
          <cell r="E67">
            <v>285546</v>
          </cell>
          <cell r="G67">
            <v>-267312</v>
          </cell>
        </row>
      </sheetData>
      <sheetData sheetId="6"/>
      <sheetData sheetId="7">
        <row r="10">
          <cell r="D10">
            <v>80056</v>
          </cell>
          <cell r="F10">
            <v>4664</v>
          </cell>
        </row>
        <row r="11">
          <cell r="D11">
            <v>0</v>
          </cell>
          <cell r="F11">
            <v>0</v>
          </cell>
        </row>
        <row r="12">
          <cell r="D12">
            <v>135410</v>
          </cell>
          <cell r="F12">
            <v>-4664</v>
          </cell>
        </row>
        <row r="13">
          <cell r="D13">
            <v>85120</v>
          </cell>
          <cell r="F13">
            <v>-53863.665670607596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244302</v>
          </cell>
          <cell r="F16">
            <v>2954</v>
          </cell>
        </row>
        <row r="17">
          <cell r="D17">
            <v>6333</v>
          </cell>
          <cell r="F17">
            <v>-6333</v>
          </cell>
        </row>
        <row r="18">
          <cell r="D18">
            <v>32163</v>
          </cell>
          <cell r="F18">
            <v>0</v>
          </cell>
        </row>
        <row r="19">
          <cell r="D19">
            <v>5756</v>
          </cell>
          <cell r="F19">
            <v>-687</v>
          </cell>
        </row>
        <row r="20">
          <cell r="D20">
            <v>10579</v>
          </cell>
          <cell r="F20">
            <v>-216</v>
          </cell>
        </row>
        <row r="21">
          <cell r="D21">
            <v>16643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7969</v>
          </cell>
          <cell r="F23">
            <v>-318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230985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56865</v>
          </cell>
          <cell r="F29">
            <v>-56865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13785</v>
          </cell>
          <cell r="F32">
            <v>-3018</v>
          </cell>
        </row>
        <row r="33">
          <cell r="D33">
            <v>0</v>
          </cell>
          <cell r="F33">
            <v>0</v>
          </cell>
        </row>
        <row r="34">
          <cell r="D34">
            <v>3286</v>
          </cell>
          <cell r="F34">
            <v>0</v>
          </cell>
        </row>
        <row r="35">
          <cell r="D35">
            <v>1702</v>
          </cell>
          <cell r="F35">
            <v>-1702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9140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24566</v>
          </cell>
          <cell r="F41">
            <v>2765</v>
          </cell>
        </row>
        <row r="42">
          <cell r="D42">
            <v>358</v>
          </cell>
          <cell r="F42">
            <v>0</v>
          </cell>
        </row>
        <row r="43">
          <cell r="D43">
            <v>7085</v>
          </cell>
          <cell r="F43">
            <v>-7085</v>
          </cell>
        </row>
        <row r="44">
          <cell r="D44">
            <v>0</v>
          </cell>
          <cell r="F44">
            <v>0</v>
          </cell>
        </row>
        <row r="45">
          <cell r="D45">
            <v>22076</v>
          </cell>
          <cell r="F45">
            <v>-532</v>
          </cell>
        </row>
        <row r="57">
          <cell r="D57">
            <v>266360</v>
          </cell>
          <cell r="F57">
            <v>-266360</v>
          </cell>
        </row>
        <row r="58">
          <cell r="D58">
            <v>0</v>
          </cell>
          <cell r="F58">
            <v>14598</v>
          </cell>
        </row>
        <row r="59">
          <cell r="D59">
            <v>344236</v>
          </cell>
          <cell r="F59">
            <v>-266601</v>
          </cell>
        </row>
        <row r="60">
          <cell r="D60">
            <v>25320</v>
          </cell>
          <cell r="F60">
            <v>0</v>
          </cell>
        </row>
        <row r="61">
          <cell r="D61">
            <v>12522</v>
          </cell>
          <cell r="F61">
            <v>-6618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7636</v>
          </cell>
        </row>
        <row r="66">
          <cell r="D66">
            <v>0</v>
          </cell>
          <cell r="F66">
            <v>0</v>
          </cell>
        </row>
        <row r="67">
          <cell r="D67">
            <v>128504</v>
          </cell>
          <cell r="F67">
            <v>-114039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74</v>
          </cell>
          <cell r="F71">
            <v>0</v>
          </cell>
        </row>
        <row r="75">
          <cell r="D75">
            <v>54495</v>
          </cell>
          <cell r="F75">
            <v>0</v>
          </cell>
        </row>
        <row r="76">
          <cell r="D76">
            <v>5716</v>
          </cell>
          <cell r="F76">
            <v>3179.5054783248884</v>
          </cell>
        </row>
        <row r="77">
          <cell r="D77">
            <v>12027</v>
          </cell>
          <cell r="F77">
            <v>0</v>
          </cell>
        </row>
        <row r="78">
          <cell r="D78">
            <v>605</v>
          </cell>
          <cell r="F78">
            <v>0</v>
          </cell>
        </row>
        <row r="79">
          <cell r="D79">
            <v>5398</v>
          </cell>
          <cell r="F79">
            <v>0</v>
          </cell>
        </row>
        <row r="80">
          <cell r="D80">
            <v>13602</v>
          </cell>
          <cell r="F80">
            <v>0</v>
          </cell>
        </row>
        <row r="81">
          <cell r="D81">
            <v>20285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2618</v>
          </cell>
          <cell r="F83">
            <v>0</v>
          </cell>
        </row>
        <row r="84">
          <cell r="D84">
            <v>79929</v>
          </cell>
          <cell r="F84">
            <v>0</v>
          </cell>
        </row>
        <row r="85">
          <cell r="D85">
            <v>9910</v>
          </cell>
          <cell r="F85">
            <v>29817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352436</v>
          </cell>
          <cell r="F91">
            <v>-102056</v>
          </cell>
        </row>
        <row r="92">
          <cell r="D92">
            <v>6536</v>
          </cell>
          <cell r="F92">
            <v>102056</v>
          </cell>
        </row>
        <row r="93">
          <cell r="D93">
            <v>1802</v>
          </cell>
          <cell r="F93">
            <v>0</v>
          </cell>
        </row>
        <row r="94">
          <cell r="D94">
            <v>463</v>
          </cell>
          <cell r="F94">
            <v>183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147</v>
          </cell>
          <cell r="F100">
            <v>0</v>
          </cell>
        </row>
        <row r="101">
          <cell r="D101">
            <v>69203</v>
          </cell>
          <cell r="F101">
            <v>0</v>
          </cell>
        </row>
        <row r="102">
          <cell r="D102">
            <v>77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214</v>
          </cell>
          <cell r="F117">
            <v>0</v>
          </cell>
        </row>
        <row r="118">
          <cell r="D118">
            <v>103804</v>
          </cell>
          <cell r="F118">
            <v>0</v>
          </cell>
        </row>
        <row r="119">
          <cell r="D119">
            <v>0</v>
          </cell>
          <cell r="F119">
            <v>1</v>
          </cell>
        </row>
        <row r="124">
          <cell r="D124">
            <v>0</v>
          </cell>
          <cell r="F124">
            <v>0</v>
          </cell>
        </row>
        <row r="125">
          <cell r="D125">
            <v>197162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71228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19888</v>
          </cell>
          <cell r="F131">
            <v>8601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7439</v>
          </cell>
          <cell r="F134">
            <v>6524.3489671300504</v>
          </cell>
        </row>
        <row r="136">
          <cell r="D136">
            <v>172787</v>
          </cell>
          <cell r="F136">
            <v>6257</v>
          </cell>
        </row>
        <row r="137">
          <cell r="D137">
            <v>253716</v>
          </cell>
          <cell r="F137">
            <v>8276</v>
          </cell>
        </row>
        <row r="138">
          <cell r="D138">
            <v>456864</v>
          </cell>
          <cell r="F138">
            <v>11591</v>
          </cell>
        </row>
        <row r="139">
          <cell r="D139">
            <v>26124</v>
          </cell>
          <cell r="F139">
            <v>-26124</v>
          </cell>
        </row>
        <row r="141">
          <cell r="D141">
            <v>0</v>
          </cell>
          <cell r="F141">
            <v>24706</v>
          </cell>
        </row>
        <row r="142">
          <cell r="D142">
            <v>0</v>
          </cell>
          <cell r="F142">
            <v>36153</v>
          </cell>
        </row>
        <row r="143">
          <cell r="D143">
            <v>0</v>
          </cell>
          <cell r="F143">
            <v>64643</v>
          </cell>
        </row>
        <row r="144">
          <cell r="D144">
            <v>85827</v>
          </cell>
          <cell r="F144">
            <v>-75005.789095318527</v>
          </cell>
        </row>
        <row r="146">
          <cell r="D146">
            <v>25500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13319</v>
          </cell>
          <cell r="F150">
            <v>0</v>
          </cell>
        </row>
        <row r="151">
          <cell r="D151">
            <v>77755</v>
          </cell>
          <cell r="F151">
            <v>50</v>
          </cell>
        </row>
        <row r="152">
          <cell r="D152">
            <v>1171</v>
          </cell>
          <cell r="F152">
            <v>0</v>
          </cell>
        </row>
        <row r="153">
          <cell r="D153">
            <v>4495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89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109465</v>
          </cell>
          <cell r="F161">
            <v>68356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8088</v>
          </cell>
          <cell r="F188">
            <v>3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9779</v>
          </cell>
          <cell r="F191">
            <v>0</v>
          </cell>
        </row>
        <row r="192">
          <cell r="D192">
            <v>21139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147662</v>
          </cell>
          <cell r="F194">
            <v>-21772</v>
          </cell>
        </row>
        <row r="195">
          <cell r="D195">
            <v>86042</v>
          </cell>
          <cell r="F195">
            <v>2420</v>
          </cell>
        </row>
        <row r="196">
          <cell r="D196">
            <v>0</v>
          </cell>
          <cell r="F196">
            <v>0</v>
          </cell>
        </row>
        <row r="197">
          <cell r="D197">
            <v>113984</v>
          </cell>
          <cell r="F197">
            <v>-52887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58953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250</v>
          </cell>
          <cell r="F207">
            <v>0</v>
          </cell>
        </row>
        <row r="211">
          <cell r="D211">
            <v>75522</v>
          </cell>
          <cell r="F211">
            <v>0</v>
          </cell>
        </row>
        <row r="212">
          <cell r="D212">
            <v>7011</v>
          </cell>
          <cell r="F212">
            <v>4103.6003204711797</v>
          </cell>
        </row>
        <row r="213">
          <cell r="D213">
            <v>15116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12423</v>
          </cell>
          <cell r="F216">
            <v>38</v>
          </cell>
        </row>
        <row r="221">
          <cell r="D221">
            <v>4589260</v>
          </cell>
        </row>
      </sheetData>
      <sheetData sheetId="8"/>
      <sheetData sheetId="9"/>
      <sheetData sheetId="10"/>
      <sheetData sheetId="11">
        <row r="9">
          <cell r="C9">
            <v>10733</v>
          </cell>
          <cell r="D9">
            <v>0</v>
          </cell>
          <cell r="E9">
            <v>659</v>
          </cell>
          <cell r="F9">
            <v>218</v>
          </cell>
          <cell r="G9">
            <v>0</v>
          </cell>
          <cell r="H9">
            <v>611</v>
          </cell>
          <cell r="I9">
            <v>1005</v>
          </cell>
          <cell r="J9">
            <v>0</v>
          </cell>
          <cell r="K9">
            <v>187</v>
          </cell>
        </row>
        <row r="22">
          <cell r="N22">
            <v>99</v>
          </cell>
        </row>
        <row r="24">
          <cell r="N24">
            <v>99</v>
          </cell>
        </row>
        <row r="28">
          <cell r="N28">
            <v>30096</v>
          </cell>
        </row>
        <row r="30">
          <cell r="N30">
            <v>0.4456738437001595</v>
          </cell>
        </row>
        <row r="32">
          <cell r="N32">
            <v>0.35662546517809673</v>
          </cell>
        </row>
        <row r="34">
          <cell r="N34">
            <v>0.8001938417952732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10-490"/>
      <sheetName val="70-490"/>
      <sheetName val="90-490"/>
      <sheetName val="1012"/>
    </sheetNames>
    <sheetDataSet>
      <sheetData sheetId="0"/>
      <sheetData sheetId="1"/>
      <sheetData sheetId="2">
        <row r="39">
          <cell r="B39">
            <v>42552</v>
          </cell>
          <cell r="G39">
            <v>42916</v>
          </cell>
        </row>
      </sheetData>
      <sheetData sheetId="3"/>
      <sheetData sheetId="4"/>
      <sheetData sheetId="5">
        <row r="10">
          <cell r="E10">
            <v>199726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781603</v>
          </cell>
          <cell r="G21">
            <v>0</v>
          </cell>
        </row>
        <row r="27">
          <cell r="E27">
            <v>64199</v>
          </cell>
          <cell r="G27">
            <v>0</v>
          </cell>
        </row>
        <row r="32">
          <cell r="E32">
            <v>4579462</v>
          </cell>
          <cell r="G32">
            <v>-2304575</v>
          </cell>
        </row>
        <row r="37">
          <cell r="E37">
            <v>1337941</v>
          </cell>
          <cell r="G37">
            <v>2304575</v>
          </cell>
        </row>
        <row r="42">
          <cell r="E42">
            <v>116198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5452</v>
          </cell>
          <cell r="G52">
            <v>-5452</v>
          </cell>
        </row>
        <row r="67">
          <cell r="E67">
            <v>17523</v>
          </cell>
          <cell r="G67">
            <v>-17523</v>
          </cell>
        </row>
        <row r="85">
          <cell r="C85">
            <v>189.28064382996286</v>
          </cell>
          <cell r="E85">
            <v>189.28053807767412</v>
          </cell>
          <cell r="G85">
            <v>189.28054662379421</v>
          </cell>
          <cell r="I85">
            <v>189.28069810928736</v>
          </cell>
        </row>
      </sheetData>
      <sheetData sheetId="6"/>
      <sheetData sheetId="7">
        <row r="10">
          <cell r="D10">
            <v>0</v>
          </cell>
          <cell r="F10">
            <v>130371</v>
          </cell>
        </row>
        <row r="11">
          <cell r="D11">
            <v>0</v>
          </cell>
          <cell r="F11">
            <v>0</v>
          </cell>
        </row>
        <row r="12">
          <cell r="D12">
            <v>294524</v>
          </cell>
          <cell r="F12">
            <v>-130371</v>
          </cell>
        </row>
        <row r="13">
          <cell r="D13">
            <v>76951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425517</v>
          </cell>
        </row>
        <row r="16">
          <cell r="D16">
            <v>425517</v>
          </cell>
          <cell r="F16">
            <v>-425517</v>
          </cell>
        </row>
        <row r="17">
          <cell r="D17">
            <v>3882</v>
          </cell>
          <cell r="F17">
            <v>-3882</v>
          </cell>
        </row>
        <row r="18">
          <cell r="D18">
            <v>45483</v>
          </cell>
          <cell r="F18">
            <v>0</v>
          </cell>
        </row>
        <row r="19">
          <cell r="D19">
            <v>9817</v>
          </cell>
          <cell r="F19">
            <v>0</v>
          </cell>
        </row>
        <row r="20">
          <cell r="D20">
            <v>22469</v>
          </cell>
          <cell r="F20">
            <v>0</v>
          </cell>
        </row>
        <row r="21">
          <cell r="D21">
            <v>4172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11125</v>
          </cell>
          <cell r="F23">
            <v>0</v>
          </cell>
        </row>
        <row r="24">
          <cell r="D24">
            <v>23255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0</v>
          </cell>
          <cell r="F26">
            <v>0</v>
          </cell>
        </row>
        <row r="27">
          <cell r="D27">
            <v>377</v>
          </cell>
          <cell r="F27">
            <v>-4</v>
          </cell>
        </row>
        <row r="28">
          <cell r="D28">
            <v>0</v>
          </cell>
          <cell r="F28">
            <v>0</v>
          </cell>
        </row>
        <row r="29">
          <cell r="D29">
            <v>9287</v>
          </cell>
          <cell r="F29">
            <v>-9287</v>
          </cell>
        </row>
        <row r="30">
          <cell r="D30">
            <v>1500</v>
          </cell>
          <cell r="F30">
            <v>-1500</v>
          </cell>
        </row>
        <row r="31">
          <cell r="D31">
            <v>0</v>
          </cell>
          <cell r="F31">
            <v>0</v>
          </cell>
        </row>
        <row r="32">
          <cell r="D32">
            <v>64260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2430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5206</v>
          </cell>
          <cell r="F38">
            <v>-5206</v>
          </cell>
        </row>
        <row r="39">
          <cell r="D39">
            <v>11688</v>
          </cell>
          <cell r="F39">
            <v>0</v>
          </cell>
        </row>
        <row r="40">
          <cell r="D40">
            <v>7064</v>
          </cell>
          <cell r="F40">
            <v>-7064</v>
          </cell>
        </row>
        <row r="41">
          <cell r="D41">
            <v>52678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14598</v>
          </cell>
          <cell r="F43">
            <v>-14598</v>
          </cell>
        </row>
        <row r="44">
          <cell r="D44">
            <v>0</v>
          </cell>
          <cell r="F44">
            <v>0</v>
          </cell>
        </row>
        <row r="45">
          <cell r="D45">
            <v>291281</v>
          </cell>
          <cell r="F45">
            <v>-290611</v>
          </cell>
        </row>
        <row r="57">
          <cell r="D57">
            <v>0</v>
          </cell>
          <cell r="F57">
            <v>0</v>
          </cell>
        </row>
        <row r="58">
          <cell r="D58">
            <v>829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19293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5537</v>
          </cell>
          <cell r="F65">
            <v>0</v>
          </cell>
        </row>
        <row r="66">
          <cell r="D66">
            <v>36583</v>
          </cell>
          <cell r="F66">
            <v>0</v>
          </cell>
        </row>
        <row r="67">
          <cell r="D67">
            <v>24941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-620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82214</v>
          </cell>
          <cell r="F75">
            <v>0</v>
          </cell>
        </row>
        <row r="76">
          <cell r="D76">
            <v>25767</v>
          </cell>
          <cell r="F76">
            <v>0</v>
          </cell>
        </row>
        <row r="77">
          <cell r="D77">
            <v>9285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214</v>
          </cell>
          <cell r="F79">
            <v>0</v>
          </cell>
        </row>
        <row r="80">
          <cell r="D80">
            <v>15641</v>
          </cell>
          <cell r="F80">
            <v>0</v>
          </cell>
        </row>
        <row r="81">
          <cell r="D81">
            <v>23495</v>
          </cell>
          <cell r="F81">
            <v>0</v>
          </cell>
        </row>
        <row r="82">
          <cell r="D82">
            <v>16504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137027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338450</v>
          </cell>
          <cell r="F89">
            <v>0</v>
          </cell>
        </row>
        <row r="90">
          <cell r="D90">
            <v>88200</v>
          </cell>
          <cell r="F90">
            <v>0</v>
          </cell>
        </row>
        <row r="91">
          <cell r="D91">
            <v>10390</v>
          </cell>
          <cell r="F91">
            <v>0</v>
          </cell>
        </row>
        <row r="92">
          <cell r="D92">
            <v>324679</v>
          </cell>
          <cell r="F92">
            <v>-10158</v>
          </cell>
        </row>
        <row r="93">
          <cell r="D93">
            <v>19664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65711</v>
          </cell>
          <cell r="F98">
            <v>0</v>
          </cell>
        </row>
        <row r="99">
          <cell r="D99">
            <v>23796</v>
          </cell>
          <cell r="F99">
            <v>0</v>
          </cell>
        </row>
        <row r="100">
          <cell r="D100">
            <v>1781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4350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161182</v>
          </cell>
          <cell r="F115">
            <v>0</v>
          </cell>
        </row>
        <row r="116">
          <cell r="D116">
            <v>32350</v>
          </cell>
          <cell r="F116">
            <v>0</v>
          </cell>
        </row>
        <row r="117">
          <cell r="D117">
            <v>42384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348315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53085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66400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8169</v>
          </cell>
          <cell r="F134">
            <v>0</v>
          </cell>
        </row>
        <row r="136">
          <cell r="D136">
            <v>443754</v>
          </cell>
          <cell r="F136">
            <v>0</v>
          </cell>
        </row>
        <row r="137">
          <cell r="D137">
            <v>519061</v>
          </cell>
          <cell r="F137">
            <v>0</v>
          </cell>
        </row>
        <row r="138">
          <cell r="D138">
            <v>899671</v>
          </cell>
          <cell r="F138">
            <v>13499</v>
          </cell>
        </row>
        <row r="139">
          <cell r="D139">
            <v>13499</v>
          </cell>
          <cell r="F139">
            <v>-13499</v>
          </cell>
        </row>
        <row r="141">
          <cell r="D141">
            <v>377611</v>
          </cell>
          <cell r="F141">
            <v>-288289</v>
          </cell>
        </row>
        <row r="142">
          <cell r="D142">
            <v>0</v>
          </cell>
          <cell r="F142">
            <v>104480</v>
          </cell>
        </row>
        <row r="143">
          <cell r="D143">
            <v>0</v>
          </cell>
          <cell r="F143">
            <v>183809</v>
          </cell>
        </row>
        <row r="144">
          <cell r="D144">
            <v>0</v>
          </cell>
          <cell r="F144">
            <v>0</v>
          </cell>
        </row>
        <row r="146">
          <cell r="D146">
            <v>48050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51307</v>
          </cell>
          <cell r="F149">
            <v>0</v>
          </cell>
        </row>
        <row r="150">
          <cell r="D150">
            <v>18479</v>
          </cell>
          <cell r="F150">
            <v>0</v>
          </cell>
        </row>
        <row r="151">
          <cell r="D151">
            <v>77557</v>
          </cell>
          <cell r="F151">
            <v>0</v>
          </cell>
        </row>
        <row r="152">
          <cell r="D152">
            <v>13358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375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12969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18494</v>
          </cell>
          <cell r="F193">
            <v>0</v>
          </cell>
        </row>
        <row r="194">
          <cell r="D194">
            <v>243095</v>
          </cell>
          <cell r="F194">
            <v>0</v>
          </cell>
        </row>
        <row r="195">
          <cell r="D195">
            <v>106523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120334</v>
          </cell>
          <cell r="F197">
            <v>0</v>
          </cell>
        </row>
        <row r="198">
          <cell r="D198">
            <v>31587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185571</v>
          </cell>
          <cell r="F205">
            <v>0</v>
          </cell>
        </row>
        <row r="206">
          <cell r="D206">
            <v>12394</v>
          </cell>
          <cell r="F206">
            <v>0</v>
          </cell>
        </row>
        <row r="207">
          <cell r="D207">
            <v>1587</v>
          </cell>
          <cell r="F207">
            <v>0</v>
          </cell>
        </row>
        <row r="211">
          <cell r="D211">
            <v>302655</v>
          </cell>
          <cell r="F211">
            <v>0</v>
          </cell>
        </row>
        <row r="212">
          <cell r="D212">
            <v>44223</v>
          </cell>
          <cell r="F212">
            <v>0</v>
          </cell>
        </row>
        <row r="213">
          <cell r="D213">
            <v>20110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7279</v>
          </cell>
          <cell r="F216">
            <v>0</v>
          </cell>
        </row>
        <row r="221">
          <cell r="D221">
            <v>6932723</v>
          </cell>
        </row>
      </sheetData>
      <sheetData sheetId="8"/>
      <sheetData sheetId="9"/>
      <sheetData sheetId="10">
        <row r="9">
          <cell r="C9">
            <v>1108</v>
          </cell>
          <cell r="D9">
            <v>0</v>
          </cell>
          <cell r="E9">
            <v>1381</v>
          </cell>
          <cell r="F9">
            <v>180</v>
          </cell>
          <cell r="G9">
            <v>5582</v>
          </cell>
          <cell r="H9">
            <v>19244</v>
          </cell>
          <cell r="I9">
            <v>648</v>
          </cell>
          <cell r="J9">
            <v>0</v>
          </cell>
          <cell r="K9">
            <v>0</v>
          </cell>
        </row>
        <row r="22">
          <cell r="N22">
            <v>81</v>
          </cell>
        </row>
        <row r="24">
          <cell r="N24">
            <v>5</v>
          </cell>
        </row>
        <row r="28">
          <cell r="N28">
            <v>29565</v>
          </cell>
        </row>
        <row r="30">
          <cell r="N30">
            <v>0.9519025875190259</v>
          </cell>
        </row>
        <row r="32">
          <cell r="N32">
            <v>3.7476746152545239E-2</v>
          </cell>
        </row>
        <row r="34">
          <cell r="N34">
            <v>3.9370358526098853E-2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con't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3129477.62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956994.73</v>
          </cell>
          <cell r="G21">
            <v>0</v>
          </cell>
        </row>
        <row r="27">
          <cell r="E27">
            <v>223826.38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43147.65</v>
          </cell>
          <cell r="G37">
            <v>2473.85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6999.1100000000006</v>
          </cell>
        </row>
        <row r="52">
          <cell r="E52">
            <v>33451.97</v>
          </cell>
          <cell r="G52">
            <v>-9472.9599999999991</v>
          </cell>
        </row>
        <row r="67">
          <cell r="E67">
            <v>60542.64</v>
          </cell>
          <cell r="G67">
            <v>-4518.8</v>
          </cell>
        </row>
        <row r="85">
          <cell r="C85">
            <v>275.63722222222225</v>
          </cell>
          <cell r="E85">
            <v>235.89746835443034</v>
          </cell>
          <cell r="G85">
            <v>341.6528571428571</v>
          </cell>
          <cell r="I85">
            <v>500</v>
          </cell>
        </row>
      </sheetData>
      <sheetData sheetId="6"/>
      <sheetData sheetId="7">
        <row r="10">
          <cell r="D10">
            <v>0</v>
          </cell>
          <cell r="F10">
            <v>92706.74</v>
          </cell>
        </row>
        <row r="11">
          <cell r="D11">
            <v>0</v>
          </cell>
          <cell r="F11">
            <v>0</v>
          </cell>
        </row>
        <row r="12">
          <cell r="D12">
            <v>164125.01999999999</v>
          </cell>
          <cell r="F12">
            <v>-94460.19</v>
          </cell>
        </row>
        <row r="13">
          <cell r="D13">
            <v>44298.8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219332.28</v>
          </cell>
          <cell r="F15">
            <v>-219332.28</v>
          </cell>
        </row>
        <row r="16">
          <cell r="D16">
            <v>0</v>
          </cell>
          <cell r="F16">
            <v>304561.74</v>
          </cell>
        </row>
        <row r="17">
          <cell r="D17">
            <v>132.77000000000001</v>
          </cell>
          <cell r="F17">
            <v>-132.77000000000001</v>
          </cell>
        </row>
        <row r="18">
          <cell r="D18">
            <v>21331.87</v>
          </cell>
          <cell r="F18">
            <v>0</v>
          </cell>
        </row>
        <row r="19">
          <cell r="D19">
            <v>28024.86</v>
          </cell>
          <cell r="F19">
            <v>0</v>
          </cell>
        </row>
        <row r="20">
          <cell r="D20">
            <v>9476.89</v>
          </cell>
          <cell r="F20">
            <v>0</v>
          </cell>
        </row>
        <row r="21">
          <cell r="D21">
            <v>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16036.93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312676.90000000002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106020.1</v>
          </cell>
          <cell r="F29">
            <v>-106020.1</v>
          </cell>
        </row>
        <row r="30">
          <cell r="D30">
            <v>1674.2</v>
          </cell>
          <cell r="F30">
            <v>-1674.2</v>
          </cell>
        </row>
        <row r="31">
          <cell r="D31">
            <v>57088.14</v>
          </cell>
          <cell r="F31">
            <v>-8000</v>
          </cell>
        </row>
        <row r="32">
          <cell r="D32">
            <v>90214.5</v>
          </cell>
          <cell r="F32">
            <v>-0.02</v>
          </cell>
        </row>
        <row r="33">
          <cell r="D33">
            <v>0</v>
          </cell>
          <cell r="F33">
            <v>0</v>
          </cell>
        </row>
        <row r="34">
          <cell r="D34">
            <v>935.68</v>
          </cell>
          <cell r="F34">
            <v>0</v>
          </cell>
        </row>
        <row r="35">
          <cell r="D35">
            <v>29643.25</v>
          </cell>
          <cell r="F35">
            <v>-29643.25</v>
          </cell>
        </row>
        <row r="36">
          <cell r="D36">
            <v>0</v>
          </cell>
          <cell r="F36">
            <v>15723.68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3096.18</v>
          </cell>
          <cell r="F39">
            <v>0</v>
          </cell>
        </row>
        <row r="40">
          <cell r="D40">
            <v>9744.57</v>
          </cell>
          <cell r="F40">
            <v>-9744.57</v>
          </cell>
        </row>
        <row r="41">
          <cell r="D41">
            <v>8845.73</v>
          </cell>
          <cell r="F41">
            <v>-3701.34</v>
          </cell>
        </row>
        <row r="42">
          <cell r="D42">
            <v>2900.47</v>
          </cell>
          <cell r="F42">
            <v>0</v>
          </cell>
        </row>
        <row r="43">
          <cell r="D43">
            <v>11119.67</v>
          </cell>
          <cell r="F43">
            <v>-11119.67</v>
          </cell>
        </row>
        <row r="44">
          <cell r="D44">
            <v>0</v>
          </cell>
          <cell r="F44">
            <v>0</v>
          </cell>
        </row>
        <row r="45">
          <cell r="D45">
            <v>341788.47</v>
          </cell>
          <cell r="F45">
            <v>-310656.21000000002</v>
          </cell>
        </row>
        <row r="57">
          <cell r="D57">
            <v>743397.16</v>
          </cell>
          <cell r="F57">
            <v>-22800.12</v>
          </cell>
        </row>
        <row r="58">
          <cell r="D58">
            <v>254.22</v>
          </cell>
          <cell r="F58">
            <v>44398.78</v>
          </cell>
        </row>
        <row r="59">
          <cell r="D59">
            <v>0</v>
          </cell>
          <cell r="F59">
            <v>0</v>
          </cell>
        </row>
        <row r="60">
          <cell r="D60">
            <v>22448.18</v>
          </cell>
          <cell r="F60">
            <v>0</v>
          </cell>
        </row>
        <row r="61">
          <cell r="D61">
            <v>4137.3599999999997</v>
          </cell>
          <cell r="F61">
            <v>-1090.83</v>
          </cell>
        </row>
        <row r="62">
          <cell r="D62">
            <v>7889.2</v>
          </cell>
          <cell r="F62">
            <v>-7889.2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3337.33</v>
          </cell>
          <cell r="F65">
            <v>-1733.35</v>
          </cell>
        </row>
        <row r="66">
          <cell r="D66">
            <v>0</v>
          </cell>
          <cell r="F66">
            <v>0</v>
          </cell>
        </row>
        <row r="67">
          <cell r="D67">
            <v>34311.71</v>
          </cell>
          <cell r="F67">
            <v>13575.29</v>
          </cell>
        </row>
        <row r="68">
          <cell r="D68">
            <v>0</v>
          </cell>
          <cell r="F68">
            <v>0</v>
          </cell>
        </row>
        <row r="69">
          <cell r="D69">
            <v>5093.34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47241.52</v>
          </cell>
          <cell r="F75">
            <v>0</v>
          </cell>
        </row>
        <row r="76">
          <cell r="D76">
            <v>7448.7</v>
          </cell>
          <cell r="F76">
            <v>0</v>
          </cell>
        </row>
        <row r="77">
          <cell r="D77">
            <v>8109.56</v>
          </cell>
          <cell r="F77">
            <v>0</v>
          </cell>
        </row>
        <row r="78">
          <cell r="D78">
            <v>4997.6400000000003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29094.36</v>
          </cell>
          <cell r="F80">
            <v>0</v>
          </cell>
        </row>
        <row r="81">
          <cell r="D81">
            <v>5391.64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7895.67</v>
          </cell>
          <cell r="F83">
            <v>0</v>
          </cell>
        </row>
        <row r="84">
          <cell r="D84">
            <v>88692.67</v>
          </cell>
          <cell r="F84">
            <v>0</v>
          </cell>
        </row>
        <row r="85">
          <cell r="D85">
            <v>25593.47</v>
          </cell>
          <cell r="F85">
            <v>-1573</v>
          </cell>
        </row>
        <row r="89">
          <cell r="D89">
            <v>181732.76</v>
          </cell>
          <cell r="F89">
            <v>-221.15</v>
          </cell>
        </row>
        <row r="90">
          <cell r="D90">
            <v>17733.009999999998</v>
          </cell>
          <cell r="F90">
            <v>0</v>
          </cell>
        </row>
        <row r="91">
          <cell r="D91">
            <v>57360.68</v>
          </cell>
          <cell r="F91">
            <v>0</v>
          </cell>
        </row>
        <row r="92">
          <cell r="D92">
            <v>110960.57</v>
          </cell>
          <cell r="F92">
            <v>0</v>
          </cell>
        </row>
        <row r="93">
          <cell r="D93">
            <v>0</v>
          </cell>
          <cell r="F93">
            <v>0</v>
          </cell>
        </row>
        <row r="94">
          <cell r="D94">
            <v>9940.32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3928.02</v>
          </cell>
          <cell r="F100">
            <v>0</v>
          </cell>
        </row>
        <row r="101">
          <cell r="D101">
            <v>49455.38</v>
          </cell>
          <cell r="F101">
            <v>0</v>
          </cell>
        </row>
        <row r="102">
          <cell r="D102">
            <v>10741.91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6824.6</v>
          </cell>
          <cell r="F117">
            <v>0</v>
          </cell>
        </row>
        <row r="118">
          <cell r="D118">
            <v>77038.13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176209.07</v>
          </cell>
        </row>
        <row r="125">
          <cell r="D125">
            <v>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211297.23</v>
          </cell>
          <cell r="F128">
            <v>-174557.46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35487.21</v>
          </cell>
          <cell r="F134">
            <v>0</v>
          </cell>
        </row>
        <row r="136">
          <cell r="D136">
            <v>467877.31</v>
          </cell>
          <cell r="F136">
            <v>-424.44</v>
          </cell>
        </row>
        <row r="137">
          <cell r="D137">
            <v>416216.95</v>
          </cell>
          <cell r="F137">
            <v>424.44</v>
          </cell>
        </row>
        <row r="138">
          <cell r="D138">
            <v>505187.82</v>
          </cell>
          <cell r="F138">
            <v>322.99</v>
          </cell>
        </row>
        <row r="139">
          <cell r="D139">
            <v>0</v>
          </cell>
          <cell r="F139">
            <v>0</v>
          </cell>
        </row>
        <row r="141">
          <cell r="D141">
            <v>51913.279999999999</v>
          </cell>
          <cell r="F141">
            <v>0</v>
          </cell>
        </row>
        <row r="142">
          <cell r="D142">
            <v>48868.54</v>
          </cell>
          <cell r="F142">
            <v>0</v>
          </cell>
        </row>
        <row r="143">
          <cell r="D143">
            <v>67717.070000000007</v>
          </cell>
          <cell r="F143">
            <v>0</v>
          </cell>
        </row>
        <row r="144">
          <cell r="D144">
            <v>0</v>
          </cell>
          <cell r="F144">
            <v>0</v>
          </cell>
        </row>
        <row r="146">
          <cell r="D146">
            <v>40533.94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61830.61</v>
          </cell>
          <cell r="F148">
            <v>0</v>
          </cell>
        </row>
        <row r="149">
          <cell r="D149">
            <v>21469.4</v>
          </cell>
          <cell r="F149">
            <v>-384.0582534486735</v>
          </cell>
        </row>
        <row r="150">
          <cell r="D150">
            <v>4992.55</v>
          </cell>
          <cell r="F150">
            <v>0</v>
          </cell>
        </row>
        <row r="151">
          <cell r="D151">
            <v>37651.25</v>
          </cell>
          <cell r="F151">
            <v>0</v>
          </cell>
        </row>
        <row r="152">
          <cell r="D152">
            <v>29754.13</v>
          </cell>
          <cell r="F152">
            <v>0</v>
          </cell>
        </row>
        <row r="153">
          <cell r="D153">
            <v>335.06</v>
          </cell>
          <cell r="F153">
            <v>0</v>
          </cell>
        </row>
        <row r="154">
          <cell r="D154">
            <v>2347.64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13317.58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1950.7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109.13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451</v>
          </cell>
          <cell r="F193">
            <v>-451</v>
          </cell>
        </row>
        <row r="194">
          <cell r="D194">
            <v>293606.7</v>
          </cell>
          <cell r="F194">
            <v>-14027.23</v>
          </cell>
        </row>
        <row r="195">
          <cell r="D195">
            <v>54884.63</v>
          </cell>
          <cell r="F195">
            <v>-2636.1964533870428</v>
          </cell>
        </row>
        <row r="196">
          <cell r="D196">
            <v>0</v>
          </cell>
          <cell r="F196">
            <v>0</v>
          </cell>
        </row>
        <row r="197">
          <cell r="D197">
            <v>89744.53</v>
          </cell>
          <cell r="F197">
            <v>-4310.5731367212838</v>
          </cell>
        </row>
        <row r="198">
          <cell r="D198">
            <v>15102.19</v>
          </cell>
          <cell r="F198">
            <v>0</v>
          </cell>
        </row>
        <row r="199">
          <cell r="D199">
            <v>3625.66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2387.31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90756.24</v>
          </cell>
          <cell r="F205">
            <v>0</v>
          </cell>
        </row>
        <row r="206">
          <cell r="D206">
            <v>3565.2</v>
          </cell>
          <cell r="F206">
            <v>0</v>
          </cell>
        </row>
        <row r="207">
          <cell r="D207">
            <v>9931.57</v>
          </cell>
          <cell r="F207">
            <v>0</v>
          </cell>
        </row>
        <row r="211">
          <cell r="D211">
            <v>203510.04</v>
          </cell>
          <cell r="F211">
            <v>-45552.59</v>
          </cell>
        </row>
        <row r="212">
          <cell r="D212">
            <v>36027.160000000003</v>
          </cell>
          <cell r="F212">
            <v>0</v>
          </cell>
        </row>
        <row r="213">
          <cell r="D213">
            <v>20399.46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7165.91</v>
          </cell>
          <cell r="F216">
            <v>-1465.89</v>
          </cell>
        </row>
        <row r="221">
          <cell r="D221">
            <v>5899571.3899999987</v>
          </cell>
        </row>
      </sheetData>
      <sheetData sheetId="8"/>
      <sheetData sheetId="9"/>
      <sheetData sheetId="10"/>
      <sheetData sheetId="11">
        <row r="9">
          <cell r="C9">
            <v>16098</v>
          </cell>
          <cell r="D9">
            <v>0</v>
          </cell>
          <cell r="E9">
            <v>1681</v>
          </cell>
          <cell r="F9">
            <v>461</v>
          </cell>
          <cell r="G9">
            <v>0</v>
          </cell>
          <cell r="H9">
            <v>161</v>
          </cell>
          <cell r="I9">
            <v>956</v>
          </cell>
          <cell r="J9">
            <v>41</v>
          </cell>
          <cell r="K9">
            <v>33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0.44363013698630138</v>
          </cell>
        </row>
        <row r="32">
          <cell r="N32">
            <v>0.36753424657534245</v>
          </cell>
        </row>
        <row r="34">
          <cell r="N34">
            <v>0.82846997066543149</v>
          </cell>
        </row>
      </sheetData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10-490"/>
      <sheetName val="70-490"/>
      <sheetName val="90-490"/>
      <sheetName val="1012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1882986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985755</v>
          </cell>
          <cell r="G21">
            <v>0</v>
          </cell>
        </row>
        <row r="27">
          <cell r="E27">
            <v>316561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407141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334027</v>
          </cell>
          <cell r="G47">
            <v>0</v>
          </cell>
        </row>
        <row r="52">
          <cell r="E52">
            <v>255505</v>
          </cell>
          <cell r="G52">
            <v>0</v>
          </cell>
        </row>
        <row r="67">
          <cell r="E67">
            <v>51559</v>
          </cell>
          <cell r="G67">
            <v>-3689</v>
          </cell>
        </row>
        <row r="85">
          <cell r="C85">
            <v>173.9914821124361</v>
          </cell>
          <cell r="E85">
            <v>173.99268292682927</v>
          </cell>
          <cell r="G85">
            <v>173.99192462987887</v>
          </cell>
          <cell r="I85">
            <v>173.99166666666667</v>
          </cell>
        </row>
      </sheetData>
      <sheetData sheetId="6"/>
      <sheetData sheetId="7">
        <row r="10">
          <cell r="D10">
            <v>0</v>
          </cell>
          <cell r="F10">
            <v>98115</v>
          </cell>
        </row>
        <row r="11">
          <cell r="D11">
            <v>0</v>
          </cell>
          <cell r="F11">
            <v>0</v>
          </cell>
        </row>
        <row r="12">
          <cell r="D12">
            <v>165047</v>
          </cell>
          <cell r="F12">
            <v>-98115</v>
          </cell>
        </row>
        <row r="13">
          <cell r="D13">
            <v>49936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214479</v>
          </cell>
          <cell r="F16">
            <v>-25426</v>
          </cell>
        </row>
        <row r="17">
          <cell r="D17">
            <v>979</v>
          </cell>
          <cell r="F17">
            <v>-979</v>
          </cell>
        </row>
        <row r="18">
          <cell r="D18">
            <v>20007</v>
          </cell>
          <cell r="F18">
            <v>0</v>
          </cell>
        </row>
        <row r="19">
          <cell r="D19">
            <v>10937</v>
          </cell>
          <cell r="F19">
            <v>0</v>
          </cell>
        </row>
        <row r="20">
          <cell r="D20">
            <v>8178</v>
          </cell>
          <cell r="F20">
            <v>516</v>
          </cell>
        </row>
        <row r="21">
          <cell r="D21">
            <v>8676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9406</v>
          </cell>
          <cell r="F23">
            <v>0</v>
          </cell>
        </row>
        <row r="24">
          <cell r="D24">
            <v>10671</v>
          </cell>
          <cell r="F24">
            <v>0</v>
          </cell>
        </row>
        <row r="25">
          <cell r="D25">
            <v>5482</v>
          </cell>
          <cell r="F25">
            <v>0</v>
          </cell>
        </row>
        <row r="26">
          <cell r="D26">
            <v>280950</v>
          </cell>
          <cell r="F26">
            <v>0</v>
          </cell>
        </row>
        <row r="27">
          <cell r="D27">
            <v>146745</v>
          </cell>
          <cell r="F27">
            <v>-142612</v>
          </cell>
        </row>
        <row r="28">
          <cell r="D28">
            <v>0</v>
          </cell>
          <cell r="F28">
            <v>0</v>
          </cell>
        </row>
        <row r="29">
          <cell r="D29">
            <v>9603</v>
          </cell>
          <cell r="F29">
            <v>-9603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49000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63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33553</v>
          </cell>
          <cell r="F36">
            <v>0</v>
          </cell>
        </row>
        <row r="37">
          <cell r="D37">
            <v>4250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2741</v>
          </cell>
          <cell r="F39">
            <v>0</v>
          </cell>
        </row>
        <row r="40">
          <cell r="D40">
            <v>2823</v>
          </cell>
          <cell r="F40">
            <v>-2544</v>
          </cell>
        </row>
        <row r="41">
          <cell r="D41">
            <v>36928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7708</v>
          </cell>
          <cell r="F43">
            <v>-7708</v>
          </cell>
        </row>
        <row r="44">
          <cell r="D44">
            <v>0</v>
          </cell>
          <cell r="F44">
            <v>0</v>
          </cell>
        </row>
        <row r="45">
          <cell r="D45">
            <v>5479</v>
          </cell>
          <cell r="F45">
            <v>-3200</v>
          </cell>
        </row>
        <row r="57">
          <cell r="D57">
            <v>0</v>
          </cell>
          <cell r="F57">
            <v>0</v>
          </cell>
        </row>
        <row r="58">
          <cell r="D58">
            <v>15079</v>
          </cell>
          <cell r="F58">
            <v>0</v>
          </cell>
        </row>
        <row r="59">
          <cell r="D59">
            <v>0</v>
          </cell>
          <cell r="F59">
            <v>142609</v>
          </cell>
        </row>
        <row r="60">
          <cell r="D60">
            <v>10751</v>
          </cell>
          <cell r="F60">
            <v>0</v>
          </cell>
        </row>
        <row r="61">
          <cell r="D61">
            <v>8595</v>
          </cell>
          <cell r="F61">
            <v>0</v>
          </cell>
        </row>
        <row r="62">
          <cell r="D62">
            <v>361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5041</v>
          </cell>
          <cell r="F65">
            <v>0</v>
          </cell>
        </row>
        <row r="66">
          <cell r="D66">
            <v>37417</v>
          </cell>
          <cell r="F66">
            <v>-1019</v>
          </cell>
        </row>
        <row r="67">
          <cell r="D67">
            <v>280038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2669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34126</v>
          </cell>
          <cell r="F75">
            <v>0</v>
          </cell>
        </row>
        <row r="76">
          <cell r="D76">
            <v>13829</v>
          </cell>
          <cell r="F76">
            <v>0</v>
          </cell>
        </row>
        <row r="77">
          <cell r="D77">
            <v>6562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282</v>
          </cell>
          <cell r="F79">
            <v>0</v>
          </cell>
        </row>
        <row r="80">
          <cell r="D80">
            <v>5373</v>
          </cell>
          <cell r="F80">
            <v>0</v>
          </cell>
        </row>
        <row r="81">
          <cell r="D81">
            <v>13478</v>
          </cell>
          <cell r="F81">
            <v>0</v>
          </cell>
        </row>
        <row r="82">
          <cell r="D82">
            <v>12753</v>
          </cell>
          <cell r="F82">
            <v>0</v>
          </cell>
        </row>
        <row r="83">
          <cell r="D83">
            <v>11625</v>
          </cell>
          <cell r="F83">
            <v>0</v>
          </cell>
        </row>
        <row r="84">
          <cell r="D84">
            <v>68006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304902</v>
          </cell>
          <cell r="F91">
            <v>0</v>
          </cell>
        </row>
        <row r="92">
          <cell r="D92">
            <v>3371</v>
          </cell>
          <cell r="F92">
            <v>-2386</v>
          </cell>
        </row>
        <row r="93">
          <cell r="D93">
            <v>3134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21</v>
          </cell>
          <cell r="F100">
            <v>0</v>
          </cell>
        </row>
        <row r="101">
          <cell r="D101">
            <v>42600</v>
          </cell>
          <cell r="F101">
            <v>0</v>
          </cell>
        </row>
        <row r="102">
          <cell r="D102">
            <v>4661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7645</v>
          </cell>
          <cell r="F117">
            <v>0</v>
          </cell>
        </row>
        <row r="118">
          <cell r="D118">
            <v>63900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148901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57968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15119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16650</v>
          </cell>
          <cell r="F134">
            <v>0</v>
          </cell>
        </row>
        <row r="136">
          <cell r="D136">
            <v>204927</v>
          </cell>
          <cell r="F136">
            <v>0</v>
          </cell>
        </row>
        <row r="137">
          <cell r="D137">
            <v>226961</v>
          </cell>
          <cell r="F137">
            <v>0</v>
          </cell>
        </row>
        <row r="138">
          <cell r="D138">
            <v>382209</v>
          </cell>
          <cell r="F138">
            <v>8374</v>
          </cell>
        </row>
        <row r="139">
          <cell r="D139">
            <v>8374</v>
          </cell>
          <cell r="F139">
            <v>-8374</v>
          </cell>
        </row>
        <row r="141">
          <cell r="D141">
            <v>170631</v>
          </cell>
          <cell r="F141">
            <v>-128117</v>
          </cell>
        </row>
        <row r="142">
          <cell r="D142">
            <v>0</v>
          </cell>
          <cell r="F142">
            <v>47086</v>
          </cell>
        </row>
        <row r="143">
          <cell r="D143">
            <v>0</v>
          </cell>
          <cell r="F143">
            <v>81031</v>
          </cell>
        </row>
        <row r="144">
          <cell r="D144">
            <v>0</v>
          </cell>
          <cell r="F144">
            <v>0</v>
          </cell>
        </row>
        <row r="146">
          <cell r="D146">
            <v>31050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546</v>
          </cell>
          <cell r="F150">
            <v>0</v>
          </cell>
        </row>
        <row r="151">
          <cell r="D151">
            <v>79836</v>
          </cell>
          <cell r="F151">
            <v>3224</v>
          </cell>
        </row>
        <row r="152">
          <cell r="D152">
            <v>1422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450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9238</v>
          </cell>
          <cell r="F161">
            <v>1208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1598</v>
          </cell>
          <cell r="F193">
            <v>0</v>
          </cell>
        </row>
        <row r="194">
          <cell r="D194">
            <v>229543</v>
          </cell>
          <cell r="F194">
            <v>-8883</v>
          </cell>
        </row>
        <row r="195">
          <cell r="D195">
            <v>57647</v>
          </cell>
          <cell r="F195">
            <v>-2231</v>
          </cell>
        </row>
        <row r="196">
          <cell r="D196">
            <v>0</v>
          </cell>
          <cell r="F196">
            <v>0</v>
          </cell>
        </row>
        <row r="197">
          <cell r="D197">
            <v>148787</v>
          </cell>
          <cell r="F197">
            <v>-5758</v>
          </cell>
        </row>
        <row r="198">
          <cell r="D198">
            <v>14302</v>
          </cell>
          <cell r="F198">
            <v>965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118489</v>
          </cell>
          <cell r="F205">
            <v>20360</v>
          </cell>
        </row>
        <row r="206">
          <cell r="D206">
            <v>1891</v>
          </cell>
          <cell r="F206">
            <v>0</v>
          </cell>
        </row>
        <row r="207">
          <cell r="D207">
            <v>462</v>
          </cell>
          <cell r="F207">
            <v>82</v>
          </cell>
        </row>
        <row r="211">
          <cell r="D211">
            <v>67459</v>
          </cell>
          <cell r="F211">
            <v>0</v>
          </cell>
        </row>
        <row r="212">
          <cell r="D212">
            <v>33968</v>
          </cell>
          <cell r="F212">
            <v>0</v>
          </cell>
        </row>
        <row r="213">
          <cell r="D213">
            <v>2736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3211</v>
          </cell>
          <cell r="F216">
            <v>0</v>
          </cell>
        </row>
        <row r="221">
          <cell r="D221">
            <v>4074235</v>
          </cell>
        </row>
      </sheetData>
      <sheetData sheetId="8"/>
      <sheetData sheetId="9"/>
      <sheetData sheetId="10">
        <row r="9">
          <cell r="C9">
            <v>9982</v>
          </cell>
          <cell r="D9">
            <v>0</v>
          </cell>
          <cell r="E9">
            <v>1871</v>
          </cell>
          <cell r="F9">
            <v>735</v>
          </cell>
          <cell r="G9">
            <v>0</v>
          </cell>
          <cell r="H9">
            <v>2340</v>
          </cell>
          <cell r="I9">
            <v>0</v>
          </cell>
          <cell r="J9">
            <v>1796</v>
          </cell>
          <cell r="K9">
            <v>870</v>
          </cell>
        </row>
        <row r="22">
          <cell r="N22">
            <v>84</v>
          </cell>
        </row>
        <row r="24">
          <cell r="N24">
            <v>84</v>
          </cell>
        </row>
        <row r="28">
          <cell r="N28">
            <v>30660</v>
          </cell>
        </row>
        <row r="30">
          <cell r="N30">
            <v>0.57384213959556429</v>
          </cell>
        </row>
        <row r="32">
          <cell r="N32">
            <v>0.32557077625570774</v>
          </cell>
        </row>
        <row r="34">
          <cell r="N34">
            <v>0.56735250653631908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10-490"/>
      <sheetName val="60-490"/>
      <sheetName val="70-490"/>
      <sheetName val="90-490"/>
      <sheetName val="1012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2732968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502610</v>
          </cell>
          <cell r="G21">
            <v>0</v>
          </cell>
        </row>
        <row r="27">
          <cell r="E27">
            <v>143676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136868</v>
          </cell>
          <cell r="G37">
            <v>0</v>
          </cell>
        </row>
        <row r="42">
          <cell r="E42">
            <v>628865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64959</v>
          </cell>
          <cell r="G52">
            <v>0</v>
          </cell>
        </row>
        <row r="67">
          <cell r="E67">
            <v>50551</v>
          </cell>
          <cell r="G67">
            <v>-450</v>
          </cell>
        </row>
        <row r="85">
          <cell r="C85">
            <v>188.52173913043478</v>
          </cell>
          <cell r="E85">
            <v>188.52486187845304</v>
          </cell>
          <cell r="G85">
            <v>188.53030303030303</v>
          </cell>
          <cell r="I85">
            <v>188.5220338983051</v>
          </cell>
        </row>
      </sheetData>
      <sheetData sheetId="6"/>
      <sheetData sheetId="7">
        <row r="10">
          <cell r="D10">
            <v>0</v>
          </cell>
          <cell r="F10">
            <v>113960</v>
          </cell>
        </row>
        <row r="11">
          <cell r="D11">
            <v>0</v>
          </cell>
          <cell r="F11">
            <v>0</v>
          </cell>
        </row>
        <row r="12">
          <cell r="D12">
            <v>284534</v>
          </cell>
          <cell r="F12">
            <v>-113960</v>
          </cell>
        </row>
        <row r="13">
          <cell r="D13">
            <v>27355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214582</v>
          </cell>
          <cell r="F16">
            <v>23335</v>
          </cell>
        </row>
        <row r="17">
          <cell r="D17">
            <v>1706</v>
          </cell>
          <cell r="F17">
            <v>-1706</v>
          </cell>
        </row>
        <row r="18">
          <cell r="D18">
            <v>10709</v>
          </cell>
          <cell r="F18">
            <v>0</v>
          </cell>
        </row>
        <row r="19">
          <cell r="D19">
            <v>9250</v>
          </cell>
          <cell r="F19">
            <v>0</v>
          </cell>
        </row>
        <row r="20">
          <cell r="D20">
            <v>13112</v>
          </cell>
          <cell r="F20">
            <v>-50</v>
          </cell>
        </row>
        <row r="21">
          <cell r="D21">
            <v>18112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4563</v>
          </cell>
          <cell r="F23">
            <v>0</v>
          </cell>
        </row>
        <row r="24">
          <cell r="D24">
            <v>11029</v>
          </cell>
          <cell r="F24">
            <v>0</v>
          </cell>
        </row>
        <row r="25">
          <cell r="D25">
            <v>5931</v>
          </cell>
          <cell r="F25">
            <v>0</v>
          </cell>
        </row>
        <row r="26">
          <cell r="D26">
            <v>386419</v>
          </cell>
          <cell r="F26">
            <v>0</v>
          </cell>
        </row>
        <row r="27">
          <cell r="D27">
            <v>13801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27386</v>
          </cell>
          <cell r="F29">
            <v>-27386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52310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465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130</v>
          </cell>
          <cell r="F38">
            <v>-130</v>
          </cell>
        </row>
        <row r="39">
          <cell r="D39">
            <v>3409</v>
          </cell>
          <cell r="F39">
            <v>0</v>
          </cell>
        </row>
        <row r="40">
          <cell r="D40">
            <v>3807</v>
          </cell>
          <cell r="F40">
            <v>-3807</v>
          </cell>
        </row>
        <row r="41">
          <cell r="D41">
            <v>63278</v>
          </cell>
          <cell r="F41">
            <v>-18</v>
          </cell>
        </row>
        <row r="42">
          <cell r="D42">
            <v>75</v>
          </cell>
          <cell r="F42">
            <v>0</v>
          </cell>
        </row>
        <row r="43">
          <cell r="D43">
            <v>5733</v>
          </cell>
          <cell r="F43">
            <v>-5733</v>
          </cell>
        </row>
        <row r="44">
          <cell r="D44">
            <v>0</v>
          </cell>
          <cell r="F44">
            <v>0</v>
          </cell>
        </row>
        <row r="45">
          <cell r="D45">
            <v>3617</v>
          </cell>
          <cell r="F45">
            <v>0</v>
          </cell>
        </row>
        <row r="57">
          <cell r="D57">
            <v>0</v>
          </cell>
          <cell r="F57">
            <v>0</v>
          </cell>
        </row>
        <row r="58">
          <cell r="D58">
            <v>87967</v>
          </cell>
          <cell r="F58">
            <v>0</v>
          </cell>
        </row>
        <row r="59">
          <cell r="D59">
            <v>64072</v>
          </cell>
          <cell r="F59">
            <v>0</v>
          </cell>
        </row>
        <row r="60">
          <cell r="D60">
            <v>25977</v>
          </cell>
          <cell r="F60">
            <v>0</v>
          </cell>
        </row>
        <row r="61">
          <cell r="D61">
            <v>18489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48702</v>
          </cell>
          <cell r="F66">
            <v>-528</v>
          </cell>
        </row>
        <row r="67">
          <cell r="D67">
            <v>32410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3519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54383</v>
          </cell>
          <cell r="F75">
            <v>0</v>
          </cell>
        </row>
        <row r="76">
          <cell r="D76">
            <v>12627</v>
          </cell>
          <cell r="F76">
            <v>0</v>
          </cell>
        </row>
        <row r="77">
          <cell r="D77">
            <v>16461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9054</v>
          </cell>
          <cell r="F79">
            <v>0</v>
          </cell>
        </row>
        <row r="80">
          <cell r="D80">
            <v>29849</v>
          </cell>
          <cell r="F80">
            <v>0</v>
          </cell>
        </row>
        <row r="81">
          <cell r="D81">
            <v>37377</v>
          </cell>
          <cell r="F81">
            <v>0</v>
          </cell>
        </row>
        <row r="82">
          <cell r="D82">
            <v>10548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73890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402222</v>
          </cell>
          <cell r="F91">
            <v>0</v>
          </cell>
        </row>
        <row r="92">
          <cell r="D92">
            <v>4276</v>
          </cell>
          <cell r="F92">
            <v>-400</v>
          </cell>
        </row>
        <row r="93">
          <cell r="D93">
            <v>5046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333</v>
          </cell>
          <cell r="F100">
            <v>0</v>
          </cell>
        </row>
        <row r="101">
          <cell r="D101">
            <v>56451</v>
          </cell>
          <cell r="F101">
            <v>0</v>
          </cell>
        </row>
        <row r="102">
          <cell r="D102">
            <v>11222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9880</v>
          </cell>
          <cell r="F117">
            <v>0</v>
          </cell>
        </row>
        <row r="118">
          <cell r="D118">
            <v>103903</v>
          </cell>
          <cell r="F118">
            <v>0</v>
          </cell>
        </row>
        <row r="119">
          <cell r="D119">
            <v>168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150439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38110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18204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18845</v>
          </cell>
          <cell r="F134">
            <v>0</v>
          </cell>
        </row>
        <row r="136">
          <cell r="D136">
            <v>323306</v>
          </cell>
          <cell r="F136">
            <v>0</v>
          </cell>
        </row>
        <row r="137">
          <cell r="D137">
            <v>215030</v>
          </cell>
          <cell r="F137">
            <v>0</v>
          </cell>
        </row>
        <row r="138">
          <cell r="D138">
            <v>605226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235905</v>
          </cell>
          <cell r="F141">
            <v>-169210</v>
          </cell>
        </row>
        <row r="142">
          <cell r="D142">
            <v>0</v>
          </cell>
          <cell r="F142">
            <v>44358</v>
          </cell>
        </row>
        <row r="143">
          <cell r="D143">
            <v>0</v>
          </cell>
          <cell r="F143">
            <v>124852</v>
          </cell>
        </row>
        <row r="144">
          <cell r="D144">
            <v>0</v>
          </cell>
          <cell r="F144">
            <v>0</v>
          </cell>
        </row>
        <row r="146">
          <cell r="D146">
            <v>38168</v>
          </cell>
          <cell r="F146">
            <v>0</v>
          </cell>
        </row>
        <row r="147">
          <cell r="D147">
            <v>132305</v>
          </cell>
          <cell r="F147">
            <v>0</v>
          </cell>
        </row>
        <row r="148">
          <cell r="D148">
            <v>26962</v>
          </cell>
          <cell r="F148">
            <v>0</v>
          </cell>
        </row>
        <row r="149">
          <cell r="D149">
            <v>149922</v>
          </cell>
          <cell r="F149">
            <v>0</v>
          </cell>
        </row>
        <row r="150">
          <cell r="D150">
            <v>933</v>
          </cell>
          <cell r="F150">
            <v>0</v>
          </cell>
        </row>
        <row r="151">
          <cell r="D151">
            <v>46596</v>
          </cell>
          <cell r="F151">
            <v>764</v>
          </cell>
        </row>
        <row r="152">
          <cell r="D152">
            <v>10202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75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11746</v>
          </cell>
          <cell r="F161">
            <v>1396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135</v>
          </cell>
          <cell r="F188">
            <v>0</v>
          </cell>
        </row>
        <row r="189">
          <cell r="D189">
            <v>41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145309</v>
          </cell>
          <cell r="F194">
            <v>-5623</v>
          </cell>
        </row>
        <row r="195">
          <cell r="D195">
            <v>27575</v>
          </cell>
          <cell r="F195">
            <v>-1067</v>
          </cell>
        </row>
        <row r="196">
          <cell r="D196">
            <v>0</v>
          </cell>
          <cell r="F196">
            <v>0</v>
          </cell>
        </row>
        <row r="197">
          <cell r="D197">
            <v>100649</v>
          </cell>
          <cell r="F197">
            <v>-3895</v>
          </cell>
        </row>
        <row r="198">
          <cell r="D198">
            <v>14309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53070</v>
          </cell>
          <cell r="F205">
            <v>9263</v>
          </cell>
        </row>
        <row r="206">
          <cell r="D206">
            <v>206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143111</v>
          </cell>
          <cell r="F211">
            <v>0</v>
          </cell>
        </row>
        <row r="212">
          <cell r="D212">
            <v>26430</v>
          </cell>
          <cell r="F212">
            <v>0</v>
          </cell>
        </row>
        <row r="213">
          <cell r="D213">
            <v>2000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2530</v>
          </cell>
          <cell r="F216">
            <v>0</v>
          </cell>
        </row>
        <row r="221">
          <cell r="D221">
            <v>4817478</v>
          </cell>
        </row>
      </sheetData>
      <sheetData sheetId="8"/>
      <sheetData sheetId="9"/>
      <sheetData sheetId="10">
        <row r="9">
          <cell r="C9">
            <v>16100</v>
          </cell>
          <cell r="D9">
            <v>0</v>
          </cell>
          <cell r="E9">
            <v>792</v>
          </cell>
          <cell r="F9">
            <v>309</v>
          </cell>
          <cell r="G9">
            <v>0</v>
          </cell>
          <cell r="H9">
            <v>726</v>
          </cell>
          <cell r="I9">
            <v>3692</v>
          </cell>
          <cell r="J9">
            <v>0</v>
          </cell>
          <cell r="K9">
            <v>228</v>
          </cell>
        </row>
        <row r="22">
          <cell r="N22">
            <v>77</v>
          </cell>
        </row>
        <row r="24">
          <cell r="N24">
            <v>77</v>
          </cell>
        </row>
        <row r="28">
          <cell r="N28">
            <v>28105</v>
          </cell>
        </row>
        <row r="30">
          <cell r="N30">
            <v>0.77733499377334991</v>
          </cell>
        </row>
        <row r="32">
          <cell r="N32">
            <v>0.57285180572851802</v>
          </cell>
        </row>
        <row r="34">
          <cell r="N34">
            <v>0.73694328740788206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10-490"/>
      <sheetName val="70-490"/>
      <sheetName val="80-490"/>
      <sheetName val="90-490"/>
      <sheetName val="1012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6360388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1549991</v>
          </cell>
          <cell r="G21">
            <v>0</v>
          </cell>
        </row>
        <row r="27">
          <cell r="E27">
            <v>1021320</v>
          </cell>
          <cell r="G27">
            <v>0</v>
          </cell>
        </row>
        <row r="32">
          <cell r="E32">
            <v>14365</v>
          </cell>
          <cell r="G32">
            <v>0</v>
          </cell>
        </row>
        <row r="37">
          <cell r="E37">
            <v>377831</v>
          </cell>
          <cell r="G37">
            <v>0</v>
          </cell>
        </row>
        <row r="42">
          <cell r="E42">
            <v>74466</v>
          </cell>
          <cell r="G42">
            <v>0</v>
          </cell>
        </row>
        <row r="47">
          <cell r="E47">
            <v>633161</v>
          </cell>
          <cell r="G47">
            <v>0</v>
          </cell>
        </row>
        <row r="52">
          <cell r="E52">
            <v>508508</v>
          </cell>
          <cell r="G52">
            <v>0</v>
          </cell>
        </row>
        <row r="67">
          <cell r="E67">
            <v>188156</v>
          </cell>
          <cell r="G67">
            <v>-3898</v>
          </cell>
        </row>
        <row r="85">
          <cell r="C85">
            <v>326.84112149532712</v>
          </cell>
          <cell r="E85">
            <v>326.84324324324325</v>
          </cell>
          <cell r="G85">
            <v>326.84653465346537</v>
          </cell>
          <cell r="I85">
            <v>326.84410646387835</v>
          </cell>
        </row>
      </sheetData>
      <sheetData sheetId="6"/>
      <sheetData sheetId="7">
        <row r="10">
          <cell r="D10">
            <v>0</v>
          </cell>
          <cell r="F10">
            <v>182308</v>
          </cell>
        </row>
        <row r="11">
          <cell r="D11">
            <v>0</v>
          </cell>
          <cell r="F11">
            <v>0</v>
          </cell>
        </row>
        <row r="12">
          <cell r="D12">
            <v>375178</v>
          </cell>
          <cell r="F12">
            <v>-182308</v>
          </cell>
        </row>
        <row r="13">
          <cell r="D13">
            <v>36464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540769</v>
          </cell>
          <cell r="F16">
            <v>119569</v>
          </cell>
        </row>
        <row r="17">
          <cell r="D17">
            <v>4751</v>
          </cell>
          <cell r="F17">
            <v>-4751</v>
          </cell>
        </row>
        <row r="18">
          <cell r="D18">
            <v>16909</v>
          </cell>
          <cell r="F18">
            <v>0</v>
          </cell>
        </row>
        <row r="19">
          <cell r="D19">
            <v>15007</v>
          </cell>
          <cell r="F19">
            <v>0</v>
          </cell>
        </row>
        <row r="20">
          <cell r="D20">
            <v>40108</v>
          </cell>
          <cell r="F20">
            <v>0</v>
          </cell>
        </row>
        <row r="21">
          <cell r="D21">
            <v>25837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35867</v>
          </cell>
          <cell r="F23">
            <v>0</v>
          </cell>
        </row>
        <row r="24">
          <cell r="D24">
            <v>43899</v>
          </cell>
          <cell r="F24">
            <v>0</v>
          </cell>
        </row>
        <row r="25">
          <cell r="D25">
            <v>10792</v>
          </cell>
          <cell r="F25">
            <v>0</v>
          </cell>
        </row>
        <row r="26">
          <cell r="D26">
            <v>565442</v>
          </cell>
          <cell r="F26">
            <v>0</v>
          </cell>
        </row>
        <row r="27">
          <cell r="D27">
            <v>67727</v>
          </cell>
          <cell r="F27">
            <v>-98</v>
          </cell>
        </row>
        <row r="28">
          <cell r="D28">
            <v>0</v>
          </cell>
          <cell r="F28">
            <v>0</v>
          </cell>
        </row>
        <row r="29">
          <cell r="D29">
            <v>396156</v>
          </cell>
          <cell r="F29">
            <v>-396156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121430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173</v>
          </cell>
          <cell r="F34">
            <v>0</v>
          </cell>
        </row>
        <row r="35">
          <cell r="D35">
            <v>2600</v>
          </cell>
          <cell r="F35">
            <v>-2600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4083</v>
          </cell>
          <cell r="F39">
            <v>0</v>
          </cell>
        </row>
        <row r="40">
          <cell r="D40">
            <v>4671</v>
          </cell>
          <cell r="F40">
            <v>-4671</v>
          </cell>
        </row>
        <row r="41">
          <cell r="D41">
            <v>205670</v>
          </cell>
          <cell r="F41">
            <v>-122</v>
          </cell>
        </row>
        <row r="42">
          <cell r="D42">
            <v>0</v>
          </cell>
          <cell r="F42">
            <v>0</v>
          </cell>
        </row>
        <row r="43">
          <cell r="D43">
            <v>12825</v>
          </cell>
          <cell r="F43">
            <v>-12825</v>
          </cell>
        </row>
        <row r="44">
          <cell r="D44">
            <v>0</v>
          </cell>
          <cell r="F44">
            <v>-153</v>
          </cell>
        </row>
        <row r="45">
          <cell r="D45">
            <v>14301</v>
          </cell>
          <cell r="F45">
            <v>-2317</v>
          </cell>
        </row>
        <row r="57">
          <cell r="D57">
            <v>1200000</v>
          </cell>
          <cell r="F57">
            <v>0</v>
          </cell>
        </row>
        <row r="58">
          <cell r="D58">
            <v>38496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117687</v>
          </cell>
          <cell r="F60">
            <v>0</v>
          </cell>
        </row>
        <row r="61">
          <cell r="D61">
            <v>14337</v>
          </cell>
          <cell r="F61">
            <v>0</v>
          </cell>
        </row>
        <row r="62">
          <cell r="D62">
            <v>883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204644</v>
          </cell>
          <cell r="F66">
            <v>-2155</v>
          </cell>
        </row>
        <row r="67">
          <cell r="D67">
            <v>60089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5946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76820</v>
          </cell>
          <cell r="F75">
            <v>0</v>
          </cell>
        </row>
        <row r="76">
          <cell r="D76">
            <v>15022</v>
          </cell>
          <cell r="F76">
            <v>0</v>
          </cell>
        </row>
        <row r="77">
          <cell r="D77">
            <v>15049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5033</v>
          </cell>
          <cell r="F79">
            <v>0</v>
          </cell>
        </row>
        <row r="80">
          <cell r="D80">
            <v>35549</v>
          </cell>
          <cell r="F80">
            <v>0</v>
          </cell>
        </row>
        <row r="81">
          <cell r="D81">
            <v>35132</v>
          </cell>
          <cell r="F81">
            <v>0</v>
          </cell>
        </row>
        <row r="82">
          <cell r="D82">
            <v>8598</v>
          </cell>
          <cell r="F82">
            <v>0</v>
          </cell>
        </row>
        <row r="83">
          <cell r="D83">
            <v>1897</v>
          </cell>
          <cell r="F83">
            <v>0</v>
          </cell>
        </row>
        <row r="84">
          <cell r="D84">
            <v>171046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776764</v>
          </cell>
          <cell r="F91">
            <v>0</v>
          </cell>
        </row>
        <row r="92">
          <cell r="D92">
            <v>6773</v>
          </cell>
          <cell r="F92">
            <v>-6430</v>
          </cell>
        </row>
        <row r="93">
          <cell r="D93">
            <v>6408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95434</v>
          </cell>
          <cell r="F101">
            <v>0</v>
          </cell>
        </row>
        <row r="102">
          <cell r="D102">
            <v>9877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21245</v>
          </cell>
          <cell r="F117">
            <v>0</v>
          </cell>
        </row>
        <row r="118">
          <cell r="D118">
            <v>258484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208241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90960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15362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23760</v>
          </cell>
          <cell r="F134">
            <v>0</v>
          </cell>
        </row>
        <row r="136">
          <cell r="D136">
            <v>1382621</v>
          </cell>
          <cell r="F136">
            <v>0</v>
          </cell>
        </row>
        <row r="137">
          <cell r="D137">
            <v>533019</v>
          </cell>
          <cell r="F137">
            <v>0</v>
          </cell>
        </row>
        <row r="138">
          <cell r="D138">
            <v>1162041</v>
          </cell>
          <cell r="F138">
            <v>22010</v>
          </cell>
        </row>
        <row r="139">
          <cell r="D139">
            <v>22010</v>
          </cell>
          <cell r="F139">
            <v>-22010</v>
          </cell>
        </row>
        <row r="141">
          <cell r="D141">
            <v>705124</v>
          </cell>
          <cell r="F141">
            <v>-391292</v>
          </cell>
        </row>
        <row r="142">
          <cell r="D142">
            <v>0</v>
          </cell>
          <cell r="F142">
            <v>121466</v>
          </cell>
        </row>
        <row r="143">
          <cell r="D143">
            <v>0</v>
          </cell>
          <cell r="F143">
            <v>269826</v>
          </cell>
        </row>
        <row r="144">
          <cell r="D144">
            <v>0</v>
          </cell>
          <cell r="F144">
            <v>0</v>
          </cell>
        </row>
        <row r="146">
          <cell r="D146">
            <v>93868</v>
          </cell>
          <cell r="F146">
            <v>0</v>
          </cell>
        </row>
        <row r="147">
          <cell r="D147">
            <v>80593</v>
          </cell>
          <cell r="F147">
            <v>0</v>
          </cell>
        </row>
        <row r="148">
          <cell r="D148">
            <v>11329</v>
          </cell>
          <cell r="F148">
            <v>0</v>
          </cell>
        </row>
        <row r="149">
          <cell r="D149">
            <v>103264</v>
          </cell>
          <cell r="F149">
            <v>0</v>
          </cell>
        </row>
        <row r="150">
          <cell r="D150">
            <v>13637</v>
          </cell>
          <cell r="F150">
            <v>0</v>
          </cell>
        </row>
        <row r="151">
          <cell r="D151">
            <v>254202</v>
          </cell>
          <cell r="F151">
            <v>21635</v>
          </cell>
        </row>
        <row r="152">
          <cell r="D152">
            <v>11251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750277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5970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26146</v>
          </cell>
          <cell r="F161">
            <v>2740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46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1663</v>
          </cell>
          <cell r="F193">
            <v>0</v>
          </cell>
        </row>
        <row r="194">
          <cell r="D194">
            <v>427311</v>
          </cell>
          <cell r="F194">
            <v>-5623</v>
          </cell>
        </row>
        <row r="195">
          <cell r="D195">
            <v>85016</v>
          </cell>
          <cell r="F195">
            <v>-1067</v>
          </cell>
        </row>
        <row r="196">
          <cell r="D196">
            <v>0</v>
          </cell>
          <cell r="F196">
            <v>0</v>
          </cell>
        </row>
        <row r="197">
          <cell r="D197">
            <v>331465</v>
          </cell>
          <cell r="F197">
            <v>-3895</v>
          </cell>
        </row>
        <row r="198">
          <cell r="D198">
            <v>72655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390044</v>
          </cell>
          <cell r="F205">
            <v>63986</v>
          </cell>
        </row>
        <row r="206">
          <cell r="D206">
            <v>49463</v>
          </cell>
          <cell r="F206">
            <v>0</v>
          </cell>
        </row>
        <row r="207">
          <cell r="D207">
            <v>6189</v>
          </cell>
          <cell r="F207">
            <v>0</v>
          </cell>
        </row>
        <row r="211">
          <cell r="D211">
            <v>152423</v>
          </cell>
          <cell r="F211">
            <v>0</v>
          </cell>
        </row>
        <row r="212">
          <cell r="D212">
            <v>29069</v>
          </cell>
          <cell r="F212">
            <v>0</v>
          </cell>
        </row>
        <row r="213">
          <cell r="D213">
            <v>9120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4522</v>
          </cell>
          <cell r="F216">
            <v>0</v>
          </cell>
        </row>
        <row r="221">
          <cell r="D221">
            <v>12774533</v>
          </cell>
        </row>
      </sheetData>
      <sheetData sheetId="8"/>
      <sheetData sheetId="9"/>
      <sheetData sheetId="10">
        <row r="9">
          <cell r="C9">
            <v>24032</v>
          </cell>
          <cell r="D9">
            <v>0</v>
          </cell>
          <cell r="E9">
            <v>2771</v>
          </cell>
          <cell r="F9">
            <v>1889</v>
          </cell>
          <cell r="G9">
            <v>17</v>
          </cell>
          <cell r="H9">
            <v>1156</v>
          </cell>
          <cell r="I9">
            <v>336</v>
          </cell>
          <cell r="J9">
            <v>2853</v>
          </cell>
          <cell r="K9">
            <v>1599</v>
          </cell>
        </row>
        <row r="22">
          <cell r="N22">
            <v>184</v>
          </cell>
        </row>
        <row r="24">
          <cell r="N24">
            <v>184</v>
          </cell>
        </row>
        <row r="28">
          <cell r="N28">
            <v>67160</v>
          </cell>
        </row>
        <row r="30">
          <cell r="N30">
            <v>0.5159767718880286</v>
          </cell>
        </row>
        <row r="32">
          <cell r="N32">
            <v>0.35783204288266823</v>
          </cell>
        </row>
        <row r="34">
          <cell r="N34">
            <v>0.69350416991313879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upp-1012"/>
      <sheetName val="Supp-10-490"/>
      <sheetName val="Supp-60-490"/>
      <sheetName val="Supp-70-490"/>
      <sheetName val="Supp-80-490"/>
      <sheetName val="Supp-90-490"/>
    </sheetNames>
    <sheetDataSet>
      <sheetData sheetId="0"/>
      <sheetData sheetId="1"/>
      <sheetData sheetId="2"/>
      <sheetData sheetId="3"/>
      <sheetData sheetId="4"/>
      <sheetData sheetId="5">
        <row r="85">
          <cell r="C85">
            <v>164.33434650455928</v>
          </cell>
          <cell r="E85">
            <v>164.33641975308643</v>
          </cell>
          <cell r="G85">
            <v>164.33333333333334</v>
          </cell>
          <cell r="I85">
            <v>164.33783783783784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1.bin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8.bin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8.bin"/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1.bin"/><Relationship Id="rId2" Type="http://schemas.openxmlformats.org/officeDocument/2006/relationships/printerSettings" Target="../printerSettings/printerSettings160.bin"/><Relationship Id="rId1" Type="http://schemas.openxmlformats.org/officeDocument/2006/relationships/printerSettings" Target="../printerSettings/printerSettings15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4.bin"/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6.bin"/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1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9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28CAB"/>
  </sheetPr>
  <dimension ref="A1:O246"/>
  <sheetViews>
    <sheetView topLeftCell="C1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399" t="s">
        <v>505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436" t="s">
        <v>480</v>
      </c>
      <c r="D2" s="144"/>
    </row>
    <row r="3" spans="1:11">
      <c r="A3" s="145"/>
      <c r="B3" s="140" t="s">
        <v>79</v>
      </c>
      <c r="C3" s="441">
        <v>42583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345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 t="s">
        <v>698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'[1]Sch B'!E10</f>
        <v>1982922</v>
      </c>
      <c r="D11" s="501">
        <f>'[1]Sch B'!G10</f>
        <v>0</v>
      </c>
      <c r="E11" s="171">
        <f>C11+D11</f>
        <v>1982922</v>
      </c>
      <c r="F11" s="171">
        <v>149826</v>
      </c>
      <c r="G11" s="171">
        <f t="shared" ref="G11:G20" si="0">E11+F11</f>
        <v>2132748</v>
      </c>
      <c r="H11" s="172">
        <f t="shared" ref="H11:H21" si="1">IF($G$21=0,0,G11/$G$21)</f>
        <v>0.91450687333333625</v>
      </c>
      <c r="I11" s="473" t="s">
        <v>697</v>
      </c>
      <c r="J11" s="336" t="s">
        <v>344</v>
      </c>
      <c r="K11" s="337">
        <f>G21</f>
        <v>2332129</v>
      </c>
    </row>
    <row r="12" spans="1:11" s="167" customFormat="1">
      <c r="A12" s="169" t="s">
        <v>15</v>
      </c>
      <c r="B12" s="170" t="s">
        <v>212</v>
      </c>
      <c r="C12" s="501">
        <f>'[1]Sch B'!E15</f>
        <v>0</v>
      </c>
      <c r="D12" s="501">
        <f>'[1]Sch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1455303</v>
      </c>
    </row>
    <row r="13" spans="1:11" s="167" customFormat="1">
      <c r="A13" s="169" t="s">
        <v>16</v>
      </c>
      <c r="B13" s="170" t="s">
        <v>170</v>
      </c>
      <c r="C13" s="501">
        <f>'[1]Sch B'!E21</f>
        <v>0</v>
      </c>
      <c r="D13" s="501">
        <f>'[1]Sch B'!G21</f>
        <v>0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I13" s="473"/>
      <c r="J13" s="338" t="s">
        <v>346</v>
      </c>
      <c r="K13" s="339">
        <f>G228</f>
        <v>8212</v>
      </c>
    </row>
    <row r="14" spans="1:11" s="167" customFormat="1">
      <c r="A14" s="173" t="s">
        <v>18</v>
      </c>
      <c r="B14" s="174" t="s">
        <v>306</v>
      </c>
      <c r="C14" s="501">
        <f>'[1]Sch B'!E27</f>
        <v>0</v>
      </c>
      <c r="D14" s="501">
        <f>'[1]Sch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26</v>
      </c>
    </row>
    <row r="15" spans="1:11" s="167" customFormat="1">
      <c r="A15" s="169" t="s">
        <v>19</v>
      </c>
      <c r="B15" s="170" t="s">
        <v>171</v>
      </c>
      <c r="C15" s="501">
        <f>'[1]Sch B'!E32</f>
        <v>0</v>
      </c>
      <c r="D15" s="501">
        <f>'[1]Sch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8684</v>
      </c>
    </row>
    <row r="16" spans="1:11" s="167" customFormat="1">
      <c r="A16" s="169" t="s">
        <v>21</v>
      </c>
      <c r="B16" s="170" t="s">
        <v>172</v>
      </c>
      <c r="C16" s="501">
        <f>'[1]Sch B'!E37</f>
        <v>78855</v>
      </c>
      <c r="D16" s="501">
        <f>'[1]Sch B'!G37</f>
        <v>0</v>
      </c>
      <c r="E16" s="171">
        <f t="shared" si="2"/>
        <v>78855</v>
      </c>
      <c r="F16" s="171"/>
      <c r="G16" s="171">
        <f t="shared" si="0"/>
        <v>78855</v>
      </c>
      <c r="H16" s="172">
        <f t="shared" si="1"/>
        <v>3.3812452055610988E-2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'[1]Sch B'!E42</f>
        <v>114896</v>
      </c>
      <c r="D17" s="501">
        <f>'[1]Sch B'!G42</f>
        <v>0</v>
      </c>
      <c r="E17" s="171">
        <f t="shared" si="2"/>
        <v>114896</v>
      </c>
      <c r="F17" s="171"/>
      <c r="G17" s="171">
        <f>E17+F17</f>
        <v>114896</v>
      </c>
      <c r="H17" s="172">
        <f t="shared" si="1"/>
        <v>4.9266571446090673E-2</v>
      </c>
      <c r="I17" s="473"/>
      <c r="J17" s="338" t="s">
        <v>156</v>
      </c>
      <c r="K17" s="339">
        <f>J208</f>
        <v>35544</v>
      </c>
    </row>
    <row r="18" spans="1:11" s="167" customFormat="1" ht="13.5" thickBot="1">
      <c r="A18" s="169" t="s">
        <v>216</v>
      </c>
      <c r="B18" s="170" t="s">
        <v>229</v>
      </c>
      <c r="C18" s="501">
        <f>'[1]Sch B'!E47</f>
        <v>0</v>
      </c>
      <c r="D18" s="501">
        <f>'[1]Sch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35667</v>
      </c>
    </row>
    <row r="19" spans="1:11" s="167" customFormat="1">
      <c r="A19" s="169" t="s">
        <v>227</v>
      </c>
      <c r="B19" s="177" t="s">
        <v>173</v>
      </c>
      <c r="C19" s="501">
        <f>'[1]Sch B'!E52</f>
        <v>0</v>
      </c>
      <c r="D19" s="501">
        <f>'[1]Sch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'[1]Sch B'!E67</f>
        <v>5630</v>
      </c>
      <c r="D20" s="501">
        <f>'[1]Sch B'!G67</f>
        <v>0</v>
      </c>
      <c r="E20" s="171">
        <f t="shared" si="2"/>
        <v>5630</v>
      </c>
      <c r="F20" s="171"/>
      <c r="G20" s="171">
        <f t="shared" si="0"/>
        <v>5630</v>
      </c>
      <c r="H20" s="172">
        <f t="shared" si="1"/>
        <v>2.4141031649621441E-3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2182303</v>
      </c>
      <c r="D21" s="501">
        <f>SUM(D11:D20)</f>
        <v>0</v>
      </c>
      <c r="E21" s="171">
        <f>SUM(E11:E20)</f>
        <v>2182303</v>
      </c>
      <c r="F21" s="171">
        <f>SUM(F11:F20)</f>
        <v>149826</v>
      </c>
      <c r="G21" s="171">
        <f>SUM(G11:G20)</f>
        <v>2332129</v>
      </c>
      <c r="H21" s="172">
        <f t="shared" si="1"/>
        <v>1</v>
      </c>
      <c r="I21" s="473"/>
      <c r="J21" s="168"/>
      <c r="K21" s="168"/>
    </row>
    <row r="22" spans="1:1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'[1]Sch C'!D10</f>
        <v>72904</v>
      </c>
      <c r="D25" s="501">
        <f>'[1]Sch C'!F10</f>
        <v>0</v>
      </c>
      <c r="E25" s="171">
        <f t="shared" ref="E25:E60" si="3">C25+D25</f>
        <v>72904</v>
      </c>
      <c r="F25" s="171"/>
      <c r="G25" s="182">
        <f>E25+F25</f>
        <v>72904</v>
      </c>
      <c r="H25" s="172">
        <f>IF($G$208=0,0,G25/$G$208)</f>
        <v>5.0095409684443717E-2</v>
      </c>
      <c r="I25" s="473"/>
      <c r="J25" s="183">
        <v>1720</v>
      </c>
      <c r="K25" s="183">
        <v>1760</v>
      </c>
    </row>
    <row r="26" spans="1:11" s="167" customFormat="1">
      <c r="A26" s="169" t="s">
        <v>84</v>
      </c>
      <c r="B26" s="170" t="s">
        <v>176</v>
      </c>
      <c r="C26" s="501">
        <f>'[1]Sch C'!D11</f>
        <v>0</v>
      </c>
      <c r="D26" s="501">
        <f>'[1]Sch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'[1]Sch C'!D12</f>
        <v>11669</v>
      </c>
      <c r="D27" s="501">
        <f>'[1]Sch C'!F12</f>
        <v>0</v>
      </c>
      <c r="E27" s="171">
        <f t="shared" si="3"/>
        <v>11669</v>
      </c>
      <c r="F27" s="171"/>
      <c r="G27" s="171">
        <f t="shared" si="4"/>
        <v>11669</v>
      </c>
      <c r="H27" s="172">
        <f t="shared" si="5"/>
        <v>8.0182614891881627E-3</v>
      </c>
      <c r="I27" s="473"/>
      <c r="J27" s="183">
        <v>434</v>
      </c>
      <c r="K27" s="183">
        <v>442</v>
      </c>
    </row>
    <row r="28" spans="1:11" s="167" customFormat="1">
      <c r="A28" s="169" t="s">
        <v>86</v>
      </c>
      <c r="B28" s="170" t="s">
        <v>45</v>
      </c>
      <c r="C28" s="501">
        <f>'[1]Sch C'!D13</f>
        <v>33476</v>
      </c>
      <c r="D28" s="501">
        <f>'[1]Sch C'!F13</f>
        <v>-24186</v>
      </c>
      <c r="E28" s="171">
        <f t="shared" si="3"/>
        <v>9290</v>
      </c>
      <c r="F28" s="171"/>
      <c r="G28" s="171">
        <f t="shared" si="4"/>
        <v>9290</v>
      </c>
      <c r="H28" s="172">
        <f t="shared" si="5"/>
        <v>6.3835503671743959E-3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'[1]Sch C'!D14</f>
        <v>0</v>
      </c>
      <c r="D29" s="501">
        <f>'[1]Sch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'[1]Sch C'!D15</f>
        <v>405722</v>
      </c>
      <c r="D30" s="501">
        <f>'[1]Sch C'!F15</f>
        <v>-405722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'[1]Sch C'!D16</f>
        <v>42932</v>
      </c>
      <c r="D31" s="501">
        <f>'[1]Sch C'!F16</f>
        <v>7113</v>
      </c>
      <c r="E31" s="171">
        <f t="shared" si="3"/>
        <v>50045</v>
      </c>
      <c r="F31" s="171"/>
      <c r="G31" s="171">
        <f t="shared" si="4"/>
        <v>50045</v>
      </c>
      <c r="H31" s="172">
        <f t="shared" si="5"/>
        <v>3.4388027785279079E-2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'[1]Sch C'!D17</f>
        <v>1093</v>
      </c>
      <c r="D32" s="501">
        <f>'[1]Sch C'!F17</f>
        <v>-1093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'[1]Sch C'!D18</f>
        <v>8468</v>
      </c>
      <c r="D33" s="501">
        <f>'[1]Sch C'!F18</f>
        <v>0</v>
      </c>
      <c r="E33" s="171">
        <f t="shared" si="3"/>
        <v>8468</v>
      </c>
      <c r="F33" s="171"/>
      <c r="G33" s="171">
        <f t="shared" si="4"/>
        <v>8468</v>
      </c>
      <c r="H33" s="172">
        <f t="shared" si="5"/>
        <v>5.818719538130547E-3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'[1]Sch C'!D19</f>
        <v>14340</v>
      </c>
      <c r="D34" s="501">
        <f>'[1]Sch C'!F19</f>
        <v>0</v>
      </c>
      <c r="E34" s="171">
        <f t="shared" si="3"/>
        <v>14340</v>
      </c>
      <c r="F34" s="171"/>
      <c r="G34" s="171">
        <f t="shared" si="4"/>
        <v>14340</v>
      </c>
      <c r="H34" s="172">
        <f t="shared" si="5"/>
        <v>9.8536181125167752E-3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'[1]Sch C'!D20</f>
        <v>10746</v>
      </c>
      <c r="D35" s="501">
        <f>'[1]Sch C'!F20</f>
        <v>0</v>
      </c>
      <c r="E35" s="171">
        <f t="shared" si="3"/>
        <v>10746</v>
      </c>
      <c r="F35" s="171"/>
      <c r="G35" s="171">
        <f t="shared" si="4"/>
        <v>10746</v>
      </c>
      <c r="H35" s="172">
        <f t="shared" si="5"/>
        <v>7.3840293052374658E-3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'[1]Sch C'!D21</f>
        <v>48786</v>
      </c>
      <c r="D36" s="501">
        <f>'[1]Sch C'!F21</f>
        <v>0</v>
      </c>
      <c r="E36" s="171">
        <f t="shared" si="3"/>
        <v>48786</v>
      </c>
      <c r="F36" s="171"/>
      <c r="G36" s="171">
        <f t="shared" si="4"/>
        <v>48786</v>
      </c>
      <c r="H36" s="172">
        <f t="shared" si="5"/>
        <v>3.352291584639075E-2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'[1]Sch C'!D22</f>
        <v>0</v>
      </c>
      <c r="D37" s="501">
        <f>'[1]Sch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'[1]Sch C'!D23</f>
        <v>4685</v>
      </c>
      <c r="D38" s="501">
        <f>'[1]Sch C'!F23</f>
        <v>0</v>
      </c>
      <c r="E38" s="171">
        <f t="shared" si="3"/>
        <v>4685</v>
      </c>
      <c r="F38" s="171"/>
      <c r="G38" s="171">
        <f t="shared" si="4"/>
        <v>4685</v>
      </c>
      <c r="H38" s="172">
        <f t="shared" si="5"/>
        <v>3.2192608686988206E-3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'[1]Sch C'!D24</f>
        <v>0</v>
      </c>
      <c r="D39" s="501">
        <f>'[1]Sch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'[1]Sch C'!D25</f>
        <v>0</v>
      </c>
      <c r="D40" s="501">
        <f>'[1]Sch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'[1]Sch C'!D26</f>
        <v>154273</v>
      </c>
      <c r="D41" s="501">
        <f>'[1]Sch C'!F26</f>
        <v>0</v>
      </c>
      <c r="E41" s="171">
        <f t="shared" si="3"/>
        <v>154273</v>
      </c>
      <c r="F41" s="171"/>
      <c r="G41" s="171">
        <f t="shared" si="4"/>
        <v>154273</v>
      </c>
      <c r="H41" s="172">
        <f t="shared" si="5"/>
        <v>0.10600747748063462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'[1]Sch C'!D27</f>
        <v>0</v>
      </c>
      <c r="D42" s="501">
        <f>'[1]Sch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'[1]Sch C'!D28</f>
        <v>0</v>
      </c>
      <c r="D43" s="501">
        <f>'[1]Sch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'[1]Sch C'!D29</f>
        <v>0</v>
      </c>
      <c r="D44" s="501">
        <f>'[1]Sch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'[1]Sch C'!D30</f>
        <v>2400</v>
      </c>
      <c r="D45" s="501">
        <f>'[1]Sch C'!F30</f>
        <v>-2400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'[1]Sch C'!D31</f>
        <v>5607</v>
      </c>
      <c r="D46" s="501">
        <f>'[1]Sch C'!F31</f>
        <v>5513</v>
      </c>
      <c r="E46" s="171">
        <f t="shared" si="3"/>
        <v>11120</v>
      </c>
      <c r="F46" s="171"/>
      <c r="G46" s="171">
        <f t="shared" si="4"/>
        <v>11120</v>
      </c>
      <c r="H46" s="172">
        <f t="shared" si="5"/>
        <v>7.6410204610311396E-3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'[1]Sch C'!D32</f>
        <v>29698</v>
      </c>
      <c r="D47" s="501">
        <f>'[1]Sch C'!F32</f>
        <v>-10771</v>
      </c>
      <c r="E47" s="171">
        <f t="shared" si="3"/>
        <v>18927</v>
      </c>
      <c r="F47" s="171"/>
      <c r="G47" s="171">
        <f t="shared" si="4"/>
        <v>18927</v>
      </c>
      <c r="H47" s="172">
        <f t="shared" si="5"/>
        <v>1.300553905269212E-2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'[1]Sch C'!D33</f>
        <v>0</v>
      </c>
      <c r="D48" s="501">
        <f>'[1]Sch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'[1]Sch C'!D34</f>
        <v>0</v>
      </c>
      <c r="D49" s="501">
        <f>'[1]Sch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'[1]Sch C'!D35</f>
        <v>0</v>
      </c>
      <c r="D50" s="501">
        <f>'[1]Sch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'[1]Sch C'!D36</f>
        <v>0</v>
      </c>
      <c r="D51" s="501">
        <f>'[1]Sch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'[1]Sch C'!D37</f>
        <v>0</v>
      </c>
      <c r="D52" s="501">
        <f>'[1]Sch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'[1]Sch C'!D38</f>
        <v>0</v>
      </c>
      <c r="D53" s="501">
        <f>'[1]Sch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'[1]Sch C'!D39</f>
        <v>1891</v>
      </c>
      <c r="D54" s="501">
        <f>'[1]Sch C'!F39</f>
        <v>0</v>
      </c>
      <c r="E54" s="171">
        <f t="shared" si="3"/>
        <v>1891</v>
      </c>
      <c r="F54" s="171"/>
      <c r="G54" s="171">
        <f t="shared" si="4"/>
        <v>1891</v>
      </c>
      <c r="H54" s="172">
        <f t="shared" si="5"/>
        <v>1.299385763651968E-3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'[1]Sch C'!D40</f>
        <v>0</v>
      </c>
      <c r="D55" s="501">
        <f>'[1]Sch C'!F40</f>
        <v>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'[1]Sch C'!D41</f>
        <v>8069</v>
      </c>
      <c r="D56" s="501">
        <f>'[1]Sch C'!F41</f>
        <v>0</v>
      </c>
      <c r="E56" s="171">
        <f t="shared" si="3"/>
        <v>8069</v>
      </c>
      <c r="F56" s="171"/>
      <c r="G56" s="171">
        <f t="shared" si="4"/>
        <v>8069</v>
      </c>
      <c r="H56" s="172">
        <f t="shared" si="5"/>
        <v>5.5445498291421102E-3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'[1]Sch C'!D42</f>
        <v>762</v>
      </c>
      <c r="D57" s="501">
        <f>'[1]Sch C'!F42</f>
        <v>0</v>
      </c>
      <c r="E57" s="171">
        <f t="shared" si="3"/>
        <v>762</v>
      </c>
      <c r="F57" s="171"/>
      <c r="G57" s="171">
        <f t="shared" si="4"/>
        <v>762</v>
      </c>
      <c r="H57" s="172">
        <f t="shared" si="5"/>
        <v>5.2360230137641435E-4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'[1]Sch C'!D43</f>
        <v>4816</v>
      </c>
      <c r="D58" s="501">
        <f>'[1]Sch C'!F43</f>
        <v>-4816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'[1]Sch C'!D44</f>
        <v>0</v>
      </c>
      <c r="D59" s="501">
        <f>'[1]Sch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'[1]Sch C'!D45</f>
        <v>18881</v>
      </c>
      <c r="D60" s="501">
        <f>'[1]Sch C'!F45</f>
        <v>0</v>
      </c>
      <c r="E60" s="171">
        <f t="shared" si="3"/>
        <v>18881</v>
      </c>
      <c r="F60" s="171"/>
      <c r="G60" s="171">
        <f t="shared" si="4"/>
        <v>18881</v>
      </c>
      <c r="H60" s="172">
        <f t="shared" si="5"/>
        <v>1.2973930514813754E-2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881218</v>
      </c>
      <c r="D61" s="501">
        <f>SUM(D25:D60)</f>
        <v>-436362</v>
      </c>
      <c r="E61" s="171">
        <f t="shared" ref="E61:F61" si="6">SUM(E25:E60)</f>
        <v>444856</v>
      </c>
      <c r="F61" s="171">
        <f t="shared" si="6"/>
        <v>0</v>
      </c>
      <c r="G61" s="171">
        <f>SUM(G25:G60)</f>
        <v>444856</v>
      </c>
      <c r="H61" s="186">
        <f t="shared" si="5"/>
        <v>0.30567929840040187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'[1]Sch C'!D57</f>
        <v>134272</v>
      </c>
      <c r="D64" s="501">
        <f>'[1]Sch C'!F57</f>
        <v>-130290</v>
      </c>
      <c r="E64" s="171">
        <f t="shared" ref="E64:E78" si="7">C64+D64</f>
        <v>3982</v>
      </c>
      <c r="F64" s="171"/>
      <c r="G64" s="171">
        <f t="shared" ref="G64:G78" si="8">E64+F64</f>
        <v>3982</v>
      </c>
      <c r="H64" s="172">
        <f t="shared" ref="H64:H79" si="9">IF($G$208=0,0,G64/$G$208)</f>
        <v>2.73619995286205E-3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'[1]Sch C'!D58</f>
        <v>0</v>
      </c>
      <c r="D65" s="501">
        <f>'[1]Sch C'!F58</f>
        <v>37719</v>
      </c>
      <c r="E65" s="171">
        <f t="shared" si="7"/>
        <v>37719</v>
      </c>
      <c r="F65" s="171"/>
      <c r="G65" s="171">
        <f t="shared" si="8"/>
        <v>37719</v>
      </c>
      <c r="H65" s="172">
        <f t="shared" si="9"/>
        <v>2.5918313918132513E-2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'[1]Sch C'!D59</f>
        <v>0</v>
      </c>
      <c r="D66" s="501">
        <f>'[1]Sch C'!F59</f>
        <v>79491</v>
      </c>
      <c r="E66" s="171">
        <f t="shared" si="7"/>
        <v>79491</v>
      </c>
      <c r="F66" s="171"/>
      <c r="G66" s="171">
        <f t="shared" si="8"/>
        <v>79491</v>
      </c>
      <c r="H66" s="172">
        <f t="shared" si="9"/>
        <v>5.4621614880200203E-2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'[1]Sch C'!D60</f>
        <v>4038</v>
      </c>
      <c r="D67" s="501">
        <f>'[1]Sch C'!F60</f>
        <v>0</v>
      </c>
      <c r="E67" s="171">
        <f t="shared" si="7"/>
        <v>4038</v>
      </c>
      <c r="F67" s="171"/>
      <c r="G67" s="171">
        <f t="shared" si="8"/>
        <v>4038</v>
      </c>
      <c r="H67" s="172">
        <f t="shared" si="9"/>
        <v>2.7746799120183219E-3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'[1]Sch C'!D61</f>
        <v>0</v>
      </c>
      <c r="D68" s="501">
        <f>'[1]Sch C'!F61</f>
        <v>4045</v>
      </c>
      <c r="E68" s="171">
        <f t="shared" si="7"/>
        <v>4045</v>
      </c>
      <c r="F68" s="171"/>
      <c r="G68" s="171">
        <f t="shared" si="8"/>
        <v>4045</v>
      </c>
      <c r="H68" s="172">
        <f t="shared" si="9"/>
        <v>2.779489906912856E-3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'[1]Sch C'!D62</f>
        <v>0</v>
      </c>
      <c r="D69" s="501">
        <f>'[1]Sch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'[1]Sch C'!D63</f>
        <v>0</v>
      </c>
      <c r="D70" s="501">
        <f>'[1]Sch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'[1]Sch C'!D64</f>
        <v>0</v>
      </c>
      <c r="D71" s="501">
        <f>'[1]Sch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'[1]Sch C'!D65</f>
        <v>0</v>
      </c>
      <c r="D72" s="501">
        <f>'[1]Sch C'!F65</f>
        <v>1569</v>
      </c>
      <c r="E72" s="171">
        <f t="shared" si="7"/>
        <v>1569</v>
      </c>
      <c r="F72" s="171"/>
      <c r="G72" s="171">
        <f t="shared" si="8"/>
        <v>1569</v>
      </c>
      <c r="H72" s="172">
        <f t="shared" si="9"/>
        <v>1.0781259985034044E-3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'[1]Sch C'!D66</f>
        <v>0</v>
      </c>
      <c r="D73" s="501">
        <f>'[1]Sch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'[1]Sch C'!D67</f>
        <v>0</v>
      </c>
      <c r="D74" s="501">
        <f>'[1]Sch C'!F67</f>
        <v>8160</v>
      </c>
      <c r="E74" s="171">
        <f t="shared" si="7"/>
        <v>8160</v>
      </c>
      <c r="F74" s="171">
        <f>85+256+111</f>
        <v>452</v>
      </c>
      <c r="G74" s="171">
        <f t="shared" si="8"/>
        <v>8612</v>
      </c>
      <c r="H74" s="172">
        <f t="shared" si="9"/>
        <v>5.9176680045323893E-3</v>
      </c>
      <c r="I74" s="473" t="s">
        <v>692</v>
      </c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'[1]Sch C'!D68</f>
        <v>0</v>
      </c>
      <c r="D75" s="501">
        <f>'[1]Sch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'[1]Sch C'!D69</f>
        <v>0</v>
      </c>
      <c r="D76" s="501">
        <f>'[1]Sch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'[1]Sch C'!D70</f>
        <v>0</v>
      </c>
      <c r="D77" s="501">
        <f>'[1]Sch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'[1]Sch C'!D71</f>
        <v>0</v>
      </c>
      <c r="D78" s="501">
        <f>'[1]Sch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138310</v>
      </c>
      <c r="D79" s="501">
        <f>SUM(D64:D78)</f>
        <v>694</v>
      </c>
      <c r="E79" s="171">
        <f t="shared" ref="E79:F79" si="10">SUM(E64:E78)</f>
        <v>139004</v>
      </c>
      <c r="F79" s="171">
        <f t="shared" si="10"/>
        <v>452</v>
      </c>
      <c r="G79" s="171">
        <f>SUM(G64:G78)</f>
        <v>139456</v>
      </c>
      <c r="H79" s="172">
        <f t="shared" si="9"/>
        <v>9.5826092573161742E-2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'[1]Sch C'!D75</f>
        <v>4700</v>
      </c>
      <c r="D82" s="501">
        <f>'[1]Sch C'!F75</f>
        <v>0</v>
      </c>
      <c r="E82" s="171">
        <f t="shared" ref="E82:E92" si="11">C82+D82</f>
        <v>4700</v>
      </c>
      <c r="F82" s="171"/>
      <c r="G82" s="171">
        <f t="shared" ref="G82:G92" si="12">E82+F82</f>
        <v>4700</v>
      </c>
      <c r="H82" s="172">
        <f t="shared" ref="H82:H93" si="13">IF($G$208=0,0,G82/$G$208)</f>
        <v>3.2295680006156793E-3</v>
      </c>
      <c r="I82" s="473"/>
      <c r="J82" s="183">
        <v>216</v>
      </c>
      <c r="K82" s="183">
        <v>216</v>
      </c>
    </row>
    <row r="83" spans="1:11" s="167" customFormat="1">
      <c r="A83" s="169" t="s">
        <v>86</v>
      </c>
      <c r="B83" s="199" t="s">
        <v>45</v>
      </c>
      <c r="C83" s="501">
        <f>'[1]Sch C'!D76</f>
        <v>418</v>
      </c>
      <c r="D83" s="501">
        <f>'[1]Sch C'!F76</f>
        <v>195</v>
      </c>
      <c r="E83" s="171">
        <f t="shared" si="11"/>
        <v>613</v>
      </c>
      <c r="F83" s="171"/>
      <c r="G83" s="171">
        <f t="shared" si="12"/>
        <v>613</v>
      </c>
      <c r="H83" s="172">
        <f t="shared" si="13"/>
        <v>4.2121812433561944E-4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'[1]Sch C'!D77</f>
        <v>11049</v>
      </c>
      <c r="D84" s="501">
        <f>'[1]Sch C'!F77</f>
        <v>0</v>
      </c>
      <c r="E84" s="171">
        <f t="shared" si="11"/>
        <v>11049</v>
      </c>
      <c r="F84" s="171"/>
      <c r="G84" s="171">
        <f t="shared" si="12"/>
        <v>11049</v>
      </c>
      <c r="H84" s="172">
        <f t="shared" si="13"/>
        <v>7.592233369958009E-3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'[1]Sch C'!D78</f>
        <v>0</v>
      </c>
      <c r="D85" s="501">
        <f>'[1]Sch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'[1]Sch C'!D79</f>
        <v>0</v>
      </c>
      <c r="D86" s="501">
        <f>'[1]Sch C'!F79</f>
        <v>0</v>
      </c>
      <c r="E86" s="171">
        <f t="shared" si="11"/>
        <v>0</v>
      </c>
      <c r="F86" s="171"/>
      <c r="G86" s="171">
        <f>E86+F86</f>
        <v>0</v>
      </c>
      <c r="H86" s="172">
        <f t="shared" si="13"/>
        <v>0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'[1]Sch C'!D80</f>
        <v>18494</v>
      </c>
      <c r="D87" s="501">
        <f>'[1]Sch C'!F80</f>
        <v>0</v>
      </c>
      <c r="E87" s="171">
        <f t="shared" si="11"/>
        <v>18494</v>
      </c>
      <c r="F87" s="171">
        <v>-3343</v>
      </c>
      <c r="G87" s="171">
        <f t="shared" si="12"/>
        <v>15151</v>
      </c>
      <c r="H87" s="172">
        <f t="shared" si="13"/>
        <v>1.0410890378154927E-2</v>
      </c>
      <c r="I87" s="473" t="s">
        <v>691</v>
      </c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'[1]Sch C'!D81</f>
        <v>125455</v>
      </c>
      <c r="D88" s="501">
        <f>'[1]Sch C'!F81</f>
        <v>-112000</v>
      </c>
      <c r="E88" s="171">
        <f t="shared" si="11"/>
        <v>13455</v>
      </c>
      <c r="F88" s="171"/>
      <c r="G88" s="171">
        <f t="shared" si="12"/>
        <v>13455</v>
      </c>
      <c r="H88" s="172">
        <f t="shared" si="13"/>
        <v>9.2454973294221199E-3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'[1]Sch C'!D82</f>
        <v>0</v>
      </c>
      <c r="D89" s="501">
        <f>'[1]Sch C'!F82</f>
        <v>0</v>
      </c>
      <c r="E89" s="171">
        <f t="shared" si="11"/>
        <v>0</v>
      </c>
      <c r="F89" s="171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'[1]Sch C'!D83</f>
        <v>0</v>
      </c>
      <c r="D90" s="501">
        <f>'[1]Sch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'[1]Sch C'!D84</f>
        <v>21112</v>
      </c>
      <c r="D91" s="501">
        <f>'[1]Sch C'!F84</f>
        <v>0</v>
      </c>
      <c r="E91" s="171">
        <f t="shared" si="11"/>
        <v>21112</v>
      </c>
      <c r="F91" s="171"/>
      <c r="G91" s="171">
        <f t="shared" si="12"/>
        <v>21112</v>
      </c>
      <c r="H91" s="172">
        <f t="shared" si="13"/>
        <v>1.4506944601914516E-2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'[1]Sch C'!D85</f>
        <v>3512</v>
      </c>
      <c r="D92" s="501">
        <f>'[1]Sch C'!F85</f>
        <v>0</v>
      </c>
      <c r="E92" s="171">
        <f t="shared" si="11"/>
        <v>3512</v>
      </c>
      <c r="F92" s="171"/>
      <c r="G92" s="171">
        <f t="shared" si="12"/>
        <v>3512</v>
      </c>
      <c r="H92" s="172">
        <f t="shared" si="13"/>
        <v>2.4132431528004821E-3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184740</v>
      </c>
      <c r="D93" s="501">
        <f>SUM(D82:D92)</f>
        <v>-111805</v>
      </c>
      <c r="E93" s="171">
        <f t="shared" ref="E93:F93" si="14">SUM(E82:E92)</f>
        <v>72935</v>
      </c>
      <c r="F93" s="171">
        <f t="shared" si="14"/>
        <v>-3343</v>
      </c>
      <c r="G93" s="171">
        <f>SUM(G82:G92)</f>
        <v>69592</v>
      </c>
      <c r="H93" s="172">
        <f t="shared" si="13"/>
        <v>4.7819594957201353E-2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'[1]Sch C'!D89</f>
        <v>67847</v>
      </c>
      <c r="D96" s="501">
        <f>'[1]Sch C'!F89</f>
        <v>0</v>
      </c>
      <c r="E96" s="171">
        <f t="shared" ref="E96:E101" si="15">C96+D96</f>
        <v>67847</v>
      </c>
      <c r="F96" s="171"/>
      <c r="G96" s="171">
        <f t="shared" ref="G96:G101" si="16">E96+F96</f>
        <v>67847</v>
      </c>
      <c r="H96" s="172">
        <f t="shared" ref="H96:H102" si="17">IF($G$208=0,0,G96/$G$208)</f>
        <v>4.662053194420681E-2</v>
      </c>
      <c r="I96" s="473"/>
      <c r="J96" s="183">
        <v>4810</v>
      </c>
      <c r="K96" s="183">
        <v>4810</v>
      </c>
    </row>
    <row r="97" spans="1:11" s="167" customFormat="1">
      <c r="A97" s="169" t="s">
        <v>86</v>
      </c>
      <c r="B97" s="170" t="s">
        <v>45</v>
      </c>
      <c r="C97" s="501">
        <f>'[1]Sch C'!D90</f>
        <v>5924</v>
      </c>
      <c r="D97" s="501">
        <f>'[1]Sch C'!F90</f>
        <v>2812</v>
      </c>
      <c r="E97" s="171">
        <f t="shared" si="15"/>
        <v>8736</v>
      </c>
      <c r="F97" s="171"/>
      <c r="G97" s="171">
        <f t="shared" si="16"/>
        <v>8736</v>
      </c>
      <c r="H97" s="172">
        <f t="shared" si="17"/>
        <v>6.0028736283784202E-3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'[1]Sch C'!D91</f>
        <v>4575</v>
      </c>
      <c r="D98" s="501">
        <f>'[1]Sch C'!F91</f>
        <v>0</v>
      </c>
      <c r="E98" s="171">
        <f t="shared" si="15"/>
        <v>4575</v>
      </c>
      <c r="F98" s="171"/>
      <c r="G98" s="171">
        <f t="shared" si="16"/>
        <v>4575</v>
      </c>
      <c r="H98" s="172">
        <f t="shared" si="17"/>
        <v>3.1436752346418579E-3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'[1]Sch C'!D92</f>
        <v>43809</v>
      </c>
      <c r="D99" s="501">
        <f>'[1]Sch C'!F92</f>
        <v>0</v>
      </c>
      <c r="E99" s="171">
        <f t="shared" si="15"/>
        <v>43809</v>
      </c>
      <c r="F99" s="171"/>
      <c r="G99" s="171">
        <f t="shared" si="16"/>
        <v>43809</v>
      </c>
      <c r="H99" s="172">
        <f t="shared" si="17"/>
        <v>3.0103009476377084E-2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'[1]Sch C'!D93</f>
        <v>13557</v>
      </c>
      <c r="D100" s="501">
        <f>'[1]Sch C'!F93</f>
        <v>0</v>
      </c>
      <c r="E100" s="171">
        <f t="shared" si="15"/>
        <v>13557</v>
      </c>
      <c r="F100" s="171">
        <v>-1700</v>
      </c>
      <c r="G100" s="171">
        <f t="shared" si="16"/>
        <v>11857</v>
      </c>
      <c r="H100" s="172">
        <f t="shared" si="17"/>
        <v>8.1474442092127897E-3</v>
      </c>
      <c r="I100" s="473" t="s">
        <v>689</v>
      </c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'[1]Sch C'!D94</f>
        <v>0</v>
      </c>
      <c r="D101" s="501">
        <f>'[1]Sch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135712</v>
      </c>
      <c r="D102" s="501">
        <f>SUM(D96:D101)</f>
        <v>2812</v>
      </c>
      <c r="E102" s="171">
        <f t="shared" ref="E102:F102" si="18">SUM(E96:E101)</f>
        <v>138524</v>
      </c>
      <c r="F102" s="171">
        <f t="shared" si="18"/>
        <v>-1700</v>
      </c>
      <c r="G102" s="171">
        <f>SUM(G96:G101)</f>
        <v>136824</v>
      </c>
      <c r="H102" s="172">
        <f t="shared" si="17"/>
        <v>9.4017534492816954E-2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'[1]Sch C'!D98</f>
        <v>0</v>
      </c>
      <c r="D105" s="501">
        <f>'[1]Sch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'[1]Sch C'!D99</f>
        <v>0</v>
      </c>
      <c r="D106" s="501">
        <f>'[1]Sch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'[1]Sch C'!D100</f>
        <v>5938</v>
      </c>
      <c r="D107" s="501">
        <f>'[1]Sch C'!F100</f>
        <v>0</v>
      </c>
      <c r="E107" s="171">
        <f t="shared" si="19"/>
        <v>5938</v>
      </c>
      <c r="F107" s="171"/>
      <c r="G107" s="171">
        <f t="shared" si="20"/>
        <v>5938</v>
      </c>
      <c r="H107" s="172">
        <f t="shared" si="21"/>
        <v>4.0802499548204052E-3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'[1]Sch C'!D101</f>
        <v>0</v>
      </c>
      <c r="D108" s="501">
        <f>'[1]Sch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'[1]Sch C'!D102</f>
        <v>2107</v>
      </c>
      <c r="D109" s="501">
        <f>'[1]Sch C'!F102</f>
        <v>0</v>
      </c>
      <c r="E109" s="171">
        <f t="shared" si="19"/>
        <v>2107</v>
      </c>
      <c r="F109" s="171"/>
      <c r="G109" s="171">
        <f t="shared" si="20"/>
        <v>2107</v>
      </c>
      <c r="H109" s="172">
        <f t="shared" si="21"/>
        <v>1.4478084632547311E-3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'[1]Sch C'!D103</f>
        <v>445</v>
      </c>
      <c r="D110" s="501">
        <f>'[1]Sch C'!F103</f>
        <v>0</v>
      </c>
      <c r="E110" s="171">
        <f t="shared" si="19"/>
        <v>445</v>
      </c>
      <c r="F110" s="171"/>
      <c r="G110" s="171">
        <f t="shared" si="20"/>
        <v>445</v>
      </c>
      <c r="H110" s="172">
        <f t="shared" si="21"/>
        <v>3.0577824686680368E-4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8490</v>
      </c>
      <c r="D111" s="501">
        <f>SUM(D105:D110)</f>
        <v>0</v>
      </c>
      <c r="E111" s="171">
        <f t="shared" ref="E111:F111" si="22">SUM(E105:E110)</f>
        <v>8490</v>
      </c>
      <c r="F111" s="171">
        <f t="shared" si="22"/>
        <v>0</v>
      </c>
      <c r="G111" s="171">
        <f>SUM(G105:G110)</f>
        <v>8490</v>
      </c>
      <c r="H111" s="172">
        <f t="shared" si="21"/>
        <v>5.8338366649419403E-3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'[1]Sch C'!D115</f>
        <v>34340</v>
      </c>
      <c r="D114" s="501">
        <f>'[1]Sch C'!F115</f>
        <v>0</v>
      </c>
      <c r="E114" s="171">
        <f t="shared" ref="E114:E118" si="23">C114+D114</f>
        <v>34340</v>
      </c>
      <c r="F114" s="171"/>
      <c r="G114" s="171">
        <f>E114+F114</f>
        <v>34340</v>
      </c>
      <c r="H114" s="172">
        <f t="shared" ref="H114:H119" si="24">IF($G$208=0,0,G114/$G$208)</f>
        <v>2.3596460668328177E-2</v>
      </c>
      <c r="I114" s="473"/>
      <c r="J114" s="183">
        <v>3553</v>
      </c>
      <c r="K114" s="183">
        <v>3553</v>
      </c>
    </row>
    <row r="115" spans="1:11" s="167" customFormat="1">
      <c r="A115" s="169" t="s">
        <v>86</v>
      </c>
      <c r="B115" s="170" t="s">
        <v>151</v>
      </c>
      <c r="C115" s="501">
        <f>'[1]Sch C'!D116</f>
        <v>2964</v>
      </c>
      <c r="D115" s="501">
        <f>'[1]Sch C'!F116</f>
        <v>1423</v>
      </c>
      <c r="E115" s="171">
        <f t="shared" si="23"/>
        <v>4387</v>
      </c>
      <c r="F115" s="171"/>
      <c r="G115" s="171">
        <f>E115+F115</f>
        <v>4387</v>
      </c>
      <c r="H115" s="172">
        <f t="shared" si="24"/>
        <v>3.0144925146172309E-3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'[1]Sch C'!D117</f>
        <v>4720</v>
      </c>
      <c r="D116" s="501">
        <f>'[1]Sch C'!F117</f>
        <v>0</v>
      </c>
      <c r="E116" s="171">
        <f t="shared" si="23"/>
        <v>4720</v>
      </c>
      <c r="F116" s="171"/>
      <c r="G116" s="171">
        <f>E116+F116</f>
        <v>4720</v>
      </c>
      <c r="H116" s="172">
        <f t="shared" si="24"/>
        <v>3.2433108431714906E-3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'[1]Sch C'!D118</f>
        <v>1474</v>
      </c>
      <c r="D117" s="501">
        <f>'[1]Sch C'!F118</f>
        <v>0</v>
      </c>
      <c r="E117" s="171">
        <f t="shared" si="23"/>
        <v>1474</v>
      </c>
      <c r="F117" s="171"/>
      <c r="G117" s="171">
        <f>E117+F117</f>
        <v>1474</v>
      </c>
      <c r="H117" s="172">
        <f t="shared" si="24"/>
        <v>1.0128474963633004E-3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'[1]Sch C'!D119</f>
        <v>0</v>
      </c>
      <c r="D118" s="501">
        <f>'[1]Sch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43498</v>
      </c>
      <c r="D119" s="501">
        <f>SUM(D114:D118)</f>
        <v>1423</v>
      </c>
      <c r="E119" s="171">
        <f t="shared" ref="E119:F119" si="25">SUM(E114:E118)</f>
        <v>44921</v>
      </c>
      <c r="F119" s="171">
        <f t="shared" si="25"/>
        <v>0</v>
      </c>
      <c r="G119" s="171">
        <f>SUM(G114:G118)</f>
        <v>44921</v>
      </c>
      <c r="H119" s="172">
        <f t="shared" si="24"/>
        <v>3.0867111522480197E-2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268" t="s">
        <v>454</v>
      </c>
      <c r="C123" s="501">
        <f>'[1]Sch C'!D124</f>
        <v>83200</v>
      </c>
      <c r="D123" s="501">
        <f>'[1]Sch C'!F124</f>
        <v>0</v>
      </c>
      <c r="E123" s="171">
        <f t="shared" ref="E123:E127" si="26">C123+D123</f>
        <v>83200</v>
      </c>
      <c r="F123" s="171"/>
      <c r="G123" s="171">
        <f>E123+F123</f>
        <v>83200</v>
      </c>
      <c r="H123" s="172">
        <f>IF($G$208=0,0,G123/$G$208)</f>
        <v>5.7170225032175427E-2</v>
      </c>
      <c r="I123" s="473"/>
      <c r="J123" s="183">
        <v>1720</v>
      </c>
      <c r="K123" s="183">
        <v>1736</v>
      </c>
    </row>
    <row r="124" spans="1:11" s="167" customFormat="1">
      <c r="B124" s="268" t="s">
        <v>455</v>
      </c>
      <c r="C124" s="501">
        <f>'[1]Sch C'!D125</f>
        <v>0</v>
      </c>
      <c r="D124" s="501">
        <f>'[1]Sch C'!F125</f>
        <v>0</v>
      </c>
      <c r="E124" s="171">
        <f t="shared" si="26"/>
        <v>0</v>
      </c>
      <c r="F124" s="171"/>
      <c r="G124" s="171">
        <f>E124+F124</f>
        <v>0</v>
      </c>
      <c r="H124" s="172">
        <f>IF($G$208=0,0,G124/$G$208)</f>
        <v>0</v>
      </c>
      <c r="I124" s="473"/>
      <c r="J124" s="183">
        <v>0</v>
      </c>
      <c r="K124" s="183">
        <v>0</v>
      </c>
    </row>
    <row r="125" spans="1:11" s="167" customFormat="1">
      <c r="A125" s="163" t="s">
        <v>198</v>
      </c>
      <c r="B125" s="268" t="s">
        <v>456</v>
      </c>
      <c r="C125" s="501">
        <f>'[1]Sch C'!D126</f>
        <v>0</v>
      </c>
      <c r="D125" s="501">
        <f>'[1]Sch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268" t="s">
        <v>457</v>
      </c>
      <c r="C126" s="501">
        <f>'[1]Sch C'!D127</f>
        <v>0</v>
      </c>
      <c r="D126" s="501">
        <f>'[1]Sch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268" t="s">
        <v>458</v>
      </c>
      <c r="C127" s="501">
        <f>'[1]Sch C'!D128</f>
        <v>0</v>
      </c>
      <c r="D127" s="501">
        <f>'[1]Sch C'!F128</f>
        <v>0</v>
      </c>
      <c r="E127" s="171">
        <f t="shared" si="26"/>
        <v>0</v>
      </c>
      <c r="F127" s="171"/>
      <c r="G127" s="171">
        <f>E127+F127</f>
        <v>0</v>
      </c>
      <c r="H127" s="172">
        <f>IF($G$208=0,0,G127/$G$208)</f>
        <v>0</v>
      </c>
      <c r="I127" s="473"/>
      <c r="J127" s="183">
        <v>0</v>
      </c>
      <c r="K127" s="183">
        <v>0</v>
      </c>
    </row>
    <row r="128" spans="1:11" s="167" customFormat="1" ht="15.5">
      <c r="A128" s="169" t="s">
        <v>95</v>
      </c>
      <c r="B128" s="170" t="s">
        <v>152</v>
      </c>
      <c r="C128" s="505"/>
      <c r="D128" s="505"/>
      <c r="E128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268" t="s">
        <v>454</v>
      </c>
      <c r="C129" s="501">
        <f>'[1]Sch C'!D130</f>
        <v>0</v>
      </c>
      <c r="D129" s="501">
        <f>'[1]Sch C'!F130</f>
        <v>10363</v>
      </c>
      <c r="E129" s="171">
        <f t="shared" ref="E129:E133" si="27">C129+D129</f>
        <v>10363</v>
      </c>
      <c r="F129" s="171"/>
      <c r="G129" s="171">
        <f>E129+F129</f>
        <v>10363</v>
      </c>
      <c r="H129" s="172">
        <f>IF($G$208=0,0,G129/$G$208)</f>
        <v>7.1208538702936773E-3</v>
      </c>
      <c r="I129" s="473"/>
      <c r="J129" s="204"/>
      <c r="K129" s="204"/>
    </row>
    <row r="130" spans="1:11" s="167" customFormat="1">
      <c r="A130" s="169"/>
      <c r="B130" s="268" t="s">
        <v>455</v>
      </c>
      <c r="C130" s="501">
        <f>'[1]Sch C'!D131</f>
        <v>0</v>
      </c>
      <c r="D130" s="501">
        <f>'[1]Sch C'!F131</f>
        <v>0</v>
      </c>
      <c r="E130" s="171">
        <f t="shared" si="27"/>
        <v>0</v>
      </c>
      <c r="F130" s="171"/>
      <c r="G130" s="171">
        <f>E130+F130</f>
        <v>0</v>
      </c>
      <c r="H130" s="172">
        <f>IF($G$208=0,0,G130/$G$208)</f>
        <v>0</v>
      </c>
      <c r="I130" s="473"/>
      <c r="J130" s="204"/>
      <c r="K130" s="204"/>
    </row>
    <row r="131" spans="1:11" s="167" customFormat="1">
      <c r="B131" s="268" t="s">
        <v>456</v>
      </c>
      <c r="C131" s="501">
        <f>'[1]Sch C'!D132</f>
        <v>0</v>
      </c>
      <c r="D131" s="501">
        <f>'[1]Sch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268" t="s">
        <v>457</v>
      </c>
      <c r="C132" s="501">
        <f>'[1]Sch C'!D133</f>
        <v>0</v>
      </c>
      <c r="D132" s="501">
        <f>'[1]Sch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268" t="s">
        <v>458</v>
      </c>
      <c r="C133" s="501">
        <f>'[1]Sch C'!D134</f>
        <v>0</v>
      </c>
      <c r="D133" s="501">
        <f>'[1]Sch C'!F134</f>
        <v>0</v>
      </c>
      <c r="E133" s="171">
        <f t="shared" si="27"/>
        <v>0</v>
      </c>
      <c r="F133" s="17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 ht="15.5">
      <c r="A134" s="169" t="s">
        <v>86</v>
      </c>
      <c r="B134" s="170" t="s">
        <v>64</v>
      </c>
      <c r="C134" s="196"/>
      <c r="D134" s="196"/>
      <c r="E134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268" t="s">
        <v>459</v>
      </c>
      <c r="C135" s="501">
        <f>'[1]Sch C'!D136</f>
        <v>88169</v>
      </c>
      <c r="D135" s="501">
        <f>'[1]Sch C'!F136</f>
        <v>-2028</v>
      </c>
      <c r="E135" s="171">
        <f t="shared" ref="E135:E138" si="28">C135+D135</f>
        <v>86141</v>
      </c>
      <c r="F135" s="171"/>
      <c r="G135" s="171">
        <f>E135+F135</f>
        <v>86141</v>
      </c>
      <c r="H135" s="172">
        <f>IF($G$208=0,0,G135/$G$208)</f>
        <v>5.9191110030007495E-2</v>
      </c>
      <c r="I135" s="473"/>
      <c r="J135" s="183">
        <v>3496</v>
      </c>
      <c r="K135" s="183">
        <v>3496</v>
      </c>
    </row>
    <row r="136" spans="1:11" s="167" customFormat="1">
      <c r="A136" s="169"/>
      <c r="B136" s="268" t="s">
        <v>460</v>
      </c>
      <c r="C136" s="501">
        <f>'[1]Sch C'!D137</f>
        <v>109236</v>
      </c>
      <c r="D136" s="501">
        <f>'[1]Sch C'!F137</f>
        <v>2028</v>
      </c>
      <c r="E136" s="171">
        <f t="shared" si="28"/>
        <v>111264</v>
      </c>
      <c r="F136" s="171"/>
      <c r="G136" s="171">
        <f>E136+F136</f>
        <v>111264</v>
      </c>
      <c r="H136" s="172">
        <f>IF($G$208=0,0,G136/$G$208)</f>
        <v>7.6454181706489988E-2</v>
      </c>
      <c r="I136" s="473"/>
      <c r="J136" s="183">
        <v>4602</v>
      </c>
      <c r="K136" s="183">
        <v>4661</v>
      </c>
    </row>
    <row r="137" spans="1:11" s="167" customFormat="1">
      <c r="A137" s="169"/>
      <c r="B137" s="268" t="s">
        <v>461</v>
      </c>
      <c r="C137" s="501">
        <f>'[1]Sch C'!D138</f>
        <v>161768</v>
      </c>
      <c r="D137" s="501">
        <f>'[1]Sch C'!F138</f>
        <v>0</v>
      </c>
      <c r="E137" s="171">
        <f t="shared" si="28"/>
        <v>161768</v>
      </c>
      <c r="F137" s="171"/>
      <c r="G137" s="171">
        <f>E137+F137</f>
        <v>161768</v>
      </c>
      <c r="H137" s="172">
        <f>IF($G$208=0,0,G137/$G$208)</f>
        <v>0.11115760772842494</v>
      </c>
      <c r="I137" s="473"/>
      <c r="J137" s="183">
        <v>13253</v>
      </c>
      <c r="K137" s="183">
        <v>13253</v>
      </c>
    </row>
    <row r="138" spans="1:11" s="167" customFormat="1">
      <c r="A138" s="169"/>
      <c r="B138" s="268" t="s">
        <v>462</v>
      </c>
      <c r="C138" s="501">
        <f>'[1]Sch C'!D139</f>
        <v>0</v>
      </c>
      <c r="D138" s="501">
        <f>'[1]Sch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 ht="15.5">
      <c r="A139" s="169" t="s">
        <v>96</v>
      </c>
      <c r="B139" s="170" t="s">
        <v>153</v>
      </c>
      <c r="C139" s="196"/>
      <c r="D139" s="196"/>
      <c r="E139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268" t="s">
        <v>459</v>
      </c>
      <c r="C140" s="501">
        <f>'[1]Sch C'!D141</f>
        <v>23322</v>
      </c>
      <c r="D140" s="501">
        <f>'[1]Sch C'!F141</f>
        <v>-12340</v>
      </c>
      <c r="E140" s="171">
        <f t="shared" ref="E140:E143" si="29">C140+D140</f>
        <v>10982</v>
      </c>
      <c r="F140" s="171"/>
      <c r="G140" s="171">
        <f>E140+F140</f>
        <v>10982</v>
      </c>
      <c r="H140" s="172">
        <f>IF($G$208=0,0,G140/$G$208)</f>
        <v>7.5461948473960405E-3</v>
      </c>
      <c r="I140" s="473"/>
      <c r="J140" s="168"/>
      <c r="K140" s="168"/>
    </row>
    <row r="141" spans="1:11" s="167" customFormat="1">
      <c r="A141" s="169"/>
      <c r="B141" s="268" t="s">
        <v>460</v>
      </c>
      <c r="C141" s="501">
        <f>'[1]Sch C'!D142</f>
        <v>0</v>
      </c>
      <c r="D141" s="501">
        <f>'[1]Sch C'!F142</f>
        <v>13606</v>
      </c>
      <c r="E141" s="171">
        <f t="shared" si="29"/>
        <v>13606</v>
      </c>
      <c r="F141" s="171"/>
      <c r="G141" s="171">
        <f>E141+F141</f>
        <v>13606</v>
      </c>
      <c r="H141" s="172">
        <f>IF($G$208=0,0,G141/$G$208)</f>
        <v>9.3492557907184966E-3</v>
      </c>
      <c r="I141" s="473"/>
      <c r="J141" s="168"/>
      <c r="K141" s="168"/>
    </row>
    <row r="142" spans="1:11" s="167" customFormat="1">
      <c r="A142" s="169"/>
      <c r="B142" s="268" t="s">
        <v>461</v>
      </c>
      <c r="C142" s="501">
        <f>'[1]Sch C'!D143</f>
        <v>13669</v>
      </c>
      <c r="D142" s="501">
        <f>'[1]Sch C'!F143</f>
        <v>6704</v>
      </c>
      <c r="E142" s="171">
        <f t="shared" si="29"/>
        <v>20373</v>
      </c>
      <c r="F142" s="171"/>
      <c r="G142" s="171">
        <f>E142+F142</f>
        <v>20373</v>
      </c>
      <c r="H142" s="172">
        <f>IF($G$208=0,0,G142/$G$208)</f>
        <v>1.3999146569477284E-2</v>
      </c>
      <c r="I142" s="473"/>
      <c r="J142" s="168"/>
      <c r="K142" s="168"/>
    </row>
    <row r="143" spans="1:11" s="167" customFormat="1">
      <c r="A143" s="169"/>
      <c r="B143" s="268" t="s">
        <v>462</v>
      </c>
      <c r="C143" s="501">
        <f>'[1]Sch C'!D144</f>
        <v>0</v>
      </c>
      <c r="D143" s="501">
        <f>'[1]Sch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 ht="15.5">
      <c r="A144" s="169" t="s">
        <v>87</v>
      </c>
      <c r="B144" s="170" t="s">
        <v>98</v>
      </c>
      <c r="C144" s="196"/>
      <c r="D144" s="196"/>
      <c r="E144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268" t="s">
        <v>454</v>
      </c>
      <c r="C145" s="501">
        <f>'[1]Sch C'!D146</f>
        <v>8800</v>
      </c>
      <c r="D145" s="501">
        <f>'[1]Sch C'!F146</f>
        <v>0</v>
      </c>
      <c r="E145" s="171">
        <f t="shared" ref="E145:E153" si="30">C145+D145</f>
        <v>8800</v>
      </c>
      <c r="F145" s="171"/>
      <c r="G145" s="171">
        <f t="shared" ref="G145:G153" si="31">E145+F145</f>
        <v>8800</v>
      </c>
      <c r="H145" s="172">
        <f t="shared" ref="H145:H153" si="32">IF($G$208=0,0,G145/$G$208)</f>
        <v>6.0468507245570163E-3</v>
      </c>
      <c r="I145" s="473"/>
      <c r="J145" s="183">
        <v>208</v>
      </c>
      <c r="K145" s="183">
        <v>208</v>
      </c>
    </row>
    <row r="146" spans="1:11" s="167" customFormat="1">
      <c r="A146" s="169"/>
      <c r="B146" s="268" t="s">
        <v>455</v>
      </c>
      <c r="C146" s="501">
        <f>'[1]Sch C'!D147</f>
        <v>0</v>
      </c>
      <c r="D146" s="501">
        <f>'[1]Sch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268" t="s">
        <v>456</v>
      </c>
      <c r="C147" s="501">
        <f>'[1]Sch C'!D148</f>
        <v>0</v>
      </c>
      <c r="D147" s="501">
        <f>'[1]Sch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268" t="s">
        <v>457</v>
      </c>
      <c r="C148" s="501">
        <f>'[1]Sch C'!D149</f>
        <v>0</v>
      </c>
      <c r="D148" s="501">
        <f>'[1]Sch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268" t="s">
        <v>458</v>
      </c>
      <c r="C149" s="501">
        <f>'[1]Sch C'!D150</f>
        <v>2858</v>
      </c>
      <c r="D149" s="501">
        <f>'[1]Sch C'!F150</f>
        <v>0</v>
      </c>
      <c r="E149" s="171">
        <f t="shared" si="30"/>
        <v>2858</v>
      </c>
      <c r="F149" s="171"/>
      <c r="G149" s="171">
        <f t="shared" si="31"/>
        <v>2858</v>
      </c>
      <c r="H149" s="172">
        <f t="shared" si="32"/>
        <v>1.9638522012254494E-3</v>
      </c>
      <c r="I149" s="473"/>
      <c r="J149" s="183">
        <v>39</v>
      </c>
      <c r="K149" s="183">
        <v>39</v>
      </c>
    </row>
    <row r="150" spans="1:11" s="167" customFormat="1">
      <c r="A150" s="169">
        <v>110</v>
      </c>
      <c r="B150" s="167" t="s">
        <v>65</v>
      </c>
      <c r="C150" s="501">
        <f>'[1]Sch C'!D151</f>
        <v>22048</v>
      </c>
      <c r="D150" s="501">
        <f>'[1]Sch C'!F151</f>
        <v>0</v>
      </c>
      <c r="E150" s="171">
        <f t="shared" si="30"/>
        <v>22048</v>
      </c>
      <c r="F150" s="171"/>
      <c r="G150" s="171">
        <f t="shared" si="31"/>
        <v>22048</v>
      </c>
      <c r="H150" s="172">
        <f t="shared" si="32"/>
        <v>1.5150109633526488E-2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'[1]Sch C'!D152</f>
        <v>13995</v>
      </c>
      <c r="D151" s="501">
        <f>'[1]Sch C'!F152</f>
        <v>0</v>
      </c>
      <c r="E151" s="171">
        <f t="shared" si="30"/>
        <v>13995</v>
      </c>
      <c r="F151" s="171">
        <v>-2564</v>
      </c>
      <c r="G151" s="171">
        <f t="shared" si="31"/>
        <v>11431</v>
      </c>
      <c r="H151" s="172">
        <f t="shared" si="32"/>
        <v>7.8547216627740061E-3</v>
      </c>
      <c r="I151" s="473" t="s">
        <v>690</v>
      </c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'[1]Sch C'!D153</f>
        <v>0</v>
      </c>
      <c r="D152" s="501">
        <f>'[1]Sch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'[1]Sch C'!D154</f>
        <v>0</v>
      </c>
      <c r="D153" s="501">
        <f>'[1]Sch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 ht="15.5">
      <c r="A154" s="169"/>
      <c r="B154" s="209" t="s">
        <v>101</v>
      </c>
      <c r="C154" s="500"/>
      <c r="D154" s="500"/>
      <c r="E154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'[1]Sch C'!D156</f>
        <v>0</v>
      </c>
      <c r="D155" s="501">
        <f>'[1]Sch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'[1]Sch C'!D157</f>
        <v>0</v>
      </c>
      <c r="D156" s="501">
        <f>'[1]Sch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'[1]Sch C'!D158</f>
        <v>0</v>
      </c>
      <c r="D157" s="501">
        <f>'[1]Sch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'[1]Sch C'!D159</f>
        <v>0</v>
      </c>
      <c r="D158" s="501">
        <f>'[1]Sch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'[1]Sch C'!D160</f>
        <v>0</v>
      </c>
      <c r="D159" s="501">
        <f>'[1]Sch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'[1]Sch C'!D161</f>
        <v>0</v>
      </c>
      <c r="D160" s="501">
        <f>'[1]Sch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527065</v>
      </c>
      <c r="D161" s="501">
        <f>SUM(D123:D160)</f>
        <v>18333</v>
      </c>
      <c r="E161" s="171">
        <f t="shared" ref="E161:F161" si="36">SUM(E123:E160)</f>
        <v>545398</v>
      </c>
      <c r="F161" s="171">
        <f t="shared" si="36"/>
        <v>-2564</v>
      </c>
      <c r="G161" s="171">
        <f>SUM(G123:G160)</f>
        <v>542834</v>
      </c>
      <c r="H161" s="172">
        <f t="shared" si="35"/>
        <v>0.37300410979706633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'[1]Sch C'!D175</f>
        <v>0</v>
      </c>
      <c r="D164" s="501">
        <f>'[1]Sch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'[1]Sch C'!D176</f>
        <v>0</v>
      </c>
      <c r="D165" s="501">
        <f>'[1]Sch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'[1]Sch C'!D177</f>
        <v>0</v>
      </c>
      <c r="D166" s="501">
        <f>'[1]Sch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'[1]Sch C'!D178</f>
        <v>0</v>
      </c>
      <c r="D167" s="501">
        <f>'[1]Sch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'[1]Sch C'!D179</f>
        <v>0</v>
      </c>
      <c r="D168" s="501">
        <f>'[1]Sch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'[1]Sch C'!D180</f>
        <v>0</v>
      </c>
      <c r="D169" s="501">
        <f>'[1]Sch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'[1]Sch C'!D181</f>
        <v>0</v>
      </c>
      <c r="D170" s="501">
        <f>'[1]Sch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'[1]Sch C'!D182</f>
        <v>0</v>
      </c>
      <c r="D171" s="501">
        <f>'[1]Sch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'[1]Sch C'!D183</f>
        <v>0</v>
      </c>
      <c r="D172" s="501">
        <f>'[1]Sch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'[1]Sch C'!D184</f>
        <v>0</v>
      </c>
      <c r="D173" s="501">
        <f>'[1]Sch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'[1]Sch C'!D185</f>
        <v>0</v>
      </c>
      <c r="D174" s="501">
        <f>'[1]Sch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'[1]Sch C'!D186</f>
        <v>0</v>
      </c>
      <c r="D175" s="501">
        <f>'[1]Sch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'[1]Sch C'!D187</f>
        <v>0</v>
      </c>
      <c r="D176" s="501">
        <f>'[1]Sch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'[1]Sch C'!D188</f>
        <v>0</v>
      </c>
      <c r="D177" s="501">
        <f>'[1]Sch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'[1]Sch C'!D189</f>
        <v>0</v>
      </c>
      <c r="D178" s="501">
        <f>'[1]Sch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'[1]Sch C'!D190</f>
        <v>0</v>
      </c>
      <c r="D179" s="501">
        <f>'[1]Sch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'[1]Sch C'!D191</f>
        <v>0</v>
      </c>
      <c r="D180" s="501">
        <f>'[1]Sch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'[1]Sch C'!D192</f>
        <v>0</v>
      </c>
      <c r="D181" s="501">
        <f>'[1]Sch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'[1]Sch C'!D193</f>
        <v>0</v>
      </c>
      <c r="D182" s="501">
        <f>'[1]Sch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'[1]Sch C'!D194</f>
        <v>3171</v>
      </c>
      <c r="D183" s="501">
        <f>'[1]Sch C'!F194</f>
        <v>0</v>
      </c>
      <c r="E183" s="171">
        <f t="shared" si="37"/>
        <v>3171</v>
      </c>
      <c r="F183" s="216"/>
      <c r="G183" s="171">
        <f t="shared" si="38"/>
        <v>3171</v>
      </c>
      <c r="H183" s="172">
        <f t="shared" si="39"/>
        <v>2.1789276872238978E-3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'[1]Sch C'!D195</f>
        <v>1364</v>
      </c>
      <c r="D184" s="501">
        <f>'[1]Sch C'!F195</f>
        <v>0</v>
      </c>
      <c r="E184" s="171">
        <f t="shared" si="37"/>
        <v>1364</v>
      </c>
      <c r="F184" s="216"/>
      <c r="G184" s="171">
        <f t="shared" si="38"/>
        <v>1364</v>
      </c>
      <c r="H184" s="172">
        <f t="shared" si="39"/>
        <v>9.3726186230633755E-4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'[1]Sch C'!D196</f>
        <v>0</v>
      </c>
      <c r="D185" s="501">
        <f>'[1]Sch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'[1]Sch C'!D197</f>
        <v>5899</v>
      </c>
      <c r="D186" s="501">
        <f>'[1]Sch C'!F197</f>
        <v>0</v>
      </c>
      <c r="E186" s="171">
        <f t="shared" si="37"/>
        <v>5899</v>
      </c>
      <c r="F186" s="216"/>
      <c r="G186" s="171">
        <f t="shared" si="38"/>
        <v>5899</v>
      </c>
      <c r="H186" s="172">
        <f t="shared" si="39"/>
        <v>4.0534514118365731E-3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'[1]Sch C'!D198</f>
        <v>851</v>
      </c>
      <c r="D187" s="501">
        <f>'[1]Sch C'!F198</f>
        <v>0</v>
      </c>
      <c r="E187" s="171">
        <f t="shared" si="37"/>
        <v>851</v>
      </c>
      <c r="F187" s="216"/>
      <c r="G187" s="171">
        <f t="shared" si="38"/>
        <v>851</v>
      </c>
      <c r="H187" s="172">
        <f t="shared" si="39"/>
        <v>5.8475795074977512E-4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'[1]Sch C'!D199</f>
        <v>0</v>
      </c>
      <c r="D188" s="501">
        <f>'[1]Sch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'[1]Sch C'!D200</f>
        <v>0</v>
      </c>
      <c r="D189" s="501">
        <f>'[1]Sch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'[1]Sch C'!D201</f>
        <v>0</v>
      </c>
      <c r="D190" s="501">
        <f>'[1]Sch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'[1]Sch C'!D202</f>
        <v>0</v>
      </c>
      <c r="D191" s="501">
        <f>'[1]Sch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'[1]Sch C'!D203</f>
        <v>0</v>
      </c>
      <c r="D192" s="501">
        <f>'[1]Sch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'[1]Sch C'!D204</f>
        <v>0</v>
      </c>
      <c r="D193" s="501">
        <f>'[1]Sch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'[1]Sch C'!D205</f>
        <v>7324</v>
      </c>
      <c r="D194" s="501">
        <f>'[1]Sch C'!F205</f>
        <v>0</v>
      </c>
      <c r="E194" s="171">
        <f t="shared" si="37"/>
        <v>7324</v>
      </c>
      <c r="F194" s="216"/>
      <c r="G194" s="171">
        <f t="shared" si="38"/>
        <v>7324</v>
      </c>
      <c r="H194" s="172">
        <f t="shared" si="39"/>
        <v>5.032628943938135E-3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'[1]Sch C'!D206</f>
        <v>0</v>
      </c>
      <c r="D195" s="501">
        <f>'[1]Sch C'!F206</f>
        <v>0</v>
      </c>
      <c r="E195" s="171">
        <f t="shared" si="37"/>
        <v>0</v>
      </c>
      <c r="F195" s="216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'[1]Sch C'!D207</f>
        <v>0</v>
      </c>
      <c r="D196" s="501">
        <f>'[1]Sch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18609</v>
      </c>
      <c r="D197" s="501">
        <f>SUM(D164:D196)</f>
        <v>0</v>
      </c>
      <c r="E197" s="171">
        <f t="shared" ref="E197:F197" si="40">SUM(E164:E196)</f>
        <v>18609</v>
      </c>
      <c r="F197" s="171">
        <f t="shared" si="40"/>
        <v>0</v>
      </c>
      <c r="G197" s="171">
        <f>SUM(G164:G196)</f>
        <v>18609</v>
      </c>
      <c r="H197" s="172">
        <f>IF($G$208=0,0,G197/$G$208)</f>
        <v>1.2787027856054718E-2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'[1]Sch C'!D211</f>
        <v>34316</v>
      </c>
      <c r="D200" s="501">
        <f>'[1]Sch C'!F211</f>
        <v>0</v>
      </c>
      <c r="E200" s="171">
        <f t="shared" ref="E200:E205" si="41">C200+D200</f>
        <v>34316</v>
      </c>
      <c r="F200" s="171"/>
      <c r="G200" s="171">
        <f t="shared" ref="G200:G205" si="42">E200+F200</f>
        <v>34316</v>
      </c>
      <c r="H200" s="172">
        <f t="shared" ref="H200:H206" si="43">IF($G$208=0,0,G200/$G$208)</f>
        <v>2.3579969257261201E-2</v>
      </c>
      <c r="I200" s="473"/>
      <c r="J200" s="183">
        <v>1493</v>
      </c>
      <c r="K200" s="183">
        <v>1493</v>
      </c>
    </row>
    <row r="201" spans="1:14" s="167" customFormat="1">
      <c r="A201" s="169" t="s">
        <v>86</v>
      </c>
      <c r="B201" s="170" t="s">
        <v>45</v>
      </c>
      <c r="C201" s="501">
        <f>'[1]Sch C'!D212</f>
        <v>2823</v>
      </c>
      <c r="D201" s="501">
        <f>'[1]Sch C'!F212</f>
        <v>1422</v>
      </c>
      <c r="E201" s="171">
        <f t="shared" si="41"/>
        <v>4245</v>
      </c>
      <c r="F201" s="171"/>
      <c r="G201" s="171">
        <f t="shared" si="42"/>
        <v>4245</v>
      </c>
      <c r="H201" s="172">
        <f t="shared" si="43"/>
        <v>2.9169183324709701E-3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'[1]Sch C'!D213</f>
        <v>7600</v>
      </c>
      <c r="D202" s="501">
        <f>'[1]Sch C'!F213</f>
        <v>0</v>
      </c>
      <c r="E202" s="171">
        <f t="shared" si="41"/>
        <v>7600</v>
      </c>
      <c r="F202" s="171"/>
      <c r="G202" s="171">
        <f t="shared" si="42"/>
        <v>7600</v>
      </c>
      <c r="H202" s="172">
        <f t="shared" si="43"/>
        <v>5.2222801712083324E-3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'[1]Sch C'!D214</f>
        <v>0</v>
      </c>
      <c r="D203" s="501">
        <f>'[1]Sch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'[1]Sch C'!D215</f>
        <v>0</v>
      </c>
      <c r="D204" s="501">
        <f>'[1]Sch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'[1]Sch C'!D216</f>
        <v>3560</v>
      </c>
      <c r="D205" s="501">
        <f>'[1]Sch C'!F216</f>
        <v>0</v>
      </c>
      <c r="E205" s="171">
        <f t="shared" si="41"/>
        <v>3560</v>
      </c>
      <c r="F205" s="171"/>
      <c r="G205" s="171">
        <f t="shared" si="42"/>
        <v>3560</v>
      </c>
      <c r="H205" s="172">
        <f t="shared" si="43"/>
        <v>2.4462259749344294E-3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48299</v>
      </c>
      <c r="D206" s="501">
        <f>SUM(D200:D205)</f>
        <v>1422</v>
      </c>
      <c r="E206" s="171">
        <f t="shared" ref="E206:F206" si="44">SUM(E200:E205)</f>
        <v>49721</v>
      </c>
      <c r="F206" s="171">
        <f t="shared" si="44"/>
        <v>0</v>
      </c>
      <c r="G206" s="171">
        <f>SUM(G200:G205)</f>
        <v>49721</v>
      </c>
      <c r="H206" s="172">
        <f t="shared" si="43"/>
        <v>3.4165393735874933E-2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1985941</v>
      </c>
      <c r="D208" s="501">
        <f>SUM(D25:D206)/2</f>
        <v>-523483</v>
      </c>
      <c r="E208" s="171">
        <f t="shared" ref="E208:F208" si="45">SUM(E25:E206)/2</f>
        <v>1462458</v>
      </c>
      <c r="F208" s="171">
        <f t="shared" si="45"/>
        <v>-7155</v>
      </c>
      <c r="G208" s="171">
        <f>SUM(G25:G206)/2</f>
        <v>1455303</v>
      </c>
      <c r="H208" s="172">
        <f>IF($G$208=0,0,G208/$G$208)</f>
        <v>1</v>
      </c>
      <c r="I208" s="473"/>
      <c r="J208" s="183">
        <f>SUM(J25:J200)</f>
        <v>35544</v>
      </c>
      <c r="K208" s="183">
        <f>SUM(K25:K200)</f>
        <v>35667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'[1]Sch C'!D221</f>
        <v>1985941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196362</v>
      </c>
      <c r="D215" s="501">
        <f>D21-D208</f>
        <v>523483</v>
      </c>
      <c r="E215" s="171">
        <f t="shared" ref="E215:F215" si="46">E21-E208</f>
        <v>719845</v>
      </c>
      <c r="F215" s="171">
        <f t="shared" si="46"/>
        <v>156981</v>
      </c>
      <c r="G215" s="171">
        <f>G21-G208</f>
        <v>876826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'[1]Sch D'!C9</f>
        <v>7126</v>
      </c>
      <c r="D219" s="530"/>
      <c r="E219" s="234">
        <f t="shared" ref="E219:G227" si="47">C219+D219</f>
        <v>7126</v>
      </c>
      <c r="F219" s="233"/>
      <c r="G219" s="234">
        <f t="shared" si="47"/>
        <v>7126</v>
      </c>
      <c r="H219" s="172">
        <f t="shared" ref="H219:H228" si="48">IF($G$228=0,0,G219/$G$228)</f>
        <v>0.86775450560155865</v>
      </c>
      <c r="I219" s="473"/>
      <c r="J219" s="168"/>
      <c r="K219" s="168"/>
    </row>
    <row r="220" spans="1:11">
      <c r="A220" s="163"/>
      <c r="B220" s="170" t="s">
        <v>217</v>
      </c>
      <c r="C220" s="530">
        <f>'[1]Sch D'!D9</f>
        <v>0</v>
      </c>
      <c r="D220" s="530"/>
      <c r="E220" s="234">
        <f t="shared" si="47"/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'[1]Sch D'!E9</f>
        <v>0</v>
      </c>
      <c r="D221" s="530"/>
      <c r="E221" s="234">
        <f t="shared" si="47"/>
        <v>0</v>
      </c>
      <c r="F221" s="233"/>
      <c r="G221" s="234">
        <f t="shared" si="47"/>
        <v>0</v>
      </c>
      <c r="H221" s="172">
        <f t="shared" si="48"/>
        <v>0</v>
      </c>
      <c r="I221" s="473"/>
      <c r="J221" s="168"/>
      <c r="K221" s="168"/>
    </row>
    <row r="222" spans="1:11">
      <c r="A222" s="163"/>
      <c r="B222" s="202" t="s">
        <v>334</v>
      </c>
      <c r="C222" s="530">
        <f>'[1]Sch D'!F9</f>
        <v>0</v>
      </c>
      <c r="D222" s="530"/>
      <c r="E222" s="234">
        <f>C222+D222</f>
        <v>0</v>
      </c>
      <c r="F222" s="233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'[1]Sch D'!G9</f>
        <v>0</v>
      </c>
      <c r="D223" s="530"/>
      <c r="E223" s="234">
        <f t="shared" si="47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'[1]Sch D'!H9</f>
        <v>424</v>
      </c>
      <c r="D224" s="530"/>
      <c r="E224" s="234">
        <f t="shared" si="47"/>
        <v>424</v>
      </c>
      <c r="F224" s="233"/>
      <c r="G224" s="234">
        <f t="shared" si="47"/>
        <v>424</v>
      </c>
      <c r="H224" s="172">
        <f t="shared" si="48"/>
        <v>5.1631758402338045E-2</v>
      </c>
      <c r="I224" s="473"/>
      <c r="J224" s="168"/>
      <c r="K224" s="168"/>
    </row>
    <row r="225" spans="1:11">
      <c r="A225" s="163"/>
      <c r="B225" s="170" t="s">
        <v>236</v>
      </c>
      <c r="C225" s="530">
        <f>'[1]Sch D'!I9</f>
        <v>662</v>
      </c>
      <c r="D225" s="530"/>
      <c r="E225" s="234">
        <f t="shared" si="47"/>
        <v>662</v>
      </c>
      <c r="F225" s="233"/>
      <c r="G225" s="234">
        <f t="shared" si="47"/>
        <v>662</v>
      </c>
      <c r="H225" s="172">
        <f t="shared" si="48"/>
        <v>8.0613735996103261E-2</v>
      </c>
      <c r="I225" s="473"/>
      <c r="J225" s="168"/>
      <c r="K225" s="168"/>
    </row>
    <row r="226" spans="1:11">
      <c r="A226" s="163"/>
      <c r="B226" s="170" t="s">
        <v>235</v>
      </c>
      <c r="C226" s="530">
        <f>'[1]Sch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'[1]Sch D'!K9</f>
        <v>0</v>
      </c>
      <c r="D227" s="530"/>
      <c r="E227" s="234">
        <f t="shared" si="47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8212</v>
      </c>
      <c r="D228" s="530">
        <f>SUM(D219:D227)</f>
        <v>0</v>
      </c>
      <c r="E228" s="236">
        <f>SUM(E219:E227)</f>
        <v>8212</v>
      </c>
      <c r="F228" s="236">
        <f>SUM(F219:F227)</f>
        <v>0</v>
      </c>
      <c r="G228" s="236">
        <f>SUM(G219:G227)</f>
        <v>8212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'[1]Sch D'!N22</f>
        <v>26</v>
      </c>
      <c r="D231" s="502"/>
      <c r="E231" s="234">
        <f>C231+D231</f>
        <v>26</v>
      </c>
      <c r="F231" s="234"/>
      <c r="G231" s="234">
        <f>E231+F231</f>
        <v>26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'[1]Sch D'!N24</f>
        <v>26</v>
      </c>
      <c r="D232" s="502"/>
      <c r="E232" s="234">
        <f>C232+D232</f>
        <v>26</v>
      </c>
      <c r="F232" s="234"/>
      <c r="G232" s="234">
        <f>E232+F232</f>
        <v>26</v>
      </c>
      <c r="H232" s="167"/>
      <c r="I232" s="475"/>
      <c r="J232" s="168"/>
      <c r="K232" s="168"/>
    </row>
    <row r="233" spans="1:11" ht="15.5">
      <c r="A233" s="163"/>
      <c r="B233" s="202" t="s">
        <v>76</v>
      </c>
      <c r="C233" s="531">
        <f>$C$4-$C$3+1</f>
        <v>334</v>
      </c>
      <c r="D233" s="438"/>
      <c r="E233" s="234">
        <f>C233+D233</f>
        <v>334</v>
      </c>
      <c r="F233"/>
      <c r="G233" s="234">
        <f>E233+F233</f>
        <v>334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'[1]Sch D'!N28</f>
        <v>8684</v>
      </c>
      <c r="D235" s="438"/>
      <c r="E235" s="233">
        <f>E231*E233</f>
        <v>8684</v>
      </c>
      <c r="F235" s="238"/>
      <c r="G235" s="233">
        <f>G231*G233</f>
        <v>8684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'[1]Sch D'!N30</f>
        <v>0.9456471672040534</v>
      </c>
      <c r="D236" s="238"/>
      <c r="E236" s="242">
        <f>IFERROR(E228/E235,"0")</f>
        <v>0.9456471672040534</v>
      </c>
      <c r="F236" s="243"/>
      <c r="G236" s="242">
        <f>IFERROR(G228/G235,"0")</f>
        <v>0.9456471672040534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'[1]Sch D'!N32</f>
        <v>0.82058959005066789</v>
      </c>
      <c r="D237" s="238"/>
      <c r="E237" s="242">
        <f>IFERROR((E219+E220)/E235,"0")</f>
        <v>0.82058959005066789</v>
      </c>
      <c r="F237" s="243"/>
      <c r="G237" s="242">
        <f>IFERROR((G219+G220)/G235,"0")</f>
        <v>0.82058959005066789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'[1]Sch D'!N34</f>
        <v>0.86775450560155876</v>
      </c>
      <c r="D238" s="238"/>
      <c r="E238" s="242">
        <f>IFERROR((E237/E236),"0")</f>
        <v>0.86775450560155876</v>
      </c>
      <c r="F238" s="243"/>
      <c r="G238" s="242">
        <f>IFERROR((G237/G236),"0")</f>
        <v>0.86775450560155876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'[1]Sch B'!C85</f>
        <v>160</v>
      </c>
      <c r="I241" s="475"/>
    </row>
    <row r="242" spans="2:9">
      <c r="F242" s="142" t="s">
        <v>341</v>
      </c>
      <c r="G242" s="501">
        <f>'[1]Sch B'!E85</f>
        <v>193.15217391304347</v>
      </c>
      <c r="I242" s="475"/>
    </row>
    <row r="243" spans="2:9">
      <c r="F243" s="142" t="s">
        <v>342</v>
      </c>
      <c r="G243" s="501">
        <f>'[1]Sch B'!G85</f>
        <v>185</v>
      </c>
      <c r="I243" s="475"/>
    </row>
    <row r="244" spans="2:9">
      <c r="F244" s="142" t="s">
        <v>343</v>
      </c>
      <c r="G244" s="501">
        <f>'[1]Sch B'!I85</f>
        <v>191.64804469273744</v>
      </c>
      <c r="I244" s="475"/>
    </row>
    <row r="245" spans="2:9">
      <c r="F245" s="142"/>
      <c r="I245" s="475"/>
    </row>
    <row r="246" spans="2:9">
      <c r="I246" s="475"/>
    </row>
  </sheetData>
  <pageMargins left="0.7" right="0.7" top="0.75" bottom="0.75" header="0.3" footer="0.3"/>
  <ignoredErrors>
    <ignoredError sqref="F74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28CAB"/>
  </sheetPr>
  <dimension ref="A1:O249"/>
  <sheetViews>
    <sheetView showGridLines="0" topLeftCell="A213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5.91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99"/>
      <c r="D1" s="429"/>
      <c r="E1" s="429"/>
      <c r="F1" s="429"/>
      <c r="G1" s="429"/>
      <c r="H1" s="429"/>
      <c r="I1" s="430"/>
      <c r="J1" s="519"/>
    </row>
    <row r="2" spans="1:11" ht="23">
      <c r="B2" s="143" t="s">
        <v>189</v>
      </c>
      <c r="C2" s="244" t="s">
        <v>361</v>
      </c>
      <c r="D2" s="244"/>
      <c r="E2" s="519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213" t="s">
        <v>700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420</v>
      </c>
      <c r="C11" s="501">
        <f>'[10]Sch B'!E10</f>
        <v>1736102.31</v>
      </c>
      <c r="D11" s="501">
        <f>'[10]Sch B'!G10</f>
        <v>-4635</v>
      </c>
      <c r="E11" s="171">
        <f>C11+D11</f>
        <v>1731467.31</v>
      </c>
      <c r="F11" s="171">
        <v>392253</v>
      </c>
      <c r="G11" s="171">
        <f t="shared" ref="G11:G20" si="0">E11+F11</f>
        <v>2123720.31</v>
      </c>
      <c r="H11" s="172">
        <f t="shared" ref="H11:H21" si="1">IF($G$21=0,0,G11/$G$21)</f>
        <v>0.65063177220639046</v>
      </c>
      <c r="I11" s="647" t="s">
        <v>697</v>
      </c>
      <c r="J11" s="336" t="s">
        <v>344</v>
      </c>
      <c r="K11" s="337">
        <f>G21</f>
        <v>3264089.46</v>
      </c>
    </row>
    <row r="12" spans="1:11" s="167" customFormat="1">
      <c r="A12" s="169" t="s">
        <v>15</v>
      </c>
      <c r="B12" s="170" t="s">
        <v>212</v>
      </c>
      <c r="C12" s="501">
        <f>'[10]Sch B'!E15</f>
        <v>0</v>
      </c>
      <c r="D12" s="501">
        <f>'[10]Sch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47"/>
      <c r="J12" s="338" t="s">
        <v>345</v>
      </c>
      <c r="K12" s="339">
        <f>G208</f>
        <v>3814675.6897567264</v>
      </c>
    </row>
    <row r="13" spans="1:11" s="167" customFormat="1">
      <c r="A13" s="169" t="s">
        <v>16</v>
      </c>
      <c r="B13" s="170" t="s">
        <v>170</v>
      </c>
      <c r="C13" s="501">
        <f>'[10]Sch B'!E21</f>
        <v>0</v>
      </c>
      <c r="D13" s="501">
        <f>'[10]Sch B'!G21</f>
        <v>0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I13" s="547"/>
      <c r="J13" s="338" t="s">
        <v>346</v>
      </c>
      <c r="K13" s="339">
        <f>G228</f>
        <v>11882</v>
      </c>
    </row>
    <row r="14" spans="1:11" s="167" customFormat="1">
      <c r="A14" s="173" t="s">
        <v>18</v>
      </c>
      <c r="B14" s="174" t="s">
        <v>306</v>
      </c>
      <c r="C14" s="501">
        <f>'[10]Sch B'!E27</f>
        <v>0</v>
      </c>
      <c r="D14" s="501">
        <f>'[10]Sch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547"/>
      <c r="J14" s="338" t="s">
        <v>347</v>
      </c>
      <c r="K14" s="339">
        <f>G231</f>
        <v>36</v>
      </c>
    </row>
    <row r="15" spans="1:11" s="167" customFormat="1">
      <c r="A15" s="169" t="s">
        <v>19</v>
      </c>
      <c r="B15" s="170" t="s">
        <v>171</v>
      </c>
      <c r="C15" s="501">
        <f>'[10]Sch B'!E32</f>
        <v>0</v>
      </c>
      <c r="D15" s="501">
        <f>'[10]Sch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47"/>
      <c r="J15" s="338" t="s">
        <v>348</v>
      </c>
      <c r="K15" s="339">
        <f>G235</f>
        <v>13140</v>
      </c>
    </row>
    <row r="16" spans="1:11" s="167" customFormat="1">
      <c r="A16" s="169" t="s">
        <v>21</v>
      </c>
      <c r="B16" s="170" t="s">
        <v>172</v>
      </c>
      <c r="C16" s="501">
        <f>'[10]Sch B'!E37</f>
        <v>1105854.3399999999</v>
      </c>
      <c r="D16" s="501">
        <f>'[10]Sch B'!G37</f>
        <v>0</v>
      </c>
      <c r="E16" s="171">
        <f t="shared" si="2"/>
        <v>1105854.3399999999</v>
      </c>
      <c r="F16" s="171"/>
      <c r="G16" s="171">
        <f t="shared" si="0"/>
        <v>1105854.3399999999</v>
      </c>
      <c r="H16" s="172">
        <f t="shared" si="1"/>
        <v>0.33879412729086167</v>
      </c>
      <c r="I16" s="547"/>
      <c r="J16" s="340"/>
      <c r="K16" s="339"/>
    </row>
    <row r="17" spans="1:11" s="167" customFormat="1">
      <c r="A17" s="169" t="s">
        <v>215</v>
      </c>
      <c r="B17" s="170" t="s">
        <v>419</v>
      </c>
      <c r="C17" s="501">
        <f>'[10]Sch B'!E42</f>
        <v>27934.440000000002</v>
      </c>
      <c r="D17" s="501">
        <f>'[10]Sch B'!G42</f>
        <v>0</v>
      </c>
      <c r="E17" s="171">
        <f t="shared" si="2"/>
        <v>27934.440000000002</v>
      </c>
      <c r="F17" s="171"/>
      <c r="G17" s="171">
        <f>E17+F17</f>
        <v>27934.440000000002</v>
      </c>
      <c r="H17" s="172">
        <f t="shared" si="1"/>
        <v>8.5581110267731464E-3</v>
      </c>
      <c r="I17" s="636"/>
      <c r="J17" s="338" t="s">
        <v>156</v>
      </c>
      <c r="K17" s="339">
        <f>J208</f>
        <v>82626</v>
      </c>
    </row>
    <row r="18" spans="1:11" s="167" customFormat="1" ht="13.5" thickBot="1">
      <c r="A18" s="169" t="s">
        <v>216</v>
      </c>
      <c r="B18" s="170" t="s">
        <v>418</v>
      </c>
      <c r="C18" s="501">
        <f>'[10]Sch B'!E47</f>
        <v>0</v>
      </c>
      <c r="D18" s="501">
        <f>'[10]Sch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636"/>
      <c r="J18" s="341" t="s">
        <v>252</v>
      </c>
      <c r="K18" s="342">
        <f>K208</f>
        <v>92569</v>
      </c>
    </row>
    <row r="19" spans="1:11" s="167" customFormat="1">
      <c r="A19" s="169" t="s">
        <v>227</v>
      </c>
      <c r="B19" s="177" t="s">
        <v>173</v>
      </c>
      <c r="C19" s="501">
        <f>'[10]Sch B'!E52</f>
        <v>0</v>
      </c>
      <c r="D19" s="501">
        <f>'[10]Sch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'[10]Sch B'!E67</f>
        <v>5247.37</v>
      </c>
      <c r="D20" s="501">
        <f>'[10]Sch B'!G67</f>
        <v>0</v>
      </c>
      <c r="E20" s="171">
        <f t="shared" si="2"/>
        <v>5247.37</v>
      </c>
      <c r="F20" s="171">
        <v>1333</v>
      </c>
      <c r="G20" s="171">
        <f t="shared" si="0"/>
        <v>6580.37</v>
      </c>
      <c r="H20" s="172">
        <f t="shared" si="1"/>
        <v>2.0159894759747181E-3</v>
      </c>
      <c r="I20" s="473" t="s">
        <v>693</v>
      </c>
      <c r="J20" s="168"/>
      <c r="K20" s="168"/>
    </row>
    <row r="21" spans="1:11" s="167" customFormat="1">
      <c r="A21" s="169"/>
      <c r="B21" s="178" t="s">
        <v>77</v>
      </c>
      <c r="C21" s="501">
        <f>SUM(C11:C20)</f>
        <v>2875138.46</v>
      </c>
      <c r="D21" s="501">
        <f>SUM(D11:D20)</f>
        <v>-4635</v>
      </c>
      <c r="E21" s="171">
        <f>SUM(E11:E20)</f>
        <v>2870503.46</v>
      </c>
      <c r="F21" s="171">
        <f>SUM(F11:F20)</f>
        <v>393586</v>
      </c>
      <c r="G21" s="171">
        <f>SUM(G11:G20)</f>
        <v>3264089.46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'[10]Sch C'!D10</f>
        <v>100550</v>
      </c>
      <c r="D25" s="501">
        <f>'[10]Sch C'!F10</f>
        <v>0</v>
      </c>
      <c r="E25" s="171">
        <f t="shared" ref="E25:E60" si="3">C25+D25</f>
        <v>100550</v>
      </c>
      <c r="F25" s="171"/>
      <c r="G25" s="182">
        <f>E25+F25</f>
        <v>100550</v>
      </c>
      <c r="H25" s="172">
        <f>IF($G$208=0,0,G25/$G$208)</f>
        <v>2.6358728284556317E-2</v>
      </c>
      <c r="I25" s="473"/>
      <c r="J25" s="183">
        <v>2000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'[10]Sch C'!D11</f>
        <v>0</v>
      </c>
      <c r="D26" s="501">
        <f>'[10]Sch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376</v>
      </c>
      <c r="C27" s="501">
        <f>'[10]Sch C'!D12</f>
        <v>156885</v>
      </c>
      <c r="D27" s="501">
        <f>'[10]Sch C'!F12</f>
        <v>0</v>
      </c>
      <c r="E27" s="171">
        <f t="shared" si="3"/>
        <v>156885</v>
      </c>
      <c r="F27" s="171"/>
      <c r="G27" s="171">
        <f t="shared" si="4"/>
        <v>156885</v>
      </c>
      <c r="H27" s="172">
        <f t="shared" si="5"/>
        <v>4.1126694051940506E-2</v>
      </c>
      <c r="I27" s="473"/>
      <c r="J27" s="183">
        <v>5438</v>
      </c>
      <c r="K27" s="183">
        <v>6087</v>
      </c>
    </row>
    <row r="28" spans="1:11" s="167" customFormat="1">
      <c r="A28" s="169" t="s">
        <v>86</v>
      </c>
      <c r="B28" s="170" t="s">
        <v>45</v>
      </c>
      <c r="C28" s="501">
        <f>'[10]Sch C'!D13</f>
        <v>84355.562341534373</v>
      </c>
      <c r="D28" s="501">
        <f>'[10]Sch C'!F13</f>
        <v>0</v>
      </c>
      <c r="E28" s="171">
        <f t="shared" si="3"/>
        <v>84355.562341534373</v>
      </c>
      <c r="F28" s="171"/>
      <c r="G28" s="171">
        <f t="shared" si="4"/>
        <v>84355.562341534373</v>
      </c>
      <c r="H28" s="172">
        <f t="shared" si="5"/>
        <v>2.2113429607672361E-2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'[10]Sch C'!D14</f>
        <v>0</v>
      </c>
      <c r="D29" s="501">
        <f>'[10]Sch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'[10]Sch C'!D15</f>
        <v>1104</v>
      </c>
      <c r="D30" s="501">
        <f>'[10]Sch C'!F15</f>
        <v>0</v>
      </c>
      <c r="E30" s="171">
        <f t="shared" si="3"/>
        <v>1104</v>
      </c>
      <c r="F30" s="171"/>
      <c r="G30" s="171">
        <f t="shared" si="4"/>
        <v>1104</v>
      </c>
      <c r="H30" s="172">
        <f t="shared" si="5"/>
        <v>2.894086128906034E-4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'[10]Sch C'!D16</f>
        <v>0</v>
      </c>
      <c r="D31" s="501">
        <f>'[10]Sch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'[10]Sch C'!D17</f>
        <v>14485.17</v>
      </c>
      <c r="D32" s="501">
        <f>'[10]Sch C'!F17</f>
        <v>-2000</v>
      </c>
      <c r="E32" s="171">
        <f t="shared" si="3"/>
        <v>12485.17</v>
      </c>
      <c r="F32" s="171"/>
      <c r="G32" s="171">
        <f t="shared" si="4"/>
        <v>12485.17</v>
      </c>
      <c r="H32" s="172">
        <f t="shared" si="5"/>
        <v>3.2729309161262455E-3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'[10]Sch C'!D18</f>
        <v>4980.66</v>
      </c>
      <c r="D33" s="501">
        <f>'[10]Sch C'!F18</f>
        <v>0</v>
      </c>
      <c r="E33" s="171">
        <f t="shared" si="3"/>
        <v>4980.66</v>
      </c>
      <c r="F33" s="171"/>
      <c r="G33" s="171">
        <f t="shared" si="4"/>
        <v>4980.66</v>
      </c>
      <c r="H33" s="172">
        <f t="shared" si="5"/>
        <v>1.3056575198185803E-3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'[10]Sch C'!D19</f>
        <v>12672.56</v>
      </c>
      <c r="D34" s="501">
        <f>'[10]Sch C'!F19</f>
        <v>0</v>
      </c>
      <c r="E34" s="171">
        <f t="shared" si="3"/>
        <v>12672.56</v>
      </c>
      <c r="F34" s="171"/>
      <c r="G34" s="171">
        <f t="shared" si="4"/>
        <v>12672.56</v>
      </c>
      <c r="H34" s="172">
        <f t="shared" si="5"/>
        <v>3.3220543581276678E-3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'[10]Sch C'!D20</f>
        <v>5809.27</v>
      </c>
      <c r="D35" s="501">
        <f>'[10]Sch C'!F20</f>
        <v>0</v>
      </c>
      <c r="E35" s="171">
        <f t="shared" si="3"/>
        <v>5809.27</v>
      </c>
      <c r="F35" s="171"/>
      <c r="G35" s="171">
        <f t="shared" si="4"/>
        <v>5809.27</v>
      </c>
      <c r="H35" s="172">
        <f t="shared" si="5"/>
        <v>1.5228738882309746E-3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'[10]Sch C'!D21</f>
        <v>10079.61</v>
      </c>
      <c r="D36" s="501">
        <f>'[10]Sch C'!F21</f>
        <v>0</v>
      </c>
      <c r="E36" s="171">
        <f t="shared" si="3"/>
        <v>10079.61</v>
      </c>
      <c r="F36" s="171"/>
      <c r="G36" s="171">
        <f t="shared" si="4"/>
        <v>10079.61</v>
      </c>
      <c r="H36" s="172">
        <f t="shared" si="5"/>
        <v>2.6423242287846515E-3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'[10]Sch C'!D22</f>
        <v>0</v>
      </c>
      <c r="D37" s="501">
        <f>'[10]Sch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'[10]Sch C'!D23</f>
        <v>11748.31</v>
      </c>
      <c r="D38" s="501">
        <f>'[10]Sch C'!F23</f>
        <v>0</v>
      </c>
      <c r="E38" s="171">
        <f t="shared" si="3"/>
        <v>11748.31</v>
      </c>
      <c r="F38" s="171"/>
      <c r="G38" s="171">
        <f t="shared" si="4"/>
        <v>11748.31</v>
      </c>
      <c r="H38" s="172">
        <f t="shared" si="5"/>
        <v>3.0797663957507289E-3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'[10]Sch C'!D24</f>
        <v>5801.04</v>
      </c>
      <c r="D39" s="501">
        <f>'[10]Sch C'!F24</f>
        <v>0</v>
      </c>
      <c r="E39" s="171">
        <f t="shared" si="3"/>
        <v>5801.04</v>
      </c>
      <c r="F39" s="171"/>
      <c r="G39" s="171">
        <f t="shared" si="4"/>
        <v>5801.04</v>
      </c>
      <c r="H39" s="172">
        <f t="shared" si="5"/>
        <v>1.5207164309084295E-3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'[10]Sch C'!D25</f>
        <v>0</v>
      </c>
      <c r="D40" s="501">
        <f>'[10]Sch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'[10]Sch C'!D26</f>
        <v>223355.44</v>
      </c>
      <c r="D41" s="501">
        <f>'[10]Sch C'!F26</f>
        <v>0</v>
      </c>
      <c r="E41" s="171">
        <f t="shared" si="3"/>
        <v>223355.44</v>
      </c>
      <c r="F41" s="171"/>
      <c r="G41" s="171">
        <f t="shared" si="4"/>
        <v>223355.44</v>
      </c>
      <c r="H41" s="172">
        <f t="shared" si="5"/>
        <v>5.8551619630407968E-2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'[10]Sch C'!D27</f>
        <v>0</v>
      </c>
      <c r="D42" s="501">
        <f>'[10]Sch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'[10]Sch C'!D28</f>
        <v>0</v>
      </c>
      <c r="D43" s="501">
        <f>'[10]Sch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'[10]Sch C'!D29</f>
        <v>0</v>
      </c>
      <c r="D44" s="501">
        <f>'[10]Sch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'[10]Sch C'!D30</f>
        <v>0</v>
      </c>
      <c r="D45" s="501">
        <f>'[10]Sch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'[10]Sch C'!D31</f>
        <v>0</v>
      </c>
      <c r="D46" s="501">
        <f>'[10]Sch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'[10]Sch C'!D32</f>
        <v>5070.0300000000007</v>
      </c>
      <c r="D47" s="501">
        <f>'[10]Sch C'!F32</f>
        <v>0</v>
      </c>
      <c r="E47" s="171">
        <f t="shared" si="3"/>
        <v>5070.0300000000007</v>
      </c>
      <c r="F47" s="171"/>
      <c r="G47" s="171">
        <f t="shared" si="4"/>
        <v>5070.0300000000007</v>
      </c>
      <c r="H47" s="172">
        <f t="shared" si="5"/>
        <v>1.3290854616066542E-3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'[10]Sch C'!D33</f>
        <v>0</v>
      </c>
      <c r="D48" s="501">
        <f>'[10]Sch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'[10]Sch C'!D34</f>
        <v>0</v>
      </c>
      <c r="D49" s="501">
        <f>'[10]Sch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'[10]Sch C'!D35</f>
        <v>0</v>
      </c>
      <c r="D50" s="501">
        <f>'[10]Sch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'[10]Sch C'!D36</f>
        <v>0</v>
      </c>
      <c r="D51" s="501">
        <f>'[10]Sch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'[10]Sch C'!D37</f>
        <v>0</v>
      </c>
      <c r="D52" s="501">
        <f>'[10]Sch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'[10]Sch C'!D38</f>
        <v>0</v>
      </c>
      <c r="D53" s="501">
        <f>'[10]Sch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'[10]Sch C'!D39</f>
        <v>212.29</v>
      </c>
      <c r="D54" s="501">
        <f>'[10]Sch C'!F39</f>
        <v>0</v>
      </c>
      <c r="E54" s="171">
        <f t="shared" si="3"/>
        <v>212.29</v>
      </c>
      <c r="F54" s="171"/>
      <c r="G54" s="171">
        <f t="shared" si="4"/>
        <v>212.29</v>
      </c>
      <c r="H54" s="172">
        <f t="shared" si="5"/>
        <v>5.5650864520422282E-5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'[10]Sch C'!D40</f>
        <v>4105.53</v>
      </c>
      <c r="D55" s="501">
        <f>'[10]Sch C'!F40</f>
        <v>0</v>
      </c>
      <c r="E55" s="171">
        <f t="shared" si="3"/>
        <v>4105.53</v>
      </c>
      <c r="F55" s="171"/>
      <c r="G55" s="171">
        <f t="shared" si="4"/>
        <v>4105.53</v>
      </c>
      <c r="H55" s="172">
        <f t="shared" si="5"/>
        <v>1.0762461435514122E-3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'[10]Sch C'!D41</f>
        <v>7065.79</v>
      </c>
      <c r="D56" s="501">
        <f>'[10]Sch C'!F41</f>
        <v>0</v>
      </c>
      <c r="E56" s="171">
        <f t="shared" si="3"/>
        <v>7065.79</v>
      </c>
      <c r="F56" s="171"/>
      <c r="G56" s="171">
        <f t="shared" si="4"/>
        <v>7065.79</v>
      </c>
      <c r="H56" s="172">
        <f t="shared" si="5"/>
        <v>1.8522649301415731E-3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'[10]Sch C'!D42</f>
        <v>1183</v>
      </c>
      <c r="D57" s="501">
        <f>'[10]Sch C'!F42</f>
        <v>0</v>
      </c>
      <c r="E57" s="171">
        <f t="shared" si="3"/>
        <v>1183</v>
      </c>
      <c r="F57" s="171"/>
      <c r="G57" s="171">
        <f t="shared" si="4"/>
        <v>1183</v>
      </c>
      <c r="H57" s="172">
        <f t="shared" si="5"/>
        <v>3.1011810602317376E-4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'[10]Sch C'!D43</f>
        <v>5482.39</v>
      </c>
      <c r="D58" s="501">
        <f>'[10]Sch C'!F43</f>
        <v>0</v>
      </c>
      <c r="E58" s="171">
        <f t="shared" si="3"/>
        <v>5482.39</v>
      </c>
      <c r="F58" s="171"/>
      <c r="G58" s="171">
        <f t="shared" si="4"/>
        <v>5482.39</v>
      </c>
      <c r="H58" s="172">
        <f t="shared" si="5"/>
        <v>1.4371837728490175E-3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'[10]Sch C'!D44</f>
        <v>0</v>
      </c>
      <c r="D59" s="501">
        <f>'[10]Sch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'[10]Sch C'!D45</f>
        <v>1947.27</v>
      </c>
      <c r="D60" s="501">
        <f>'[10]Sch C'!F45</f>
        <v>0</v>
      </c>
      <c r="E60" s="171">
        <f t="shared" si="3"/>
        <v>1947.27</v>
      </c>
      <c r="F60" s="171"/>
      <c r="G60" s="171">
        <f t="shared" si="4"/>
        <v>1947.27</v>
      </c>
      <c r="H60" s="172">
        <f t="shared" si="5"/>
        <v>5.1046803407924391E-4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656892.92234153452</v>
      </c>
      <c r="D61" s="501">
        <f>SUM(D25:D60)</f>
        <v>-2000</v>
      </c>
      <c r="E61" s="171">
        <f t="shared" ref="E61:F61" si="6">SUM(E25:E60)</f>
        <v>654892.92234153452</v>
      </c>
      <c r="F61" s="171">
        <f t="shared" si="6"/>
        <v>0</v>
      </c>
      <c r="G61" s="171">
        <f>SUM(G25:G60)</f>
        <v>654892.92234153452</v>
      </c>
      <c r="H61" s="186">
        <f t="shared" si="5"/>
        <v>0.17167722123798657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'[10]Sch C'!D57</f>
        <v>0</v>
      </c>
      <c r="D64" s="501">
        <f>'[10]Sch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'[10]Sch C'!D58</f>
        <v>258705</v>
      </c>
      <c r="D65" s="501">
        <f>'[10]Sch C'!F58</f>
        <v>0</v>
      </c>
      <c r="E65" s="171">
        <f t="shared" si="7"/>
        <v>258705</v>
      </c>
      <c r="F65" s="171">
        <v>620</v>
      </c>
      <c r="G65" s="171">
        <f t="shared" si="8"/>
        <v>259325</v>
      </c>
      <c r="H65" s="172">
        <f t="shared" si="9"/>
        <v>6.7980877298782369E-2</v>
      </c>
      <c r="I65" s="473" t="s">
        <v>693</v>
      </c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'[10]Sch C'!D59</f>
        <v>89787.5</v>
      </c>
      <c r="D66" s="501">
        <f>'[10]Sch C'!F59</f>
        <v>0</v>
      </c>
      <c r="E66" s="171">
        <f t="shared" si="7"/>
        <v>89787.5</v>
      </c>
      <c r="F66" s="171"/>
      <c r="G66" s="171">
        <f t="shared" si="8"/>
        <v>89787.5</v>
      </c>
      <c r="H66" s="172">
        <f t="shared" si="9"/>
        <v>2.353738752709697E-2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'[10]Sch C'!D60</f>
        <v>0</v>
      </c>
      <c r="D67" s="501">
        <f>'[10]Sch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'[10]Sch C'!D61</f>
        <v>5476.98</v>
      </c>
      <c r="D68" s="501">
        <f>'[10]Sch C'!F61</f>
        <v>0</v>
      </c>
      <c r="E68" s="171">
        <f t="shared" si="7"/>
        <v>5476.98</v>
      </c>
      <c r="F68" s="171"/>
      <c r="G68" s="171">
        <f t="shared" si="8"/>
        <v>5476.98</v>
      </c>
      <c r="H68" s="172">
        <f t="shared" si="9"/>
        <v>1.4357655657876603E-3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'[10]Sch C'!D62</f>
        <v>0</v>
      </c>
      <c r="D69" s="501">
        <f>'[10]Sch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'[10]Sch C'!D63</f>
        <v>0</v>
      </c>
      <c r="D70" s="501">
        <f>'[10]Sch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'[10]Sch C'!D64</f>
        <v>0</v>
      </c>
      <c r="D71" s="501">
        <f>'[10]Sch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'[10]Sch C'!D65</f>
        <v>1667.54</v>
      </c>
      <c r="D72" s="501">
        <f>'[10]Sch C'!F65</f>
        <v>0</v>
      </c>
      <c r="E72" s="171">
        <f t="shared" si="7"/>
        <v>1667.54</v>
      </c>
      <c r="F72" s="171"/>
      <c r="G72" s="171">
        <f t="shared" si="8"/>
        <v>1667.54</v>
      </c>
      <c r="H72" s="172">
        <f t="shared" si="9"/>
        <v>4.371380782061565E-4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'[10]Sch C'!D66</f>
        <v>0</v>
      </c>
      <c r="D73" s="501">
        <f>'[10]Sch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'[10]Sch C'!D67</f>
        <v>26316</v>
      </c>
      <c r="D74" s="501">
        <f>'[10]Sch C'!F67</f>
        <v>0</v>
      </c>
      <c r="E74" s="171">
        <f t="shared" si="7"/>
        <v>26316</v>
      </c>
      <c r="F74" s="171"/>
      <c r="G74" s="171">
        <f t="shared" si="8"/>
        <v>26316</v>
      </c>
      <c r="H74" s="172">
        <f t="shared" si="9"/>
        <v>6.8986205224901443E-3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'[10]Sch C'!D68</f>
        <v>0</v>
      </c>
      <c r="D75" s="501">
        <f>'[10]Sch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'[10]Sch C'!D69</f>
        <v>0</v>
      </c>
      <c r="D76" s="501">
        <f>'[10]Sch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'[10]Sch C'!D70</f>
        <v>0</v>
      </c>
      <c r="D77" s="501">
        <f>'[10]Sch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'[10]Sch C'!D71</f>
        <v>0</v>
      </c>
      <c r="D78" s="501">
        <f>'[10]Sch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381953.01999999996</v>
      </c>
      <c r="D79" s="501">
        <f>SUM(D64:D78)</f>
        <v>0</v>
      </c>
      <c r="E79" s="171">
        <f t="shared" ref="E79:F79" si="10">SUM(E64:E78)</f>
        <v>381953.01999999996</v>
      </c>
      <c r="F79" s="171">
        <f t="shared" si="10"/>
        <v>620</v>
      </c>
      <c r="G79" s="171">
        <f>SUM(G64:G78)</f>
        <v>382573.01999999996</v>
      </c>
      <c r="H79" s="172">
        <f t="shared" si="9"/>
        <v>0.10028978899236328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'[10]Sch C'!D75</f>
        <v>0</v>
      </c>
      <c r="D82" s="501">
        <f>'[10]Sch C'!F75</f>
        <v>0</v>
      </c>
      <c r="E82" s="171">
        <f t="shared" ref="E82:E92" si="11">C82+D82</f>
        <v>0</v>
      </c>
      <c r="F82" s="171"/>
      <c r="G82" s="171">
        <f t="shared" ref="G82:G92" si="12">E82+F82</f>
        <v>0</v>
      </c>
      <c r="H82" s="172">
        <f t="shared" ref="H82:H93" si="13">IF($G$208=0,0,G82/$G$208)</f>
        <v>0</v>
      </c>
      <c r="I82" s="473"/>
      <c r="J82" s="183">
        <v>0</v>
      </c>
      <c r="K82" s="183">
        <v>0</v>
      </c>
    </row>
    <row r="83" spans="1:11" s="167" customFormat="1">
      <c r="A83" s="169" t="s">
        <v>86</v>
      </c>
      <c r="B83" s="199" t="s">
        <v>45</v>
      </c>
      <c r="C83" s="501">
        <f>'[10]Sch C'!D76</f>
        <v>0</v>
      </c>
      <c r="D83" s="501">
        <f>'[10]Sch C'!F76</f>
        <v>0</v>
      </c>
      <c r="E83" s="171">
        <f t="shared" si="11"/>
        <v>0</v>
      </c>
      <c r="F83" s="171"/>
      <c r="G83" s="171">
        <f t="shared" si="12"/>
        <v>0</v>
      </c>
      <c r="H83" s="172">
        <f t="shared" si="13"/>
        <v>0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'[10]Sch C'!D77</f>
        <v>39267.160000000003</v>
      </c>
      <c r="D84" s="501">
        <f>'[10]Sch C'!F77</f>
        <v>0</v>
      </c>
      <c r="E84" s="171">
        <f t="shared" si="11"/>
        <v>39267.160000000003</v>
      </c>
      <c r="F84" s="171">
        <v>-12408</v>
      </c>
      <c r="G84" s="171">
        <f t="shared" si="12"/>
        <v>26859.160000000003</v>
      </c>
      <c r="H84" s="172">
        <f t="shared" si="13"/>
        <v>7.0410074628684607E-3</v>
      </c>
      <c r="I84" s="473" t="s">
        <v>695</v>
      </c>
      <c r="J84" s="168"/>
      <c r="K84" s="168"/>
    </row>
    <row r="85" spans="1:11" s="167" customFormat="1">
      <c r="A85" s="169">
        <v>230</v>
      </c>
      <c r="B85" s="199" t="s">
        <v>46</v>
      </c>
      <c r="C85" s="501">
        <f>'[10]Sch C'!D78</f>
        <v>0</v>
      </c>
      <c r="D85" s="501">
        <f>'[10]Sch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'[10]Sch C'!D79</f>
        <v>8400.58</v>
      </c>
      <c r="D86" s="501">
        <f>'[10]Sch C'!F79</f>
        <v>0</v>
      </c>
      <c r="E86" s="171">
        <f t="shared" si="11"/>
        <v>8400.58</v>
      </c>
      <c r="F86" s="171"/>
      <c r="G86" s="171">
        <f>E86+F86</f>
        <v>8400.58</v>
      </c>
      <c r="H86" s="172">
        <f t="shared" si="13"/>
        <v>2.2021740989823777E-3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'[10]Sch C'!D80</f>
        <v>0</v>
      </c>
      <c r="D87" s="501">
        <f>'[10]Sch C'!F80</f>
        <v>0</v>
      </c>
      <c r="E87" s="171">
        <f t="shared" si="11"/>
        <v>0</v>
      </c>
      <c r="F87" s="171"/>
      <c r="G87" s="171">
        <f t="shared" si="12"/>
        <v>0</v>
      </c>
      <c r="H87" s="172">
        <f t="shared" si="13"/>
        <v>0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'[10]Sch C'!D81</f>
        <v>32217.312000000002</v>
      </c>
      <c r="D88" s="501">
        <f>'[10]Sch C'!F81</f>
        <v>0</v>
      </c>
      <c r="E88" s="171">
        <f t="shared" si="11"/>
        <v>32217.312000000002</v>
      </c>
      <c r="F88" s="171"/>
      <c r="G88" s="171">
        <f t="shared" si="12"/>
        <v>32217.312000000002</v>
      </c>
      <c r="H88" s="172">
        <f t="shared" si="13"/>
        <v>8.4456228052389431E-3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'[10]Sch C'!D82</f>
        <v>8054.3280000000004</v>
      </c>
      <c r="D89" s="501">
        <f>'[10]Sch C'!F82</f>
        <v>0</v>
      </c>
      <c r="E89" s="171">
        <f t="shared" si="11"/>
        <v>8054.3280000000004</v>
      </c>
      <c r="F89" s="171"/>
      <c r="G89" s="171">
        <f t="shared" si="12"/>
        <v>8054.3280000000004</v>
      </c>
      <c r="H89" s="172">
        <f t="shared" si="13"/>
        <v>2.1114057013097358E-3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'[10]Sch C'!D83</f>
        <v>0</v>
      </c>
      <c r="D90" s="501">
        <f>'[10]Sch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'[10]Sch C'!D84</f>
        <v>73663.350000000006</v>
      </c>
      <c r="D91" s="501">
        <f>'[10]Sch C'!F84</f>
        <v>0</v>
      </c>
      <c r="E91" s="171">
        <f t="shared" si="11"/>
        <v>73663.350000000006</v>
      </c>
      <c r="F91" s="171"/>
      <c r="G91" s="171">
        <f t="shared" si="12"/>
        <v>73663.350000000006</v>
      </c>
      <c r="H91" s="172">
        <f t="shared" si="13"/>
        <v>1.9310514442368688E-2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'[10]Sch C'!D85</f>
        <v>0</v>
      </c>
      <c r="D92" s="501">
        <f>'[10]Sch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161602.73000000001</v>
      </c>
      <c r="D93" s="501">
        <f>SUM(D82:D92)</f>
        <v>0</v>
      </c>
      <c r="E93" s="171">
        <f t="shared" ref="E93:F93" si="14">SUM(E82:E92)</f>
        <v>161602.73000000001</v>
      </c>
      <c r="F93" s="171">
        <f t="shared" si="14"/>
        <v>-12408</v>
      </c>
      <c r="G93" s="171">
        <f>SUM(G82:G92)</f>
        <v>149194.73000000001</v>
      </c>
      <c r="H93" s="172">
        <f t="shared" si="13"/>
        <v>3.9110724510768205E-2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'[10]Sch C'!D89</f>
        <v>0</v>
      </c>
      <c r="D96" s="501">
        <f>'[10]Sch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'[10]Sch C'!D90</f>
        <v>0</v>
      </c>
      <c r="D97" s="501">
        <f>'[10]Sch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'[10]Sch C'!D91</f>
        <v>234091</v>
      </c>
      <c r="D98" s="501">
        <f>'[10]Sch C'!F91</f>
        <v>0</v>
      </c>
      <c r="E98" s="171">
        <f t="shared" si="15"/>
        <v>234091</v>
      </c>
      <c r="F98" s="171"/>
      <c r="G98" s="171">
        <f t="shared" si="16"/>
        <v>234091</v>
      </c>
      <c r="H98" s="172">
        <f t="shared" si="17"/>
        <v>6.1365898188563625E-2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'[10]Sch C'!D92</f>
        <v>21231.47</v>
      </c>
      <c r="D99" s="501">
        <f>'[10]Sch C'!F92</f>
        <v>0</v>
      </c>
      <c r="E99" s="171">
        <f t="shared" si="15"/>
        <v>21231.47</v>
      </c>
      <c r="F99" s="171"/>
      <c r="G99" s="171">
        <f t="shared" si="16"/>
        <v>21231.47</v>
      </c>
      <c r="H99" s="172">
        <f t="shared" si="17"/>
        <v>5.5657339513844745E-3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'[10]Sch C'!D93</f>
        <v>0</v>
      </c>
      <c r="D100" s="501">
        <f>'[10]Sch C'!F93</f>
        <v>0</v>
      </c>
      <c r="E100" s="171">
        <f t="shared" si="15"/>
        <v>0</v>
      </c>
      <c r="F100" s="171"/>
      <c r="G100" s="171">
        <f t="shared" si="16"/>
        <v>0</v>
      </c>
      <c r="H100" s="172">
        <f t="shared" si="17"/>
        <v>0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'[10]Sch C'!D94</f>
        <v>0</v>
      </c>
      <c r="D101" s="501">
        <f>'[10]Sch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255322.47</v>
      </c>
      <c r="D102" s="501">
        <f>SUM(D96:D101)</f>
        <v>0</v>
      </c>
      <c r="E102" s="171">
        <f t="shared" ref="E102:F102" si="18">SUM(E96:E101)</f>
        <v>255322.47</v>
      </c>
      <c r="F102" s="171">
        <f t="shared" si="18"/>
        <v>0</v>
      </c>
      <c r="G102" s="171">
        <f>SUM(G96:G101)</f>
        <v>255322.47</v>
      </c>
      <c r="H102" s="172">
        <f t="shared" si="17"/>
        <v>6.69316321399481E-2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'[10]Sch C'!D98</f>
        <v>0</v>
      </c>
      <c r="D105" s="501">
        <f>'[10]Sch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'[10]Sch C'!D99</f>
        <v>0</v>
      </c>
      <c r="D106" s="501">
        <f>'[10]Sch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'[10]Sch C'!D100</f>
        <v>0</v>
      </c>
      <c r="D107" s="501">
        <f>'[10]Sch C'!F100</f>
        <v>0</v>
      </c>
      <c r="E107" s="171">
        <f t="shared" si="19"/>
        <v>0</v>
      </c>
      <c r="F107" s="171"/>
      <c r="G107" s="171">
        <f t="shared" si="20"/>
        <v>0</v>
      </c>
      <c r="H107" s="172">
        <f t="shared" si="21"/>
        <v>0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'[10]Sch C'!D101</f>
        <v>41951</v>
      </c>
      <c r="D108" s="501">
        <f>'[10]Sch C'!F101</f>
        <v>0</v>
      </c>
      <c r="E108" s="171">
        <f t="shared" si="19"/>
        <v>41951</v>
      </c>
      <c r="F108" s="171"/>
      <c r="G108" s="171">
        <f t="shared" si="20"/>
        <v>41951</v>
      </c>
      <c r="H108" s="172">
        <f t="shared" si="21"/>
        <v>1.099726514436024E-2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'[10]Sch C'!D102</f>
        <v>6051.7</v>
      </c>
      <c r="D109" s="501">
        <f>'[10]Sch C'!F102</f>
        <v>0</v>
      </c>
      <c r="E109" s="171">
        <f t="shared" si="19"/>
        <v>6051.7</v>
      </c>
      <c r="F109" s="171"/>
      <c r="G109" s="171">
        <f t="shared" si="20"/>
        <v>6051.7</v>
      </c>
      <c r="H109" s="172">
        <f t="shared" si="21"/>
        <v>1.5864258175996963E-3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'[10]Sch C'!D103</f>
        <v>0</v>
      </c>
      <c r="D110" s="501">
        <f>'[10]Sch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48002.7</v>
      </c>
      <c r="D111" s="501">
        <f>SUM(D105:D110)</f>
        <v>0</v>
      </c>
      <c r="E111" s="171">
        <f t="shared" ref="E111:F111" si="22">SUM(E105:E110)</f>
        <v>48002.7</v>
      </c>
      <c r="F111" s="171">
        <f t="shared" si="22"/>
        <v>0</v>
      </c>
      <c r="G111" s="171">
        <f>SUM(G105:G110)</f>
        <v>48002.7</v>
      </c>
      <c r="H111" s="172">
        <f t="shared" si="21"/>
        <v>1.2583690961959935E-2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'[10]Sch C'!D115</f>
        <v>140380.24</v>
      </c>
      <c r="D114" s="501">
        <f>'[10]Sch C'!F115</f>
        <v>0</v>
      </c>
      <c r="E114" s="171">
        <f t="shared" ref="E114:E118" si="23">C114+D114</f>
        <v>140380.24</v>
      </c>
      <c r="F114" s="171"/>
      <c r="G114" s="171">
        <f>E114+F114</f>
        <v>140380.24</v>
      </c>
      <c r="H114" s="172">
        <f t="shared" ref="H114:H119" si="24">IF($G$208=0,0,G114/$G$208)</f>
        <v>3.6800045775045288E-2</v>
      </c>
      <c r="I114" s="473"/>
      <c r="J114" s="183">
        <v>9007</v>
      </c>
      <c r="K114" s="183">
        <v>10172</v>
      </c>
    </row>
    <row r="115" spans="1:11" s="167" customFormat="1">
      <c r="A115" s="169" t="s">
        <v>86</v>
      </c>
      <c r="B115" s="170" t="s">
        <v>151</v>
      </c>
      <c r="C115" s="501">
        <f>'[10]Sch C'!D116</f>
        <v>37143.800000000003</v>
      </c>
      <c r="D115" s="501">
        <f>'[10]Sch C'!F116</f>
        <v>0</v>
      </c>
      <c r="E115" s="171">
        <f t="shared" si="23"/>
        <v>37143.800000000003</v>
      </c>
      <c r="F115" s="171"/>
      <c r="G115" s="171">
        <f>E115+F115</f>
        <v>37143.800000000003</v>
      </c>
      <c r="H115" s="172">
        <f t="shared" si="24"/>
        <v>9.7370793799691994E-3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'[10]Sch C'!D117</f>
        <v>26336.28</v>
      </c>
      <c r="D116" s="501">
        <f>'[10]Sch C'!F117</f>
        <v>0</v>
      </c>
      <c r="E116" s="171">
        <f t="shared" si="23"/>
        <v>26336.28</v>
      </c>
      <c r="F116" s="171"/>
      <c r="G116" s="171">
        <f>E116+F116</f>
        <v>26336.28</v>
      </c>
      <c r="H116" s="172">
        <f t="shared" si="24"/>
        <v>6.9039368328791132E-3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'[10]Sch C'!D118</f>
        <v>0</v>
      </c>
      <c r="D117" s="501">
        <f>'[10]Sch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'[10]Sch C'!D119</f>
        <v>0</v>
      </c>
      <c r="D118" s="501">
        <f>'[10]Sch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375</v>
      </c>
      <c r="C119" s="501">
        <f>SUM(C114:C118)</f>
        <v>203860.31999999998</v>
      </c>
      <c r="D119" s="501">
        <f>SUM(D114:D118)</f>
        <v>0</v>
      </c>
      <c r="E119" s="171">
        <f t="shared" ref="E119:F119" si="25">SUM(E114:E118)</f>
        <v>203860.31999999998</v>
      </c>
      <c r="F119" s="171">
        <f t="shared" si="25"/>
        <v>0</v>
      </c>
      <c r="G119" s="171">
        <f>SUM(G114:G118)</f>
        <v>203860.31999999998</v>
      </c>
      <c r="H119" s="172">
        <f t="shared" si="24"/>
        <v>5.3441061987893598E-2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 t="s">
        <v>658</v>
      </c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'[10]Sch C'!D124</f>
        <v>82586.399999999994</v>
      </c>
      <c r="D123" s="501">
        <f>'[10]Sch C'!F124</f>
        <v>0</v>
      </c>
      <c r="E123" s="171">
        <f t="shared" ref="E123:E127" si="26">C123+D123</f>
        <v>82586.399999999994</v>
      </c>
      <c r="F123" s="171">
        <v>-82586.399999999994</v>
      </c>
      <c r="G123" s="171">
        <f>E123+F123</f>
        <v>0</v>
      </c>
      <c r="H123" s="172">
        <f>IF($G$208=0,0,G123/$G$208)</f>
        <v>0</v>
      </c>
      <c r="I123" s="473" t="s">
        <v>402</v>
      </c>
      <c r="J123" s="183">
        <v>1840</v>
      </c>
      <c r="K123" s="183">
        <v>2032</v>
      </c>
    </row>
    <row r="124" spans="1:11" s="167" customFormat="1">
      <c r="B124" s="163" t="s">
        <v>194</v>
      </c>
      <c r="C124" s="501">
        <f>'[10]Sch C'!D125</f>
        <v>0</v>
      </c>
      <c r="D124" s="501">
        <f>'[10]Sch C'!F125</f>
        <v>0</v>
      </c>
      <c r="E124" s="171">
        <f t="shared" si="26"/>
        <v>0</v>
      </c>
      <c r="F124" s="171">
        <v>82586.399999999994</v>
      </c>
      <c r="G124" s="171">
        <f>E124+F124</f>
        <v>82586.399999999994</v>
      </c>
      <c r="H124" s="172">
        <f>IF($G$208=0,0,G124/$G$208)</f>
        <v>2.1649651691692508E-2</v>
      </c>
      <c r="I124" s="473" t="s">
        <v>402</v>
      </c>
      <c r="J124" s="183">
        <v>0</v>
      </c>
      <c r="K124" s="183">
        <v>0</v>
      </c>
    </row>
    <row r="125" spans="1:11" s="167" customFormat="1">
      <c r="A125" s="163" t="s">
        <v>198</v>
      </c>
      <c r="B125" s="163" t="s">
        <v>195</v>
      </c>
      <c r="C125" s="501">
        <f>'[10]Sch C'!D126</f>
        <v>0</v>
      </c>
      <c r="D125" s="501">
        <f>'[10]Sch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'[10]Sch C'!D127</f>
        <v>0</v>
      </c>
      <c r="D126" s="501">
        <f>'[10]Sch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'[10]Sch C'!D128</f>
        <v>0</v>
      </c>
      <c r="D127" s="501">
        <f>'[10]Sch C'!F128</f>
        <v>0</v>
      </c>
      <c r="E127" s="171">
        <f t="shared" si="26"/>
        <v>0</v>
      </c>
      <c r="F127" s="171"/>
      <c r="G127" s="171">
        <f>E127+F127</f>
        <v>0</v>
      </c>
      <c r="H127" s="172">
        <f>IF($G$208=0,0,G127/$G$208)</f>
        <v>0</v>
      </c>
      <c r="I127" s="473"/>
      <c r="J127" s="183">
        <v>0</v>
      </c>
      <c r="K127" s="183">
        <v>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'[10]Sch C'!D130</f>
        <v>23955.357341044793</v>
      </c>
      <c r="D129" s="501">
        <f>'[10]Sch C'!F130</f>
        <v>0</v>
      </c>
      <c r="E129" s="171">
        <f t="shared" ref="E129:E133" si="27">C129+D129</f>
        <v>23955.357341044793</v>
      </c>
      <c r="F129" s="171">
        <v>-23955.357341044801</v>
      </c>
      <c r="G129" s="171">
        <f>E129+F129</f>
        <v>0</v>
      </c>
      <c r="H129" s="172">
        <f>IF($G$208=0,0,G129/$G$208)</f>
        <v>0</v>
      </c>
      <c r="I129" s="473" t="s">
        <v>659</v>
      </c>
      <c r="J129" s="204"/>
      <c r="K129" s="204"/>
    </row>
    <row r="130" spans="1:11" s="167" customFormat="1">
      <c r="A130" s="169"/>
      <c r="B130" s="163" t="s">
        <v>194</v>
      </c>
      <c r="C130" s="501">
        <f>'[10]Sch C'!D131</f>
        <v>0</v>
      </c>
      <c r="D130" s="501">
        <f>'[10]Sch C'!F131</f>
        <v>0</v>
      </c>
      <c r="E130" s="171">
        <f t="shared" si="27"/>
        <v>0</v>
      </c>
      <c r="F130" s="171">
        <v>23955.357341044793</v>
      </c>
      <c r="G130" s="171">
        <f>E130+F130</f>
        <v>23955.357341044793</v>
      </c>
      <c r="H130" s="172">
        <f>IF($G$208=0,0,G130/$G$208)</f>
        <v>6.2797887131979232E-3</v>
      </c>
      <c r="I130" s="473" t="s">
        <v>405</v>
      </c>
      <c r="J130" s="204"/>
      <c r="K130" s="204"/>
    </row>
    <row r="131" spans="1:11" s="167" customFormat="1">
      <c r="B131" s="163" t="s">
        <v>195</v>
      </c>
      <c r="C131" s="501">
        <f>'[10]Sch C'!D132</f>
        <v>0</v>
      </c>
      <c r="D131" s="501">
        <f>'[10]Sch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'[10]Sch C'!D133</f>
        <v>0</v>
      </c>
      <c r="D132" s="501">
        <f>'[10]Sch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'[10]Sch C'!D134</f>
        <v>0</v>
      </c>
      <c r="D133" s="501">
        <f>'[10]Sch C'!F134</f>
        <v>0</v>
      </c>
      <c r="E133" s="171">
        <f t="shared" si="27"/>
        <v>0</v>
      </c>
      <c r="F133" s="17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'[10]Sch C'!D136</f>
        <v>531305.97</v>
      </c>
      <c r="D135" s="501">
        <f>'[10]Sch C'!F136</f>
        <v>0</v>
      </c>
      <c r="E135" s="171">
        <f t="shared" ref="E135:E138" si="28">C135+D135</f>
        <v>531305.97</v>
      </c>
      <c r="F135" s="171"/>
      <c r="G135" s="171">
        <f>E135+F135</f>
        <v>531305.97</v>
      </c>
      <c r="H135" s="172">
        <f>IF($G$208=0,0,G135/$G$208)</f>
        <v>0.13927945996213456</v>
      </c>
      <c r="I135" s="473"/>
      <c r="J135" s="183">
        <v>15003</v>
      </c>
      <c r="K135" s="183">
        <v>17045</v>
      </c>
    </row>
    <row r="136" spans="1:11" s="167" customFormat="1">
      <c r="A136" s="169"/>
      <c r="B136" s="163" t="s">
        <v>195</v>
      </c>
      <c r="C136" s="501">
        <f>'[10]Sch C'!D137</f>
        <v>129901.51999999999</v>
      </c>
      <c r="D136" s="501">
        <f>'[10]Sch C'!F137</f>
        <v>0</v>
      </c>
      <c r="E136" s="171">
        <f t="shared" si="28"/>
        <v>129901.51999999999</v>
      </c>
      <c r="F136" s="171"/>
      <c r="G136" s="171">
        <f>E136+F136</f>
        <v>129901.51999999999</v>
      </c>
      <c r="H136" s="172">
        <f>IF($G$208=0,0,G136/$G$208)</f>
        <v>3.4053096662663929E-2</v>
      </c>
      <c r="I136" s="473"/>
      <c r="J136" s="183">
        <v>5180</v>
      </c>
      <c r="K136" s="183">
        <v>5552</v>
      </c>
    </row>
    <row r="137" spans="1:11" s="167" customFormat="1">
      <c r="A137" s="169"/>
      <c r="B137" s="163" t="s">
        <v>196</v>
      </c>
      <c r="C137" s="501">
        <f>'[10]Sch C'!D138</f>
        <v>665028.52999999991</v>
      </c>
      <c r="D137" s="501">
        <f>'[10]Sch C'!F138</f>
        <v>0</v>
      </c>
      <c r="E137" s="171">
        <f t="shared" si="28"/>
        <v>665028.52999999991</v>
      </c>
      <c r="F137" s="171"/>
      <c r="G137" s="171">
        <f>E137+F137</f>
        <v>665028.52999999991</v>
      </c>
      <c r="H137" s="172">
        <f>IF($G$208=0,0,G137/$G$208)</f>
        <v>0.17433422499997919</v>
      </c>
      <c r="I137" s="473"/>
      <c r="J137" s="183">
        <v>40318</v>
      </c>
      <c r="K137" s="183">
        <v>45422</v>
      </c>
    </row>
    <row r="138" spans="1:11" s="167" customFormat="1">
      <c r="A138" s="169"/>
      <c r="B138" s="163" t="s">
        <v>417</v>
      </c>
      <c r="C138" s="501">
        <f>'[10]Sch C'!D139</f>
        <v>0</v>
      </c>
      <c r="D138" s="501">
        <f>'[10]Sch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'[10]Sch C'!D141</f>
        <v>130352.09</v>
      </c>
      <c r="D140" s="501">
        <f>'[10]Sch C'!F141</f>
        <v>0</v>
      </c>
      <c r="E140" s="171">
        <f t="shared" ref="E140:E143" si="29">C140+D140</f>
        <v>130352.09</v>
      </c>
      <c r="F140" s="171"/>
      <c r="G140" s="171">
        <f>E140+F140</f>
        <v>130352.09</v>
      </c>
      <c r="H140" s="172">
        <f>IF($G$208=0,0,G140/$G$208)</f>
        <v>3.4171211552799903E-2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'[10]Sch C'!D142</f>
        <v>28284.369483837894</v>
      </c>
      <c r="D141" s="501">
        <f>'[10]Sch C'!F142</f>
        <v>0</v>
      </c>
      <c r="E141" s="171">
        <f t="shared" si="29"/>
        <v>28284.369483837894</v>
      </c>
      <c r="F141" s="171"/>
      <c r="G141" s="171">
        <f>E141+F141</f>
        <v>28284.369483837894</v>
      </c>
      <c r="H141" s="172">
        <f>IF($G$208=0,0,G141/$G$208)</f>
        <v>7.4146196909445992E-3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'[10]Sch C'!D143</f>
        <v>208783.05059030937</v>
      </c>
      <c r="D142" s="501">
        <f>'[10]Sch C'!F143</f>
        <v>0</v>
      </c>
      <c r="E142" s="171">
        <f t="shared" si="29"/>
        <v>208783.05059030937</v>
      </c>
      <c r="F142" s="171"/>
      <c r="G142" s="171">
        <f>E142+F142</f>
        <v>208783.05059030937</v>
      </c>
      <c r="H142" s="172">
        <f>IF($G$208=0,0,G142/$G$208)</f>
        <v>5.4731533574646843E-2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'[10]Sch C'!D144</f>
        <v>0</v>
      </c>
      <c r="D143" s="501">
        <f>'[10]Sch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'[10]Sch C'!D146</f>
        <v>15000</v>
      </c>
      <c r="D145" s="501">
        <f>'[10]Sch C'!F146</f>
        <v>0</v>
      </c>
      <c r="E145" s="171">
        <f t="shared" ref="E145:E153" si="30">C145+D145</f>
        <v>15000</v>
      </c>
      <c r="F145" s="171"/>
      <c r="G145" s="171">
        <f t="shared" ref="G145:G153" si="31">E145+F145</f>
        <v>15000</v>
      </c>
      <c r="H145" s="172">
        <f t="shared" ref="H145:H153" si="32">IF($G$208=0,0,G145/$G$208)</f>
        <v>3.9321822403614592E-3</v>
      </c>
      <c r="I145" s="473"/>
      <c r="J145" s="183">
        <v>24</v>
      </c>
      <c r="K145" s="183">
        <v>24</v>
      </c>
    </row>
    <row r="146" spans="1:11" s="167" customFormat="1">
      <c r="A146" s="169"/>
      <c r="B146" s="163" t="s">
        <v>194</v>
      </c>
      <c r="C146" s="501">
        <f>'[10]Sch C'!D147</f>
        <v>80460</v>
      </c>
      <c r="D146" s="501">
        <f>'[10]Sch C'!F147</f>
        <v>0</v>
      </c>
      <c r="E146" s="171">
        <f t="shared" si="30"/>
        <v>80460</v>
      </c>
      <c r="F146" s="171"/>
      <c r="G146" s="171">
        <f t="shared" si="31"/>
        <v>80460</v>
      </c>
      <c r="H146" s="172">
        <f t="shared" si="32"/>
        <v>2.1092225537298868E-2</v>
      </c>
      <c r="I146" s="473"/>
      <c r="J146" s="183">
        <v>1073</v>
      </c>
      <c r="K146" s="183">
        <v>1073</v>
      </c>
    </row>
    <row r="147" spans="1:11" s="167" customFormat="1">
      <c r="A147" s="169"/>
      <c r="B147" s="163" t="s">
        <v>195</v>
      </c>
      <c r="C147" s="501">
        <f>'[10]Sch C'!D148</f>
        <v>0</v>
      </c>
      <c r="D147" s="501">
        <f>'[10]Sch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'[10]Sch C'!D149</f>
        <v>0</v>
      </c>
      <c r="D148" s="501">
        <f>'[10]Sch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'[10]Sch C'!D150</f>
        <v>0</v>
      </c>
      <c r="D149" s="501">
        <f>'[10]Sch C'!F150</f>
        <v>0</v>
      </c>
      <c r="E149" s="171">
        <f t="shared" si="30"/>
        <v>0</v>
      </c>
      <c r="F149" s="171"/>
      <c r="G149" s="171">
        <f t="shared" si="31"/>
        <v>0</v>
      </c>
      <c r="H149" s="172">
        <f t="shared" si="32"/>
        <v>0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'[10]Sch C'!D151</f>
        <v>100642.65</v>
      </c>
      <c r="D150" s="501">
        <f>'[10]Sch C'!F151</f>
        <v>0</v>
      </c>
      <c r="E150" s="171">
        <f t="shared" si="30"/>
        <v>100642.65</v>
      </c>
      <c r="F150" s="171"/>
      <c r="G150" s="171">
        <f t="shared" si="31"/>
        <v>100642.65</v>
      </c>
      <c r="H150" s="172">
        <f t="shared" si="32"/>
        <v>2.6383016063527616E-2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'[10]Sch C'!D152</f>
        <v>16084.96</v>
      </c>
      <c r="D151" s="501">
        <f>'[10]Sch C'!F152</f>
        <v>0</v>
      </c>
      <c r="E151" s="171">
        <f t="shared" si="30"/>
        <v>16084.96</v>
      </c>
      <c r="F151" s="171">
        <f>-200-110</f>
        <v>-310</v>
      </c>
      <c r="G151" s="171">
        <f t="shared" si="31"/>
        <v>15774.96</v>
      </c>
      <c r="H151" s="172">
        <f t="shared" si="32"/>
        <v>4.1353345036274939E-3</v>
      </c>
      <c r="I151" s="473" t="s">
        <v>693</v>
      </c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'[10]Sch C'!D153</f>
        <v>0</v>
      </c>
      <c r="D152" s="501">
        <f>'[10]Sch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'[10]Sch C'!D154</f>
        <v>0</v>
      </c>
      <c r="D153" s="501">
        <f>'[10]Sch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'[10]Sch C'!D156</f>
        <v>0</v>
      </c>
      <c r="D155" s="501">
        <f>'[10]Sch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'[10]Sch C'!D157</f>
        <v>7271.84</v>
      </c>
      <c r="D156" s="501">
        <f>'[10]Sch C'!F157</f>
        <v>0</v>
      </c>
      <c r="E156" s="171">
        <f t="shared" si="33"/>
        <v>7271.84</v>
      </c>
      <c r="F156" s="171"/>
      <c r="G156" s="171">
        <f t="shared" si="34"/>
        <v>7271.84</v>
      </c>
      <c r="H156" s="172">
        <f t="shared" si="35"/>
        <v>1.9062800068500052E-3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'[10]Sch C'!D158</f>
        <v>0</v>
      </c>
      <c r="D157" s="501">
        <f>'[10]Sch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'[10]Sch C'!D159</f>
        <v>0</v>
      </c>
      <c r="D158" s="501">
        <f>'[10]Sch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'[10]Sch C'!D160</f>
        <v>0</v>
      </c>
      <c r="D159" s="501">
        <f>'[10]Sch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'[10]Sch C'!D161</f>
        <v>1572.29</v>
      </c>
      <c r="D160" s="501">
        <f>'[10]Sch C'!F161</f>
        <v>0</v>
      </c>
      <c r="E160" s="171">
        <f t="shared" si="33"/>
        <v>1572.29</v>
      </c>
      <c r="F160" s="171"/>
      <c r="G160" s="171">
        <f t="shared" si="34"/>
        <v>1572.29</v>
      </c>
      <c r="H160" s="172">
        <f t="shared" si="35"/>
        <v>4.1216872097986124E-4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2021229.0274151918</v>
      </c>
      <c r="D161" s="501">
        <f>SUM(D123:D160)</f>
        <v>0</v>
      </c>
      <c r="E161" s="171">
        <f t="shared" ref="E161:F161" si="36">SUM(E123:E160)</f>
        <v>2021229.0274151918</v>
      </c>
      <c r="F161" s="171">
        <f t="shared" si="36"/>
        <v>-310.00000000000728</v>
      </c>
      <c r="G161" s="171">
        <f>SUM(G123:G160)</f>
        <v>2020919.0274151918</v>
      </c>
      <c r="H161" s="172">
        <f t="shared" si="35"/>
        <v>0.5297747939207047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'[10]Sch C'!D175</f>
        <v>0</v>
      </c>
      <c r="D164" s="501">
        <f>'[10]Sch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'[10]Sch C'!D176</f>
        <v>0</v>
      </c>
      <c r="D165" s="501">
        <f>'[10]Sch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'[10]Sch C'!D177</f>
        <v>0</v>
      </c>
      <c r="D166" s="501">
        <f>'[10]Sch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'[10]Sch C'!D178</f>
        <v>0</v>
      </c>
      <c r="D167" s="501">
        <f>'[10]Sch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'[10]Sch C'!D179</f>
        <v>0</v>
      </c>
      <c r="D168" s="501">
        <f>'[10]Sch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'[10]Sch C'!D180</f>
        <v>0</v>
      </c>
      <c r="D169" s="501">
        <f>'[10]Sch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'[10]Sch C'!D181</f>
        <v>0</v>
      </c>
      <c r="D170" s="501">
        <f>'[10]Sch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'[10]Sch C'!D182</f>
        <v>0</v>
      </c>
      <c r="D171" s="501">
        <f>'[10]Sch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'[10]Sch C'!D183</f>
        <v>0</v>
      </c>
      <c r="D172" s="501">
        <f>'[10]Sch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'[10]Sch C'!D184</f>
        <v>0</v>
      </c>
      <c r="D173" s="501">
        <f>'[10]Sch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'[10]Sch C'!D185</f>
        <v>0</v>
      </c>
      <c r="D174" s="501">
        <f>'[10]Sch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'[10]Sch C'!D186</f>
        <v>0</v>
      </c>
      <c r="D175" s="501">
        <f>'[10]Sch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'[10]Sch C'!D187</f>
        <v>0</v>
      </c>
      <c r="D176" s="501">
        <f>'[10]Sch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'[10]Sch C'!D188</f>
        <v>0</v>
      </c>
      <c r="D177" s="501">
        <f>'[10]Sch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'[10]Sch C'!D189</f>
        <v>0</v>
      </c>
      <c r="D178" s="501">
        <f>'[10]Sch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'[10]Sch C'!D190</f>
        <v>0</v>
      </c>
      <c r="D179" s="501">
        <f>'[10]Sch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'[10]Sch C'!D191</f>
        <v>0</v>
      </c>
      <c r="D180" s="501">
        <f>'[10]Sch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'[10]Sch C'!D192</f>
        <v>1693</v>
      </c>
      <c r="D181" s="501">
        <f>'[10]Sch C'!F192</f>
        <v>0</v>
      </c>
      <c r="E181" s="171">
        <f t="shared" si="37"/>
        <v>1693</v>
      </c>
      <c r="F181" s="216"/>
      <c r="G181" s="171">
        <f t="shared" si="38"/>
        <v>1693</v>
      </c>
      <c r="H181" s="172">
        <f t="shared" si="39"/>
        <v>4.4381230219546339E-4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'[10]Sch C'!D193</f>
        <v>0</v>
      </c>
      <c r="D182" s="501">
        <f>'[10]Sch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'[10]Sch C'!D194</f>
        <v>0</v>
      </c>
      <c r="D183" s="501">
        <f>'[10]Sch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'[10]Sch C'!D195</f>
        <v>0</v>
      </c>
      <c r="D184" s="501">
        <f>'[10]Sch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'[10]Sch C'!D196</f>
        <v>0</v>
      </c>
      <c r="D185" s="501">
        <f>'[10]Sch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'[10]Sch C'!D197</f>
        <v>0</v>
      </c>
      <c r="D186" s="501">
        <f>'[10]Sch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'[10]Sch C'!D198</f>
        <v>0</v>
      </c>
      <c r="D187" s="501">
        <f>'[10]Sch C'!F198</f>
        <v>0</v>
      </c>
      <c r="E187" s="171">
        <f t="shared" si="37"/>
        <v>0</v>
      </c>
      <c r="F187" s="216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'[10]Sch C'!D199</f>
        <v>0</v>
      </c>
      <c r="D188" s="501">
        <f>'[10]Sch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'[10]Sch C'!D200</f>
        <v>0</v>
      </c>
      <c r="D189" s="501">
        <f>'[10]Sch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'[10]Sch C'!D201</f>
        <v>0</v>
      </c>
      <c r="D190" s="501">
        <f>'[10]Sch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'[10]Sch C'!D202</f>
        <v>0</v>
      </c>
      <c r="D191" s="501">
        <f>'[10]Sch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'[10]Sch C'!D203</f>
        <v>0</v>
      </c>
      <c r="D192" s="501">
        <f>'[10]Sch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'[10]Sch C'!D204</f>
        <v>0</v>
      </c>
      <c r="D193" s="501">
        <f>'[10]Sch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'[10]Sch C'!D205</f>
        <v>5717.1</v>
      </c>
      <c r="D194" s="501">
        <f>'[10]Sch C'!F205</f>
        <v>0</v>
      </c>
      <c r="E194" s="171">
        <f t="shared" si="37"/>
        <v>5717.1</v>
      </c>
      <c r="F194" s="216"/>
      <c r="G194" s="171">
        <f t="shared" si="38"/>
        <v>5717.1</v>
      </c>
      <c r="H194" s="172">
        <f t="shared" si="39"/>
        <v>1.4987119390913667E-3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'[10]Sch C'!D206</f>
        <v>0</v>
      </c>
      <c r="D195" s="501">
        <f>'[10]Sch C'!F206</f>
        <v>0</v>
      </c>
      <c r="E195" s="171">
        <f t="shared" si="37"/>
        <v>0</v>
      </c>
      <c r="F195" s="216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'[10]Sch C'!D207</f>
        <v>0</v>
      </c>
      <c r="D196" s="501">
        <f>'[10]Sch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7410.1</v>
      </c>
      <c r="D197" s="501">
        <f>SUM(D164:D196)</f>
        <v>0</v>
      </c>
      <c r="E197" s="171">
        <f t="shared" ref="E197:F197" si="40">SUM(E164:E196)</f>
        <v>7410.1</v>
      </c>
      <c r="F197" s="171">
        <f t="shared" si="40"/>
        <v>0</v>
      </c>
      <c r="G197" s="171">
        <f>SUM(G164:G196)</f>
        <v>7410.1</v>
      </c>
      <c r="H197" s="172">
        <f>IF($G$208=0,0,G197/$G$208)</f>
        <v>1.9425242412868301E-3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'[10]Sch C'!D211</f>
        <v>67482.399999999994</v>
      </c>
      <c r="D200" s="501">
        <f>'[10]Sch C'!F211</f>
        <v>0</v>
      </c>
      <c r="E200" s="171">
        <f t="shared" ref="E200:E205" si="41">C200+D200</f>
        <v>67482.399999999994</v>
      </c>
      <c r="F200" s="171"/>
      <c r="G200" s="171">
        <f t="shared" ref="G200:G205" si="42">E200+F200</f>
        <v>67482.399999999994</v>
      </c>
      <c r="H200" s="172">
        <f t="shared" ref="H200:H206" si="43">IF($G$208=0,0,G200/$G$208)</f>
        <v>1.7690206321131208E-2</v>
      </c>
      <c r="I200" s="473"/>
      <c r="J200" s="183">
        <v>2743</v>
      </c>
      <c r="K200" s="183">
        <v>3082</v>
      </c>
    </row>
    <row r="201" spans="1:14" s="167" customFormat="1">
      <c r="A201" s="169" t="s">
        <v>86</v>
      </c>
      <c r="B201" s="170" t="s">
        <v>45</v>
      </c>
      <c r="C201" s="501">
        <f>'[10]Sch C'!D212</f>
        <v>20925.259999999998</v>
      </c>
      <c r="D201" s="501">
        <f>'[10]Sch C'!F212</f>
        <v>0</v>
      </c>
      <c r="E201" s="171">
        <f t="shared" si="41"/>
        <v>20925.259999999998</v>
      </c>
      <c r="F201" s="171"/>
      <c r="G201" s="171">
        <f t="shared" si="42"/>
        <v>20925.259999999998</v>
      </c>
      <c r="H201" s="172">
        <f t="shared" si="43"/>
        <v>5.4854623831297354E-3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'[10]Sch C'!D213</f>
        <v>2650</v>
      </c>
      <c r="D202" s="501">
        <f>'[10]Sch C'!F213</f>
        <v>0</v>
      </c>
      <c r="E202" s="171">
        <f t="shared" si="41"/>
        <v>2650</v>
      </c>
      <c r="F202" s="171"/>
      <c r="G202" s="171">
        <f t="shared" si="42"/>
        <v>2650</v>
      </c>
      <c r="H202" s="172">
        <f t="shared" si="43"/>
        <v>6.9468552913052445E-4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'[10]Sch C'!D214</f>
        <v>1442.74</v>
      </c>
      <c r="D203" s="501">
        <f>'[10]Sch C'!F214</f>
        <v>0</v>
      </c>
      <c r="E203" s="171">
        <f t="shared" si="41"/>
        <v>1442.74</v>
      </c>
      <c r="F203" s="171"/>
      <c r="G203" s="171">
        <f t="shared" si="42"/>
        <v>1442.74</v>
      </c>
      <c r="H203" s="172">
        <f t="shared" si="43"/>
        <v>3.7820777369727279E-4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'[10]Sch C'!D215</f>
        <v>0</v>
      </c>
      <c r="D204" s="501">
        <f>'[10]Sch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'[10]Sch C'!D216</f>
        <v>0</v>
      </c>
      <c r="D205" s="501">
        <f>'[10]Sch C'!F216</f>
        <v>0</v>
      </c>
      <c r="E205" s="171">
        <f t="shared" si="41"/>
        <v>0</v>
      </c>
      <c r="F205" s="171"/>
      <c r="G205" s="171">
        <f t="shared" si="42"/>
        <v>0</v>
      </c>
      <c r="H205" s="172">
        <f t="shared" si="43"/>
        <v>0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92500.4</v>
      </c>
      <c r="D206" s="501">
        <f>SUM(D200:D205)</f>
        <v>0</v>
      </c>
      <c r="E206" s="171">
        <f t="shared" ref="E206:F206" si="44">SUM(E200:E205)</f>
        <v>92500.4</v>
      </c>
      <c r="F206" s="171">
        <f t="shared" si="44"/>
        <v>0</v>
      </c>
      <c r="G206" s="171">
        <f>SUM(G200:G205)</f>
        <v>92500.4</v>
      </c>
      <c r="H206" s="172">
        <f t="shared" si="43"/>
        <v>2.4248562007088741E-2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3828773.6897567264</v>
      </c>
      <c r="D208" s="501">
        <f>SUM(D25:D206)/2</f>
        <v>-2000</v>
      </c>
      <c r="E208" s="171">
        <f t="shared" ref="E208:F208" si="45">SUM(E25:E206)/2</f>
        <v>3826773.6897567264</v>
      </c>
      <c r="F208" s="171">
        <f t="shared" si="45"/>
        <v>-12098.000000000007</v>
      </c>
      <c r="G208" s="171">
        <f>SUM(G25:G206)/2</f>
        <v>3814675.6897567264</v>
      </c>
      <c r="H208" s="172">
        <f>IF($G$208=0,0,G208/$G$208)</f>
        <v>1</v>
      </c>
      <c r="I208" s="473"/>
      <c r="J208" s="183">
        <f>SUM(J25:J200)</f>
        <v>82626</v>
      </c>
      <c r="K208" s="183">
        <f>SUM(K25:K200)</f>
        <v>92569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'[10]Sch C'!D221</f>
        <v>3828774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-0.31024327361956239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-953635.22975672642</v>
      </c>
      <c r="D215" s="501">
        <f>D21-D208</f>
        <v>-2635</v>
      </c>
      <c r="E215" s="171">
        <f t="shared" ref="E215:F215" si="46">E21-E208</f>
        <v>-956270.22975672642</v>
      </c>
      <c r="F215" s="171">
        <f t="shared" si="46"/>
        <v>405684</v>
      </c>
      <c r="G215" s="171">
        <f>G21-G208</f>
        <v>-550586.22975672642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416</v>
      </c>
      <c r="C219" s="530">
        <f>'[10]Sch D'!C9</f>
        <v>6762</v>
      </c>
      <c r="D219" s="530"/>
      <c r="E219" s="234">
        <f t="shared" ref="E219:G227" si="47">C219+D219</f>
        <v>6762</v>
      </c>
      <c r="F219" s="233"/>
      <c r="G219" s="234">
        <f t="shared" si="47"/>
        <v>6762</v>
      </c>
      <c r="H219" s="172">
        <f t="shared" ref="H219:H228" si="48">IF($G$228=0,0,G219/$G$228)</f>
        <v>0.56909611176569597</v>
      </c>
      <c r="I219" s="473"/>
      <c r="J219" s="168"/>
      <c r="K219" s="168"/>
    </row>
    <row r="220" spans="1:11">
      <c r="A220" s="163"/>
      <c r="B220" s="170" t="s">
        <v>217</v>
      </c>
      <c r="C220" s="530">
        <f>'[10]Sch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'[10]Sch D'!E9</f>
        <v>0</v>
      </c>
      <c r="D221" s="530"/>
      <c r="E221" s="234">
        <f t="shared" si="49"/>
        <v>0</v>
      </c>
      <c r="F221" s="233"/>
      <c r="G221" s="234">
        <f t="shared" si="47"/>
        <v>0</v>
      </c>
      <c r="H221" s="172">
        <f t="shared" si="48"/>
        <v>0</v>
      </c>
      <c r="I221" s="473"/>
      <c r="J221" s="168"/>
      <c r="K221" s="168"/>
    </row>
    <row r="222" spans="1:11">
      <c r="A222" s="163"/>
      <c r="B222" s="202" t="s">
        <v>334</v>
      </c>
      <c r="C222" s="530">
        <f>'[10]Sch D'!F9</f>
        <v>0</v>
      </c>
      <c r="D222" s="530"/>
      <c r="E222" s="234">
        <f>C222+D222</f>
        <v>0</v>
      </c>
      <c r="F222" s="233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'[10]Sch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'[10]Sch D'!H9</f>
        <v>4941</v>
      </c>
      <c r="D224" s="530"/>
      <c r="E224" s="234">
        <f t="shared" si="49"/>
        <v>4941</v>
      </c>
      <c r="F224" s="233"/>
      <c r="G224" s="234">
        <f t="shared" si="47"/>
        <v>4941</v>
      </c>
      <c r="H224" s="172">
        <f t="shared" si="48"/>
        <v>0.4158390843292375</v>
      </c>
      <c r="I224" s="473"/>
      <c r="J224" s="168"/>
      <c r="K224" s="168"/>
    </row>
    <row r="225" spans="1:11">
      <c r="A225" s="163"/>
      <c r="B225" s="170" t="s">
        <v>236</v>
      </c>
      <c r="C225" s="530">
        <f>'[10]Sch D'!I9</f>
        <v>179</v>
      </c>
      <c r="D225" s="530"/>
      <c r="E225" s="234">
        <f t="shared" si="49"/>
        <v>179</v>
      </c>
      <c r="F225" s="233"/>
      <c r="G225" s="234">
        <f t="shared" si="47"/>
        <v>179</v>
      </c>
      <c r="H225" s="172">
        <f t="shared" si="48"/>
        <v>1.5064803905066487E-2</v>
      </c>
      <c r="I225" s="473"/>
      <c r="J225" s="168"/>
      <c r="K225" s="168"/>
    </row>
    <row r="226" spans="1:11">
      <c r="A226" s="163"/>
      <c r="B226" s="170" t="s">
        <v>415</v>
      </c>
      <c r="C226" s="530">
        <f>'[10]Sch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'[10]Sch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11882</v>
      </c>
      <c r="D228" s="530">
        <f>SUM(D219:D227)</f>
        <v>0</v>
      </c>
      <c r="E228" s="236">
        <f>SUM(E219:E227)</f>
        <v>11882</v>
      </c>
      <c r="F228" s="236">
        <f>SUM(F219:F227)</f>
        <v>0</v>
      </c>
      <c r="G228" s="236">
        <f>SUM(G219:G227)</f>
        <v>11882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'[10]Sch D'!N22</f>
        <v>36</v>
      </c>
      <c r="D231" s="502"/>
      <c r="E231" s="234">
        <f>C231+D231</f>
        <v>36</v>
      </c>
      <c r="F231" s="234"/>
      <c r="G231" s="234">
        <f>E231+F231</f>
        <v>36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'[10]Sch D'!N24</f>
        <v>36</v>
      </c>
      <c r="D232" s="502"/>
      <c r="E232" s="234">
        <f>C232+D232</f>
        <v>36</v>
      </c>
      <c r="F232" s="234"/>
      <c r="G232" s="234">
        <f>E232+F232</f>
        <v>36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'[10]Sch D'!N28</f>
        <v>13140</v>
      </c>
      <c r="D235" s="438"/>
      <c r="E235" s="233">
        <f>E231*E233</f>
        <v>13140</v>
      </c>
      <c r="F235" s="238"/>
      <c r="G235" s="233">
        <f>G231*G233</f>
        <v>13140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'[10]Sch D'!N30</f>
        <v>0.90426179604261792</v>
      </c>
      <c r="D236" s="238"/>
      <c r="E236" s="242">
        <f>E228/E235</f>
        <v>0.90426179604261792</v>
      </c>
      <c r="F236" s="243"/>
      <c r="G236" s="242">
        <f>G228/G235</f>
        <v>0.90426179604261792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'[10]Sch D'!N32</f>
        <v>0.5146118721461187</v>
      </c>
      <c r="D237" s="238"/>
      <c r="E237" s="242">
        <f>(E219+E220)/E235</f>
        <v>0.5146118721461187</v>
      </c>
      <c r="F237" s="243"/>
      <c r="G237" s="242">
        <f>(G219+G220)/G235</f>
        <v>0.5146118721461187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'[10]Sch D'!N34</f>
        <v>0.56909611176569597</v>
      </c>
      <c r="D238" s="238"/>
      <c r="E238" s="242">
        <f>(E237/E236)</f>
        <v>0.56909611176569597</v>
      </c>
      <c r="F238" s="243"/>
      <c r="G238" s="242">
        <f>(G237/G236)</f>
        <v>0.56909611176569597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'[10]Sch B'!C85</f>
        <v>223.19505013673657</v>
      </c>
      <c r="I241" s="475"/>
    </row>
    <row r="242" spans="2:9">
      <c r="F242" s="142" t="s">
        <v>341</v>
      </c>
      <c r="G242" s="501">
        <f>'[10]Sch B'!E85</f>
        <v>216.97846615252786</v>
      </c>
      <c r="I242" s="475"/>
    </row>
    <row r="243" spans="2:9">
      <c r="F243" s="142" t="s">
        <v>342</v>
      </c>
      <c r="G243" s="501">
        <f>'[10]Sch B'!G85</f>
        <v>229.54995877988458</v>
      </c>
      <c r="I243" s="475"/>
    </row>
    <row r="244" spans="2:9">
      <c r="F244" s="142" t="s">
        <v>343</v>
      </c>
      <c r="G244" s="501">
        <f>'[10]Sch B'!I85</f>
        <v>224.96680327868853</v>
      </c>
      <c r="I244" s="475"/>
    </row>
    <row r="245" spans="2:9">
      <c r="F245" s="142"/>
      <c r="I245" s="475"/>
    </row>
    <row r="246" spans="2:9">
      <c r="B246" s="417" t="s">
        <v>374</v>
      </c>
      <c r="I246" s="475"/>
    </row>
    <row r="247" spans="2:9" ht="15.5">
      <c r="B247"/>
    </row>
    <row r="248" spans="2:9" ht="15.5">
      <c r="B248"/>
    </row>
    <row r="249" spans="2:9" ht="15.5">
      <c r="B249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0">
    <tabColor rgb="FFE28CAB"/>
  </sheetPr>
  <dimension ref="A1:O246"/>
  <sheetViews>
    <sheetView showGridLines="0" zoomScaleNormal="100" workbookViewId="0">
      <pane xSplit="2" ySplit="9" topLeftCell="C204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 t="s">
        <v>494</v>
      </c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557</v>
      </c>
      <c r="D2" s="244"/>
      <c r="E2" s="144"/>
    </row>
    <row r="3" spans="1:11" ht="15">
      <c r="A3" s="145"/>
      <c r="B3" s="140" t="s">
        <v>79</v>
      </c>
      <c r="C3" s="441">
        <v>42552</v>
      </c>
      <c r="D3" s="144"/>
      <c r="E3" s="147"/>
      <c r="F3" s="419"/>
    </row>
    <row r="4" spans="1:11" ht="15">
      <c r="A4" s="145"/>
      <c r="B4" s="148" t="s">
        <v>80</v>
      </c>
      <c r="C4" s="441">
        <v>42916</v>
      </c>
      <c r="D4" s="144"/>
      <c r="E4" s="149"/>
      <c r="F4" s="419"/>
      <c r="G4" s="150"/>
    </row>
    <row r="5" spans="1:11" ht="15">
      <c r="A5" s="145"/>
      <c r="B5" s="148"/>
      <c r="C5" s="151"/>
      <c r="D5" s="144"/>
      <c r="F5" s="419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'[11]Sch B'!E10</f>
        <v>1680824</v>
      </c>
      <c r="D11" s="501">
        <f>'[11]Sch B'!G10</f>
        <v>0</v>
      </c>
      <c r="E11" s="171">
        <f>C11+D11</f>
        <v>1680824</v>
      </c>
      <c r="F11" s="171"/>
      <c r="G11" s="171">
        <f t="shared" ref="G11:G20" si="0">E11+F11</f>
        <v>1680824</v>
      </c>
      <c r="H11" s="172">
        <f t="shared" ref="H11:H21" si="1">IF($G$21=0,0,G11/$G$21)</f>
        <v>0.33857361584730727</v>
      </c>
      <c r="I11" s="473"/>
      <c r="J11" s="336" t="s">
        <v>344</v>
      </c>
      <c r="K11" s="337">
        <f>G21</f>
        <v>4964427</v>
      </c>
    </row>
    <row r="12" spans="1:11" s="167" customFormat="1">
      <c r="A12" s="169" t="s">
        <v>15</v>
      </c>
      <c r="B12" s="170" t="s">
        <v>212</v>
      </c>
      <c r="C12" s="501">
        <f>'[11]Sch B'!E15</f>
        <v>0</v>
      </c>
      <c r="D12" s="501">
        <f>'[11]Sch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4581692</v>
      </c>
    </row>
    <row r="13" spans="1:11" s="167" customFormat="1">
      <c r="A13" s="169" t="s">
        <v>16</v>
      </c>
      <c r="B13" s="170" t="s">
        <v>170</v>
      </c>
      <c r="C13" s="501">
        <f>'[11]Sch B'!E21</f>
        <v>2077112</v>
      </c>
      <c r="D13" s="501">
        <f>'[11]Sch B'!G21</f>
        <v>0</v>
      </c>
      <c r="E13" s="171">
        <f t="shared" si="2"/>
        <v>2077112</v>
      </c>
      <c r="F13" s="171"/>
      <c r="G13" s="171">
        <f t="shared" si="0"/>
        <v>2077112</v>
      </c>
      <c r="H13" s="172">
        <f t="shared" si="1"/>
        <v>0.4183991425395116</v>
      </c>
      <c r="I13" s="473"/>
      <c r="J13" s="338" t="s">
        <v>346</v>
      </c>
      <c r="K13" s="339">
        <f>G228</f>
        <v>16365</v>
      </c>
    </row>
    <row r="14" spans="1:11" s="167" customFormat="1">
      <c r="A14" s="173" t="s">
        <v>18</v>
      </c>
      <c r="B14" s="174" t="s">
        <v>306</v>
      </c>
      <c r="C14" s="501">
        <f>'[11]Sch B'!E27</f>
        <v>455881</v>
      </c>
      <c r="D14" s="501">
        <f>'[11]Sch B'!G27</f>
        <v>0</v>
      </c>
      <c r="E14" s="171">
        <f t="shared" si="2"/>
        <v>455881</v>
      </c>
      <c r="F14" s="171"/>
      <c r="G14" s="175">
        <f>E14+F14</f>
        <v>455881</v>
      </c>
      <c r="H14" s="176">
        <f t="shared" si="1"/>
        <v>9.1829530376818916E-2</v>
      </c>
      <c r="I14" s="479"/>
      <c r="J14" s="338" t="s">
        <v>347</v>
      </c>
      <c r="K14" s="339">
        <f>G231</f>
        <v>52</v>
      </c>
    </row>
    <row r="15" spans="1:11" s="167" customFormat="1">
      <c r="A15" s="169" t="s">
        <v>19</v>
      </c>
      <c r="B15" s="170" t="s">
        <v>171</v>
      </c>
      <c r="C15" s="501">
        <f>'[11]Sch B'!E32</f>
        <v>0</v>
      </c>
      <c r="D15" s="501">
        <f>'[11]Sch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18980</v>
      </c>
    </row>
    <row r="16" spans="1:11" s="167" customFormat="1">
      <c r="A16" s="169" t="s">
        <v>21</v>
      </c>
      <c r="B16" s="170" t="s">
        <v>172</v>
      </c>
      <c r="C16" s="501">
        <f>'[11]Sch B'!E37</f>
        <v>391618</v>
      </c>
      <c r="D16" s="501">
        <f>'[11]Sch B'!G37</f>
        <v>0</v>
      </c>
      <c r="E16" s="171">
        <f t="shared" si="2"/>
        <v>391618</v>
      </c>
      <c r="F16" s="171"/>
      <c r="G16" s="171">
        <f t="shared" si="0"/>
        <v>391618</v>
      </c>
      <c r="H16" s="172">
        <f t="shared" si="1"/>
        <v>7.888483404026285E-2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'[11]Sch B'!E42</f>
        <v>217595</v>
      </c>
      <c r="D17" s="501">
        <f>'[11]Sch B'!G42</f>
        <v>0</v>
      </c>
      <c r="E17" s="171">
        <f t="shared" si="2"/>
        <v>217595</v>
      </c>
      <c r="F17" s="171"/>
      <c r="G17" s="171">
        <f>E17+F17</f>
        <v>217595</v>
      </c>
      <c r="H17" s="172">
        <f t="shared" si="1"/>
        <v>4.3830838886340762E-2</v>
      </c>
      <c r="I17" s="473"/>
      <c r="J17" s="338" t="s">
        <v>156</v>
      </c>
      <c r="K17" s="339">
        <f>J208</f>
        <v>99987.249999999985</v>
      </c>
    </row>
    <row r="18" spans="1:11" s="167" customFormat="1" ht="13.5" thickBot="1">
      <c r="A18" s="169" t="s">
        <v>216</v>
      </c>
      <c r="B18" s="170" t="s">
        <v>229</v>
      </c>
      <c r="C18" s="501">
        <f>'[11]Sch B'!E47</f>
        <v>0</v>
      </c>
      <c r="D18" s="501">
        <f>'[11]Sch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103176.62000000001</v>
      </c>
    </row>
    <row r="19" spans="1:11" s="167" customFormat="1">
      <c r="A19" s="169" t="s">
        <v>227</v>
      </c>
      <c r="B19" s="177" t="s">
        <v>173</v>
      </c>
      <c r="C19" s="501">
        <f>'[11]Sch B'!E52</f>
        <v>0</v>
      </c>
      <c r="D19" s="501">
        <f>'[11]Sch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'[11]Sch B'!E67</f>
        <v>141397</v>
      </c>
      <c r="D20" s="501">
        <f>'[11]Sch B'!G67</f>
        <v>0</v>
      </c>
      <c r="E20" s="171">
        <f t="shared" si="2"/>
        <v>141397</v>
      </c>
      <c r="F20" s="171"/>
      <c r="G20" s="171">
        <f t="shared" si="0"/>
        <v>141397</v>
      </c>
      <c r="H20" s="172">
        <f t="shared" si="1"/>
        <v>2.8482038309758609E-2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4964427</v>
      </c>
      <c r="D21" s="501">
        <f>SUM(D11:D20)</f>
        <v>0</v>
      </c>
      <c r="E21" s="171">
        <f>SUM(E11:E20)</f>
        <v>4964427</v>
      </c>
      <c r="F21" s="171">
        <f>SUM(F11:F20)</f>
        <v>0</v>
      </c>
      <c r="G21" s="171">
        <f>SUM(G11:G20)</f>
        <v>4964427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'[11]Sch C'!D10</f>
        <v>113778</v>
      </c>
      <c r="D25" s="501">
        <f>'[11]Sch C'!F10</f>
        <v>0</v>
      </c>
      <c r="E25" s="171">
        <f t="shared" ref="E25:E60" si="3">C25+D25</f>
        <v>113778</v>
      </c>
      <c r="F25" s="171"/>
      <c r="G25" s="182">
        <f>E25+F25</f>
        <v>113778</v>
      </c>
      <c r="H25" s="172">
        <f>IF($G$208=0,0,G25/$G$208)</f>
        <v>2.4833183898001002E-2</v>
      </c>
      <c r="I25" s="473"/>
      <c r="J25" s="183">
        <v>1976</v>
      </c>
      <c r="K25" s="183">
        <v>2058.54</v>
      </c>
    </row>
    <row r="26" spans="1:11" s="167" customFormat="1">
      <c r="A26" s="169" t="s">
        <v>84</v>
      </c>
      <c r="B26" s="170" t="s">
        <v>176</v>
      </c>
      <c r="C26" s="501">
        <f>'[11]Sch C'!D11</f>
        <v>0</v>
      </c>
      <c r="D26" s="501">
        <f>'[11]Sch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'[11]Sch C'!D12</f>
        <v>242412</v>
      </c>
      <c r="D27" s="501">
        <f>'[11]Sch C'!F12</f>
        <v>-66645</v>
      </c>
      <c r="E27" s="171">
        <f t="shared" si="3"/>
        <v>175767</v>
      </c>
      <c r="F27" s="171"/>
      <c r="G27" s="171">
        <f t="shared" si="4"/>
        <v>175767</v>
      </c>
      <c r="H27" s="172">
        <f t="shared" si="5"/>
        <v>3.8362901740230465E-2</v>
      </c>
      <c r="I27" s="473"/>
      <c r="J27" s="183">
        <v>7204.19</v>
      </c>
      <c r="K27" s="183">
        <v>7579.1</v>
      </c>
    </row>
    <row r="28" spans="1:11" s="167" customFormat="1">
      <c r="A28" s="169" t="s">
        <v>86</v>
      </c>
      <c r="B28" s="170" t="s">
        <v>45</v>
      </c>
      <c r="C28" s="501">
        <f>'[11]Sch C'!D13</f>
        <v>155907</v>
      </c>
      <c r="D28" s="501">
        <f>'[11]Sch C'!F13</f>
        <v>-98850</v>
      </c>
      <c r="E28" s="171">
        <f t="shared" si="3"/>
        <v>57057</v>
      </c>
      <c r="F28" s="171"/>
      <c r="G28" s="171">
        <f t="shared" si="4"/>
        <v>57057</v>
      </c>
      <c r="H28" s="172">
        <f t="shared" si="5"/>
        <v>1.2453259625483337E-2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'[11]Sch C'!D14</f>
        <v>0</v>
      </c>
      <c r="D29" s="501">
        <f>'[11]Sch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'[11]Sch C'!D15</f>
        <v>13118</v>
      </c>
      <c r="D30" s="501">
        <f>'[11]Sch C'!F15</f>
        <v>0</v>
      </c>
      <c r="E30" s="171">
        <f t="shared" si="3"/>
        <v>13118</v>
      </c>
      <c r="F30" s="171"/>
      <c r="G30" s="171">
        <f t="shared" si="4"/>
        <v>13118</v>
      </c>
      <c r="H30" s="172">
        <f t="shared" si="5"/>
        <v>2.8631344053681477E-3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'[11]Sch C'!D16</f>
        <v>0</v>
      </c>
      <c r="D31" s="501">
        <f>'[11]Sch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'[11]Sch C'!D17</f>
        <v>1141</v>
      </c>
      <c r="D32" s="501">
        <f>'[11]Sch C'!F17</f>
        <v>-1141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'[11]Sch C'!D18</f>
        <v>11495</v>
      </c>
      <c r="D33" s="501">
        <f>'[11]Sch C'!F18</f>
        <v>0</v>
      </c>
      <c r="E33" s="171">
        <f t="shared" si="3"/>
        <v>11495</v>
      </c>
      <c r="F33" s="171"/>
      <c r="G33" s="171">
        <f t="shared" si="4"/>
        <v>11495</v>
      </c>
      <c r="H33" s="172">
        <f t="shared" si="5"/>
        <v>2.5088984593464596E-3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'[11]Sch C'!D19</f>
        <v>18187</v>
      </c>
      <c r="D34" s="501">
        <f>'[11]Sch C'!F19</f>
        <v>0</v>
      </c>
      <c r="E34" s="171">
        <f t="shared" si="3"/>
        <v>18187</v>
      </c>
      <c r="F34" s="171"/>
      <c r="G34" s="171">
        <f t="shared" si="4"/>
        <v>18187</v>
      </c>
      <c r="H34" s="172">
        <f t="shared" si="5"/>
        <v>3.969494239246113E-3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'[11]Sch C'!D20</f>
        <v>13473</v>
      </c>
      <c r="D35" s="501">
        <f>'[11]Sch C'!F20</f>
        <v>0</v>
      </c>
      <c r="E35" s="171">
        <f t="shared" si="3"/>
        <v>13473</v>
      </c>
      <c r="F35" s="171"/>
      <c r="G35" s="171">
        <f t="shared" si="4"/>
        <v>13473</v>
      </c>
      <c r="H35" s="172">
        <f t="shared" si="5"/>
        <v>2.9406166979360463E-3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'[11]Sch C'!D21</f>
        <v>86666</v>
      </c>
      <c r="D36" s="501">
        <f>'[11]Sch C'!F21</f>
        <v>0</v>
      </c>
      <c r="E36" s="171">
        <f t="shared" si="3"/>
        <v>86666</v>
      </c>
      <c r="F36" s="660">
        <v>-48728</v>
      </c>
      <c r="G36" s="171">
        <f t="shared" si="4"/>
        <v>37938</v>
      </c>
      <c r="H36" s="172">
        <f t="shared" si="5"/>
        <v>8.2803470857491079E-3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'[11]Sch C'!D22</f>
        <v>0</v>
      </c>
      <c r="D37" s="501">
        <f>'[11]Sch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'[11]Sch C'!D23</f>
        <v>6452</v>
      </c>
      <c r="D38" s="501">
        <f>'[11]Sch C'!F23</f>
        <v>0</v>
      </c>
      <c r="E38" s="171">
        <f t="shared" si="3"/>
        <v>6452</v>
      </c>
      <c r="F38" s="171"/>
      <c r="G38" s="171">
        <f t="shared" si="4"/>
        <v>6452</v>
      </c>
      <c r="H38" s="172">
        <f t="shared" si="5"/>
        <v>1.4082133849241721E-3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'[11]Sch C'!D24</f>
        <v>0</v>
      </c>
      <c r="D39" s="501">
        <f>'[11]Sch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'[11]Sch C'!D25</f>
        <v>0</v>
      </c>
      <c r="D40" s="501">
        <f>'[11]Sch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'[11]Sch C'!D26</f>
        <v>215191</v>
      </c>
      <c r="D41" s="501">
        <f>'[11]Sch C'!F26</f>
        <v>0</v>
      </c>
      <c r="E41" s="171">
        <f t="shared" si="3"/>
        <v>215191</v>
      </c>
      <c r="F41" s="171"/>
      <c r="G41" s="171">
        <f t="shared" si="4"/>
        <v>215191</v>
      </c>
      <c r="H41" s="172">
        <f t="shared" si="5"/>
        <v>4.6967583154869423E-2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'[11]Sch C'!D27</f>
        <v>0</v>
      </c>
      <c r="D42" s="501">
        <f>'[11]Sch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'[11]Sch C'!D28</f>
        <v>0</v>
      </c>
      <c r="D43" s="501">
        <f>'[11]Sch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'[11]Sch C'!D29</f>
        <v>0</v>
      </c>
      <c r="D44" s="501">
        <f>'[11]Sch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'[11]Sch C'!D30</f>
        <v>0</v>
      </c>
      <c r="D45" s="501">
        <f>'[11]Sch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'[11]Sch C'!D31</f>
        <v>34275</v>
      </c>
      <c r="D46" s="501">
        <f>'[11]Sch C'!F31</f>
        <v>0</v>
      </c>
      <c r="E46" s="171">
        <f t="shared" si="3"/>
        <v>34275</v>
      </c>
      <c r="F46" s="171"/>
      <c r="G46" s="171">
        <f t="shared" si="4"/>
        <v>34275</v>
      </c>
      <c r="H46" s="172">
        <f t="shared" si="5"/>
        <v>7.4808607824358338E-3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'[11]Sch C'!D32</f>
        <v>20850</v>
      </c>
      <c r="D47" s="501">
        <f>'[11]Sch C'!F32</f>
        <v>0</v>
      </c>
      <c r="E47" s="171">
        <f t="shared" si="3"/>
        <v>20850</v>
      </c>
      <c r="F47" s="171"/>
      <c r="G47" s="171">
        <f t="shared" si="4"/>
        <v>20850</v>
      </c>
      <c r="H47" s="172">
        <f t="shared" si="5"/>
        <v>4.5507205634948839E-3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'[11]Sch C'!D33</f>
        <v>0</v>
      </c>
      <c r="D48" s="501">
        <f>'[11]Sch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'[11]Sch C'!D34</f>
        <v>0</v>
      </c>
      <c r="D49" s="501">
        <f>'[11]Sch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'[11]Sch C'!D35</f>
        <v>0</v>
      </c>
      <c r="D50" s="501">
        <f>'[11]Sch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'[11]Sch C'!D36</f>
        <v>22762</v>
      </c>
      <c r="D51" s="501">
        <f>'[11]Sch C'!F36</f>
        <v>0</v>
      </c>
      <c r="E51" s="171">
        <f t="shared" si="3"/>
        <v>22762</v>
      </c>
      <c r="F51" s="171"/>
      <c r="G51" s="171">
        <f t="shared" si="4"/>
        <v>22762</v>
      </c>
      <c r="H51" s="172">
        <f t="shared" si="5"/>
        <v>4.9680336434662128E-3</v>
      </c>
      <c r="I51" s="473"/>
      <c r="J51" s="183">
        <v>1599.67</v>
      </c>
      <c r="K51" s="183">
        <v>1607.67</v>
      </c>
    </row>
    <row r="52" spans="1:11" s="167" customFormat="1">
      <c r="A52" s="163">
        <v>290</v>
      </c>
      <c r="B52" s="170" t="s">
        <v>205</v>
      </c>
      <c r="C52" s="501">
        <f>'[11]Sch C'!D37</f>
        <v>0</v>
      </c>
      <c r="D52" s="501">
        <f>'[11]Sch C'!F37</f>
        <v>3232</v>
      </c>
      <c r="E52" s="171">
        <f t="shared" si="3"/>
        <v>3232</v>
      </c>
      <c r="F52" s="171"/>
      <c r="G52" s="171">
        <f t="shared" si="4"/>
        <v>3232</v>
      </c>
      <c r="H52" s="172">
        <f t="shared" si="5"/>
        <v>7.0541625233647306E-4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'[11]Sch C'!D38</f>
        <v>0</v>
      </c>
      <c r="D53" s="501">
        <f>'[11]Sch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'[11]Sch C'!D39</f>
        <v>2700</v>
      </c>
      <c r="D54" s="501">
        <f>'[11]Sch C'!F39</f>
        <v>0</v>
      </c>
      <c r="E54" s="171">
        <f t="shared" si="3"/>
        <v>2700</v>
      </c>
      <c r="F54" s="171"/>
      <c r="G54" s="171">
        <f t="shared" si="4"/>
        <v>2700</v>
      </c>
      <c r="H54" s="172">
        <f t="shared" si="5"/>
        <v>5.8930194347415761E-4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'[11]Sch C'!D40</f>
        <v>16710</v>
      </c>
      <c r="D55" s="501">
        <f>'[11]Sch C'!F40</f>
        <v>-16710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'[11]Sch C'!D41</f>
        <v>42309</v>
      </c>
      <c r="D56" s="501">
        <f>'[11]Sch C'!F41</f>
        <v>0</v>
      </c>
      <c r="E56" s="171">
        <f t="shared" si="3"/>
        <v>42309</v>
      </c>
      <c r="F56" s="171"/>
      <c r="G56" s="171">
        <f t="shared" si="4"/>
        <v>42309</v>
      </c>
      <c r="H56" s="172">
        <f t="shared" si="5"/>
        <v>9.23436145424005E-3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'[11]Sch C'!D42</f>
        <v>4050</v>
      </c>
      <c r="D57" s="501">
        <f>'[11]Sch C'!F42</f>
        <v>0</v>
      </c>
      <c r="E57" s="171">
        <f t="shared" si="3"/>
        <v>4050</v>
      </c>
      <c r="F57" s="171"/>
      <c r="G57" s="171">
        <f t="shared" si="4"/>
        <v>4050</v>
      </c>
      <c r="H57" s="172">
        <f t="shared" si="5"/>
        <v>8.8395291521123636E-4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'[11]Sch C'!D43</f>
        <v>10557</v>
      </c>
      <c r="D58" s="501">
        <f>'[11]Sch C'!F43</f>
        <v>-6127</v>
      </c>
      <c r="E58" s="171">
        <f t="shared" si="3"/>
        <v>4430</v>
      </c>
      <c r="F58" s="171"/>
      <c r="G58" s="171">
        <f t="shared" si="4"/>
        <v>4430</v>
      </c>
      <c r="H58" s="172">
        <f t="shared" si="5"/>
        <v>9.6689170725574745E-4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'[11]Sch C'!D44</f>
        <v>0</v>
      </c>
      <c r="D59" s="501">
        <f>'[11]Sch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'[11]Sch C'!D45</f>
        <v>6186</v>
      </c>
      <c r="D60" s="501">
        <f>'[11]Sch C'!F45</f>
        <v>0</v>
      </c>
      <c r="E60" s="171">
        <f t="shared" si="3"/>
        <v>6186</v>
      </c>
      <c r="F60" s="171"/>
      <c r="G60" s="171">
        <f t="shared" si="4"/>
        <v>6186</v>
      </c>
      <c r="H60" s="172">
        <f t="shared" si="5"/>
        <v>1.3501562304930144E-3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1038219</v>
      </c>
      <c r="D61" s="501">
        <f>SUM(D25:D60)</f>
        <v>-186241</v>
      </c>
      <c r="E61" s="171">
        <f t="shared" ref="E61:F61" si="6">SUM(E25:E60)</f>
        <v>851978</v>
      </c>
      <c r="F61" s="171">
        <f t="shared" si="6"/>
        <v>-48728</v>
      </c>
      <c r="G61" s="171">
        <f>SUM(G25:G60)</f>
        <v>803250</v>
      </c>
      <c r="H61" s="186">
        <f t="shared" si="5"/>
        <v>0.17531732818356188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'[11]Sch C'!D57</f>
        <v>225341</v>
      </c>
      <c r="D64" s="501">
        <f>'[11]Sch C'!F57</f>
        <v>0</v>
      </c>
      <c r="E64" s="171">
        <f t="shared" ref="E64:E78" si="7">C64+D64</f>
        <v>225341</v>
      </c>
      <c r="F64" s="660">
        <v>-225341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'[11]Sch C'!D58</f>
        <v>0</v>
      </c>
      <c r="D65" s="501">
        <f>'[11]Sch C'!F58</f>
        <v>0</v>
      </c>
      <c r="E65" s="171">
        <f t="shared" si="7"/>
        <v>0</v>
      </c>
      <c r="F65" s="660">
        <v>156899</v>
      </c>
      <c r="G65" s="171">
        <f t="shared" si="8"/>
        <v>156899</v>
      </c>
      <c r="H65" s="172">
        <f t="shared" si="9"/>
        <v>3.4244772455241428E-2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'[11]Sch C'!D59</f>
        <v>0</v>
      </c>
      <c r="D66" s="501">
        <f>'[11]Sch C'!F59</f>
        <v>0</v>
      </c>
      <c r="E66" s="171">
        <f t="shared" si="7"/>
        <v>0</v>
      </c>
      <c r="F66" s="660">
        <v>153425</v>
      </c>
      <c r="G66" s="171">
        <f t="shared" si="8"/>
        <v>153425</v>
      </c>
      <c r="H66" s="172">
        <f t="shared" si="9"/>
        <v>3.3486537287971345E-2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'[11]Sch C'!D60</f>
        <v>36095</v>
      </c>
      <c r="D67" s="501">
        <f>'[11]Sch C'!F60</f>
        <v>0</v>
      </c>
      <c r="E67" s="171">
        <f t="shared" si="7"/>
        <v>36095</v>
      </c>
      <c r="F67" s="171"/>
      <c r="G67" s="171">
        <f t="shared" si="8"/>
        <v>36095</v>
      </c>
      <c r="H67" s="172">
        <f t="shared" si="9"/>
        <v>7.8780939443332289E-3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'[11]Sch C'!D61</f>
        <v>0</v>
      </c>
      <c r="D68" s="501">
        <f>'[11]Sch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'[11]Sch C'!D62</f>
        <v>0</v>
      </c>
      <c r="D69" s="501">
        <f>'[11]Sch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'[11]Sch C'!D63</f>
        <v>0</v>
      </c>
      <c r="D70" s="501">
        <f>'[11]Sch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'[11]Sch C'!D64</f>
        <v>7205</v>
      </c>
      <c r="D71" s="501">
        <f>'[11]Sch C'!F64</f>
        <v>0</v>
      </c>
      <c r="E71" s="171">
        <f t="shared" si="7"/>
        <v>7205</v>
      </c>
      <c r="F71" s="171"/>
      <c r="G71" s="171">
        <f t="shared" si="8"/>
        <v>7205</v>
      </c>
      <c r="H71" s="172">
        <f t="shared" si="9"/>
        <v>1.5725631491597426E-3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'[11]Sch C'!D65</f>
        <v>0</v>
      </c>
      <c r="D72" s="501">
        <f>'[11]Sch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'[11]Sch C'!D66</f>
        <v>0</v>
      </c>
      <c r="D73" s="501">
        <f>'[11]Sch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'[11]Sch C'!D67</f>
        <v>0</v>
      </c>
      <c r="D74" s="501">
        <f>'[11]Sch C'!F67</f>
        <v>0</v>
      </c>
      <c r="E74" s="171">
        <f t="shared" si="7"/>
        <v>0</v>
      </c>
      <c r="F74" s="171"/>
      <c r="G74" s="171">
        <f t="shared" si="8"/>
        <v>0</v>
      </c>
      <c r="H74" s="172">
        <f t="shared" si="9"/>
        <v>0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'[11]Sch C'!D68</f>
        <v>0</v>
      </c>
      <c r="D75" s="501">
        <f>'[11]Sch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'[11]Sch C'!D69</f>
        <v>4484</v>
      </c>
      <c r="D76" s="501">
        <f>'[11]Sch C'!F69</f>
        <v>0</v>
      </c>
      <c r="E76" s="171">
        <f t="shared" si="7"/>
        <v>4484</v>
      </c>
      <c r="F76" s="171"/>
      <c r="G76" s="171">
        <f t="shared" si="8"/>
        <v>4484</v>
      </c>
      <c r="H76" s="172">
        <f t="shared" si="9"/>
        <v>9.7867774612523067E-4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'[11]Sch C'!D70</f>
        <v>0</v>
      </c>
      <c r="D77" s="501">
        <f>'[11]Sch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'[11]Sch C'!D71</f>
        <v>0</v>
      </c>
      <c r="D78" s="501">
        <f>'[11]Sch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273125</v>
      </c>
      <c r="D79" s="501">
        <f>SUM(D64:D78)</f>
        <v>0</v>
      </c>
      <c r="E79" s="171">
        <f t="shared" ref="E79:F79" si="10">SUM(E64:E78)</f>
        <v>273125</v>
      </c>
      <c r="F79" s="171">
        <f t="shared" si="10"/>
        <v>84983</v>
      </c>
      <c r="G79" s="171">
        <f>SUM(G64:G78)</f>
        <v>358108</v>
      </c>
      <c r="H79" s="172">
        <f t="shared" si="9"/>
        <v>7.8160644582830965E-2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'[11]Sch C'!D75</f>
        <v>53471</v>
      </c>
      <c r="D82" s="501">
        <f>'[11]Sch C'!F75</f>
        <v>0</v>
      </c>
      <c r="E82" s="171">
        <f t="shared" ref="E82:E92" si="11">C82+D82</f>
        <v>53471</v>
      </c>
      <c r="F82" s="171"/>
      <c r="G82" s="171">
        <f t="shared" ref="G82:G92" si="12">E82+F82</f>
        <v>53471</v>
      </c>
      <c r="H82" s="172">
        <f t="shared" ref="H82:H93" si="13">IF($G$208=0,0,G82/$G$208)</f>
        <v>1.167057934055803E-2</v>
      </c>
      <c r="I82" s="473"/>
      <c r="J82" s="183">
        <v>2242.0500000000002</v>
      </c>
      <c r="K82" s="183">
        <v>2335.5500000000002</v>
      </c>
    </row>
    <row r="83" spans="1:11" s="167" customFormat="1">
      <c r="A83" s="169" t="s">
        <v>86</v>
      </c>
      <c r="B83" s="199" t="s">
        <v>45</v>
      </c>
      <c r="C83" s="501">
        <f>'[11]Sch C'!D76</f>
        <v>4179</v>
      </c>
      <c r="D83" s="501">
        <f>'[11]Sch C'!F76</f>
        <v>3083</v>
      </c>
      <c r="E83" s="171">
        <f t="shared" si="11"/>
        <v>7262</v>
      </c>
      <c r="F83" s="171"/>
      <c r="G83" s="171">
        <f t="shared" si="12"/>
        <v>7262</v>
      </c>
      <c r="H83" s="172">
        <f t="shared" si="13"/>
        <v>1.5850039679664195E-3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'[11]Sch C'!D77</f>
        <v>16986</v>
      </c>
      <c r="D84" s="501">
        <f>'[11]Sch C'!F77</f>
        <v>0</v>
      </c>
      <c r="E84" s="171">
        <f t="shared" si="11"/>
        <v>16986</v>
      </c>
      <c r="F84" s="171"/>
      <c r="G84" s="171">
        <f t="shared" si="12"/>
        <v>16986</v>
      </c>
      <c r="H84" s="172">
        <f t="shared" si="13"/>
        <v>3.7073640043896448E-3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'[11]Sch C'!D78</f>
        <v>10767</v>
      </c>
      <c r="D85" s="501">
        <f>'[11]Sch C'!F78</f>
        <v>0</v>
      </c>
      <c r="E85" s="171">
        <f t="shared" si="11"/>
        <v>10767</v>
      </c>
      <c r="F85" s="171"/>
      <c r="G85" s="171">
        <f t="shared" si="12"/>
        <v>10767</v>
      </c>
      <c r="H85" s="172">
        <f t="shared" si="13"/>
        <v>2.3500051945875016E-3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'[11]Sch C'!D79</f>
        <v>2052</v>
      </c>
      <c r="D86" s="501">
        <f>'[11]Sch C'!F79</f>
        <v>0</v>
      </c>
      <c r="E86" s="171">
        <f t="shared" si="11"/>
        <v>2052</v>
      </c>
      <c r="F86" s="171"/>
      <c r="G86" s="171">
        <f>E86+F86</f>
        <v>2052</v>
      </c>
      <c r="H86" s="172">
        <f t="shared" si="13"/>
        <v>4.4786947704035979E-4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'[11]Sch C'!D80</f>
        <v>24643</v>
      </c>
      <c r="D87" s="501">
        <f>'[11]Sch C'!F80</f>
        <v>0</v>
      </c>
      <c r="E87" s="171">
        <f t="shared" si="11"/>
        <v>24643</v>
      </c>
      <c r="F87" s="171"/>
      <c r="G87" s="171">
        <f t="shared" si="12"/>
        <v>24643</v>
      </c>
      <c r="H87" s="172">
        <f t="shared" si="13"/>
        <v>5.3785806640865427E-3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'[11]Sch C'!D81</f>
        <v>9848</v>
      </c>
      <c r="D88" s="501">
        <f>'[11]Sch C'!F81</f>
        <v>0</v>
      </c>
      <c r="E88" s="171">
        <f t="shared" si="11"/>
        <v>9848</v>
      </c>
      <c r="F88" s="171"/>
      <c r="G88" s="171">
        <f t="shared" si="12"/>
        <v>9848</v>
      </c>
      <c r="H88" s="172">
        <f t="shared" si="13"/>
        <v>2.1494242738272235E-3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'[11]Sch C'!D82</f>
        <v>3832</v>
      </c>
      <c r="D89" s="501">
        <f>'[11]Sch C'!F82</f>
        <v>0</v>
      </c>
      <c r="E89" s="171">
        <f t="shared" si="11"/>
        <v>3832</v>
      </c>
      <c r="F89" s="171"/>
      <c r="G89" s="171">
        <f t="shared" si="12"/>
        <v>3832</v>
      </c>
      <c r="H89" s="172">
        <f t="shared" si="13"/>
        <v>8.3637223977517481E-4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'[11]Sch C'!D83</f>
        <v>8247</v>
      </c>
      <c r="D90" s="501">
        <f>'[11]Sch C'!F83</f>
        <v>0</v>
      </c>
      <c r="E90" s="171">
        <f t="shared" si="11"/>
        <v>8247</v>
      </c>
      <c r="F90" s="171"/>
      <c r="G90" s="171">
        <f t="shared" si="12"/>
        <v>8247</v>
      </c>
      <c r="H90" s="172">
        <f t="shared" si="13"/>
        <v>1.7999900473449546E-3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'[11]Sch C'!D84</f>
        <v>51130</v>
      </c>
      <c r="D91" s="501">
        <f>'[11]Sch C'!F84</f>
        <v>0</v>
      </c>
      <c r="E91" s="171">
        <f t="shared" si="11"/>
        <v>51130</v>
      </c>
      <c r="F91" s="171"/>
      <c r="G91" s="171">
        <f t="shared" si="12"/>
        <v>51130</v>
      </c>
      <c r="H91" s="172">
        <f t="shared" si="13"/>
        <v>1.1159632729568028E-2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'[11]Sch C'!D85</f>
        <v>136</v>
      </c>
      <c r="D92" s="501">
        <f>'[11]Sch C'!F85</f>
        <v>0</v>
      </c>
      <c r="E92" s="171">
        <f t="shared" si="11"/>
        <v>136</v>
      </c>
      <c r="F92" s="171"/>
      <c r="G92" s="171">
        <f t="shared" si="12"/>
        <v>136</v>
      </c>
      <c r="H92" s="172">
        <f t="shared" si="13"/>
        <v>2.968335715277238E-5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185291</v>
      </c>
      <c r="D93" s="501">
        <f>SUM(D82:D92)</f>
        <v>3083</v>
      </c>
      <c r="E93" s="171">
        <f t="shared" ref="E93:F93" si="14">SUM(E82:E92)</f>
        <v>188374</v>
      </c>
      <c r="F93" s="171">
        <f t="shared" si="14"/>
        <v>0</v>
      </c>
      <c r="G93" s="171">
        <f>SUM(G82:G92)</f>
        <v>188374</v>
      </c>
      <c r="H93" s="172">
        <f t="shared" si="13"/>
        <v>4.111450529629665E-2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'[11]Sch C'!D89</f>
        <v>152293</v>
      </c>
      <c r="D96" s="501">
        <f>'[11]Sch C'!F89</f>
        <v>0</v>
      </c>
      <c r="E96" s="171">
        <f t="shared" ref="E96:E101" si="15">C96+D96</f>
        <v>152293</v>
      </c>
      <c r="F96" s="171"/>
      <c r="G96" s="171">
        <f t="shared" ref="G96:G101" si="16">E96+F96</f>
        <v>152293</v>
      </c>
      <c r="H96" s="172">
        <f t="shared" ref="H96:H102" si="17">IF($G$208=0,0,G96/$G$208)</f>
        <v>3.3239466991670324E-2</v>
      </c>
      <c r="I96" s="473"/>
      <c r="J96" s="183">
        <v>10041.52</v>
      </c>
      <c r="K96" s="183">
        <v>10277.39</v>
      </c>
    </row>
    <row r="97" spans="1:11" s="167" customFormat="1">
      <c r="A97" s="169" t="s">
        <v>86</v>
      </c>
      <c r="B97" s="170" t="s">
        <v>45</v>
      </c>
      <c r="C97" s="501">
        <f>'[11]Sch C'!D90</f>
        <v>12263</v>
      </c>
      <c r="D97" s="501">
        <f>'[11]Sch C'!F90</f>
        <v>8782</v>
      </c>
      <c r="E97" s="171">
        <f t="shared" si="15"/>
        <v>21045</v>
      </c>
      <c r="F97" s="171"/>
      <c r="G97" s="171">
        <f t="shared" si="16"/>
        <v>21045</v>
      </c>
      <c r="H97" s="172">
        <f t="shared" si="17"/>
        <v>4.5932812594124614E-3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'[11]Sch C'!D91</f>
        <v>14267</v>
      </c>
      <c r="D98" s="501">
        <f>'[11]Sch C'!F91</f>
        <v>0</v>
      </c>
      <c r="E98" s="171">
        <f t="shared" si="15"/>
        <v>14267</v>
      </c>
      <c r="F98" s="171"/>
      <c r="G98" s="171">
        <f t="shared" si="16"/>
        <v>14267</v>
      </c>
      <c r="H98" s="172">
        <f t="shared" si="17"/>
        <v>3.1139151213132616E-3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'[11]Sch C'!D92</f>
        <v>124097</v>
      </c>
      <c r="D99" s="501">
        <f>'[11]Sch C'!F92</f>
        <v>0</v>
      </c>
      <c r="E99" s="171">
        <f t="shared" si="15"/>
        <v>124097</v>
      </c>
      <c r="F99" s="171"/>
      <c r="G99" s="171">
        <f t="shared" si="16"/>
        <v>124097</v>
      </c>
      <c r="H99" s="172">
        <f t="shared" si="17"/>
        <v>2.7085408621967604E-2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'[11]Sch C'!D93</f>
        <v>14308</v>
      </c>
      <c r="D100" s="501">
        <f>'[11]Sch C'!F93</f>
        <v>0</v>
      </c>
      <c r="E100" s="171">
        <f t="shared" si="15"/>
        <v>14308</v>
      </c>
      <c r="F100" s="171"/>
      <c r="G100" s="171">
        <f t="shared" si="16"/>
        <v>14308</v>
      </c>
      <c r="H100" s="172">
        <f t="shared" si="17"/>
        <v>3.122863780454906E-3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'[11]Sch C'!D94</f>
        <v>0</v>
      </c>
      <c r="D101" s="501">
        <f>'[11]Sch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317228</v>
      </c>
      <c r="D102" s="501">
        <f>SUM(D96:D101)</f>
        <v>8782</v>
      </c>
      <c r="E102" s="171">
        <f t="shared" ref="E102:F102" si="18">SUM(E96:E101)</f>
        <v>326010</v>
      </c>
      <c r="F102" s="171">
        <f t="shared" si="18"/>
        <v>0</v>
      </c>
      <c r="G102" s="171">
        <f>SUM(G96:G101)</f>
        <v>326010</v>
      </c>
      <c r="H102" s="172">
        <f t="shared" si="17"/>
        <v>7.1154935774818559E-2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'[11]Sch C'!D98</f>
        <v>15484</v>
      </c>
      <c r="D105" s="501">
        <f>'[11]Sch C'!F98</f>
        <v>0</v>
      </c>
      <c r="E105" s="171">
        <f t="shared" ref="E105:E110" si="19">C105+D105</f>
        <v>15484</v>
      </c>
      <c r="F105" s="171"/>
      <c r="G105" s="171">
        <f t="shared" ref="G105:G110" si="20">E105+F105</f>
        <v>15484</v>
      </c>
      <c r="H105" s="172">
        <f t="shared" ref="H105:H111" si="21">IF($G$208=0,0,G105/$G$208)</f>
        <v>3.3795375158347614E-3</v>
      </c>
      <c r="I105" s="473"/>
      <c r="J105" s="183">
        <v>1510.79</v>
      </c>
      <c r="K105" s="183">
        <v>1510.79</v>
      </c>
    </row>
    <row r="106" spans="1:11" s="167" customFormat="1">
      <c r="A106" s="169" t="s">
        <v>86</v>
      </c>
      <c r="B106" s="170" t="s">
        <v>45</v>
      </c>
      <c r="C106" s="501">
        <f>'[11]Sch C'!D99</f>
        <v>1308</v>
      </c>
      <c r="D106" s="501">
        <f>'[11]Sch C'!F99</f>
        <v>893</v>
      </c>
      <c r="E106" s="171">
        <f t="shared" si="19"/>
        <v>2201</v>
      </c>
      <c r="F106" s="171"/>
      <c r="G106" s="171">
        <f t="shared" si="20"/>
        <v>2201</v>
      </c>
      <c r="H106" s="172">
        <f t="shared" si="21"/>
        <v>4.803902139209707E-4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'[11]Sch C'!D100</f>
        <v>4034</v>
      </c>
      <c r="D107" s="501">
        <f>'[11]Sch C'!F100</f>
        <v>0</v>
      </c>
      <c r="E107" s="171">
        <f t="shared" si="19"/>
        <v>4034</v>
      </c>
      <c r="F107" s="171"/>
      <c r="G107" s="171">
        <f t="shared" si="20"/>
        <v>4034</v>
      </c>
      <c r="H107" s="172">
        <f t="shared" si="21"/>
        <v>8.8046075554620428E-4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'[11]Sch C'!D101</f>
        <v>0</v>
      </c>
      <c r="D108" s="501">
        <f>'[11]Sch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'[11]Sch C'!D102</f>
        <v>23335</v>
      </c>
      <c r="D109" s="501">
        <f>'[11]Sch C'!F102</f>
        <v>0</v>
      </c>
      <c r="E109" s="171">
        <f t="shared" si="19"/>
        <v>23335</v>
      </c>
      <c r="F109" s="171"/>
      <c r="G109" s="171">
        <f t="shared" si="20"/>
        <v>23335</v>
      </c>
      <c r="H109" s="172">
        <f t="shared" si="21"/>
        <v>5.0930966114701732E-3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'[11]Sch C'!D103</f>
        <v>0</v>
      </c>
      <c r="D110" s="501">
        <f>'[11]Sch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44161</v>
      </c>
      <c r="D111" s="501">
        <f>SUM(D105:D110)</f>
        <v>893</v>
      </c>
      <c r="E111" s="171">
        <f t="shared" ref="E111:F111" si="22">SUM(E105:E110)</f>
        <v>45054</v>
      </c>
      <c r="F111" s="171">
        <f t="shared" si="22"/>
        <v>0</v>
      </c>
      <c r="G111" s="171">
        <f>SUM(G105:G110)</f>
        <v>45054</v>
      </c>
      <c r="H111" s="172">
        <f t="shared" si="21"/>
        <v>9.8334850967721089E-3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'[11]Sch C'!D115</f>
        <v>49081</v>
      </c>
      <c r="D114" s="501">
        <f>'[11]Sch C'!F115</f>
        <v>0</v>
      </c>
      <c r="E114" s="171">
        <f t="shared" ref="E114:E118" si="23">C114+D114</f>
        <v>49081</v>
      </c>
      <c r="F114" s="171"/>
      <c r="G114" s="171">
        <f>E114+F114</f>
        <v>49081</v>
      </c>
      <c r="H114" s="172">
        <f t="shared" ref="H114:H119" si="24">IF($G$208=0,0,G114/$G$208)</f>
        <v>1.0712418032464862E-2</v>
      </c>
      <c r="I114" s="473"/>
      <c r="J114" s="183">
        <v>5331.99</v>
      </c>
      <c r="K114" s="183">
        <v>5451.34</v>
      </c>
    </row>
    <row r="115" spans="1:11" s="167" customFormat="1">
      <c r="A115" s="169" t="s">
        <v>86</v>
      </c>
      <c r="B115" s="170" t="s">
        <v>151</v>
      </c>
      <c r="C115" s="501">
        <f>'[11]Sch C'!D116</f>
        <v>4227</v>
      </c>
      <c r="D115" s="501">
        <f>'[11]Sch C'!F116</f>
        <v>2830</v>
      </c>
      <c r="E115" s="171">
        <f t="shared" si="23"/>
        <v>7057</v>
      </c>
      <c r="F115" s="171"/>
      <c r="G115" s="171">
        <f>E115+F115</f>
        <v>7057</v>
      </c>
      <c r="H115" s="172">
        <f t="shared" si="24"/>
        <v>1.5402606722581963E-3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'[11]Sch C'!D117</f>
        <v>17425</v>
      </c>
      <c r="D116" s="501">
        <f>'[11]Sch C'!F117</f>
        <v>0</v>
      </c>
      <c r="E116" s="171">
        <f t="shared" si="23"/>
        <v>17425</v>
      </c>
      <c r="F116" s="171"/>
      <c r="G116" s="171">
        <f>E116+F116</f>
        <v>17425</v>
      </c>
      <c r="H116" s="172">
        <f t="shared" si="24"/>
        <v>3.8031801351989616E-3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'[11]Sch C'!D118</f>
        <v>0</v>
      </c>
      <c r="D117" s="501">
        <f>'[11]Sch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'[11]Sch C'!D119</f>
        <v>0</v>
      </c>
      <c r="D118" s="501">
        <f>'[11]Sch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70733</v>
      </c>
      <c r="D119" s="501">
        <f>SUM(D114:D118)</f>
        <v>2830</v>
      </c>
      <c r="E119" s="171">
        <f t="shared" ref="E119:F119" si="25">SUM(E114:E118)</f>
        <v>73563</v>
      </c>
      <c r="F119" s="171">
        <f t="shared" si="25"/>
        <v>0</v>
      </c>
      <c r="G119" s="171">
        <f>SUM(G114:G118)</f>
        <v>73563</v>
      </c>
      <c r="H119" s="172">
        <f t="shared" si="24"/>
        <v>1.605585883992202E-2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'[11]Sch C'!D124</f>
        <v>0</v>
      </c>
      <c r="D123" s="501">
        <f>'[11]Sch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'[11]Sch C'!D125</f>
        <v>239895</v>
      </c>
      <c r="D124" s="501">
        <f>'[11]Sch C'!F125</f>
        <v>0</v>
      </c>
      <c r="E124" s="171">
        <f t="shared" si="26"/>
        <v>239895</v>
      </c>
      <c r="F124" s="171"/>
      <c r="G124" s="171">
        <f>E124+F124</f>
        <v>239895</v>
      </c>
      <c r="H124" s="172">
        <f>IF($G$208=0,0,G124/$G$208)</f>
        <v>5.2359477677678901E-2</v>
      </c>
      <c r="I124" s="473"/>
      <c r="J124" s="183">
        <v>3670.08</v>
      </c>
      <c r="K124" s="183">
        <v>3915.38</v>
      </c>
    </row>
    <row r="125" spans="1:11" s="167" customFormat="1">
      <c r="A125" s="163" t="s">
        <v>198</v>
      </c>
      <c r="B125" s="163" t="s">
        <v>195</v>
      </c>
      <c r="C125" s="501">
        <f>'[11]Sch C'!D126</f>
        <v>0</v>
      </c>
      <c r="D125" s="501">
        <f>'[11]Sch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'[11]Sch C'!D127</f>
        <v>0</v>
      </c>
      <c r="D126" s="501">
        <f>'[11]Sch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'[11]Sch C'!D128</f>
        <v>40941</v>
      </c>
      <c r="D127" s="501">
        <f>'[11]Sch C'!F128</f>
        <v>0</v>
      </c>
      <c r="E127" s="171">
        <f t="shared" si="26"/>
        <v>40941</v>
      </c>
      <c r="F127" s="171"/>
      <c r="G127" s="171">
        <f>E127+F127</f>
        <v>40941</v>
      </c>
      <c r="H127" s="172">
        <f>IF($G$208=0,0,G127/$G$208)</f>
        <v>8.9357818028798098E-3</v>
      </c>
      <c r="I127" s="473"/>
      <c r="J127" s="183">
        <v>2056.91</v>
      </c>
      <c r="K127" s="183">
        <v>2178.89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'[11]Sch C'!D130</f>
        <v>0</v>
      </c>
      <c r="D129" s="501">
        <f>'[11]Sch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'[11]Sch C'!D131</f>
        <v>0</v>
      </c>
      <c r="D130" s="501">
        <f>'[11]Sch C'!F131</f>
        <v>34053</v>
      </c>
      <c r="E130" s="171">
        <f t="shared" si="27"/>
        <v>34053</v>
      </c>
      <c r="F130" s="171"/>
      <c r="G130" s="171">
        <f>E130+F130</f>
        <v>34053</v>
      </c>
      <c r="H130" s="172">
        <f>IF($G$208=0,0,G130/$G$208)</f>
        <v>7.4324070670835143E-3</v>
      </c>
      <c r="I130" s="473"/>
      <c r="J130" s="204"/>
      <c r="K130" s="204"/>
    </row>
    <row r="131" spans="1:11" s="167" customFormat="1">
      <c r="B131" s="163" t="s">
        <v>195</v>
      </c>
      <c r="C131" s="501">
        <f>'[11]Sch C'!D132</f>
        <v>0</v>
      </c>
      <c r="D131" s="501">
        <f>'[11]Sch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'[11]Sch C'!D133</f>
        <v>0</v>
      </c>
      <c r="D132" s="501">
        <f>'[11]Sch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'[11]Sch C'!D134</f>
        <v>0</v>
      </c>
      <c r="D133" s="501">
        <f>'[11]Sch C'!F134</f>
        <v>5812</v>
      </c>
      <c r="E133" s="171">
        <f t="shared" si="27"/>
        <v>5812</v>
      </c>
      <c r="F133" s="171"/>
      <c r="G133" s="171">
        <f>E133+F133</f>
        <v>5812</v>
      </c>
      <c r="H133" s="172">
        <f>IF($G$208=0,0,G133/$G$208)</f>
        <v>1.2685269983228904E-3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'[11]Sch C'!D136</f>
        <v>381485</v>
      </c>
      <c r="D135" s="501">
        <f>'[11]Sch C'!F136</f>
        <v>0</v>
      </c>
      <c r="E135" s="171">
        <f t="shared" ref="E135:E138" si="28">C135+D135</f>
        <v>381485</v>
      </c>
      <c r="F135" s="171"/>
      <c r="G135" s="171">
        <f>E135+F135</f>
        <v>381485</v>
      </c>
      <c r="H135" s="172">
        <f>IF($G$208=0,0,G135/$G$208)</f>
        <v>8.3262908113421852E-2</v>
      </c>
      <c r="I135" s="473"/>
      <c r="J135" s="183">
        <v>12836.81</v>
      </c>
      <c r="K135" s="183">
        <v>13166.08</v>
      </c>
    </row>
    <row r="136" spans="1:11" s="167" customFormat="1">
      <c r="A136" s="169"/>
      <c r="B136" s="163" t="s">
        <v>195</v>
      </c>
      <c r="C136" s="501">
        <f>'[11]Sch C'!D137</f>
        <v>187860</v>
      </c>
      <c r="D136" s="501">
        <f>'[11]Sch C'!F137</f>
        <v>0</v>
      </c>
      <c r="E136" s="171">
        <f t="shared" si="28"/>
        <v>187860</v>
      </c>
      <c r="F136" s="171"/>
      <c r="G136" s="171">
        <f>E136+F136</f>
        <v>187860</v>
      </c>
      <c r="H136" s="172">
        <f>IF($G$208=0,0,G136/$G$208)</f>
        <v>4.1002319667057495E-2</v>
      </c>
      <c r="I136" s="473"/>
      <c r="J136" s="183">
        <v>8402.3799999999992</v>
      </c>
      <c r="K136" s="183">
        <v>8600.9500000000007</v>
      </c>
    </row>
    <row r="137" spans="1:11" s="167" customFormat="1">
      <c r="A137" s="169"/>
      <c r="B137" s="163" t="s">
        <v>196</v>
      </c>
      <c r="C137" s="501">
        <f>'[11]Sch C'!D138</f>
        <v>508363</v>
      </c>
      <c r="D137" s="501">
        <f>'[11]Sch C'!F138</f>
        <v>0</v>
      </c>
      <c r="E137" s="171">
        <f t="shared" si="28"/>
        <v>508363</v>
      </c>
      <c r="F137" s="171"/>
      <c r="G137" s="171">
        <f>E137+F137</f>
        <v>508363</v>
      </c>
      <c r="H137" s="172">
        <f>IF($G$208=0,0,G137/$G$208)</f>
        <v>0.11095529773716784</v>
      </c>
      <c r="I137" s="473"/>
      <c r="J137" s="183">
        <v>38747.129999999997</v>
      </c>
      <c r="K137" s="183">
        <v>39991.75</v>
      </c>
    </row>
    <row r="138" spans="1:11" s="167" customFormat="1">
      <c r="A138" s="169"/>
      <c r="B138" s="163" t="s">
        <v>197</v>
      </c>
      <c r="C138" s="501">
        <f>'[11]Sch C'!D139</f>
        <v>0</v>
      </c>
      <c r="D138" s="501">
        <f>'[11]Sch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'[11]Sch C'!D141</f>
        <v>123746</v>
      </c>
      <c r="D140" s="501">
        <f>'[11]Sch C'!F141</f>
        <v>-19427</v>
      </c>
      <c r="E140" s="171">
        <f t="shared" ref="E140:E143" si="29">C140+D140</f>
        <v>104319</v>
      </c>
      <c r="F140" s="171"/>
      <c r="G140" s="171">
        <f>E140+F140</f>
        <v>104319</v>
      </c>
      <c r="H140" s="172">
        <f>IF($G$208=0,0,G140/$G$208)</f>
        <v>2.2768662756029869E-2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'[11]Sch C'!D142</f>
        <v>0</v>
      </c>
      <c r="D141" s="501">
        <f>'[11]Sch C'!F142</f>
        <v>26667</v>
      </c>
      <c r="E141" s="171">
        <f t="shared" si="29"/>
        <v>26667</v>
      </c>
      <c r="F141" s="171"/>
      <c r="G141" s="171">
        <f>E141+F141</f>
        <v>26667</v>
      </c>
      <c r="H141" s="172">
        <f>IF($G$208=0,0,G141/$G$208)</f>
        <v>5.8203388617130963E-3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'[11]Sch C'!D143</f>
        <v>42781</v>
      </c>
      <c r="D142" s="501">
        <f>'[11]Sch C'!F143</f>
        <v>29314</v>
      </c>
      <c r="E142" s="171">
        <f t="shared" si="29"/>
        <v>72095</v>
      </c>
      <c r="F142" s="171"/>
      <c r="G142" s="171">
        <f>E142+F142</f>
        <v>72095</v>
      </c>
      <c r="H142" s="172">
        <f>IF($G$208=0,0,G142/$G$208)</f>
        <v>1.5735453190655328E-2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'[11]Sch C'!D144</f>
        <v>0</v>
      </c>
      <c r="D143" s="501">
        <f>'[11]Sch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'[11]Sch C'!D146</f>
        <v>39585</v>
      </c>
      <c r="D145" s="501">
        <f>'[11]Sch C'!F146</f>
        <v>0</v>
      </c>
      <c r="E145" s="171">
        <f t="shared" ref="E145:E153" si="30">C145+D145</f>
        <v>39585</v>
      </c>
      <c r="F145" s="171"/>
      <c r="G145" s="171">
        <f t="shared" ref="G145:G153" si="31">E145+F145</f>
        <v>39585</v>
      </c>
      <c r="H145" s="172">
        <f t="shared" ref="H145:H153" si="32">IF($G$208=0,0,G145/$G$208)</f>
        <v>8.6398212712683435E-3</v>
      </c>
      <c r="I145" s="473"/>
      <c r="J145" s="183">
        <v>250.95</v>
      </c>
      <c r="K145" s="183">
        <v>250.95</v>
      </c>
    </row>
    <row r="146" spans="1:11" s="167" customFormat="1">
      <c r="A146" s="169"/>
      <c r="B146" s="163" t="s">
        <v>194</v>
      </c>
      <c r="C146" s="501">
        <f>'[11]Sch C'!D147</f>
        <v>0</v>
      </c>
      <c r="D146" s="501">
        <f>'[11]Sch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'[11]Sch C'!D148</f>
        <v>0</v>
      </c>
      <c r="D147" s="501">
        <f>'[11]Sch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'[11]Sch C'!D149</f>
        <v>0</v>
      </c>
      <c r="D148" s="501">
        <f>'[11]Sch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'[11]Sch C'!D150</f>
        <v>15752</v>
      </c>
      <c r="D149" s="501">
        <f>'[11]Sch C'!F150</f>
        <v>0</v>
      </c>
      <c r="E149" s="171">
        <f t="shared" si="30"/>
        <v>15752</v>
      </c>
      <c r="F149" s="171"/>
      <c r="G149" s="171">
        <f t="shared" si="31"/>
        <v>15752</v>
      </c>
      <c r="H149" s="172">
        <f t="shared" si="32"/>
        <v>3.4380311902240481E-3</v>
      </c>
      <c r="I149" s="473"/>
      <c r="J149" s="183">
        <v>427.25</v>
      </c>
      <c r="K149" s="183">
        <v>427.25</v>
      </c>
    </row>
    <row r="150" spans="1:11" s="167" customFormat="1">
      <c r="A150" s="169">
        <v>110</v>
      </c>
      <c r="B150" s="167" t="s">
        <v>65</v>
      </c>
      <c r="C150" s="501">
        <f>'[11]Sch C'!D151</f>
        <v>122770</v>
      </c>
      <c r="D150" s="501">
        <f>'[11]Sch C'!F151</f>
        <v>0</v>
      </c>
      <c r="E150" s="171">
        <f t="shared" si="30"/>
        <v>122770</v>
      </c>
      <c r="F150" s="171"/>
      <c r="G150" s="171">
        <f t="shared" si="31"/>
        <v>122770</v>
      </c>
      <c r="H150" s="172">
        <f t="shared" si="32"/>
        <v>2.679577762974901E-2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'[11]Sch C'!D152</f>
        <v>27388</v>
      </c>
      <c r="D151" s="501">
        <f>'[11]Sch C'!F152</f>
        <v>0</v>
      </c>
      <c r="E151" s="171">
        <f t="shared" si="30"/>
        <v>27388</v>
      </c>
      <c r="F151" s="171"/>
      <c r="G151" s="171">
        <f t="shared" si="31"/>
        <v>27388</v>
      </c>
      <c r="H151" s="172">
        <f t="shared" si="32"/>
        <v>5.9777043066186033E-3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'[11]Sch C'!D153</f>
        <v>0</v>
      </c>
      <c r="D152" s="501">
        <f>'[11]Sch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'[11]Sch C'!D154</f>
        <v>0</v>
      </c>
      <c r="D153" s="501">
        <f>'[11]Sch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'[11]Sch C'!D156</f>
        <v>0</v>
      </c>
      <c r="D155" s="501">
        <f>'[11]Sch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'[11]Sch C'!D157</f>
        <v>0</v>
      </c>
      <c r="D156" s="501">
        <f>'[11]Sch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'[11]Sch C'!D158</f>
        <v>0</v>
      </c>
      <c r="D157" s="501">
        <f>'[11]Sch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'[11]Sch C'!D159</f>
        <v>0</v>
      </c>
      <c r="D158" s="501">
        <f>'[11]Sch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'[11]Sch C'!D160</f>
        <v>0</v>
      </c>
      <c r="D159" s="501">
        <f>'[11]Sch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'[11]Sch C'!D161</f>
        <v>0</v>
      </c>
      <c r="D160" s="501">
        <f>'[11]Sch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1730566</v>
      </c>
      <c r="D161" s="501">
        <f>SUM(D123:D160)</f>
        <v>76419</v>
      </c>
      <c r="E161" s="171">
        <f t="shared" ref="E161:F161" si="36">SUM(E123:E160)</f>
        <v>1806985</v>
      </c>
      <c r="F161" s="171">
        <f t="shared" si="36"/>
        <v>0</v>
      </c>
      <c r="G161" s="171">
        <f>SUM(G123:G160)</f>
        <v>1806985</v>
      </c>
      <c r="H161" s="172">
        <f t="shared" si="35"/>
        <v>0.3943925082698706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'[11]Sch C'!D175</f>
        <v>0</v>
      </c>
      <c r="D164" s="501">
        <f>'[11]Sch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'[11]Sch C'!D176</f>
        <v>0</v>
      </c>
      <c r="D165" s="501">
        <f>'[11]Sch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'[11]Sch C'!D177</f>
        <v>0</v>
      </c>
      <c r="D166" s="501">
        <f>'[11]Sch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'[11]Sch C'!D178</f>
        <v>0</v>
      </c>
      <c r="D167" s="501">
        <f>'[11]Sch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'[11]Sch C'!D179</f>
        <v>0</v>
      </c>
      <c r="D168" s="501">
        <f>'[11]Sch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'[11]Sch C'!D180</f>
        <v>0</v>
      </c>
      <c r="D169" s="501">
        <f>'[11]Sch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'[11]Sch C'!D181</f>
        <v>0</v>
      </c>
      <c r="D170" s="501">
        <f>'[11]Sch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'[11]Sch C'!D182</f>
        <v>0</v>
      </c>
      <c r="D171" s="501">
        <f>'[11]Sch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'[11]Sch C'!D183</f>
        <v>0</v>
      </c>
      <c r="D172" s="501">
        <f>'[11]Sch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'[11]Sch C'!D184</f>
        <v>0</v>
      </c>
      <c r="D173" s="501">
        <f>'[11]Sch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'[11]Sch C'!D185</f>
        <v>0</v>
      </c>
      <c r="D174" s="501">
        <f>'[11]Sch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'[11]Sch C'!D186</f>
        <v>0</v>
      </c>
      <c r="D175" s="501">
        <f>'[11]Sch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'[11]Sch C'!D187</f>
        <v>0</v>
      </c>
      <c r="D176" s="501">
        <f>'[11]Sch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'[11]Sch C'!D188</f>
        <v>0</v>
      </c>
      <c r="D177" s="501">
        <f>'[11]Sch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'[11]Sch C'!D189</f>
        <v>0</v>
      </c>
      <c r="D178" s="501">
        <f>'[11]Sch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'[11]Sch C'!D190</f>
        <v>0</v>
      </c>
      <c r="D179" s="501">
        <f>'[11]Sch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'[11]Sch C'!D191</f>
        <v>0</v>
      </c>
      <c r="D180" s="501">
        <f>'[11]Sch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'[11]Sch C'!D192</f>
        <v>0</v>
      </c>
      <c r="D181" s="501">
        <f>'[11]Sch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'[11]Sch C'!D193</f>
        <v>0</v>
      </c>
      <c r="D182" s="501">
        <f>'[11]Sch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'[11]Sch C'!D194</f>
        <v>272880</v>
      </c>
      <c r="D183" s="501">
        <f>'[11]Sch C'!F194</f>
        <v>0</v>
      </c>
      <c r="E183" s="171">
        <f t="shared" si="37"/>
        <v>272880</v>
      </c>
      <c r="F183" s="216"/>
      <c r="G183" s="171">
        <f t="shared" si="38"/>
        <v>272880</v>
      </c>
      <c r="H183" s="172">
        <f t="shared" si="39"/>
        <v>5.9558783087121529E-2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'[11]Sch C'!D195</f>
        <v>77441</v>
      </c>
      <c r="D184" s="501">
        <f>'[11]Sch C'!F195</f>
        <v>0</v>
      </c>
      <c r="E184" s="171">
        <f t="shared" si="37"/>
        <v>77441</v>
      </c>
      <c r="F184" s="216"/>
      <c r="G184" s="171">
        <f t="shared" si="38"/>
        <v>77441</v>
      </c>
      <c r="H184" s="172">
        <f t="shared" si="39"/>
        <v>1.6902271038734162E-2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'[11]Sch C'!D196</f>
        <v>0</v>
      </c>
      <c r="D185" s="501">
        <f>'[11]Sch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'[11]Sch C'!D197</f>
        <v>302694</v>
      </c>
      <c r="D186" s="501">
        <f>'[11]Sch C'!F197</f>
        <v>0</v>
      </c>
      <c r="E186" s="171">
        <f t="shared" si="37"/>
        <v>302694</v>
      </c>
      <c r="F186" s="216"/>
      <c r="G186" s="171">
        <f t="shared" si="38"/>
        <v>302694</v>
      </c>
      <c r="H186" s="172">
        <f t="shared" si="39"/>
        <v>6.6065986102950613E-2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'[11]Sch C'!D198</f>
        <v>52788</v>
      </c>
      <c r="D187" s="501">
        <f>'[11]Sch C'!F198</f>
        <v>0</v>
      </c>
      <c r="E187" s="171">
        <f t="shared" si="37"/>
        <v>52788</v>
      </c>
      <c r="F187" s="216"/>
      <c r="G187" s="171">
        <f t="shared" si="38"/>
        <v>52788</v>
      </c>
      <c r="H187" s="172">
        <f t="shared" si="39"/>
        <v>1.1521507774856974E-2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'[11]Sch C'!D199</f>
        <v>0</v>
      </c>
      <c r="D188" s="501">
        <f>'[11]Sch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'[11]Sch C'!D200</f>
        <v>0</v>
      </c>
      <c r="D189" s="501">
        <f>'[11]Sch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'[11]Sch C'!D201</f>
        <v>0</v>
      </c>
      <c r="D190" s="501">
        <f>'[11]Sch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'[11]Sch C'!D202</f>
        <v>0</v>
      </c>
      <c r="D191" s="501">
        <f>'[11]Sch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'[11]Sch C'!D203</f>
        <v>0</v>
      </c>
      <c r="D192" s="501">
        <f>'[11]Sch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'[11]Sch C'!D204</f>
        <v>0</v>
      </c>
      <c r="D193" s="501">
        <f>'[11]Sch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'[11]Sch C'!D205</f>
        <v>175613</v>
      </c>
      <c r="D194" s="501">
        <f>'[11]Sch C'!F205</f>
        <v>0</v>
      </c>
      <c r="E194" s="171">
        <f t="shared" si="37"/>
        <v>175613</v>
      </c>
      <c r="F194" s="216"/>
      <c r="G194" s="171">
        <f t="shared" si="38"/>
        <v>175613</v>
      </c>
      <c r="H194" s="172">
        <f t="shared" si="39"/>
        <v>3.8329289703454533E-2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'[11]Sch C'!D206</f>
        <v>8471</v>
      </c>
      <c r="D195" s="501">
        <f>'[11]Sch C'!F206</f>
        <v>0</v>
      </c>
      <c r="E195" s="171">
        <f t="shared" si="37"/>
        <v>8471</v>
      </c>
      <c r="F195" s="216"/>
      <c r="G195" s="171">
        <f t="shared" si="38"/>
        <v>8471</v>
      </c>
      <c r="H195" s="172">
        <f t="shared" si="39"/>
        <v>1.8488802826554032E-3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'[11]Sch C'!D207</f>
        <v>0</v>
      </c>
      <c r="D196" s="501">
        <f>'[11]Sch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889887</v>
      </c>
      <c r="D197" s="501">
        <f>SUM(D164:D196)</f>
        <v>0</v>
      </c>
      <c r="E197" s="171">
        <f t="shared" ref="E197:F197" si="40">SUM(E164:E196)</f>
        <v>889887</v>
      </c>
      <c r="F197" s="171">
        <f t="shared" si="40"/>
        <v>0</v>
      </c>
      <c r="G197" s="171">
        <f>SUM(G164:G196)</f>
        <v>889887</v>
      </c>
      <c r="H197" s="172">
        <f>IF($G$208=0,0,G197/$G$208)</f>
        <v>0.1942267179897732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'[11]Sch C'!D211</f>
        <v>62651</v>
      </c>
      <c r="D200" s="501">
        <f>'[11]Sch C'!F211</f>
        <v>0</v>
      </c>
      <c r="E200" s="171">
        <f t="shared" ref="E200:E205" si="41">C200+D200</f>
        <v>62651</v>
      </c>
      <c r="F200" s="171"/>
      <c r="G200" s="171">
        <f t="shared" ref="G200:G205" si="42">E200+F200</f>
        <v>62651</v>
      </c>
      <c r="H200" s="172">
        <f t="shared" ref="H200:H206" si="43">IF($G$208=0,0,G200/$G$208)</f>
        <v>1.3674205948370165E-2</v>
      </c>
      <c r="I200" s="473"/>
      <c r="J200" s="183">
        <v>3689.53</v>
      </c>
      <c r="K200" s="183">
        <v>3824.99</v>
      </c>
    </row>
    <row r="201" spans="1:14" s="167" customFormat="1">
      <c r="A201" s="169" t="s">
        <v>86</v>
      </c>
      <c r="B201" s="170" t="s">
        <v>45</v>
      </c>
      <c r="C201" s="501">
        <f>'[11]Sch C'!D212</f>
        <v>5220</v>
      </c>
      <c r="D201" s="501">
        <f>'[11]Sch C'!F212</f>
        <v>3613</v>
      </c>
      <c r="E201" s="171">
        <f t="shared" si="41"/>
        <v>8833</v>
      </c>
      <c r="F201" s="171"/>
      <c r="G201" s="171">
        <f t="shared" si="42"/>
        <v>8833</v>
      </c>
      <c r="H201" s="172">
        <f t="shared" si="43"/>
        <v>1.9278903950767532E-3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'[11]Sch C'!D213</f>
        <v>12542</v>
      </c>
      <c r="D202" s="501">
        <f>'[11]Sch C'!F213</f>
        <v>0</v>
      </c>
      <c r="E202" s="171">
        <f t="shared" si="41"/>
        <v>12542</v>
      </c>
      <c r="F202" s="171"/>
      <c r="G202" s="171">
        <f t="shared" si="42"/>
        <v>12542</v>
      </c>
      <c r="H202" s="172">
        <f t="shared" si="43"/>
        <v>2.7374166574269942E-3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'[11]Sch C'!D214</f>
        <v>0</v>
      </c>
      <c r="D203" s="501">
        <f>'[11]Sch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'[11]Sch C'!D215</f>
        <v>0</v>
      </c>
      <c r="D204" s="501">
        <f>'[11]Sch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'[11]Sch C'!D216</f>
        <v>6435</v>
      </c>
      <c r="D205" s="501">
        <f>'[11]Sch C'!F216</f>
        <v>0</v>
      </c>
      <c r="E205" s="171">
        <f t="shared" si="41"/>
        <v>6435</v>
      </c>
      <c r="F205" s="171"/>
      <c r="G205" s="171">
        <f t="shared" si="42"/>
        <v>6435</v>
      </c>
      <c r="H205" s="172">
        <f t="shared" si="43"/>
        <v>1.4045029652800757E-3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86848</v>
      </c>
      <c r="D206" s="501">
        <f>SUM(D200:D205)</f>
        <v>3613</v>
      </c>
      <c r="E206" s="171">
        <f t="shared" ref="E206:F206" si="44">SUM(E200:E205)</f>
        <v>90461</v>
      </c>
      <c r="F206" s="171">
        <f t="shared" si="44"/>
        <v>0</v>
      </c>
      <c r="G206" s="171">
        <f>SUM(G200:G205)</f>
        <v>90461</v>
      </c>
      <c r="H206" s="172">
        <f t="shared" si="43"/>
        <v>1.9744015966153987E-2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4636058</v>
      </c>
      <c r="D208" s="501">
        <f>SUM(D25:D206)/2</f>
        <v>-90621</v>
      </c>
      <c r="E208" s="171">
        <f t="shared" ref="E208:F208" si="45">SUM(E25:E206)/2</f>
        <v>4545437</v>
      </c>
      <c r="F208" s="171">
        <f t="shared" si="45"/>
        <v>36255</v>
      </c>
      <c r="G208" s="171">
        <f>SUM(G25:G206)/2</f>
        <v>4581692</v>
      </c>
      <c r="H208" s="172">
        <f>IF($G$208=0,0,G208/$G$208)</f>
        <v>1</v>
      </c>
      <c r="I208" s="473"/>
      <c r="J208" s="183">
        <f>SUM(J25:J200)</f>
        <v>99987.249999999985</v>
      </c>
      <c r="K208" s="183">
        <f>SUM(K25:K200)</f>
        <v>103176.62000000001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'[11]Sch C'!D221</f>
        <v>4636058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328369</v>
      </c>
      <c r="D215" s="501">
        <f>D21-D208</f>
        <v>90621</v>
      </c>
      <c r="E215" s="171">
        <f t="shared" ref="E215:F215" si="46">E21-E208</f>
        <v>418990</v>
      </c>
      <c r="F215" s="171">
        <f t="shared" si="46"/>
        <v>-36255</v>
      </c>
      <c r="G215" s="171">
        <f>G21-G208</f>
        <v>382735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'[11]Sch D'!C9</f>
        <v>9162</v>
      </c>
      <c r="D219" s="530"/>
      <c r="E219" s="234">
        <f t="shared" ref="E219:G227" si="47">C219+D219</f>
        <v>9162</v>
      </c>
      <c r="F219" s="234"/>
      <c r="G219" s="234">
        <f t="shared" si="47"/>
        <v>9162</v>
      </c>
      <c r="H219" s="172">
        <f t="shared" ref="H219:H228" si="48">IF($G$228=0,0,G219/$G$228)</f>
        <v>0.55985334555453714</v>
      </c>
      <c r="I219" s="473"/>
      <c r="J219" s="168"/>
      <c r="K219" s="168"/>
    </row>
    <row r="220" spans="1:11">
      <c r="A220" s="163"/>
      <c r="B220" s="170" t="s">
        <v>217</v>
      </c>
      <c r="C220" s="530">
        <f>'[11]Sch D'!D9</f>
        <v>0</v>
      </c>
      <c r="D220" s="530"/>
      <c r="E220" s="234">
        <f t="shared" ref="E220:E227" si="49">C220+D220</f>
        <v>0</v>
      </c>
      <c r="F220" s="234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'[11]Sch D'!E9</f>
        <v>3771</v>
      </c>
      <c r="D221" s="530"/>
      <c r="E221" s="234">
        <f t="shared" si="49"/>
        <v>3771</v>
      </c>
      <c r="F221" s="234"/>
      <c r="G221" s="234">
        <f t="shared" si="47"/>
        <v>3771</v>
      </c>
      <c r="H221" s="172">
        <f t="shared" si="48"/>
        <v>0.23043079743354719</v>
      </c>
      <c r="I221" s="473"/>
      <c r="J221" s="168"/>
      <c r="K221" s="168"/>
    </row>
    <row r="222" spans="1:11">
      <c r="A222" s="163"/>
      <c r="B222" s="202" t="s">
        <v>334</v>
      </c>
      <c r="C222" s="530">
        <f>'[11]Sch D'!F9</f>
        <v>982</v>
      </c>
      <c r="D222" s="530"/>
      <c r="E222" s="234">
        <f>C222+D222</f>
        <v>982</v>
      </c>
      <c r="F222" s="234"/>
      <c r="G222" s="234">
        <f>E222+F222</f>
        <v>982</v>
      </c>
      <c r="H222" s="172">
        <f t="shared" si="48"/>
        <v>6.0006110601894286E-2</v>
      </c>
      <c r="I222" s="473"/>
      <c r="J222" s="168"/>
      <c r="K222" s="168"/>
    </row>
    <row r="223" spans="1:11">
      <c r="A223" s="163"/>
      <c r="B223" s="170" t="s">
        <v>73</v>
      </c>
      <c r="C223" s="530">
        <f>'[11]Sch D'!G9</f>
        <v>0</v>
      </c>
      <c r="D223" s="530"/>
      <c r="E223" s="234">
        <f t="shared" si="49"/>
        <v>0</v>
      </c>
      <c r="F223" s="234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'[11]Sch D'!H9</f>
        <v>1410</v>
      </c>
      <c r="D224" s="530"/>
      <c r="E224" s="234">
        <f t="shared" si="49"/>
        <v>1410</v>
      </c>
      <c r="F224" s="234"/>
      <c r="G224" s="234">
        <f t="shared" si="47"/>
        <v>1410</v>
      </c>
      <c r="H224" s="172">
        <f t="shared" si="48"/>
        <v>8.6159486709440875E-2</v>
      </c>
      <c r="I224" s="473"/>
      <c r="J224" s="168"/>
      <c r="K224" s="168"/>
    </row>
    <row r="225" spans="1:11">
      <c r="A225" s="163"/>
      <c r="B225" s="170" t="s">
        <v>236</v>
      </c>
      <c r="C225" s="530">
        <f>'[11]Sch D'!I9</f>
        <v>1040</v>
      </c>
      <c r="D225" s="530"/>
      <c r="E225" s="234">
        <f t="shared" si="49"/>
        <v>1040</v>
      </c>
      <c r="F225" s="234"/>
      <c r="G225" s="234">
        <f t="shared" si="47"/>
        <v>1040</v>
      </c>
      <c r="H225" s="172">
        <f t="shared" si="48"/>
        <v>6.3550259700580508E-2</v>
      </c>
      <c r="I225" s="473"/>
      <c r="J225" s="168"/>
      <c r="K225" s="168"/>
    </row>
    <row r="226" spans="1:11">
      <c r="A226" s="163"/>
      <c r="B226" s="170" t="s">
        <v>235</v>
      </c>
      <c r="C226" s="530">
        <f>'[11]Sch D'!J9</f>
        <v>0</v>
      </c>
      <c r="D226" s="530"/>
      <c r="E226" s="234">
        <f>C226+D226</f>
        <v>0</v>
      </c>
      <c r="F226" s="234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'[11]Sch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16365</v>
      </c>
      <c r="D228" s="530">
        <f>SUM(D219:D227)</f>
        <v>0</v>
      </c>
      <c r="E228" s="236">
        <f>SUM(E219:E227)</f>
        <v>16365</v>
      </c>
      <c r="F228" s="236">
        <f>SUM(F219:F227)</f>
        <v>0</v>
      </c>
      <c r="G228" s="236">
        <f>SUM(G219:G227)</f>
        <v>16365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'[11]Sch D'!N22</f>
        <v>52</v>
      </c>
      <c r="D231" s="502"/>
      <c r="E231" s="234">
        <f>C231+D231</f>
        <v>52</v>
      </c>
      <c r="F231" s="234"/>
      <c r="G231" s="234">
        <f>E231+F231</f>
        <v>52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'[11]Sch D'!N24</f>
        <v>52</v>
      </c>
      <c r="D232" s="502"/>
      <c r="E232" s="234">
        <f>C232+D232</f>
        <v>52</v>
      </c>
      <c r="F232" s="234"/>
      <c r="G232" s="234">
        <f>E232+F232</f>
        <v>52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'[11]Sch D'!N28</f>
        <v>18980</v>
      </c>
      <c r="D235" s="438"/>
      <c r="E235" s="233">
        <f>E231*E233</f>
        <v>18980</v>
      </c>
      <c r="F235" s="238"/>
      <c r="G235" s="233">
        <f>G231*G233</f>
        <v>18980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'[11]Sch D'!N30</f>
        <v>0.86222339304531082</v>
      </c>
      <c r="D236" s="238"/>
      <c r="E236" s="242">
        <f>E228/E235</f>
        <v>0.86222339304531082</v>
      </c>
      <c r="F236" s="243"/>
      <c r="G236" s="242">
        <f>G228/G235</f>
        <v>0.86222339304531082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'[11]Sch D'!N32</f>
        <v>0.48271865121180191</v>
      </c>
      <c r="D237" s="238"/>
      <c r="E237" s="242">
        <f>(E219+E220)/E235</f>
        <v>0.48271865121180191</v>
      </c>
      <c r="F237" s="243"/>
      <c r="G237" s="242">
        <f>(G219+G220)/G235</f>
        <v>0.48271865121180191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'[11]Sch D'!N34</f>
        <v>0.55985334555453714</v>
      </c>
      <c r="D238" s="238"/>
      <c r="E238" s="242">
        <f>(E237/E236)</f>
        <v>0.55985334555453714</v>
      </c>
      <c r="F238" s="243"/>
      <c r="G238" s="242">
        <f>(G237/G236)</f>
        <v>0.55985334555453714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'[11]Sch B'!C85</f>
        <v>121.27659574468085</v>
      </c>
      <c r="I241" s="475"/>
    </row>
    <row r="242" spans="2:9">
      <c r="F242" s="142" t="s">
        <v>341</v>
      </c>
      <c r="G242" s="501">
        <f>'[11]Sch B'!E85</f>
        <v>276.71739130434781</v>
      </c>
      <c r="I242" s="475"/>
    </row>
    <row r="243" spans="2:9">
      <c r="F243" s="142" t="s">
        <v>342</v>
      </c>
      <c r="G243" s="501">
        <f>'[11]Sch B'!G85</f>
        <v>383.01960784313724</v>
      </c>
      <c r="I243" s="475"/>
    </row>
    <row r="244" spans="2:9">
      <c r="F244" s="142" t="s">
        <v>343</v>
      </c>
      <c r="G244" s="501">
        <f>'[11]Sch B'!I85</f>
        <v>242.51623931623931</v>
      </c>
      <c r="I244" s="475"/>
    </row>
    <row r="245" spans="2:9">
      <c r="F245" s="142" t="s">
        <v>198</v>
      </c>
      <c r="I245" s="475"/>
    </row>
    <row r="246" spans="2:9">
      <c r="I246" s="475"/>
    </row>
  </sheetData>
  <customSheetViews>
    <customSheetView guid="{8B6AA640-12E9-11D5-ABB1-E7A21A3D4A14}" showGridLines="0" showRuler="0" topLeftCell="B1">
      <selection activeCell="B1" sqref="B1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A25">
      <selection activeCell="A43" sqref="A43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28CAB"/>
  </sheetPr>
  <dimension ref="A1:O249"/>
  <sheetViews>
    <sheetView showGridLines="0" zoomScaleNormal="100" workbookViewId="0">
      <pane xSplit="2" ySplit="8" topLeftCell="C195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5.91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558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420</v>
      </c>
      <c r="C11" s="501">
        <f>'[12]Sch B'!E10</f>
        <v>726054</v>
      </c>
      <c r="D11" s="501">
        <f>'[12]Sch B'!G10</f>
        <v>0</v>
      </c>
      <c r="E11" s="171">
        <f>C11+D11</f>
        <v>726054</v>
      </c>
      <c r="F11" s="171"/>
      <c r="G11" s="171">
        <f t="shared" ref="G11:G20" si="0">E11+F11</f>
        <v>726054</v>
      </c>
      <c r="H11" s="172">
        <f t="shared" ref="H11:H21" si="1">IF($G$21=0,0,G11/$G$21)</f>
        <v>9.710149521168758E-2</v>
      </c>
      <c r="I11" s="636"/>
      <c r="J11" s="336" t="s">
        <v>344</v>
      </c>
      <c r="K11" s="337">
        <f>G21</f>
        <v>7477269</v>
      </c>
    </row>
    <row r="12" spans="1:11" s="167" customFormat="1">
      <c r="A12" s="169" t="s">
        <v>15</v>
      </c>
      <c r="B12" s="170" t="s">
        <v>212</v>
      </c>
      <c r="C12" s="501">
        <f>'[12]Sch B'!E15</f>
        <v>0</v>
      </c>
      <c r="D12" s="501">
        <f>'[12]Sch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47"/>
      <c r="J12" s="338" t="s">
        <v>345</v>
      </c>
      <c r="K12" s="339">
        <f>G208</f>
        <v>7478086</v>
      </c>
    </row>
    <row r="13" spans="1:11" s="167" customFormat="1">
      <c r="A13" s="169" t="s">
        <v>16</v>
      </c>
      <c r="B13" s="170" t="s">
        <v>170</v>
      </c>
      <c r="C13" s="501">
        <f>'[12]Sch B'!E21</f>
        <v>4050585</v>
      </c>
      <c r="D13" s="501">
        <f>'[12]Sch B'!G21</f>
        <v>0</v>
      </c>
      <c r="E13" s="171">
        <f t="shared" si="2"/>
        <v>4050585</v>
      </c>
      <c r="F13" s="171"/>
      <c r="G13" s="171">
        <f t="shared" si="0"/>
        <v>4050585</v>
      </c>
      <c r="H13" s="172">
        <f t="shared" si="1"/>
        <v>0.54171984450472488</v>
      </c>
      <c r="I13" s="547"/>
      <c r="J13" s="338" t="s">
        <v>346</v>
      </c>
      <c r="K13" s="339">
        <f>G228</f>
        <v>18383</v>
      </c>
    </row>
    <row r="14" spans="1:11" s="167" customFormat="1">
      <c r="A14" s="173" t="s">
        <v>18</v>
      </c>
      <c r="B14" s="174" t="s">
        <v>306</v>
      </c>
      <c r="C14" s="501">
        <f>'[12]Sch B'!E27</f>
        <v>2185262</v>
      </c>
      <c r="D14" s="501">
        <f>'[12]Sch B'!G27</f>
        <v>0</v>
      </c>
      <c r="E14" s="171">
        <f t="shared" si="2"/>
        <v>2185262</v>
      </c>
      <c r="F14" s="175"/>
      <c r="G14" s="175">
        <f>E14+F14</f>
        <v>2185262</v>
      </c>
      <c r="H14" s="176">
        <f t="shared" si="1"/>
        <v>0.29225403018134027</v>
      </c>
      <c r="I14" s="547"/>
      <c r="J14" s="338" t="s">
        <v>347</v>
      </c>
      <c r="K14" s="339">
        <f>G231</f>
        <v>120</v>
      </c>
    </row>
    <row r="15" spans="1:11" s="167" customFormat="1">
      <c r="A15" s="169" t="s">
        <v>19</v>
      </c>
      <c r="B15" s="170" t="s">
        <v>171</v>
      </c>
      <c r="C15" s="501">
        <f>'[12]Sch B'!E32</f>
        <v>0</v>
      </c>
      <c r="D15" s="501">
        <f>'[12]Sch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47"/>
      <c r="J15" s="338" t="s">
        <v>348</v>
      </c>
      <c r="K15" s="339">
        <f>G235</f>
        <v>43800</v>
      </c>
    </row>
    <row r="16" spans="1:11" s="167" customFormat="1">
      <c r="A16" s="169" t="s">
        <v>21</v>
      </c>
      <c r="B16" s="170" t="s">
        <v>172</v>
      </c>
      <c r="C16" s="501">
        <f>'[12]Sch B'!E37</f>
        <v>433740</v>
      </c>
      <c r="D16" s="501">
        <f>'[12]Sch B'!G37</f>
        <v>-13241</v>
      </c>
      <c r="E16" s="171">
        <f t="shared" si="2"/>
        <v>420499</v>
      </c>
      <c r="F16" s="171"/>
      <c r="G16" s="171">
        <f t="shared" si="0"/>
        <v>420499</v>
      </c>
      <c r="H16" s="172">
        <f t="shared" si="1"/>
        <v>5.6236976361289132E-2</v>
      </c>
      <c r="I16" s="547"/>
      <c r="J16" s="340"/>
      <c r="K16" s="339"/>
    </row>
    <row r="17" spans="1:11" s="167" customFormat="1">
      <c r="A17" s="169" t="s">
        <v>215</v>
      </c>
      <c r="B17" s="170" t="s">
        <v>463</v>
      </c>
      <c r="C17" s="501">
        <f>'[12]Sch B'!E42</f>
        <v>20540</v>
      </c>
      <c r="D17" s="501">
        <f>'[12]Sch B'!G42</f>
        <v>13241</v>
      </c>
      <c r="E17" s="171">
        <f t="shared" si="2"/>
        <v>33781</v>
      </c>
      <c r="F17" s="171"/>
      <c r="G17" s="171">
        <f>E17+F17</f>
        <v>33781</v>
      </c>
      <c r="H17" s="172">
        <f t="shared" si="1"/>
        <v>4.5178259602536705E-3</v>
      </c>
      <c r="I17" s="636"/>
      <c r="J17" s="338" t="s">
        <v>156</v>
      </c>
      <c r="K17" s="339">
        <f>J208</f>
        <v>134338.99000000002</v>
      </c>
    </row>
    <row r="18" spans="1:11" s="167" customFormat="1" ht="13.5" thickBot="1">
      <c r="A18" s="169" t="s">
        <v>216</v>
      </c>
      <c r="B18" s="170" t="s">
        <v>464</v>
      </c>
      <c r="C18" s="501">
        <f>'[12]Sch B'!E47</f>
        <v>0</v>
      </c>
      <c r="D18" s="501">
        <f>'[12]Sch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636"/>
      <c r="J18" s="341" t="s">
        <v>252</v>
      </c>
      <c r="K18" s="342">
        <f>K208</f>
        <v>138056.62</v>
      </c>
    </row>
    <row r="19" spans="1:11" s="167" customFormat="1">
      <c r="A19" s="169" t="s">
        <v>227</v>
      </c>
      <c r="B19" s="177" t="s">
        <v>173</v>
      </c>
      <c r="C19" s="501">
        <f>'[12]Sch B'!E52</f>
        <v>0</v>
      </c>
      <c r="D19" s="501">
        <f>'[12]Sch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'[12]Sch B'!E67</f>
        <v>61088</v>
      </c>
      <c r="D20" s="501">
        <f>'[12]Sch B'!G67</f>
        <v>0</v>
      </c>
      <c r="E20" s="171">
        <f t="shared" si="2"/>
        <v>61088</v>
      </c>
      <c r="F20" s="171"/>
      <c r="G20" s="171">
        <f t="shared" si="0"/>
        <v>61088</v>
      </c>
      <c r="H20" s="172">
        <f t="shared" si="1"/>
        <v>8.1698277807044258E-3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7477269</v>
      </c>
      <c r="D21" s="501">
        <f>SUM(D11:D20)</f>
        <v>0</v>
      </c>
      <c r="E21" s="171">
        <f>SUM(E11:E20)</f>
        <v>7477269</v>
      </c>
      <c r="F21" s="171">
        <f>SUM(F11:F20)</f>
        <v>0</v>
      </c>
      <c r="G21" s="171">
        <f>SUM(G11:G20)</f>
        <v>7477269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'[12]Sch C'!D10</f>
        <v>135955</v>
      </c>
      <c r="D25" s="501">
        <f>'[12]Sch C'!F10</f>
        <v>0</v>
      </c>
      <c r="E25" s="171">
        <f t="shared" ref="E25:E60" si="3">C25+D25</f>
        <v>135955</v>
      </c>
      <c r="F25" s="171"/>
      <c r="G25" s="182">
        <f>E25+F25</f>
        <v>135955</v>
      </c>
      <c r="H25" s="172">
        <f>IF($G$208=0,0,G25/$G$208)</f>
        <v>1.8180454196434756E-2</v>
      </c>
      <c r="I25" s="473"/>
      <c r="J25" s="183">
        <v>2125.5</v>
      </c>
      <c r="K25" s="183">
        <v>2128.5</v>
      </c>
    </row>
    <row r="26" spans="1:11" s="167" customFormat="1">
      <c r="A26" s="169" t="s">
        <v>84</v>
      </c>
      <c r="B26" s="170" t="s">
        <v>176</v>
      </c>
      <c r="C26" s="501">
        <f>'[12]Sch C'!D11</f>
        <v>0</v>
      </c>
      <c r="D26" s="501">
        <f>'[12]Sch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'[12]Sch C'!D12</f>
        <v>384314</v>
      </c>
      <c r="D27" s="501">
        <f>'[12]Sch C'!F12</f>
        <v>-128160</v>
      </c>
      <c r="E27" s="171">
        <f t="shared" si="3"/>
        <v>256154</v>
      </c>
      <c r="F27" s="171"/>
      <c r="G27" s="171">
        <f t="shared" si="4"/>
        <v>256154</v>
      </c>
      <c r="H27" s="172">
        <f t="shared" si="5"/>
        <v>3.4253952147648474E-2</v>
      </c>
      <c r="I27" s="473"/>
      <c r="J27" s="183">
        <v>9659.48</v>
      </c>
      <c r="K27" s="183">
        <v>9882</v>
      </c>
    </row>
    <row r="28" spans="1:11" s="167" customFormat="1">
      <c r="A28" s="169" t="s">
        <v>86</v>
      </c>
      <c r="B28" s="170" t="s">
        <v>465</v>
      </c>
      <c r="C28" s="501">
        <f>'[12]Sch C'!D13</f>
        <v>194985</v>
      </c>
      <c r="D28" s="501">
        <f>'[12]Sch C'!F13</f>
        <v>-125878</v>
      </c>
      <c r="E28" s="171">
        <f t="shared" si="3"/>
        <v>69107</v>
      </c>
      <c r="F28" s="171"/>
      <c r="G28" s="171">
        <f t="shared" si="4"/>
        <v>69107</v>
      </c>
      <c r="H28" s="172">
        <f t="shared" si="5"/>
        <v>9.2412684208231892E-3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'[12]Sch C'!D14</f>
        <v>0</v>
      </c>
      <c r="D29" s="501">
        <f>'[12]Sch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'[12]Sch C'!D15</f>
        <v>12616</v>
      </c>
      <c r="D30" s="501">
        <f>'[12]Sch C'!F15</f>
        <v>0</v>
      </c>
      <c r="E30" s="171">
        <f t="shared" si="3"/>
        <v>12616</v>
      </c>
      <c r="F30" s="171"/>
      <c r="G30" s="171">
        <f t="shared" si="4"/>
        <v>12616</v>
      </c>
      <c r="H30" s="172">
        <f t="shared" si="5"/>
        <v>1.6870627056174534E-3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'[12]Sch C'!D16</f>
        <v>0</v>
      </c>
      <c r="D31" s="501">
        <f>'[12]Sch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'[12]Sch C'!D17</f>
        <v>3627</v>
      </c>
      <c r="D32" s="501">
        <f>'[12]Sch C'!F17</f>
        <v>-3627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'[12]Sch C'!D18</f>
        <v>12169</v>
      </c>
      <c r="D33" s="501">
        <f>'[12]Sch C'!F18</f>
        <v>0</v>
      </c>
      <c r="E33" s="171">
        <f t="shared" si="3"/>
        <v>12169</v>
      </c>
      <c r="F33" s="171"/>
      <c r="G33" s="171">
        <f t="shared" si="4"/>
        <v>12169</v>
      </c>
      <c r="H33" s="172">
        <f t="shared" si="5"/>
        <v>1.6272880520496822E-3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'[12]Sch C'!D19</f>
        <v>26958</v>
      </c>
      <c r="D34" s="501">
        <f>'[12]Sch C'!F19</f>
        <v>0</v>
      </c>
      <c r="E34" s="171">
        <f t="shared" si="3"/>
        <v>26958</v>
      </c>
      <c r="F34" s="578">
        <v>-4183</v>
      </c>
      <c r="G34" s="171">
        <f t="shared" si="4"/>
        <v>22775</v>
      </c>
      <c r="H34" s="172">
        <f t="shared" si="5"/>
        <v>3.0455654026979632E-3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'[12]Sch C'!D20</f>
        <v>18531</v>
      </c>
      <c r="D35" s="501">
        <f>'[12]Sch C'!F20</f>
        <v>0</v>
      </c>
      <c r="E35" s="171">
        <f t="shared" si="3"/>
        <v>18531</v>
      </c>
      <c r="F35" s="171"/>
      <c r="G35" s="171">
        <f t="shared" si="4"/>
        <v>18531</v>
      </c>
      <c r="H35" s="172">
        <f t="shared" si="5"/>
        <v>2.4780405039471331E-3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'[12]Sch C'!D21</f>
        <v>90175</v>
      </c>
      <c r="D36" s="501">
        <f>'[12]Sch C'!F21</f>
        <v>0</v>
      </c>
      <c r="E36" s="171">
        <f t="shared" si="3"/>
        <v>90175</v>
      </c>
      <c r="F36" s="577">
        <v>-37767</v>
      </c>
      <c r="G36" s="171">
        <f t="shared" si="4"/>
        <v>52408</v>
      </c>
      <c r="H36" s="172">
        <f t="shared" si="5"/>
        <v>7.0082103896638792E-3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'[12]Sch C'!D22</f>
        <v>0</v>
      </c>
      <c r="D37" s="501">
        <f>'[12]Sch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'[12]Sch C'!D23</f>
        <v>5135</v>
      </c>
      <c r="D38" s="501">
        <f>'[12]Sch C'!F23</f>
        <v>0</v>
      </c>
      <c r="E38" s="171">
        <f t="shared" si="3"/>
        <v>5135</v>
      </c>
      <c r="F38" s="171"/>
      <c r="G38" s="171">
        <f t="shared" si="4"/>
        <v>5135</v>
      </c>
      <c r="H38" s="172">
        <f t="shared" si="5"/>
        <v>6.866730337147768E-4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'[12]Sch C'!D24</f>
        <v>0</v>
      </c>
      <c r="D39" s="501">
        <f>'[12]Sch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'[12]Sch C'!D25</f>
        <v>0</v>
      </c>
      <c r="D40" s="501">
        <f>'[12]Sch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'[12]Sch C'!D26</f>
        <v>105225</v>
      </c>
      <c r="D41" s="501">
        <f>'[12]Sch C'!F26</f>
        <v>0</v>
      </c>
      <c r="E41" s="171">
        <f t="shared" si="3"/>
        <v>105225</v>
      </c>
      <c r="F41" s="171"/>
      <c r="G41" s="171">
        <f t="shared" si="4"/>
        <v>105225</v>
      </c>
      <c r="H41" s="172">
        <f t="shared" si="5"/>
        <v>1.4071113918721984E-2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'[12]Sch C'!D27</f>
        <v>0</v>
      </c>
      <c r="D42" s="501">
        <f>'[12]Sch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'[12]Sch C'!D28</f>
        <v>0</v>
      </c>
      <c r="D43" s="501">
        <f>'[12]Sch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'[12]Sch C'!D29</f>
        <v>0</v>
      </c>
      <c r="D44" s="501">
        <f>'[12]Sch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'[12]Sch C'!D30</f>
        <v>0</v>
      </c>
      <c r="D45" s="501">
        <f>'[12]Sch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'[12]Sch C'!D31</f>
        <v>43564</v>
      </c>
      <c r="D46" s="501">
        <f>'[12]Sch C'!F31</f>
        <v>0</v>
      </c>
      <c r="E46" s="171">
        <f t="shared" si="3"/>
        <v>43564</v>
      </c>
      <c r="F46" s="171"/>
      <c r="G46" s="171">
        <f t="shared" si="4"/>
        <v>43564</v>
      </c>
      <c r="H46" s="172">
        <f t="shared" si="5"/>
        <v>5.8255548277995201E-3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'[12]Sch C'!D32</f>
        <v>21621</v>
      </c>
      <c r="D47" s="501">
        <f>'[12]Sch C'!F32</f>
        <v>0</v>
      </c>
      <c r="E47" s="171">
        <f t="shared" si="3"/>
        <v>21621</v>
      </c>
      <c r="F47" s="171"/>
      <c r="G47" s="171">
        <f t="shared" si="4"/>
        <v>21621</v>
      </c>
      <c r="H47" s="172">
        <f t="shared" si="5"/>
        <v>2.8912478406907865E-3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'[12]Sch C'!D33</f>
        <v>0</v>
      </c>
      <c r="D48" s="501">
        <f>'[12]Sch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'[12]Sch C'!D34</f>
        <v>0</v>
      </c>
      <c r="D49" s="501">
        <f>'[12]Sch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'[12]Sch C'!D35</f>
        <v>0</v>
      </c>
      <c r="D50" s="501">
        <f>'[12]Sch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'[12]Sch C'!D36</f>
        <v>46020</v>
      </c>
      <c r="D51" s="501">
        <f>'[12]Sch C'!F36</f>
        <v>3766</v>
      </c>
      <c r="E51" s="171">
        <f t="shared" si="3"/>
        <v>49786</v>
      </c>
      <c r="F51" s="171"/>
      <c r="G51" s="171">
        <f t="shared" si="4"/>
        <v>49786</v>
      </c>
      <c r="H51" s="172">
        <f t="shared" si="5"/>
        <v>6.6575859116891675E-3</v>
      </c>
      <c r="I51" s="473"/>
      <c r="J51" s="183">
        <v>2921.67</v>
      </c>
      <c r="K51" s="183">
        <v>2998.62</v>
      </c>
    </row>
    <row r="52" spans="1:11" s="167" customFormat="1">
      <c r="A52" s="163">
        <v>290</v>
      </c>
      <c r="B52" s="170" t="s">
        <v>205</v>
      </c>
      <c r="C52" s="501">
        <f>'[12]Sch C'!D37</f>
        <v>0</v>
      </c>
      <c r="D52" s="501">
        <f>'[12]Sch C'!F37</f>
        <v>6414</v>
      </c>
      <c r="E52" s="171">
        <f t="shared" si="3"/>
        <v>6414</v>
      </c>
      <c r="F52" s="171"/>
      <c r="G52" s="171">
        <f t="shared" si="4"/>
        <v>6414</v>
      </c>
      <c r="H52" s="172">
        <f t="shared" si="5"/>
        <v>8.5770610287177757E-4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'[12]Sch C'!D38</f>
        <v>0</v>
      </c>
      <c r="D53" s="501">
        <f>'[12]Sch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'[12]Sch C'!D39</f>
        <v>2279</v>
      </c>
      <c r="D54" s="501">
        <f>'[12]Sch C'!F39</f>
        <v>0</v>
      </c>
      <c r="E54" s="171">
        <f t="shared" si="3"/>
        <v>2279</v>
      </c>
      <c r="F54" s="171"/>
      <c r="G54" s="171">
        <f t="shared" si="4"/>
        <v>2279</v>
      </c>
      <c r="H54" s="172">
        <f t="shared" si="5"/>
        <v>3.0475712635559418E-4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'[12]Sch C'!D40</f>
        <v>9585</v>
      </c>
      <c r="D55" s="501">
        <f>'[12]Sch C'!F40</f>
        <v>-9585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'[12]Sch C'!D41</f>
        <v>63442</v>
      </c>
      <c r="D56" s="501">
        <f>'[12]Sch C'!F41</f>
        <v>0</v>
      </c>
      <c r="E56" s="171">
        <f t="shared" si="3"/>
        <v>63442</v>
      </c>
      <c r="F56" s="578">
        <v>-3718</v>
      </c>
      <c r="G56" s="171">
        <f t="shared" si="4"/>
        <v>59724</v>
      </c>
      <c r="H56" s="172">
        <f t="shared" si="5"/>
        <v>7.9865355921287882E-3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'[12]Sch C'!D42</f>
        <v>8972</v>
      </c>
      <c r="D57" s="501">
        <f>'[12]Sch C'!F42</f>
        <v>0</v>
      </c>
      <c r="E57" s="171">
        <f t="shared" si="3"/>
        <v>8972</v>
      </c>
      <c r="F57" s="171"/>
      <c r="G57" s="171">
        <f t="shared" si="4"/>
        <v>8972</v>
      </c>
      <c r="H57" s="172">
        <f t="shared" si="5"/>
        <v>1.1997722411857795E-3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'[12]Sch C'!D43</f>
        <v>17126</v>
      </c>
      <c r="D58" s="501">
        <f>'[12]Sch C'!F43</f>
        <v>-14099</v>
      </c>
      <c r="E58" s="171">
        <f t="shared" si="3"/>
        <v>3027</v>
      </c>
      <c r="F58" s="171"/>
      <c r="G58" s="171">
        <f t="shared" si="4"/>
        <v>3027</v>
      </c>
      <c r="H58" s="172">
        <f t="shared" si="5"/>
        <v>4.0478272114014203E-4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'[12]Sch C'!D44</f>
        <v>0</v>
      </c>
      <c r="D59" s="501">
        <f>'[12]Sch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'[12]Sch C'!D45</f>
        <v>8411</v>
      </c>
      <c r="D60" s="501">
        <f>'[12]Sch C'!F45</f>
        <v>0</v>
      </c>
      <c r="E60" s="171">
        <f t="shared" si="3"/>
        <v>8411</v>
      </c>
      <c r="F60" s="578">
        <f>-904-3750-78</f>
        <v>-4732</v>
      </c>
      <c r="G60" s="171">
        <f t="shared" si="4"/>
        <v>3679</v>
      </c>
      <c r="H60" s="172">
        <f t="shared" si="5"/>
        <v>4.9197080643362484E-4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1210710</v>
      </c>
      <c r="D61" s="501">
        <f>SUM(D25:D60)</f>
        <v>-271169</v>
      </c>
      <c r="E61" s="171">
        <f t="shared" ref="E61:F61" si="6">SUM(E25:E60)</f>
        <v>939541</v>
      </c>
      <c r="F61" s="171">
        <f t="shared" si="6"/>
        <v>-50400</v>
      </c>
      <c r="G61" s="171">
        <f>SUM(G25:G60)</f>
        <v>889141</v>
      </c>
      <c r="H61" s="186">
        <f t="shared" si="5"/>
        <v>0.11889954194161448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'[12]Sch C'!D57</f>
        <v>779500</v>
      </c>
      <c r="D64" s="501">
        <f>'[12]Sch C'!F57</f>
        <v>0</v>
      </c>
      <c r="E64" s="171">
        <f t="shared" ref="E64:E78" si="7">C64+D64</f>
        <v>779500</v>
      </c>
      <c r="F64" s="578">
        <v>-779500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'[12]Sch C'!D58</f>
        <v>0</v>
      </c>
      <c r="D65" s="501">
        <f>'[12]Sch C'!F58</f>
        <v>0</v>
      </c>
      <c r="E65" s="171">
        <f t="shared" si="7"/>
        <v>0</v>
      </c>
      <c r="F65" s="578">
        <v>422727</v>
      </c>
      <c r="G65" s="171">
        <f t="shared" si="8"/>
        <v>422727</v>
      </c>
      <c r="H65" s="172">
        <f t="shared" si="9"/>
        <v>5.6528769527389763E-2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'[12]Sch C'!D59</f>
        <v>0</v>
      </c>
      <c r="D66" s="501">
        <f>'[12]Sch C'!F59</f>
        <v>0</v>
      </c>
      <c r="E66" s="171">
        <f t="shared" si="7"/>
        <v>0</v>
      </c>
      <c r="F66" s="578">
        <v>370818</v>
      </c>
      <c r="G66" s="171">
        <f t="shared" si="8"/>
        <v>370818</v>
      </c>
      <c r="H66" s="172">
        <f t="shared" si="9"/>
        <v>4.958728744226798E-2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'[12]Sch C'!D60</f>
        <v>166223</v>
      </c>
      <c r="D67" s="501">
        <f>'[12]Sch C'!F60</f>
        <v>0</v>
      </c>
      <c r="E67" s="171">
        <f t="shared" si="7"/>
        <v>166223</v>
      </c>
      <c r="F67" s="171"/>
      <c r="G67" s="171">
        <f t="shared" si="8"/>
        <v>166223</v>
      </c>
      <c r="H67" s="172">
        <f t="shared" si="9"/>
        <v>2.2228013959721779E-2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'[12]Sch C'!D61</f>
        <v>0</v>
      </c>
      <c r="D68" s="501">
        <f>'[12]Sch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'[12]Sch C'!D62</f>
        <v>0</v>
      </c>
      <c r="D69" s="501">
        <f>'[12]Sch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'[12]Sch C'!D63</f>
        <v>0</v>
      </c>
      <c r="D70" s="501">
        <f>'[12]Sch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'[12]Sch C'!D64</f>
        <v>0</v>
      </c>
      <c r="D71" s="501">
        <f>'[12]Sch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'[12]Sch C'!D65</f>
        <v>7992</v>
      </c>
      <c r="D72" s="501">
        <f>'[12]Sch C'!F65</f>
        <v>0</v>
      </c>
      <c r="E72" s="171">
        <f t="shared" si="7"/>
        <v>7992</v>
      </c>
      <c r="F72" s="171"/>
      <c r="G72" s="171">
        <f t="shared" si="8"/>
        <v>7992</v>
      </c>
      <c r="H72" s="172">
        <f t="shared" si="9"/>
        <v>1.0687226651311579E-3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'[12]Sch C'!D66</f>
        <v>25944</v>
      </c>
      <c r="D73" s="501">
        <f>'[12]Sch C'!F66</f>
        <v>0</v>
      </c>
      <c r="E73" s="171">
        <f t="shared" si="7"/>
        <v>25944</v>
      </c>
      <c r="F73" s="171"/>
      <c r="G73" s="171">
        <f t="shared" si="8"/>
        <v>25944</v>
      </c>
      <c r="H73" s="172">
        <f t="shared" si="9"/>
        <v>3.4693369399603053E-3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'[12]Sch C'!D67</f>
        <v>0</v>
      </c>
      <c r="D74" s="501">
        <f>'[12]Sch C'!F67</f>
        <v>0</v>
      </c>
      <c r="E74" s="171">
        <f t="shared" si="7"/>
        <v>0</v>
      </c>
      <c r="F74" s="578">
        <v>88</v>
      </c>
      <c r="G74" s="171">
        <f t="shared" si="8"/>
        <v>88</v>
      </c>
      <c r="H74" s="172">
        <f t="shared" si="9"/>
        <v>1.1767717033476213E-5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'[12]Sch C'!D68</f>
        <v>0</v>
      </c>
      <c r="D75" s="501">
        <f>'[12]Sch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'[12]Sch C'!D69</f>
        <v>291</v>
      </c>
      <c r="D76" s="501">
        <f>'[12]Sch C'!F69</f>
        <v>0</v>
      </c>
      <c r="E76" s="171">
        <f t="shared" si="7"/>
        <v>291</v>
      </c>
      <c r="F76" s="171"/>
      <c r="G76" s="171">
        <f t="shared" si="8"/>
        <v>291</v>
      </c>
      <c r="H76" s="172">
        <f t="shared" si="9"/>
        <v>3.8913700644790658E-5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'[12]Sch C'!D70</f>
        <v>0</v>
      </c>
      <c r="D77" s="501">
        <f>'[12]Sch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'[12]Sch C'!D71</f>
        <v>0</v>
      </c>
      <c r="D78" s="501">
        <f>'[12]Sch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979950</v>
      </c>
      <c r="D79" s="501">
        <f>SUM(D64:D78)</f>
        <v>0</v>
      </c>
      <c r="E79" s="171">
        <f t="shared" ref="E79:F79" si="10">SUM(E64:E78)</f>
        <v>979950</v>
      </c>
      <c r="F79" s="171">
        <f t="shared" si="10"/>
        <v>14133</v>
      </c>
      <c r="G79" s="171">
        <f>SUM(G64:G78)</f>
        <v>994083</v>
      </c>
      <c r="H79" s="172">
        <f t="shared" si="9"/>
        <v>0.13293281195214926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'[12]Sch C'!D75</f>
        <v>59670</v>
      </c>
      <c r="D82" s="501">
        <f>'[12]Sch C'!F75</f>
        <v>0</v>
      </c>
      <c r="E82" s="171">
        <f t="shared" ref="E82:E92" si="11">C82+D82</f>
        <v>59670</v>
      </c>
      <c r="F82" s="171"/>
      <c r="G82" s="171">
        <f t="shared" ref="G82:G92" si="12">E82+F82</f>
        <v>59670</v>
      </c>
      <c r="H82" s="172">
        <f t="shared" ref="H82:H93" si="13">IF($G$208=0,0,G82/$G$208)</f>
        <v>7.9793144930400631E-3</v>
      </c>
      <c r="I82" s="473"/>
      <c r="J82" s="183">
        <v>2040</v>
      </c>
      <c r="K82" s="183">
        <v>2154</v>
      </c>
    </row>
    <row r="83" spans="1:11" s="167" customFormat="1">
      <c r="A83" s="169" t="s">
        <v>86</v>
      </c>
      <c r="B83" s="199" t="s">
        <v>45</v>
      </c>
      <c r="C83" s="501">
        <f>'[12]Sch C'!D76</f>
        <v>4640</v>
      </c>
      <c r="D83" s="501">
        <f>'[12]Sch C'!F76</f>
        <v>2896</v>
      </c>
      <c r="E83" s="171">
        <f t="shared" si="11"/>
        <v>7536</v>
      </c>
      <c r="F83" s="171"/>
      <c r="G83" s="171">
        <f t="shared" si="12"/>
        <v>7536</v>
      </c>
      <c r="H83" s="172">
        <f t="shared" si="13"/>
        <v>1.0077444950485994E-3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'[12]Sch C'!D77</f>
        <v>9022</v>
      </c>
      <c r="D84" s="501">
        <f>'[12]Sch C'!F77</f>
        <v>0</v>
      </c>
      <c r="E84" s="171">
        <f t="shared" si="11"/>
        <v>9022</v>
      </c>
      <c r="F84" s="171"/>
      <c r="G84" s="171">
        <f t="shared" si="12"/>
        <v>9022</v>
      </c>
      <c r="H84" s="172">
        <f t="shared" si="13"/>
        <v>1.2064584440457089E-3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'[12]Sch C'!D78</f>
        <v>10451</v>
      </c>
      <c r="D85" s="501">
        <f>'[12]Sch C'!F78</f>
        <v>0</v>
      </c>
      <c r="E85" s="171">
        <f t="shared" si="11"/>
        <v>10451</v>
      </c>
      <c r="F85" s="171"/>
      <c r="G85" s="171">
        <f t="shared" si="12"/>
        <v>10451</v>
      </c>
      <c r="H85" s="172">
        <f t="shared" si="13"/>
        <v>1.3975501217824988E-3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'[12]Sch C'!D79</f>
        <v>6059</v>
      </c>
      <c r="D86" s="501">
        <f>'[12]Sch C'!F79</f>
        <v>0</v>
      </c>
      <c r="E86" s="171">
        <f t="shared" si="11"/>
        <v>6059</v>
      </c>
      <c r="F86" s="578">
        <v>1577</v>
      </c>
      <c r="G86" s="171">
        <f>E86+F86</f>
        <v>7636</v>
      </c>
      <c r="H86" s="172">
        <f t="shared" si="13"/>
        <v>1.0211169007684586E-3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'[12]Sch C'!D80</f>
        <v>20006</v>
      </c>
      <c r="D87" s="501">
        <f>'[12]Sch C'!F80</f>
        <v>0</v>
      </c>
      <c r="E87" s="171">
        <f t="shared" si="11"/>
        <v>20006</v>
      </c>
      <c r="F87" s="171"/>
      <c r="G87" s="171">
        <f t="shared" si="12"/>
        <v>20006</v>
      </c>
      <c r="H87" s="172">
        <f t="shared" si="13"/>
        <v>2.6752834883150582E-3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'[12]Sch C'!D81</f>
        <v>2160</v>
      </c>
      <c r="D88" s="501">
        <f>'[12]Sch C'!F81</f>
        <v>0</v>
      </c>
      <c r="E88" s="171">
        <f t="shared" si="11"/>
        <v>2160</v>
      </c>
      <c r="F88" s="171"/>
      <c r="G88" s="171">
        <f t="shared" si="12"/>
        <v>2160</v>
      </c>
      <c r="H88" s="172">
        <f t="shared" si="13"/>
        <v>2.8884396354896159E-4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'[12]Sch C'!D82</f>
        <v>5140</v>
      </c>
      <c r="D89" s="501">
        <f>'[12]Sch C'!F82</f>
        <v>0</v>
      </c>
      <c r="E89" s="171">
        <f t="shared" si="11"/>
        <v>5140</v>
      </c>
      <c r="F89" s="171"/>
      <c r="G89" s="171">
        <f t="shared" si="12"/>
        <v>5140</v>
      </c>
      <c r="H89" s="172">
        <f t="shared" si="13"/>
        <v>6.8734165400076972E-4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'[12]Sch C'!D83</f>
        <v>17412</v>
      </c>
      <c r="D90" s="501">
        <f>'[12]Sch C'!F83</f>
        <v>0</v>
      </c>
      <c r="E90" s="171">
        <f t="shared" si="11"/>
        <v>17412</v>
      </c>
      <c r="F90" s="442">
        <v>-838</v>
      </c>
      <c r="G90" s="171">
        <f t="shared" si="12"/>
        <v>16574</v>
      </c>
      <c r="H90" s="172">
        <f t="shared" si="13"/>
        <v>2.216342524009486E-3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'[12]Sch C'!D84</f>
        <v>163936</v>
      </c>
      <c r="D91" s="501">
        <f>'[12]Sch C'!F84</f>
        <v>0</v>
      </c>
      <c r="E91" s="171">
        <f t="shared" si="11"/>
        <v>163936</v>
      </c>
      <c r="F91" s="171"/>
      <c r="G91" s="171">
        <f t="shared" si="12"/>
        <v>163936</v>
      </c>
      <c r="H91" s="172">
        <f t="shared" si="13"/>
        <v>2.1922187040908595E-2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'[12]Sch C'!D85</f>
        <v>0</v>
      </c>
      <c r="D92" s="501">
        <f>'[12]Sch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298496</v>
      </c>
      <c r="D93" s="501">
        <f>SUM(D82:D92)</f>
        <v>2896</v>
      </c>
      <c r="E93" s="171">
        <f t="shared" ref="E93:F93" si="14">SUM(E82:E92)</f>
        <v>301392</v>
      </c>
      <c r="F93" s="171">
        <f t="shared" si="14"/>
        <v>739</v>
      </c>
      <c r="G93" s="171">
        <f>SUM(G82:G92)</f>
        <v>302131</v>
      </c>
      <c r="H93" s="172">
        <f t="shared" si="13"/>
        <v>4.04021831254682E-2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'[12]Sch C'!D89</f>
        <v>198212</v>
      </c>
      <c r="D96" s="501">
        <f>'[12]Sch C'!F89</f>
        <v>0</v>
      </c>
      <c r="E96" s="171">
        <f t="shared" ref="E96:E101" si="15">C96+D96</f>
        <v>198212</v>
      </c>
      <c r="F96" s="171"/>
      <c r="G96" s="171">
        <f t="shared" ref="G96:G101" si="16">E96+F96</f>
        <v>198212</v>
      </c>
      <c r="H96" s="172">
        <f t="shared" ref="H96:H102" si="17">IF($G$208=0,0,G96/$G$208)</f>
        <v>2.6505712825447583E-2</v>
      </c>
      <c r="I96" s="473"/>
      <c r="J96" s="183">
        <v>13743.91</v>
      </c>
      <c r="K96" s="183">
        <v>14335.41</v>
      </c>
    </row>
    <row r="97" spans="1:11" s="167" customFormat="1">
      <c r="A97" s="169" t="s">
        <v>86</v>
      </c>
      <c r="B97" s="170" t="s">
        <v>45</v>
      </c>
      <c r="C97" s="501">
        <f>'[12]Sch C'!D90</f>
        <v>16480</v>
      </c>
      <c r="D97" s="501">
        <f>'[12]Sch C'!F90</f>
        <v>9619</v>
      </c>
      <c r="E97" s="171">
        <f t="shared" si="15"/>
        <v>26099</v>
      </c>
      <c r="F97" s="171"/>
      <c r="G97" s="171">
        <f t="shared" si="16"/>
        <v>26099</v>
      </c>
      <c r="H97" s="172">
        <f t="shared" si="17"/>
        <v>3.4900641688260874E-3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'[12]Sch C'!D91</f>
        <v>36221</v>
      </c>
      <c r="D98" s="501">
        <f>'[12]Sch C'!F91</f>
        <v>0</v>
      </c>
      <c r="E98" s="171">
        <f t="shared" si="15"/>
        <v>36221</v>
      </c>
      <c r="F98" s="171"/>
      <c r="G98" s="171">
        <f t="shared" si="16"/>
        <v>36221</v>
      </c>
      <c r="H98" s="172">
        <f t="shared" si="17"/>
        <v>4.8436190757902486E-3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'[12]Sch C'!D92</f>
        <v>144533</v>
      </c>
      <c r="D99" s="501">
        <f>'[12]Sch C'!F92</f>
        <v>0</v>
      </c>
      <c r="E99" s="171">
        <f t="shared" si="15"/>
        <v>144533</v>
      </c>
      <c r="F99" s="442">
        <v>-704</v>
      </c>
      <c r="G99" s="171">
        <f t="shared" si="16"/>
        <v>143829</v>
      </c>
      <c r="H99" s="172">
        <f t="shared" si="17"/>
        <v>1.9233397422816479E-2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'[12]Sch C'!D93</f>
        <v>16114</v>
      </c>
      <c r="D100" s="501">
        <f>'[12]Sch C'!F93</f>
        <v>0</v>
      </c>
      <c r="E100" s="171">
        <f t="shared" si="15"/>
        <v>16114</v>
      </c>
      <c r="F100" s="171"/>
      <c r="G100" s="171">
        <f t="shared" si="16"/>
        <v>16114</v>
      </c>
      <c r="H100" s="172">
        <f t="shared" si="17"/>
        <v>2.1548294576981329E-3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'[12]Sch C'!D94</f>
        <v>0</v>
      </c>
      <c r="D101" s="501">
        <f>'[12]Sch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411560</v>
      </c>
      <c r="D102" s="501">
        <f>SUM(D96:D101)</f>
        <v>9619</v>
      </c>
      <c r="E102" s="171">
        <f t="shared" ref="E102:F102" si="18">SUM(E96:E101)</f>
        <v>421179</v>
      </c>
      <c r="F102" s="171">
        <f t="shared" si="18"/>
        <v>-704</v>
      </c>
      <c r="G102" s="171">
        <f>SUM(G96:G101)</f>
        <v>420475</v>
      </c>
      <c r="H102" s="172">
        <f t="shared" si="17"/>
        <v>5.622762295057853E-2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'[12]Sch C'!D98</f>
        <v>0</v>
      </c>
      <c r="D105" s="501">
        <f>'[12]Sch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'[12]Sch C'!D99</f>
        <v>0</v>
      </c>
      <c r="D106" s="501">
        <f>'[12]Sch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'[12]Sch C'!D100</f>
        <v>651</v>
      </c>
      <c r="D107" s="501">
        <f>'[12]Sch C'!F100</f>
        <v>0</v>
      </c>
      <c r="E107" s="171">
        <f t="shared" si="19"/>
        <v>651</v>
      </c>
      <c r="F107" s="171"/>
      <c r="G107" s="171">
        <f t="shared" si="20"/>
        <v>651</v>
      </c>
      <c r="H107" s="172">
        <f t="shared" si="21"/>
        <v>8.7054361236284263E-5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'[12]Sch C'!D101</f>
        <v>0</v>
      </c>
      <c r="D108" s="501">
        <f>'[12]Sch C'!F101</f>
        <v>0</v>
      </c>
      <c r="E108" s="171">
        <f t="shared" si="19"/>
        <v>0</v>
      </c>
      <c r="F108" s="442">
        <v>904</v>
      </c>
      <c r="G108" s="171">
        <f t="shared" si="20"/>
        <v>904</v>
      </c>
      <c r="H108" s="172">
        <f t="shared" si="21"/>
        <v>1.2088654770752837E-4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'[12]Sch C'!D102</f>
        <v>2845</v>
      </c>
      <c r="D109" s="501">
        <f>'[12]Sch C'!F102</f>
        <v>0</v>
      </c>
      <c r="E109" s="171">
        <f t="shared" si="19"/>
        <v>2845</v>
      </c>
      <c r="F109" s="442">
        <v>479</v>
      </c>
      <c r="G109" s="171">
        <f t="shared" si="20"/>
        <v>3324</v>
      </c>
      <c r="H109" s="172">
        <f t="shared" si="21"/>
        <v>4.4449876612812425E-4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'[12]Sch C'!D103</f>
        <v>0</v>
      </c>
      <c r="D110" s="501">
        <f>'[12]Sch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3496</v>
      </c>
      <c r="D111" s="501">
        <f>SUM(D105:D110)</f>
        <v>0</v>
      </c>
      <c r="E111" s="171">
        <f t="shared" ref="E111:F111" si="22">SUM(E105:E110)</f>
        <v>3496</v>
      </c>
      <c r="F111" s="171">
        <f t="shared" si="22"/>
        <v>1383</v>
      </c>
      <c r="G111" s="171">
        <f>SUM(G105:G110)</f>
        <v>4879</v>
      </c>
      <c r="H111" s="172">
        <f t="shared" si="21"/>
        <v>6.5243967507193682E-4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'[12]Sch C'!D115</f>
        <v>83533</v>
      </c>
      <c r="D114" s="501">
        <f>'[12]Sch C'!F115</f>
        <v>0</v>
      </c>
      <c r="E114" s="171">
        <f t="shared" ref="E114:E118" si="23">C114+D114</f>
        <v>83533</v>
      </c>
      <c r="F114" s="171"/>
      <c r="G114" s="171">
        <f>E114+F114</f>
        <v>83533</v>
      </c>
      <c r="H114" s="172">
        <f t="shared" ref="H114:H119" si="24">IF($G$208=0,0,G114/$G$208)</f>
        <v>1.1170371669970097E-2</v>
      </c>
      <c r="I114" s="473"/>
      <c r="J114" s="183">
        <v>7280.14</v>
      </c>
      <c r="K114" s="183">
        <v>7537.31</v>
      </c>
    </row>
    <row r="115" spans="1:11" s="167" customFormat="1">
      <c r="A115" s="169" t="s">
        <v>86</v>
      </c>
      <c r="B115" s="170" t="s">
        <v>151</v>
      </c>
      <c r="C115" s="501">
        <f>'[12]Sch C'!D116</f>
        <v>6763</v>
      </c>
      <c r="D115" s="501">
        <f>'[12]Sch C'!F116</f>
        <v>4054</v>
      </c>
      <c r="E115" s="171">
        <f t="shared" si="23"/>
        <v>10817</v>
      </c>
      <c r="F115" s="171"/>
      <c r="G115" s="171">
        <f>E115+F115</f>
        <v>10817</v>
      </c>
      <c r="H115" s="172">
        <f t="shared" si="24"/>
        <v>1.4464931267171841E-3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'[12]Sch C'!D117</f>
        <v>26524</v>
      </c>
      <c r="D116" s="501">
        <f>'[12]Sch C'!F117</f>
        <v>0</v>
      </c>
      <c r="E116" s="171">
        <f t="shared" si="23"/>
        <v>26524</v>
      </c>
      <c r="F116" s="442">
        <v>-251</v>
      </c>
      <c r="G116" s="171">
        <f>E116+F116</f>
        <v>26273</v>
      </c>
      <c r="H116" s="172">
        <f t="shared" si="24"/>
        <v>3.5133321547786427E-3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'[12]Sch C'!D118</f>
        <v>0</v>
      </c>
      <c r="D117" s="501">
        <f>'[12]Sch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'[12]Sch C'!D119</f>
        <v>0</v>
      </c>
      <c r="D118" s="501">
        <f>'[12]Sch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375</v>
      </c>
      <c r="C119" s="501">
        <f>SUM(C114:C118)</f>
        <v>116820</v>
      </c>
      <c r="D119" s="501">
        <f>SUM(D114:D118)</f>
        <v>4054</v>
      </c>
      <c r="E119" s="171">
        <f t="shared" ref="E119:F119" si="25">SUM(E114:E118)</f>
        <v>120874</v>
      </c>
      <c r="F119" s="171">
        <f t="shared" si="25"/>
        <v>-251</v>
      </c>
      <c r="G119" s="171">
        <f>SUM(G114:G118)</f>
        <v>120623</v>
      </c>
      <c r="H119" s="172">
        <f t="shared" si="24"/>
        <v>1.6130196951465923E-2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'[12]Sch C'!D124</f>
        <v>0</v>
      </c>
      <c r="D123" s="501">
        <f>'[12]Sch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'[12]Sch C'!D125</f>
        <v>298860</v>
      </c>
      <c r="D124" s="501">
        <f>'[12]Sch C'!F125</f>
        <v>12002</v>
      </c>
      <c r="E124" s="171">
        <f t="shared" si="26"/>
        <v>310862</v>
      </c>
      <c r="F124" s="171"/>
      <c r="G124" s="171">
        <f>E124+F124</f>
        <v>310862</v>
      </c>
      <c r="H124" s="172">
        <f>IF($G$208=0,0,G124/$G$208)</f>
        <v>4.1569727868869116E-2</v>
      </c>
      <c r="I124" s="473"/>
      <c r="J124" s="183">
        <v>3410.12</v>
      </c>
      <c r="K124" s="183">
        <v>3552.12</v>
      </c>
    </row>
    <row r="125" spans="1:11" s="167" customFormat="1">
      <c r="A125" s="163" t="s">
        <v>198</v>
      </c>
      <c r="B125" s="163" t="s">
        <v>195</v>
      </c>
      <c r="C125" s="501">
        <f>'[12]Sch C'!D126</f>
        <v>0</v>
      </c>
      <c r="D125" s="501">
        <f>'[12]Sch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'[12]Sch C'!D127</f>
        <v>0</v>
      </c>
      <c r="D126" s="501">
        <f>'[12]Sch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'[12]Sch C'!D128</f>
        <v>121834</v>
      </c>
      <c r="D127" s="501">
        <f>'[12]Sch C'!F128</f>
        <v>9970</v>
      </c>
      <c r="E127" s="171">
        <f t="shared" si="26"/>
        <v>131804</v>
      </c>
      <c r="F127" s="171"/>
      <c r="G127" s="171">
        <f>E127+F127</f>
        <v>131804</v>
      </c>
      <c r="H127" s="172">
        <f>IF($G$208=0,0,G127/$G$208)</f>
        <v>1.7625365635003394E-2</v>
      </c>
      <c r="I127" s="473"/>
      <c r="J127" s="183">
        <v>2103.9899999999998</v>
      </c>
      <c r="K127" s="183">
        <v>2185.9899999999998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'[12]Sch C'!D130</f>
        <v>0</v>
      </c>
      <c r="D129" s="501">
        <f>'[12]Sch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'[12]Sch C'!D131</f>
        <v>0</v>
      </c>
      <c r="D130" s="501">
        <f>'[12]Sch C'!F131</f>
        <v>40350</v>
      </c>
      <c r="E130" s="171">
        <f t="shared" si="27"/>
        <v>40350</v>
      </c>
      <c r="F130" s="171"/>
      <c r="G130" s="171">
        <f>E130+F130</f>
        <v>40350</v>
      </c>
      <c r="H130" s="172">
        <f>IF($G$208=0,0,G130/$G$208)</f>
        <v>5.3957657079632413E-3</v>
      </c>
      <c r="I130" s="473"/>
      <c r="J130" s="204"/>
      <c r="K130" s="204"/>
    </row>
    <row r="131" spans="1:11" s="167" customFormat="1">
      <c r="B131" s="163" t="s">
        <v>195</v>
      </c>
      <c r="C131" s="501">
        <f>'[12]Sch C'!D132</f>
        <v>0</v>
      </c>
      <c r="D131" s="501">
        <f>'[12]Sch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'[12]Sch C'!D133</f>
        <v>0</v>
      </c>
      <c r="D132" s="501">
        <f>'[12]Sch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'[12]Sch C'!D134</f>
        <v>0</v>
      </c>
      <c r="D133" s="501">
        <f>'[12]Sch C'!F134</f>
        <v>17108</v>
      </c>
      <c r="E133" s="171">
        <f t="shared" si="27"/>
        <v>17108</v>
      </c>
      <c r="F133" s="171"/>
      <c r="G133" s="171">
        <f>E133+F133</f>
        <v>17108</v>
      </c>
      <c r="H133" s="172">
        <f>IF($G$208=0,0,G133/$G$208)</f>
        <v>2.2877511705535346E-3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'[12]Sch C'!D136</f>
        <v>781360</v>
      </c>
      <c r="D135" s="501">
        <f>'[12]Sch C'!F136</f>
        <v>-39793</v>
      </c>
      <c r="E135" s="171">
        <f t="shared" ref="E135:E138" si="28">C135+D135</f>
        <v>741567</v>
      </c>
      <c r="F135" s="171"/>
      <c r="G135" s="171">
        <f>E135+F135</f>
        <v>741567</v>
      </c>
      <c r="H135" s="172">
        <f>IF($G$208=0,0,G135/$G$208)</f>
        <v>9.9165347924589253E-2</v>
      </c>
      <c r="I135" s="473"/>
      <c r="J135" s="183">
        <v>25899.23</v>
      </c>
      <c r="K135" s="183">
        <v>26566.53</v>
      </c>
    </row>
    <row r="136" spans="1:11" s="167" customFormat="1">
      <c r="A136" s="169"/>
      <c r="B136" s="163" t="s">
        <v>195</v>
      </c>
      <c r="C136" s="501">
        <f>'[12]Sch C'!D137</f>
        <v>171762</v>
      </c>
      <c r="D136" s="501">
        <f>'[12]Sch C'!F137</f>
        <v>14055</v>
      </c>
      <c r="E136" s="171">
        <f t="shared" si="28"/>
        <v>185817</v>
      </c>
      <c r="F136" s="171"/>
      <c r="G136" s="171">
        <f>E136+F136</f>
        <v>185817</v>
      </c>
      <c r="H136" s="172">
        <f>IF($G$208=0,0,G136/$G$208)</f>
        <v>2.4848203136471018E-2</v>
      </c>
      <c r="I136" s="473"/>
      <c r="J136" s="183">
        <v>7077.77</v>
      </c>
      <c r="K136" s="183">
        <v>7215.36</v>
      </c>
    </row>
    <row r="137" spans="1:11" s="167" customFormat="1">
      <c r="A137" s="169"/>
      <c r="B137" s="163" t="s">
        <v>196</v>
      </c>
      <c r="C137" s="501">
        <f>'[12]Sch C'!D138</f>
        <v>739502</v>
      </c>
      <c r="D137" s="501">
        <f>'[12]Sch C'!F138</f>
        <v>0</v>
      </c>
      <c r="E137" s="171">
        <f t="shared" si="28"/>
        <v>739502</v>
      </c>
      <c r="F137" s="171"/>
      <c r="G137" s="171">
        <f>E137+F137</f>
        <v>739502</v>
      </c>
      <c r="H137" s="172">
        <f>IF($G$208=0,0,G137/$G$208)</f>
        <v>9.8889207746474167E-2</v>
      </c>
      <c r="I137" s="473"/>
      <c r="J137" s="183">
        <v>51568.58</v>
      </c>
      <c r="K137" s="183">
        <v>52849.79</v>
      </c>
    </row>
    <row r="138" spans="1:11" s="167" customFormat="1">
      <c r="A138" s="169"/>
      <c r="B138" s="163" t="s">
        <v>197</v>
      </c>
      <c r="C138" s="501">
        <f>'[12]Sch C'!D139</f>
        <v>0</v>
      </c>
      <c r="D138" s="501">
        <f>'[12]Sch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'[12]Sch C'!D141</f>
        <v>115685</v>
      </c>
      <c r="D140" s="501">
        <f>'[12]Sch C'!F141</f>
        <v>-19109</v>
      </c>
      <c r="E140" s="171">
        <f t="shared" ref="E140:E143" si="29">C140+D140</f>
        <v>96576</v>
      </c>
      <c r="F140" s="171"/>
      <c r="G140" s="171">
        <f>E140+F140</f>
        <v>96576</v>
      </c>
      <c r="H140" s="172">
        <f>IF($G$208=0,0,G140/$G$208)</f>
        <v>1.291453454801135E-2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'[12]Sch C'!D142</f>
        <v>0</v>
      </c>
      <c r="D141" s="501">
        <f>'[12]Sch C'!F142</f>
        <v>24170</v>
      </c>
      <c r="E141" s="171">
        <f t="shared" si="29"/>
        <v>24170</v>
      </c>
      <c r="F141" s="171"/>
      <c r="G141" s="171">
        <f>E141+F141</f>
        <v>24170</v>
      </c>
      <c r="H141" s="172">
        <f>IF($G$208=0,0,G141/$G$208)</f>
        <v>3.2321104624900006E-3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'[12]Sch C'!D143</f>
        <v>60710</v>
      </c>
      <c r="D142" s="501">
        <f>'[12]Sch C'!F143</f>
        <v>35886</v>
      </c>
      <c r="E142" s="171">
        <f t="shared" si="29"/>
        <v>96596</v>
      </c>
      <c r="F142" s="171"/>
      <c r="G142" s="171">
        <f>E142+F142</f>
        <v>96596</v>
      </c>
      <c r="H142" s="172">
        <f>IF($G$208=0,0,G142/$G$208)</f>
        <v>1.2917209029155321E-2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'[12]Sch C'!D144</f>
        <v>0</v>
      </c>
      <c r="D143" s="501">
        <f>'[12]Sch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'[12]Sch C'!D146</f>
        <v>54000</v>
      </c>
      <c r="D145" s="501">
        <f>'[12]Sch C'!F146</f>
        <v>0</v>
      </c>
      <c r="E145" s="171">
        <f t="shared" ref="E145:E153" si="30">C145+D145</f>
        <v>54000</v>
      </c>
      <c r="F145" s="442">
        <v>-7500</v>
      </c>
      <c r="G145" s="171">
        <f t="shared" ref="G145:G153" si="31">E145+F145</f>
        <v>46500</v>
      </c>
      <c r="H145" s="172">
        <f t="shared" ref="H145:H153" si="32">IF($G$208=0,0,G145/$G$208)</f>
        <v>6.2181686597345895E-3</v>
      </c>
      <c r="I145" s="473"/>
      <c r="J145" s="183">
        <v>258</v>
      </c>
      <c r="K145" s="183">
        <v>258</v>
      </c>
    </row>
    <row r="146" spans="1:11" s="167" customFormat="1">
      <c r="A146" s="169"/>
      <c r="B146" s="163" t="s">
        <v>194</v>
      </c>
      <c r="C146" s="501">
        <f>'[12]Sch C'!D147</f>
        <v>67122</v>
      </c>
      <c r="D146" s="501">
        <f>'[12]Sch C'!F147</f>
        <v>0</v>
      </c>
      <c r="E146" s="171">
        <f t="shared" si="30"/>
        <v>67122</v>
      </c>
      <c r="F146" s="171"/>
      <c r="G146" s="171">
        <f t="shared" si="31"/>
        <v>67122</v>
      </c>
      <c r="H146" s="172">
        <f t="shared" si="32"/>
        <v>8.9758261672839811E-3</v>
      </c>
      <c r="I146" s="473"/>
      <c r="J146" s="183">
        <v>1045.78</v>
      </c>
      <c r="K146" s="183">
        <v>1045.78</v>
      </c>
    </row>
    <row r="147" spans="1:11" s="167" customFormat="1">
      <c r="A147" s="169"/>
      <c r="B147" s="163" t="s">
        <v>195</v>
      </c>
      <c r="C147" s="501">
        <f>'[12]Sch C'!D148</f>
        <v>10876</v>
      </c>
      <c r="D147" s="501">
        <f>'[12]Sch C'!F148</f>
        <v>0</v>
      </c>
      <c r="E147" s="171">
        <f t="shared" si="30"/>
        <v>10876</v>
      </c>
      <c r="F147" s="171"/>
      <c r="G147" s="171">
        <f t="shared" si="31"/>
        <v>10876</v>
      </c>
      <c r="H147" s="172">
        <f t="shared" si="32"/>
        <v>1.4543828460919011E-3</v>
      </c>
      <c r="I147" s="473"/>
      <c r="J147" s="183">
        <v>262.75</v>
      </c>
      <c r="K147" s="183">
        <v>262.75</v>
      </c>
    </row>
    <row r="148" spans="1:11" s="167" customFormat="1">
      <c r="A148" s="169"/>
      <c r="B148" s="163" t="s">
        <v>196</v>
      </c>
      <c r="C148" s="501">
        <f>'[12]Sch C'!D149</f>
        <v>25237</v>
      </c>
      <c r="D148" s="501">
        <f>'[12]Sch C'!F149</f>
        <v>0</v>
      </c>
      <c r="E148" s="171">
        <f t="shared" si="30"/>
        <v>25237</v>
      </c>
      <c r="F148" s="171"/>
      <c r="G148" s="171">
        <f t="shared" si="31"/>
        <v>25237</v>
      </c>
      <c r="H148" s="172">
        <f t="shared" si="32"/>
        <v>3.3747940315209E-3</v>
      </c>
      <c r="I148" s="473"/>
      <c r="J148" s="183">
        <v>673.97</v>
      </c>
      <c r="K148" s="183">
        <v>673.97</v>
      </c>
    </row>
    <row r="149" spans="1:11" s="167" customFormat="1">
      <c r="A149" s="169"/>
      <c r="B149" s="163" t="s">
        <v>197</v>
      </c>
      <c r="C149" s="501">
        <f>'[12]Sch C'!D150</f>
        <v>12660</v>
      </c>
      <c r="D149" s="501">
        <f>'[12]Sch C'!F150</f>
        <v>0</v>
      </c>
      <c r="E149" s="171">
        <f t="shared" si="30"/>
        <v>12660</v>
      </c>
      <c r="F149" s="171"/>
      <c r="G149" s="171">
        <f t="shared" si="31"/>
        <v>12660</v>
      </c>
      <c r="H149" s="172">
        <f t="shared" si="32"/>
        <v>1.6929465641341915E-3</v>
      </c>
      <c r="I149" s="473"/>
      <c r="J149" s="183">
        <v>231</v>
      </c>
      <c r="K149" s="183">
        <v>231</v>
      </c>
    </row>
    <row r="150" spans="1:11" s="167" customFormat="1">
      <c r="A150" s="169">
        <v>110</v>
      </c>
      <c r="B150" s="167" t="s">
        <v>65</v>
      </c>
      <c r="C150" s="501">
        <f>'[12]Sch C'!D151</f>
        <v>179732</v>
      </c>
      <c r="D150" s="501">
        <f>'[12]Sch C'!F151</f>
        <v>0</v>
      </c>
      <c r="E150" s="171">
        <f t="shared" si="30"/>
        <v>179732</v>
      </c>
      <c r="F150" s="171"/>
      <c r="G150" s="171">
        <f t="shared" si="31"/>
        <v>179732</v>
      </c>
      <c r="H150" s="172">
        <f t="shared" si="32"/>
        <v>2.4034492248417576E-2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'[12]Sch C'!D152</f>
        <v>48429</v>
      </c>
      <c r="D151" s="501">
        <f>'[12]Sch C'!F152</f>
        <v>0</v>
      </c>
      <c r="E151" s="171">
        <f t="shared" si="30"/>
        <v>48429</v>
      </c>
      <c r="F151" s="578">
        <f>-479-1577-2100-1335</f>
        <v>-5491</v>
      </c>
      <c r="G151" s="171">
        <f t="shared" si="31"/>
        <v>42938</v>
      </c>
      <c r="H151" s="172">
        <f t="shared" si="32"/>
        <v>5.7418435679932002E-3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'[12]Sch C'!D153</f>
        <v>0</v>
      </c>
      <c r="D152" s="501">
        <f>'[12]Sch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'[12]Sch C'!D154</f>
        <v>0</v>
      </c>
      <c r="D153" s="501">
        <f>'[12]Sch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'[12]Sch C'!D156</f>
        <v>0</v>
      </c>
      <c r="D155" s="501">
        <f>'[12]Sch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'[12]Sch C'!D157</f>
        <v>0</v>
      </c>
      <c r="D156" s="501">
        <f>'[12]Sch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'[12]Sch C'!D158</f>
        <v>0</v>
      </c>
      <c r="D157" s="501">
        <f>'[12]Sch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'[12]Sch C'!D159</f>
        <v>0</v>
      </c>
      <c r="D158" s="501">
        <f>'[12]Sch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'[12]Sch C'!D160</f>
        <v>0</v>
      </c>
      <c r="D159" s="501">
        <f>'[12]Sch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'[12]Sch C'!D161</f>
        <v>0</v>
      </c>
      <c r="D160" s="501">
        <f>'[12]Sch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2687769</v>
      </c>
      <c r="D161" s="501">
        <f>SUM(D123:D160)</f>
        <v>94639</v>
      </c>
      <c r="E161" s="171">
        <f t="shared" ref="E161:F161" si="36">SUM(E123:E160)</f>
        <v>2782408</v>
      </c>
      <c r="F161" s="171">
        <f t="shared" si="36"/>
        <v>-12991</v>
      </c>
      <c r="G161" s="171">
        <f>SUM(G123:G160)</f>
        <v>2769417</v>
      </c>
      <c r="H161" s="172">
        <f t="shared" si="35"/>
        <v>0.37033767731475675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'[12]Sch C'!D175</f>
        <v>0</v>
      </c>
      <c r="D164" s="501">
        <f>'[12]Sch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'[12]Sch C'!D176</f>
        <v>0</v>
      </c>
      <c r="D165" s="501">
        <f>'[12]Sch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'[12]Sch C'!D177</f>
        <v>0</v>
      </c>
      <c r="D166" s="501">
        <f>'[12]Sch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'[12]Sch C'!D178</f>
        <v>0</v>
      </c>
      <c r="D167" s="501">
        <f>'[12]Sch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'[12]Sch C'!D179</f>
        <v>0</v>
      </c>
      <c r="D168" s="501">
        <f>'[12]Sch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'[12]Sch C'!D180</f>
        <v>0</v>
      </c>
      <c r="D169" s="501">
        <f>'[12]Sch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'[12]Sch C'!D181</f>
        <v>0</v>
      </c>
      <c r="D170" s="501">
        <f>'[12]Sch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'[12]Sch C'!D182</f>
        <v>0</v>
      </c>
      <c r="D171" s="501">
        <f>'[12]Sch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'[12]Sch C'!D183</f>
        <v>0</v>
      </c>
      <c r="D172" s="501">
        <f>'[12]Sch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'[12]Sch C'!D184</f>
        <v>0</v>
      </c>
      <c r="D173" s="501">
        <f>'[12]Sch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'[12]Sch C'!D185</f>
        <v>0</v>
      </c>
      <c r="D174" s="501">
        <f>'[12]Sch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'[12]Sch C'!D186</f>
        <v>0</v>
      </c>
      <c r="D175" s="501">
        <f>'[12]Sch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'[12]Sch C'!D187</f>
        <v>0</v>
      </c>
      <c r="D176" s="501">
        <f>'[12]Sch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'[12]Sch C'!D188</f>
        <v>0</v>
      </c>
      <c r="D177" s="501">
        <f>'[12]Sch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'[12]Sch C'!D189</f>
        <v>0</v>
      </c>
      <c r="D178" s="501">
        <f>'[12]Sch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'[12]Sch C'!D190</f>
        <v>0</v>
      </c>
      <c r="D179" s="501">
        <f>'[12]Sch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'[12]Sch C'!D191</f>
        <v>0</v>
      </c>
      <c r="D180" s="501">
        <f>'[12]Sch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'[12]Sch C'!D192</f>
        <v>0</v>
      </c>
      <c r="D181" s="501">
        <f>'[12]Sch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'[12]Sch C'!D193</f>
        <v>0</v>
      </c>
      <c r="D182" s="501">
        <f>'[12]Sch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'[12]Sch C'!D194</f>
        <v>593729</v>
      </c>
      <c r="D183" s="501">
        <f>'[12]Sch C'!F194</f>
        <v>0</v>
      </c>
      <c r="E183" s="171">
        <f t="shared" si="37"/>
        <v>593729</v>
      </c>
      <c r="F183" s="216"/>
      <c r="G183" s="171">
        <f t="shared" si="38"/>
        <v>593729</v>
      </c>
      <c r="H183" s="172">
        <f t="shared" si="39"/>
        <v>7.9395850756463618E-2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'[12]Sch C'!D195</f>
        <v>104702</v>
      </c>
      <c r="D184" s="501">
        <f>'[12]Sch C'!F195</f>
        <v>0</v>
      </c>
      <c r="E184" s="171">
        <f t="shared" si="37"/>
        <v>104702</v>
      </c>
      <c r="F184" s="216"/>
      <c r="G184" s="171">
        <f t="shared" si="38"/>
        <v>104702</v>
      </c>
      <c r="H184" s="172">
        <f t="shared" si="39"/>
        <v>1.400117623680712E-2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'[12]Sch C'!D196</f>
        <v>0</v>
      </c>
      <c r="D185" s="501">
        <f>'[12]Sch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'[12]Sch C'!D197</f>
        <v>589268</v>
      </c>
      <c r="D186" s="501">
        <f>'[12]Sch C'!F197</f>
        <v>0</v>
      </c>
      <c r="E186" s="171">
        <f t="shared" si="37"/>
        <v>589268</v>
      </c>
      <c r="F186" s="216"/>
      <c r="G186" s="171">
        <f t="shared" si="38"/>
        <v>589268</v>
      </c>
      <c r="H186" s="172">
        <f t="shared" si="39"/>
        <v>7.8799307737300692E-2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'[12]Sch C'!D198</f>
        <v>117075</v>
      </c>
      <c r="D187" s="501">
        <f>'[12]Sch C'!F198</f>
        <v>0</v>
      </c>
      <c r="E187" s="171">
        <f t="shared" si="37"/>
        <v>117075</v>
      </c>
      <c r="F187" s="216"/>
      <c r="G187" s="171">
        <f t="shared" si="38"/>
        <v>117075</v>
      </c>
      <c r="H187" s="172">
        <f t="shared" si="39"/>
        <v>1.5655743996525313E-2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'[12]Sch C'!D199</f>
        <v>0</v>
      </c>
      <c r="D188" s="501">
        <f>'[12]Sch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'[12]Sch C'!D200</f>
        <v>0</v>
      </c>
      <c r="D189" s="501">
        <f>'[12]Sch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'[12]Sch C'!D201</f>
        <v>0</v>
      </c>
      <c r="D190" s="501">
        <f>'[12]Sch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'[12]Sch C'!D202</f>
        <v>0</v>
      </c>
      <c r="D191" s="501">
        <f>'[12]Sch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'[12]Sch C'!D203</f>
        <v>0</v>
      </c>
      <c r="D192" s="501">
        <f>'[12]Sch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'[12]Sch C'!D204</f>
        <v>0</v>
      </c>
      <c r="D193" s="501">
        <f>'[12]Sch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'[12]Sch C'!D205</f>
        <v>447183</v>
      </c>
      <c r="D194" s="501">
        <f>'[12]Sch C'!F205</f>
        <v>0</v>
      </c>
      <c r="E194" s="171">
        <f t="shared" si="37"/>
        <v>447183</v>
      </c>
      <c r="F194" s="578">
        <f>3750+704</f>
        <v>4454</v>
      </c>
      <c r="G194" s="171">
        <f t="shared" si="38"/>
        <v>451637</v>
      </c>
      <c r="H194" s="172">
        <f t="shared" si="39"/>
        <v>6.0394732021001096E-2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'[12]Sch C'!D206</f>
        <v>7513</v>
      </c>
      <c r="D195" s="501">
        <f>'[12]Sch C'!F206</f>
        <v>0</v>
      </c>
      <c r="E195" s="171">
        <f t="shared" si="37"/>
        <v>7513</v>
      </c>
      <c r="F195" s="216"/>
      <c r="G195" s="171">
        <f t="shared" si="38"/>
        <v>7513</v>
      </c>
      <c r="H195" s="172">
        <f t="shared" si="39"/>
        <v>1.0046688417330316E-3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'[12]Sch C'!D207</f>
        <v>0</v>
      </c>
      <c r="D196" s="501">
        <f>'[12]Sch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1859470</v>
      </c>
      <c r="D197" s="501">
        <f>SUM(D164:D196)</f>
        <v>0</v>
      </c>
      <c r="E197" s="171">
        <f t="shared" ref="E197:F197" si="40">SUM(E164:E196)</f>
        <v>1859470</v>
      </c>
      <c r="F197" s="171">
        <f t="shared" si="40"/>
        <v>4454</v>
      </c>
      <c r="G197" s="171">
        <f>SUM(G164:G196)</f>
        <v>1863924</v>
      </c>
      <c r="H197" s="172">
        <f>IF($G$208=0,0,G197/$G$208)</f>
        <v>0.24925147958983088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'[12]Sch C'!D211</f>
        <v>92528</v>
      </c>
      <c r="D200" s="501">
        <f>'[12]Sch C'!F211</f>
        <v>0</v>
      </c>
      <c r="E200" s="171">
        <f t="shared" ref="E200:E205" si="41">C200+D200</f>
        <v>92528</v>
      </c>
      <c r="F200" s="171"/>
      <c r="G200" s="171">
        <f t="shared" ref="G200:G205" si="42">E200+F200</f>
        <v>92528</v>
      </c>
      <c r="H200" s="172">
        <f t="shared" ref="H200:H206" si="43">IF($G$208=0,0,G200/$G$208)</f>
        <v>1.2373219564471443E-2</v>
      </c>
      <c r="I200" s="473"/>
      <c r="J200" s="183">
        <v>4037.1</v>
      </c>
      <c r="K200" s="183">
        <v>4179.49</v>
      </c>
    </row>
    <row r="201" spans="1:14" s="167" customFormat="1">
      <c r="A201" s="169" t="s">
        <v>86</v>
      </c>
      <c r="B201" s="170" t="s">
        <v>45</v>
      </c>
      <c r="C201" s="501">
        <f>'[12]Sch C'!D212</f>
        <v>7805</v>
      </c>
      <c r="D201" s="501">
        <f>'[12]Sch C'!F212</f>
        <v>4490</v>
      </c>
      <c r="E201" s="171">
        <f t="shared" si="41"/>
        <v>12295</v>
      </c>
      <c r="F201" s="171"/>
      <c r="G201" s="171">
        <f t="shared" si="42"/>
        <v>12295</v>
      </c>
      <c r="H201" s="172">
        <f t="shared" si="43"/>
        <v>1.6441372832567049E-3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'[12]Sch C'!D213</f>
        <v>4324</v>
      </c>
      <c r="D202" s="501">
        <f>'[12]Sch C'!F213</f>
        <v>0</v>
      </c>
      <c r="E202" s="171">
        <f t="shared" si="41"/>
        <v>4324</v>
      </c>
      <c r="F202" s="171"/>
      <c r="G202" s="171">
        <f t="shared" si="42"/>
        <v>4324</v>
      </c>
      <c r="H202" s="172">
        <f t="shared" si="43"/>
        <v>5.7822282332671755E-4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'[12]Sch C'!D214</f>
        <v>0</v>
      </c>
      <c r="D203" s="501">
        <f>'[12]Sch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'[12]Sch C'!D215</f>
        <v>0</v>
      </c>
      <c r="D204" s="501">
        <f>'[12]Sch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'[12]Sch C'!D216</f>
        <v>4333</v>
      </c>
      <c r="D205" s="501">
        <f>'[12]Sch C'!F216</f>
        <v>0</v>
      </c>
      <c r="E205" s="171">
        <f t="shared" si="41"/>
        <v>4333</v>
      </c>
      <c r="F205" s="442">
        <v>-67</v>
      </c>
      <c r="G205" s="171">
        <f t="shared" si="42"/>
        <v>4266</v>
      </c>
      <c r="H205" s="172">
        <f t="shared" si="43"/>
        <v>5.7046682800919912E-4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108990</v>
      </c>
      <c r="D206" s="501">
        <f>SUM(D200:D205)</f>
        <v>4490</v>
      </c>
      <c r="E206" s="171">
        <f t="shared" ref="E206:F206" si="44">SUM(E200:E205)</f>
        <v>113480</v>
      </c>
      <c r="F206" s="171">
        <f t="shared" si="44"/>
        <v>-67</v>
      </c>
      <c r="G206" s="171">
        <f>SUM(G200:G205)</f>
        <v>113413</v>
      </c>
      <c r="H206" s="172">
        <f t="shared" si="43"/>
        <v>1.5166046499064065E-2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7677261</v>
      </c>
      <c r="D208" s="501">
        <f>SUM(D25:D206)/2</f>
        <v>-155471</v>
      </c>
      <c r="E208" s="171">
        <f t="shared" ref="E208:F208" si="45">SUM(E25:E206)/2</f>
        <v>7521790</v>
      </c>
      <c r="F208" s="171">
        <f t="shared" si="45"/>
        <v>-43704</v>
      </c>
      <c r="G208" s="171">
        <f>SUM(G25:G206)/2</f>
        <v>7478086</v>
      </c>
      <c r="H208" s="172">
        <f>IF($G$208=0,0,G208/$G$208)</f>
        <v>1</v>
      </c>
      <c r="I208" s="473"/>
      <c r="J208" s="183">
        <f>SUM(J25:J200)</f>
        <v>134338.99000000002</v>
      </c>
      <c r="K208" s="183">
        <f>SUM(K25:K200)</f>
        <v>138056.62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'[12]Sch C'!D221</f>
        <v>7677261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-199992</v>
      </c>
      <c r="D215" s="501">
        <f>D21-D208</f>
        <v>155471</v>
      </c>
      <c r="E215" s="171">
        <f t="shared" ref="E215:F215" si="46">E21-E208</f>
        <v>-44521</v>
      </c>
      <c r="F215" s="171">
        <f t="shared" si="46"/>
        <v>43704</v>
      </c>
      <c r="G215" s="171">
        <f>G21-G208</f>
        <v>-817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'[12]Sch D'!C9</f>
        <v>3598</v>
      </c>
      <c r="D219" s="530"/>
      <c r="E219" s="234">
        <f t="shared" ref="E219:G227" si="47">C219+D219</f>
        <v>3598</v>
      </c>
      <c r="F219" s="233"/>
      <c r="G219" s="234">
        <f t="shared" si="47"/>
        <v>3598</v>
      </c>
      <c r="H219" s="172">
        <f t="shared" ref="H219:H228" si="48">IF($G$228=0,0,G219/$G$228)</f>
        <v>0.19572431050427025</v>
      </c>
      <c r="I219" s="473"/>
      <c r="J219" s="168"/>
      <c r="K219" s="168"/>
    </row>
    <row r="220" spans="1:11">
      <c r="A220" s="163"/>
      <c r="B220" s="170" t="s">
        <v>217</v>
      </c>
      <c r="C220" s="530">
        <f>'[12]Sch D'!D9</f>
        <v>0</v>
      </c>
      <c r="D220" s="530"/>
      <c r="E220" s="234">
        <f t="shared" si="47"/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'[12]Sch D'!E9</f>
        <v>7217</v>
      </c>
      <c r="D221" s="530"/>
      <c r="E221" s="234">
        <f t="shared" si="47"/>
        <v>7217</v>
      </c>
      <c r="F221" s="233"/>
      <c r="G221" s="234">
        <f t="shared" si="47"/>
        <v>7217</v>
      </c>
      <c r="H221" s="172">
        <f t="shared" si="48"/>
        <v>0.39259098079747595</v>
      </c>
      <c r="I221" s="473"/>
      <c r="J221" s="168"/>
      <c r="K221" s="168"/>
    </row>
    <row r="222" spans="1:11">
      <c r="A222" s="163"/>
      <c r="B222" s="202" t="s">
        <v>334</v>
      </c>
      <c r="C222" s="530">
        <f>'[12]Sch D'!F9</f>
        <v>5688</v>
      </c>
      <c r="D222" s="530"/>
      <c r="E222" s="234">
        <f>C222+D222</f>
        <v>5688</v>
      </c>
      <c r="F222" s="233"/>
      <c r="G222" s="234">
        <f>E222+F222</f>
        <v>5688</v>
      </c>
      <c r="H222" s="172">
        <f t="shared" si="48"/>
        <v>0.30941630854593916</v>
      </c>
      <c r="I222" s="473"/>
      <c r="J222" s="168"/>
      <c r="K222" s="168"/>
    </row>
    <row r="223" spans="1:11">
      <c r="A223" s="163"/>
      <c r="B223" s="170" t="s">
        <v>73</v>
      </c>
      <c r="C223" s="530">
        <f>'[12]Sch D'!G9</f>
        <v>0</v>
      </c>
      <c r="D223" s="530"/>
      <c r="E223" s="234">
        <f t="shared" si="47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'[12]Sch D'!H9</f>
        <v>1370</v>
      </c>
      <c r="D224" s="530"/>
      <c r="E224" s="234">
        <f t="shared" si="47"/>
        <v>1370</v>
      </c>
      <c r="F224" s="233"/>
      <c r="G224" s="234">
        <f t="shared" si="47"/>
        <v>1370</v>
      </c>
      <c r="H224" s="172">
        <f t="shared" si="48"/>
        <v>7.4525376706739921E-2</v>
      </c>
      <c r="I224" s="473"/>
      <c r="J224" s="168"/>
      <c r="K224" s="168"/>
    </row>
    <row r="225" spans="1:11">
      <c r="A225" s="163"/>
      <c r="B225" s="170" t="s">
        <v>236</v>
      </c>
      <c r="C225" s="530">
        <f>'[12]Sch D'!I9</f>
        <v>510</v>
      </c>
      <c r="D225" s="530"/>
      <c r="E225" s="234">
        <f t="shared" si="47"/>
        <v>510</v>
      </c>
      <c r="F225" s="233"/>
      <c r="G225" s="234">
        <f t="shared" si="47"/>
        <v>510</v>
      </c>
      <c r="H225" s="172">
        <f t="shared" si="48"/>
        <v>2.7743023445574715E-2</v>
      </c>
      <c r="I225" s="473"/>
      <c r="J225" s="168"/>
      <c r="K225" s="168"/>
    </row>
    <row r="226" spans="1:11">
      <c r="A226" s="163"/>
      <c r="B226" s="170" t="s">
        <v>426</v>
      </c>
      <c r="C226" s="530">
        <f>'[12]Sch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'[12]Sch D'!K9</f>
        <v>0</v>
      </c>
      <c r="D227" s="530"/>
      <c r="E227" s="234">
        <f t="shared" si="47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18383</v>
      </c>
      <c r="D228" s="530">
        <f>SUM(D219:D227)</f>
        <v>0</v>
      </c>
      <c r="E228" s="236">
        <f>SUM(E219:E227)</f>
        <v>18383</v>
      </c>
      <c r="F228" s="236">
        <f>SUM(F219:F227)</f>
        <v>0</v>
      </c>
      <c r="G228" s="236">
        <f>SUM(G219:G227)</f>
        <v>18383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'[12]Sch D'!N22</f>
        <v>120</v>
      </c>
      <c r="D231" s="502"/>
      <c r="E231" s="234">
        <f>C231+D231</f>
        <v>120</v>
      </c>
      <c r="F231" s="234"/>
      <c r="G231" s="234">
        <f>E231+F231</f>
        <v>120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'[12]Sch D'!N24</f>
        <v>54</v>
      </c>
      <c r="D232" s="502"/>
      <c r="E232" s="234">
        <f>C232+D232</f>
        <v>54</v>
      </c>
      <c r="F232" s="234"/>
      <c r="G232" s="234">
        <f>E232+F232</f>
        <v>54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'[12]Sch D'!N28</f>
        <v>43800</v>
      </c>
      <c r="D235" s="438"/>
      <c r="E235" s="233">
        <f>E231*E233</f>
        <v>43800</v>
      </c>
      <c r="F235" s="238"/>
      <c r="G235" s="233">
        <f>G231*G233</f>
        <v>43800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'[12]Sch D'!N30</f>
        <v>0.41970319634703196</v>
      </c>
      <c r="D236" s="238"/>
      <c r="E236" s="242">
        <f>E228/E235</f>
        <v>0.41970319634703196</v>
      </c>
      <c r="F236" s="243"/>
      <c r="G236" s="242">
        <f>G228/G235</f>
        <v>0.41970319634703196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'[12]Sch D'!N32</f>
        <v>8.2146118721461187E-2</v>
      </c>
      <c r="D237" s="238"/>
      <c r="E237" s="242">
        <f>(E219+E220)/E235</f>
        <v>8.2146118721461187E-2</v>
      </c>
      <c r="F237" s="243"/>
      <c r="G237" s="242">
        <f>(G219+G220)/G235</f>
        <v>8.2146118721461187E-2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'[12]Sch D'!N34</f>
        <v>0.19572431050427025</v>
      </c>
      <c r="D238" s="238"/>
      <c r="E238" s="242">
        <f>(E237/E236)</f>
        <v>0.19572431050427025</v>
      </c>
      <c r="F238" s="243"/>
      <c r="G238" s="242">
        <f>(G237/G236)</f>
        <v>0.19572431050427025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'[12]Sch B'!C85</f>
        <v>448.36296296296297</v>
      </c>
      <c r="I241" s="475"/>
    </row>
    <row r="242" spans="2:9">
      <c r="F242" s="142" t="s">
        <v>341</v>
      </c>
      <c r="G242" s="501">
        <f>'[12]Sch B'!E85</f>
        <v>116.68217054263566</v>
      </c>
      <c r="I242" s="475"/>
    </row>
    <row r="243" spans="2:9">
      <c r="F243" s="142" t="s">
        <v>342</v>
      </c>
      <c r="G243" s="501">
        <f>'[12]Sch B'!G85</f>
        <v>187.83833718244804</v>
      </c>
      <c r="I243" s="475"/>
    </row>
    <row r="244" spans="2:9">
      <c r="F244" s="142" t="s">
        <v>343</v>
      </c>
      <c r="G244" s="501">
        <f>'[12]Sch B'!I85</f>
        <v>391.65527488855867</v>
      </c>
      <c r="I244" s="475"/>
    </row>
    <row r="245" spans="2:9">
      <c r="F245" s="142"/>
      <c r="I245" s="475"/>
    </row>
    <row r="246" spans="2:9">
      <c r="B246" s="417"/>
      <c r="I246" s="475"/>
    </row>
    <row r="247" spans="2:9" ht="15">
      <c r="B247" s="418"/>
    </row>
    <row r="248" spans="2:9" ht="15">
      <c r="B248" s="418"/>
    </row>
    <row r="249" spans="2:9" ht="15">
      <c r="B249" s="42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E28CAB"/>
  </sheetPr>
  <dimension ref="A1:O249"/>
  <sheetViews>
    <sheetView showGridLines="0" topLeftCell="A198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5.91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399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'[13]Sch B'!E10</f>
        <v>573830</v>
      </c>
      <c r="D11" s="501">
        <f>'[13]Sch B'!G10</f>
        <v>0</v>
      </c>
      <c r="E11" s="171">
        <f>C11+D11</f>
        <v>573830</v>
      </c>
      <c r="F11" s="171"/>
      <c r="G11" s="171">
        <f t="shared" ref="G11:G20" si="0">E11+F11</f>
        <v>573830</v>
      </c>
      <c r="H11" s="172">
        <f t="shared" ref="H11:H21" si="1">IF($G$21=0,0,G11/$G$21)</f>
        <v>4.6803083426253556E-2</v>
      </c>
      <c r="I11" s="636"/>
      <c r="J11" s="336" t="s">
        <v>344</v>
      </c>
      <c r="K11" s="337">
        <f>G21</f>
        <v>12260517</v>
      </c>
    </row>
    <row r="12" spans="1:11" s="167" customFormat="1">
      <c r="A12" s="169" t="s">
        <v>15</v>
      </c>
      <c r="B12" s="170" t="s">
        <v>212</v>
      </c>
      <c r="C12" s="501">
        <f>'[13]Sch B'!E15</f>
        <v>0</v>
      </c>
      <c r="D12" s="501">
        <f>'[13]Sch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47"/>
      <c r="J12" s="338" t="s">
        <v>345</v>
      </c>
      <c r="K12" s="339">
        <f>G208</f>
        <v>11054059</v>
      </c>
    </row>
    <row r="13" spans="1:11" s="167" customFormat="1">
      <c r="A13" s="169" t="s">
        <v>16</v>
      </c>
      <c r="B13" s="170" t="s">
        <v>170</v>
      </c>
      <c r="C13" s="501">
        <f>'[13]Sch B'!E21</f>
        <v>1853814</v>
      </c>
      <c r="D13" s="501">
        <f>'[13]Sch B'!G21</f>
        <v>0</v>
      </c>
      <c r="E13" s="171">
        <f t="shared" si="2"/>
        <v>1853814</v>
      </c>
      <c r="F13" s="171"/>
      <c r="G13" s="171">
        <f t="shared" si="0"/>
        <v>1853814</v>
      </c>
      <c r="H13" s="172">
        <f t="shared" si="1"/>
        <v>0.15120194360482514</v>
      </c>
      <c r="I13" s="547"/>
      <c r="J13" s="338" t="s">
        <v>346</v>
      </c>
      <c r="K13" s="339">
        <f>G228</f>
        <v>38422</v>
      </c>
    </row>
    <row r="14" spans="1:11" s="167" customFormat="1">
      <c r="A14" s="173" t="s">
        <v>18</v>
      </c>
      <c r="B14" s="174" t="s">
        <v>306</v>
      </c>
      <c r="C14" s="501">
        <f>'[13]Sch B'!E27</f>
        <v>221510</v>
      </c>
      <c r="D14" s="501">
        <f>'[13]Sch B'!G27</f>
        <v>0</v>
      </c>
      <c r="E14" s="171">
        <f t="shared" si="2"/>
        <v>221510</v>
      </c>
      <c r="F14" s="175"/>
      <c r="G14" s="175">
        <f>E14+F14</f>
        <v>221510</v>
      </c>
      <c r="H14" s="176">
        <f t="shared" si="1"/>
        <v>1.8066937960283403E-2</v>
      </c>
      <c r="I14" s="547"/>
      <c r="J14" s="338" t="s">
        <v>347</v>
      </c>
      <c r="K14" s="339">
        <f>G231</f>
        <v>108</v>
      </c>
    </row>
    <row r="15" spans="1:11" s="167" customFormat="1">
      <c r="A15" s="169" t="s">
        <v>19</v>
      </c>
      <c r="B15" s="170" t="s">
        <v>171</v>
      </c>
      <c r="C15" s="501">
        <f>'[13]Sch B'!E32</f>
        <v>6986603</v>
      </c>
      <c r="D15" s="501">
        <f>'[13]Sch B'!G32</f>
        <v>-2346014</v>
      </c>
      <c r="E15" s="171">
        <f t="shared" si="2"/>
        <v>4640589</v>
      </c>
      <c r="F15" s="171"/>
      <c r="G15" s="171">
        <f t="shared" si="0"/>
        <v>4640589</v>
      </c>
      <c r="H15" s="172">
        <f t="shared" si="1"/>
        <v>0.37849863916831566</v>
      </c>
      <c r="I15" s="547"/>
      <c r="J15" s="338" t="s">
        <v>348</v>
      </c>
      <c r="K15" s="339">
        <f>G235</f>
        <v>39420</v>
      </c>
    </row>
    <row r="16" spans="1:11" s="167" customFormat="1">
      <c r="A16" s="169" t="s">
        <v>21</v>
      </c>
      <c r="B16" s="170" t="s">
        <v>172</v>
      </c>
      <c r="C16" s="501">
        <f>'[13]Sch B'!E37</f>
        <v>2028455</v>
      </c>
      <c r="D16" s="501">
        <f>'[13]Sch B'!G37</f>
        <v>2346014</v>
      </c>
      <c r="E16" s="171">
        <f t="shared" si="2"/>
        <v>4374469</v>
      </c>
      <c r="F16" s="171"/>
      <c r="G16" s="171">
        <f t="shared" si="0"/>
        <v>4374469</v>
      </c>
      <c r="H16" s="172">
        <f t="shared" si="1"/>
        <v>0.35679319232622897</v>
      </c>
      <c r="I16" s="547"/>
      <c r="J16" s="340"/>
      <c r="K16" s="339"/>
    </row>
    <row r="17" spans="1:11" s="167" customFormat="1">
      <c r="A17" s="169" t="s">
        <v>215</v>
      </c>
      <c r="B17" s="170" t="s">
        <v>466</v>
      </c>
      <c r="C17" s="501">
        <f>'[13]Sch B'!E42</f>
        <v>0</v>
      </c>
      <c r="D17" s="501">
        <f>'[13]Sch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636"/>
      <c r="J17" s="338" t="s">
        <v>156</v>
      </c>
      <c r="K17" s="339">
        <f>J208</f>
        <v>408850</v>
      </c>
    </row>
    <row r="18" spans="1:11" s="167" customFormat="1" ht="13.5" thickBot="1">
      <c r="A18" s="169" t="s">
        <v>216</v>
      </c>
      <c r="B18" s="170" t="s">
        <v>229</v>
      </c>
      <c r="C18" s="501">
        <f>'[13]Sch B'!E47</f>
        <v>34522</v>
      </c>
      <c r="D18" s="501">
        <f>'[13]Sch B'!G47</f>
        <v>0</v>
      </c>
      <c r="E18" s="171">
        <f t="shared" si="2"/>
        <v>34522</v>
      </c>
      <c r="F18" s="171"/>
      <c r="G18" s="171">
        <f>E18+F18</f>
        <v>34522</v>
      </c>
      <c r="H18" s="172">
        <f t="shared" si="1"/>
        <v>2.8157050799733812E-3</v>
      </c>
      <c r="I18" s="636"/>
      <c r="J18" s="341" t="s">
        <v>252</v>
      </c>
      <c r="K18" s="342">
        <f>K208</f>
        <v>431270</v>
      </c>
    </row>
    <row r="19" spans="1:11" s="167" customFormat="1">
      <c r="A19" s="169" t="s">
        <v>227</v>
      </c>
      <c r="B19" s="177" t="s">
        <v>173</v>
      </c>
      <c r="C19" s="501">
        <f>'[13]Sch B'!E52</f>
        <v>563422</v>
      </c>
      <c r="D19" s="501">
        <f>'[13]Sch B'!G52</f>
        <v>0</v>
      </c>
      <c r="E19" s="171">
        <f t="shared" si="2"/>
        <v>563422</v>
      </c>
      <c r="F19" s="171"/>
      <c r="G19" s="171">
        <f t="shared" si="0"/>
        <v>563422</v>
      </c>
      <c r="H19" s="172">
        <f t="shared" si="1"/>
        <v>4.5954179583128509E-2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'[13]Sch B'!E67</f>
        <v>13902</v>
      </c>
      <c r="D20" s="501">
        <f>'[13]Sch B'!G67</f>
        <v>-15541</v>
      </c>
      <c r="E20" s="171">
        <f t="shared" si="2"/>
        <v>-1639</v>
      </c>
      <c r="F20" s="171"/>
      <c r="G20" s="171">
        <f t="shared" si="0"/>
        <v>-1639</v>
      </c>
      <c r="H20" s="172">
        <f t="shared" si="1"/>
        <v>-1.3368114900864296E-4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12276058</v>
      </c>
      <c r="D21" s="501">
        <f>SUM(D11:D20)</f>
        <v>-15541</v>
      </c>
      <c r="E21" s="171">
        <f>SUM(E11:E20)</f>
        <v>12260517</v>
      </c>
      <c r="F21" s="171">
        <f>SUM(F11:F20)</f>
        <v>0</v>
      </c>
      <c r="G21" s="171">
        <f>SUM(G11:G20)</f>
        <v>12260517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'[13]Sch C'!D10</f>
        <v>0</v>
      </c>
      <c r="D25" s="501">
        <f>'[13]Sch C'!F10</f>
        <v>153643</v>
      </c>
      <c r="E25" s="171">
        <f t="shared" ref="E25:E60" si="3">C25+D25</f>
        <v>153643</v>
      </c>
      <c r="F25" s="171"/>
      <c r="G25" s="182">
        <f>E25+F25</f>
        <v>153643</v>
      </c>
      <c r="H25" s="172">
        <f>IF($G$208=0,0,G25/$G$208)</f>
        <v>1.3899238279802922E-2</v>
      </c>
      <c r="I25" s="473"/>
      <c r="J25" s="183">
        <v>1896</v>
      </c>
      <c r="K25" s="183">
        <v>2128</v>
      </c>
    </row>
    <row r="26" spans="1:11" s="167" customFormat="1">
      <c r="A26" s="169" t="s">
        <v>84</v>
      </c>
      <c r="B26" s="170" t="s">
        <v>176</v>
      </c>
      <c r="C26" s="501">
        <f>'[13]Sch C'!D11</f>
        <v>0</v>
      </c>
      <c r="D26" s="501">
        <f>'[13]Sch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'[13]Sch C'!D12</f>
        <v>431259</v>
      </c>
      <c r="D27" s="501">
        <f>'[13]Sch C'!F12</f>
        <v>-153643</v>
      </c>
      <c r="E27" s="171">
        <f t="shared" si="3"/>
        <v>277616</v>
      </c>
      <c r="F27" s="171"/>
      <c r="G27" s="171">
        <f t="shared" si="4"/>
        <v>277616</v>
      </c>
      <c r="H27" s="172">
        <f t="shared" si="5"/>
        <v>2.5114394630967683E-2</v>
      </c>
      <c r="I27" s="473"/>
      <c r="J27" s="183">
        <v>15602</v>
      </c>
      <c r="K27" s="183">
        <v>16556</v>
      </c>
    </row>
    <row r="28" spans="1:11" s="167" customFormat="1">
      <c r="A28" s="169" t="s">
        <v>86</v>
      </c>
      <c r="B28" s="170" t="s">
        <v>45</v>
      </c>
      <c r="C28" s="501">
        <f>'[13]Sch C'!D13</f>
        <v>47040</v>
      </c>
      <c r="D28" s="501">
        <f>'[13]Sch C'!F13</f>
        <v>0</v>
      </c>
      <c r="E28" s="171">
        <f t="shared" si="3"/>
        <v>47040</v>
      </c>
      <c r="F28" s="171"/>
      <c r="G28" s="171">
        <f t="shared" si="4"/>
        <v>47040</v>
      </c>
      <c r="H28" s="172">
        <f t="shared" si="5"/>
        <v>4.2554504187104483E-3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'[13]Sch C'!D14</f>
        <v>0</v>
      </c>
      <c r="D29" s="501">
        <f>'[13]Sch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'[13]Sch C'!D15</f>
        <v>0</v>
      </c>
      <c r="D30" s="501">
        <f>'[13]Sch C'!F15</f>
        <v>736472</v>
      </c>
      <c r="E30" s="171">
        <f t="shared" si="3"/>
        <v>736472</v>
      </c>
      <c r="F30" s="171"/>
      <c r="G30" s="171">
        <f t="shared" si="4"/>
        <v>736472</v>
      </c>
      <c r="H30" s="172">
        <f t="shared" si="5"/>
        <v>6.6624576546949851E-2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'[13]Sch C'!D16</f>
        <v>736472</v>
      </c>
      <c r="D31" s="501">
        <f>'[13]Sch C'!F16</f>
        <v>-736472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'[13]Sch C'!D17</f>
        <v>17736</v>
      </c>
      <c r="D32" s="501">
        <f>'[13]Sch C'!F17</f>
        <v>-17736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'[13]Sch C'!D18</f>
        <v>82028</v>
      </c>
      <c r="D33" s="501">
        <f>'[13]Sch C'!F18</f>
        <v>0</v>
      </c>
      <c r="E33" s="171">
        <f t="shared" si="3"/>
        <v>82028</v>
      </c>
      <c r="F33" s="171"/>
      <c r="G33" s="171">
        <f t="shared" si="4"/>
        <v>82028</v>
      </c>
      <c r="H33" s="172">
        <f t="shared" si="5"/>
        <v>7.4206225966407455E-3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'[13]Sch C'!D19</f>
        <v>5644</v>
      </c>
      <c r="D34" s="501">
        <f>'[13]Sch C'!F19</f>
        <v>0</v>
      </c>
      <c r="E34" s="171">
        <f t="shared" si="3"/>
        <v>5644</v>
      </c>
      <c r="F34" s="171"/>
      <c r="G34" s="171">
        <f t="shared" si="4"/>
        <v>5644</v>
      </c>
      <c r="H34" s="172">
        <f t="shared" si="5"/>
        <v>5.1058167863949342E-4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'[13]Sch C'!D20</f>
        <v>68557</v>
      </c>
      <c r="D35" s="501">
        <f>'[13]Sch C'!F20</f>
        <v>0</v>
      </c>
      <c r="E35" s="171">
        <f t="shared" si="3"/>
        <v>68557</v>
      </c>
      <c r="F35" s="171"/>
      <c r="G35" s="171">
        <f t="shared" si="4"/>
        <v>68557</v>
      </c>
      <c r="H35" s="172">
        <f t="shared" si="5"/>
        <v>6.2019752201431166E-3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'[13]Sch C'!D21</f>
        <v>5531</v>
      </c>
      <c r="D36" s="501">
        <f>'[13]Sch C'!F21</f>
        <v>0</v>
      </c>
      <c r="E36" s="171">
        <f t="shared" si="3"/>
        <v>5531</v>
      </c>
      <c r="F36" s="171"/>
      <c r="G36" s="171">
        <f t="shared" si="4"/>
        <v>5531</v>
      </c>
      <c r="H36" s="172">
        <f t="shared" si="5"/>
        <v>5.0035918932583954E-4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'[13]Sch C'!D22</f>
        <v>0</v>
      </c>
      <c r="D37" s="501">
        <f>'[13]Sch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'[13]Sch C'!D23</f>
        <v>31892</v>
      </c>
      <c r="D38" s="501">
        <f>'[13]Sch C'!F23</f>
        <v>0</v>
      </c>
      <c r="E38" s="171">
        <f t="shared" si="3"/>
        <v>31892</v>
      </c>
      <c r="F38" s="171"/>
      <c r="G38" s="171">
        <f t="shared" si="4"/>
        <v>31892</v>
      </c>
      <c r="H38" s="172">
        <f t="shared" si="5"/>
        <v>2.8850940636376194E-3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'[13]Sch C'!D24</f>
        <v>31450</v>
      </c>
      <c r="D39" s="501">
        <f>'[13]Sch C'!F24</f>
        <v>0</v>
      </c>
      <c r="E39" s="171">
        <f t="shared" si="3"/>
        <v>31450</v>
      </c>
      <c r="F39" s="171"/>
      <c r="G39" s="171">
        <f t="shared" si="4"/>
        <v>31450</v>
      </c>
      <c r="H39" s="172">
        <f t="shared" si="5"/>
        <v>2.8451087514550087E-3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'[13]Sch C'!D25</f>
        <v>0</v>
      </c>
      <c r="D40" s="501">
        <f>'[13]Sch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'[13]Sch C'!D26</f>
        <v>0</v>
      </c>
      <c r="D41" s="501">
        <f>'[13]Sch C'!F26</f>
        <v>0</v>
      </c>
      <c r="E41" s="171">
        <f t="shared" si="3"/>
        <v>0</v>
      </c>
      <c r="F41" s="171"/>
      <c r="G41" s="171">
        <f t="shared" si="4"/>
        <v>0</v>
      </c>
      <c r="H41" s="172">
        <f t="shared" si="5"/>
        <v>0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'[13]Sch C'!D27</f>
        <v>349</v>
      </c>
      <c r="D42" s="501">
        <f>'[13]Sch C'!F27</f>
        <v>-675</v>
      </c>
      <c r="E42" s="171">
        <f t="shared" si="3"/>
        <v>-326</v>
      </c>
      <c r="F42" s="171"/>
      <c r="G42" s="171">
        <f t="shared" si="4"/>
        <v>-326</v>
      </c>
      <c r="H42" s="172">
        <f t="shared" si="5"/>
        <v>-2.9491429347355573E-5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'[13]Sch C'!D28</f>
        <v>0</v>
      </c>
      <c r="D43" s="501">
        <f>'[13]Sch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'[13]Sch C'!D29</f>
        <v>32046</v>
      </c>
      <c r="D44" s="501">
        <f>'[13]Sch C'!F29</f>
        <v>-32046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'[13]Sch C'!D30</f>
        <v>2400</v>
      </c>
      <c r="D45" s="501">
        <f>'[13]Sch C'!F30</f>
        <v>-2400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'[13]Sch C'!D31</f>
        <v>0</v>
      </c>
      <c r="D46" s="501">
        <f>'[13]Sch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'[13]Sch C'!D32</f>
        <v>82320</v>
      </c>
      <c r="D47" s="501">
        <f>'[13]Sch C'!F32</f>
        <v>0</v>
      </c>
      <c r="E47" s="171">
        <f t="shared" si="3"/>
        <v>82320</v>
      </c>
      <c r="F47" s="171"/>
      <c r="G47" s="171">
        <f t="shared" si="4"/>
        <v>82320</v>
      </c>
      <c r="H47" s="172">
        <f t="shared" si="5"/>
        <v>7.4470382327432843E-3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'[13]Sch C'!D33</f>
        <v>0</v>
      </c>
      <c r="D48" s="501">
        <f>'[13]Sch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'[13]Sch C'!D34</f>
        <v>10</v>
      </c>
      <c r="D49" s="501">
        <f>'[13]Sch C'!F34</f>
        <v>0</v>
      </c>
      <c r="E49" s="171">
        <f t="shared" si="3"/>
        <v>10</v>
      </c>
      <c r="F49" s="171"/>
      <c r="G49" s="171">
        <f t="shared" si="4"/>
        <v>10</v>
      </c>
      <c r="H49" s="172">
        <f t="shared" si="5"/>
        <v>9.0464507200477219E-7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'[13]Sch C'!D35</f>
        <v>0</v>
      </c>
      <c r="D50" s="501">
        <f>'[13]Sch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'[13]Sch C'!D36</f>
        <v>106395</v>
      </c>
      <c r="D51" s="501">
        <f>'[13]Sch C'!F36</f>
        <v>0</v>
      </c>
      <c r="E51" s="171">
        <f t="shared" si="3"/>
        <v>106395</v>
      </c>
      <c r="F51" s="171"/>
      <c r="G51" s="171">
        <f t="shared" si="4"/>
        <v>106395</v>
      </c>
      <c r="H51" s="172">
        <f t="shared" si="5"/>
        <v>9.6249712435947741E-3</v>
      </c>
      <c r="I51" s="473"/>
      <c r="J51" s="183">
        <v>7470</v>
      </c>
      <c r="K51" s="183">
        <v>8006</v>
      </c>
    </row>
    <row r="52" spans="1:11" s="167" customFormat="1">
      <c r="A52" s="163">
        <v>290</v>
      </c>
      <c r="B52" s="170" t="s">
        <v>205</v>
      </c>
      <c r="C52" s="501">
        <f>'[13]Sch C'!D37</f>
        <v>22439</v>
      </c>
      <c r="D52" s="501">
        <f>'[13]Sch C'!F37</f>
        <v>0</v>
      </c>
      <c r="E52" s="171">
        <f t="shared" si="3"/>
        <v>22439</v>
      </c>
      <c r="F52" s="171"/>
      <c r="G52" s="171">
        <f t="shared" si="4"/>
        <v>22439</v>
      </c>
      <c r="H52" s="172">
        <f t="shared" si="5"/>
        <v>2.0299330770715083E-3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'[13]Sch C'!D38</f>
        <v>594</v>
      </c>
      <c r="D53" s="501">
        <f>'[13]Sch C'!F38</f>
        <v>-594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'[13]Sch C'!D39</f>
        <v>22224</v>
      </c>
      <c r="D54" s="501">
        <f>'[13]Sch C'!F39</f>
        <v>0</v>
      </c>
      <c r="E54" s="171">
        <f t="shared" si="3"/>
        <v>22224</v>
      </c>
      <c r="F54" s="171"/>
      <c r="G54" s="171">
        <f t="shared" si="4"/>
        <v>22224</v>
      </c>
      <c r="H54" s="172">
        <f t="shared" si="5"/>
        <v>2.0104832080234058E-3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'[13]Sch C'!D40</f>
        <v>19629</v>
      </c>
      <c r="D55" s="501">
        <f>'[13]Sch C'!F40</f>
        <v>-19629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'[13]Sch C'!D41</f>
        <v>62422</v>
      </c>
      <c r="D56" s="501">
        <f>'[13]Sch C'!F41</f>
        <v>0</v>
      </c>
      <c r="E56" s="171">
        <f t="shared" si="3"/>
        <v>62422</v>
      </c>
      <c r="F56" s="171"/>
      <c r="G56" s="171">
        <f t="shared" si="4"/>
        <v>62422</v>
      </c>
      <c r="H56" s="172">
        <f t="shared" si="5"/>
        <v>5.646975468468189E-3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'[13]Sch C'!D42</f>
        <v>899</v>
      </c>
      <c r="D57" s="501">
        <f>'[13]Sch C'!F42</f>
        <v>0</v>
      </c>
      <c r="E57" s="171">
        <f t="shared" si="3"/>
        <v>899</v>
      </c>
      <c r="F57" s="171"/>
      <c r="G57" s="171">
        <f t="shared" si="4"/>
        <v>899</v>
      </c>
      <c r="H57" s="172">
        <f t="shared" si="5"/>
        <v>8.1327591973229024E-5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'[13]Sch C'!D43</f>
        <v>26504</v>
      </c>
      <c r="D58" s="501">
        <f>'[13]Sch C'!F43</f>
        <v>-26504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'[13]Sch C'!D44</f>
        <v>0</v>
      </c>
      <c r="D59" s="501">
        <f>'[13]Sch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'[13]Sch C'!D45</f>
        <v>436846</v>
      </c>
      <c r="D60" s="501">
        <f>'[13]Sch C'!F45</f>
        <v>-402246</v>
      </c>
      <c r="E60" s="171">
        <f t="shared" si="3"/>
        <v>34600</v>
      </c>
      <c r="F60" s="171"/>
      <c r="G60" s="171">
        <f t="shared" si="4"/>
        <v>34600</v>
      </c>
      <c r="H60" s="172">
        <f t="shared" si="5"/>
        <v>3.1300719491365119E-3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2272686</v>
      </c>
      <c r="D61" s="501">
        <f>SUM(D25:D60)</f>
        <v>-501830</v>
      </c>
      <c r="E61" s="171">
        <f t="shared" ref="E61:F61" si="6">SUM(E25:E60)</f>
        <v>1770856</v>
      </c>
      <c r="F61" s="171">
        <f t="shared" si="6"/>
        <v>0</v>
      </c>
      <c r="G61" s="171">
        <f>SUM(G25:G60)</f>
        <v>1770856</v>
      </c>
      <c r="H61" s="186">
        <f t="shared" si="5"/>
        <v>0.16019961536300828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'[13]Sch C'!D57</f>
        <v>0</v>
      </c>
      <c r="D64" s="501">
        <f>'[13]Sch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'[13]Sch C'!D58</f>
        <v>1160</v>
      </c>
      <c r="D65" s="501">
        <f>'[13]Sch C'!F58</f>
        <v>0</v>
      </c>
      <c r="E65" s="171">
        <f t="shared" si="7"/>
        <v>1160</v>
      </c>
      <c r="F65" s="171"/>
      <c r="G65" s="171">
        <f t="shared" si="8"/>
        <v>1160</v>
      </c>
      <c r="H65" s="172">
        <f t="shared" si="9"/>
        <v>1.0493882835255357E-4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'[13]Sch C'!D59</f>
        <v>0</v>
      </c>
      <c r="D66" s="501">
        <f>'[13]Sch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'[13]Sch C'!D60</f>
        <v>0</v>
      </c>
      <c r="D67" s="501">
        <f>'[13]Sch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'[13]Sch C'!D61</f>
        <v>17294</v>
      </c>
      <c r="D68" s="501">
        <f>'[13]Sch C'!F61</f>
        <v>0</v>
      </c>
      <c r="E68" s="171">
        <f t="shared" si="7"/>
        <v>17294</v>
      </c>
      <c r="F68" s="171"/>
      <c r="G68" s="171">
        <f t="shared" si="8"/>
        <v>17294</v>
      </c>
      <c r="H68" s="172">
        <f t="shared" si="9"/>
        <v>1.5644931875250529E-3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'[13]Sch C'!D62</f>
        <v>397</v>
      </c>
      <c r="D69" s="501">
        <f>'[13]Sch C'!F62</f>
        <v>0</v>
      </c>
      <c r="E69" s="171">
        <f t="shared" si="7"/>
        <v>397</v>
      </c>
      <c r="F69" s="171"/>
      <c r="G69" s="171">
        <f t="shared" si="8"/>
        <v>397</v>
      </c>
      <c r="H69" s="172">
        <f t="shared" si="9"/>
        <v>3.5914409358589454E-5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'[13]Sch C'!D63</f>
        <v>0</v>
      </c>
      <c r="D70" s="501">
        <f>'[13]Sch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'[13]Sch C'!D64</f>
        <v>0</v>
      </c>
      <c r="D71" s="501">
        <f>'[13]Sch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'[13]Sch C'!D65</f>
        <v>2000</v>
      </c>
      <c r="D72" s="501">
        <f>'[13]Sch C'!F65</f>
        <v>0</v>
      </c>
      <c r="E72" s="171">
        <f t="shared" si="7"/>
        <v>2000</v>
      </c>
      <c r="F72" s="171"/>
      <c r="G72" s="171">
        <f t="shared" si="8"/>
        <v>2000</v>
      </c>
      <c r="H72" s="172">
        <f t="shared" si="9"/>
        <v>1.8092901440095444E-4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'[13]Sch C'!D66</f>
        <v>91708</v>
      </c>
      <c r="D73" s="501">
        <f>'[13]Sch C'!F66</f>
        <v>0</v>
      </c>
      <c r="E73" s="171">
        <f t="shared" si="7"/>
        <v>91708</v>
      </c>
      <c r="F73" s="171"/>
      <c r="G73" s="171">
        <f t="shared" si="8"/>
        <v>91708</v>
      </c>
      <c r="H73" s="172">
        <f t="shared" si="9"/>
        <v>8.2963190263413648E-3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'[13]Sch C'!D67</f>
        <v>39286</v>
      </c>
      <c r="D74" s="501">
        <f>'[13]Sch C'!F67</f>
        <v>0</v>
      </c>
      <c r="E74" s="171">
        <f t="shared" si="7"/>
        <v>39286</v>
      </c>
      <c r="F74" s="171"/>
      <c r="G74" s="171">
        <f t="shared" si="8"/>
        <v>39286</v>
      </c>
      <c r="H74" s="172">
        <f t="shared" si="9"/>
        <v>3.5539886298779481E-3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'[13]Sch C'!D68</f>
        <v>0</v>
      </c>
      <c r="D75" s="501">
        <f>'[13]Sch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'[13]Sch C'!D69</f>
        <v>-603</v>
      </c>
      <c r="D76" s="501">
        <f>'[13]Sch C'!F69</f>
        <v>0</v>
      </c>
      <c r="E76" s="171">
        <f t="shared" si="7"/>
        <v>-603</v>
      </c>
      <c r="F76" s="171"/>
      <c r="G76" s="171">
        <f t="shared" si="8"/>
        <v>-603</v>
      </c>
      <c r="H76" s="172">
        <f t="shared" si="9"/>
        <v>-5.4550097841887761E-5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'[13]Sch C'!D70</f>
        <v>-80</v>
      </c>
      <c r="D77" s="501">
        <f>'[13]Sch C'!F70</f>
        <v>0</v>
      </c>
      <c r="E77" s="171">
        <f t="shared" si="7"/>
        <v>-80</v>
      </c>
      <c r="F77" s="171"/>
      <c r="G77" s="171">
        <f t="shared" si="8"/>
        <v>-80</v>
      </c>
      <c r="H77" s="172">
        <f t="shared" si="9"/>
        <v>-7.2371605760381775E-6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'[13]Sch C'!D71</f>
        <v>0</v>
      </c>
      <c r="D78" s="501">
        <f>'[13]Sch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151162</v>
      </c>
      <c r="D79" s="501">
        <f>SUM(D64:D78)</f>
        <v>0</v>
      </c>
      <c r="E79" s="171">
        <f t="shared" ref="E79:F79" si="10">SUM(E64:E78)</f>
        <v>151162</v>
      </c>
      <c r="F79" s="171">
        <f t="shared" si="10"/>
        <v>0</v>
      </c>
      <c r="G79" s="171">
        <f>SUM(G64:G78)</f>
        <v>151162</v>
      </c>
      <c r="H79" s="172">
        <f t="shared" si="9"/>
        <v>1.3674795837438537E-2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'[13]Sch C'!D75</f>
        <v>85740</v>
      </c>
      <c r="D82" s="501">
        <f>'[13]Sch C'!F75</f>
        <v>0</v>
      </c>
      <c r="E82" s="171">
        <f t="shared" ref="E82:E92" si="11">C82+D82</f>
        <v>85740</v>
      </c>
      <c r="F82" s="171"/>
      <c r="G82" s="171">
        <f t="shared" ref="G82:G92" si="12">E82+F82</f>
        <v>85740</v>
      </c>
      <c r="H82" s="172">
        <f t="shared" ref="H82:H93" si="13">IF($G$208=0,0,G82/$G$208)</f>
        <v>7.7564268473689166E-3</v>
      </c>
      <c r="I82" s="473"/>
      <c r="J82" s="183">
        <v>5791</v>
      </c>
      <c r="K82" s="183">
        <v>6173</v>
      </c>
    </row>
    <row r="83" spans="1:11" s="167" customFormat="1">
      <c r="A83" s="169" t="s">
        <v>86</v>
      </c>
      <c r="B83" s="199" t="s">
        <v>45</v>
      </c>
      <c r="C83" s="501">
        <f>'[13]Sch C'!D76</f>
        <v>13211</v>
      </c>
      <c r="D83" s="501">
        <f>'[13]Sch C'!F76</f>
        <v>0</v>
      </c>
      <c r="E83" s="171">
        <f t="shared" si="11"/>
        <v>13211</v>
      </c>
      <c r="F83" s="171"/>
      <c r="G83" s="171">
        <f t="shared" si="12"/>
        <v>13211</v>
      </c>
      <c r="H83" s="172">
        <f t="shared" si="13"/>
        <v>1.1951266046255045E-3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'[13]Sch C'!D77</f>
        <v>21105</v>
      </c>
      <c r="D84" s="501">
        <f>'[13]Sch C'!F77</f>
        <v>0</v>
      </c>
      <c r="E84" s="171">
        <f t="shared" si="11"/>
        <v>21105</v>
      </c>
      <c r="F84" s="171"/>
      <c r="G84" s="171">
        <f t="shared" si="12"/>
        <v>21105</v>
      </c>
      <c r="H84" s="172">
        <f t="shared" si="13"/>
        <v>1.9092534244660717E-3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'[13]Sch C'!D78</f>
        <v>0</v>
      </c>
      <c r="D85" s="501">
        <f>'[13]Sch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'[13]Sch C'!D79</f>
        <v>27922</v>
      </c>
      <c r="D86" s="501">
        <f>'[13]Sch C'!F79</f>
        <v>0</v>
      </c>
      <c r="E86" s="171">
        <f t="shared" si="11"/>
        <v>27922</v>
      </c>
      <c r="F86" s="171"/>
      <c r="G86" s="171">
        <f>E86+F86</f>
        <v>27922</v>
      </c>
      <c r="H86" s="172">
        <f t="shared" si="13"/>
        <v>2.5259499700517247E-3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'[13]Sch C'!D80</f>
        <v>11641</v>
      </c>
      <c r="D87" s="501">
        <f>'[13]Sch C'!F80</f>
        <v>0</v>
      </c>
      <c r="E87" s="171">
        <f t="shared" si="11"/>
        <v>11641</v>
      </c>
      <c r="F87" s="171"/>
      <c r="G87" s="171">
        <f t="shared" si="12"/>
        <v>11641</v>
      </c>
      <c r="H87" s="172">
        <f t="shared" si="13"/>
        <v>1.0530973283207554E-3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'[13]Sch C'!D81</f>
        <v>57845</v>
      </c>
      <c r="D88" s="501">
        <f>'[13]Sch C'!F81</f>
        <v>0</v>
      </c>
      <c r="E88" s="171">
        <f t="shared" si="11"/>
        <v>57845</v>
      </c>
      <c r="F88" s="171"/>
      <c r="G88" s="171">
        <f t="shared" si="12"/>
        <v>57845</v>
      </c>
      <c r="H88" s="172">
        <f t="shared" si="13"/>
        <v>5.2329194190116049E-3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'[13]Sch C'!D82</f>
        <v>38421</v>
      </c>
      <c r="D89" s="501">
        <f>'[13]Sch C'!F82</f>
        <v>0</v>
      </c>
      <c r="E89" s="171">
        <f t="shared" si="11"/>
        <v>38421</v>
      </c>
      <c r="F89" s="171"/>
      <c r="G89" s="171">
        <f t="shared" si="12"/>
        <v>38421</v>
      </c>
      <c r="H89" s="172">
        <f t="shared" si="13"/>
        <v>3.4757368311495352E-3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'[13]Sch C'!D83</f>
        <v>6547</v>
      </c>
      <c r="D90" s="501">
        <f>'[13]Sch C'!F83</f>
        <v>0</v>
      </c>
      <c r="E90" s="171">
        <f t="shared" si="11"/>
        <v>6547</v>
      </c>
      <c r="F90" s="171"/>
      <c r="G90" s="171">
        <f t="shared" si="12"/>
        <v>6547</v>
      </c>
      <c r="H90" s="172">
        <f t="shared" si="13"/>
        <v>5.9227112864152431E-4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'[13]Sch C'!D84</f>
        <v>239733</v>
      </c>
      <c r="D91" s="501">
        <f>'[13]Sch C'!F84</f>
        <v>0</v>
      </c>
      <c r="E91" s="171">
        <f t="shared" si="11"/>
        <v>239733</v>
      </c>
      <c r="F91" s="171"/>
      <c r="G91" s="171">
        <f t="shared" si="12"/>
        <v>239733</v>
      </c>
      <c r="H91" s="172">
        <f t="shared" si="13"/>
        <v>2.1687327704692005E-2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'[13]Sch C'!D85</f>
        <v>0</v>
      </c>
      <c r="D92" s="501">
        <f>'[13]Sch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502165</v>
      </c>
      <c r="D93" s="501">
        <f>SUM(D82:D92)</f>
        <v>0</v>
      </c>
      <c r="E93" s="171">
        <f t="shared" ref="E93:F93" si="14">SUM(E82:E92)</f>
        <v>502165</v>
      </c>
      <c r="F93" s="171">
        <f t="shared" si="14"/>
        <v>0</v>
      </c>
      <c r="G93" s="171">
        <f>SUM(G82:G92)</f>
        <v>502165</v>
      </c>
      <c r="H93" s="172">
        <f t="shared" si="13"/>
        <v>4.5428109258327645E-2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'[13]Sch C'!D89</f>
        <v>398399</v>
      </c>
      <c r="D96" s="501">
        <f>'[13]Sch C'!F89</f>
        <v>0</v>
      </c>
      <c r="E96" s="171">
        <f t="shared" ref="E96:E101" si="15">C96+D96</f>
        <v>398399</v>
      </c>
      <c r="F96" s="171"/>
      <c r="G96" s="171">
        <f t="shared" ref="G96:G101" si="16">E96+F96</f>
        <v>398399</v>
      </c>
      <c r="H96" s="172">
        <f t="shared" ref="H96:H102" si="17">IF($G$208=0,0,G96/$G$208)</f>
        <v>3.6040969204162922E-2</v>
      </c>
      <c r="I96" s="473"/>
      <c r="J96" s="183">
        <v>30557</v>
      </c>
      <c r="K96" s="183">
        <v>31533</v>
      </c>
    </row>
    <row r="97" spans="1:11" s="167" customFormat="1">
      <c r="A97" s="169" t="s">
        <v>86</v>
      </c>
      <c r="B97" s="170" t="s">
        <v>45</v>
      </c>
      <c r="C97" s="501">
        <f>'[13]Sch C'!D90</f>
        <v>48293</v>
      </c>
      <c r="D97" s="501">
        <f>'[13]Sch C'!F90</f>
        <v>0</v>
      </c>
      <c r="E97" s="171">
        <f t="shared" si="15"/>
        <v>48293</v>
      </c>
      <c r="F97" s="171"/>
      <c r="G97" s="171">
        <f t="shared" si="16"/>
        <v>48293</v>
      </c>
      <c r="H97" s="172">
        <f t="shared" si="17"/>
        <v>4.3688024462326461E-3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'[13]Sch C'!D91</f>
        <v>25948</v>
      </c>
      <c r="D98" s="501">
        <f>'[13]Sch C'!F91</f>
        <v>0</v>
      </c>
      <c r="E98" s="171">
        <f t="shared" si="15"/>
        <v>25948</v>
      </c>
      <c r="F98" s="171"/>
      <c r="G98" s="171">
        <f t="shared" si="16"/>
        <v>25948</v>
      </c>
      <c r="H98" s="172">
        <f t="shared" si="17"/>
        <v>2.347373032837983E-3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'[13]Sch C'!D92</f>
        <v>357930</v>
      </c>
      <c r="D99" s="501">
        <f>'[13]Sch C'!F92</f>
        <v>50</v>
      </c>
      <c r="E99" s="171">
        <f t="shared" si="15"/>
        <v>357980</v>
      </c>
      <c r="F99" s="171"/>
      <c r="G99" s="171">
        <f t="shared" si="16"/>
        <v>357980</v>
      </c>
      <c r="H99" s="172">
        <f t="shared" si="17"/>
        <v>3.2384484287626837E-2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'[13]Sch C'!D93</f>
        <v>24756</v>
      </c>
      <c r="D100" s="501">
        <f>'[13]Sch C'!F93</f>
        <v>0</v>
      </c>
      <c r="E100" s="171">
        <f t="shared" si="15"/>
        <v>24756</v>
      </c>
      <c r="F100" s="171"/>
      <c r="G100" s="171">
        <f t="shared" si="16"/>
        <v>24756</v>
      </c>
      <c r="H100" s="172">
        <f t="shared" si="17"/>
        <v>2.2395393402550139E-3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'[13]Sch C'!D94</f>
        <v>455</v>
      </c>
      <c r="D101" s="501">
        <f>'[13]Sch C'!F94</f>
        <v>0</v>
      </c>
      <c r="E101" s="171">
        <f t="shared" si="15"/>
        <v>455</v>
      </c>
      <c r="F101" s="171"/>
      <c r="G101" s="171">
        <f t="shared" si="16"/>
        <v>455</v>
      </c>
      <c r="H101" s="172">
        <f t="shared" si="17"/>
        <v>4.1161350776217136E-5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855781</v>
      </c>
      <c r="D102" s="501">
        <f>SUM(D96:D101)</f>
        <v>50</v>
      </c>
      <c r="E102" s="171">
        <f t="shared" ref="E102:F102" si="18">SUM(E96:E101)</f>
        <v>855831</v>
      </c>
      <c r="F102" s="171">
        <f t="shared" si="18"/>
        <v>0</v>
      </c>
      <c r="G102" s="171">
        <f>SUM(G96:G101)</f>
        <v>855831</v>
      </c>
      <c r="H102" s="172">
        <f t="shared" si="17"/>
        <v>7.7422329661891623E-2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'[13]Sch C'!D98</f>
        <v>58043</v>
      </c>
      <c r="D105" s="501">
        <f>'[13]Sch C'!F98</f>
        <v>0</v>
      </c>
      <c r="E105" s="171">
        <f t="shared" ref="E105:E110" si="19">C105+D105</f>
        <v>58043</v>
      </c>
      <c r="F105" s="171"/>
      <c r="G105" s="171">
        <f t="shared" ref="G105:G110" si="20">E105+F105</f>
        <v>58043</v>
      </c>
      <c r="H105" s="172">
        <f t="shared" ref="H105:H111" si="21">IF($G$208=0,0,G105/$G$208)</f>
        <v>5.2508313914372993E-3</v>
      </c>
      <c r="I105" s="473"/>
      <c r="J105" s="183">
        <v>5278</v>
      </c>
      <c r="K105" s="183">
        <v>5663</v>
      </c>
    </row>
    <row r="106" spans="1:11" s="167" customFormat="1">
      <c r="A106" s="169" t="s">
        <v>86</v>
      </c>
      <c r="B106" s="170" t="s">
        <v>45</v>
      </c>
      <c r="C106" s="501">
        <f>'[13]Sch C'!D99</f>
        <v>13967</v>
      </c>
      <c r="D106" s="501">
        <f>'[13]Sch C'!F99</f>
        <v>0</v>
      </c>
      <c r="E106" s="171">
        <f t="shared" si="19"/>
        <v>13967</v>
      </c>
      <c r="F106" s="171"/>
      <c r="G106" s="171">
        <f t="shared" si="20"/>
        <v>13967</v>
      </c>
      <c r="H106" s="172">
        <f t="shared" si="21"/>
        <v>1.2635177720690654E-3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'[13]Sch C'!D100</f>
        <v>403</v>
      </c>
      <c r="D107" s="501">
        <f>'[13]Sch C'!F100</f>
        <v>0</v>
      </c>
      <c r="E107" s="171">
        <f t="shared" si="19"/>
        <v>403</v>
      </c>
      <c r="F107" s="171"/>
      <c r="G107" s="171">
        <f t="shared" si="20"/>
        <v>403</v>
      </c>
      <c r="H107" s="172">
        <f t="shared" si="21"/>
        <v>3.6457196401792318E-5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'[13]Sch C'!D101</f>
        <v>242</v>
      </c>
      <c r="D108" s="501">
        <f>'[13]Sch C'!F101</f>
        <v>0</v>
      </c>
      <c r="E108" s="171">
        <f t="shared" si="19"/>
        <v>242</v>
      </c>
      <c r="F108" s="171"/>
      <c r="G108" s="171">
        <f t="shared" si="20"/>
        <v>242</v>
      </c>
      <c r="H108" s="172">
        <f t="shared" si="21"/>
        <v>2.1892410742515486E-5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'[13]Sch C'!D102</f>
        <v>8756</v>
      </c>
      <c r="D109" s="501">
        <f>'[13]Sch C'!F102</f>
        <v>0</v>
      </c>
      <c r="E109" s="171">
        <f t="shared" si="19"/>
        <v>8756</v>
      </c>
      <c r="F109" s="171"/>
      <c r="G109" s="171">
        <f t="shared" si="20"/>
        <v>8756</v>
      </c>
      <c r="H109" s="172">
        <f t="shared" si="21"/>
        <v>7.9210722504737853E-4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'[13]Sch C'!D103</f>
        <v>0</v>
      </c>
      <c r="D110" s="501">
        <f>'[13]Sch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81411</v>
      </c>
      <c r="D111" s="501">
        <f>SUM(D105:D110)</f>
        <v>0</v>
      </c>
      <c r="E111" s="171">
        <f t="shared" ref="E111:F111" si="22">SUM(E105:E110)</f>
        <v>81411</v>
      </c>
      <c r="F111" s="171">
        <f t="shared" si="22"/>
        <v>0</v>
      </c>
      <c r="G111" s="171">
        <f>SUM(G105:G110)</f>
        <v>81411</v>
      </c>
      <c r="H111" s="172">
        <f t="shared" si="21"/>
        <v>7.3648059956980512E-3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'[13]Sch C'!D115</f>
        <v>225643</v>
      </c>
      <c r="D114" s="501">
        <f>'[13]Sch C'!F115</f>
        <v>0</v>
      </c>
      <c r="E114" s="171">
        <f t="shared" ref="E114:E118" si="23">C114+D114</f>
        <v>225643</v>
      </c>
      <c r="F114" s="171"/>
      <c r="G114" s="171">
        <f>E114+F114</f>
        <v>225643</v>
      </c>
      <c r="H114" s="172">
        <f t="shared" ref="H114:H119" si="24">IF($G$208=0,0,G114/$G$208)</f>
        <v>2.041268279823728E-2</v>
      </c>
      <c r="I114" s="473"/>
      <c r="J114" s="183">
        <v>20921</v>
      </c>
      <c r="K114" s="183">
        <v>21948</v>
      </c>
    </row>
    <row r="115" spans="1:11" s="167" customFormat="1">
      <c r="A115" s="169" t="s">
        <v>86</v>
      </c>
      <c r="B115" s="170" t="s">
        <v>151</v>
      </c>
      <c r="C115" s="501">
        <f>'[13]Sch C'!D116</f>
        <v>41821</v>
      </c>
      <c r="D115" s="501">
        <f>'[13]Sch C'!F116</f>
        <v>0</v>
      </c>
      <c r="E115" s="171">
        <f t="shared" si="23"/>
        <v>41821</v>
      </c>
      <c r="F115" s="171"/>
      <c r="G115" s="171">
        <f>E115+F115</f>
        <v>41821</v>
      </c>
      <c r="H115" s="172">
        <f t="shared" si="24"/>
        <v>3.7833161556311578E-3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'[13]Sch C'!D117</f>
        <v>77148</v>
      </c>
      <c r="D116" s="501">
        <f>'[13]Sch C'!F117</f>
        <v>0</v>
      </c>
      <c r="E116" s="171">
        <f t="shared" si="23"/>
        <v>77148</v>
      </c>
      <c r="F116" s="171"/>
      <c r="G116" s="171">
        <f>E116+F116</f>
        <v>77148</v>
      </c>
      <c r="H116" s="172">
        <f t="shared" si="24"/>
        <v>6.9791558015024164E-3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'[13]Sch C'!D118</f>
        <v>240</v>
      </c>
      <c r="D117" s="501">
        <f>'[13]Sch C'!F118</f>
        <v>0</v>
      </c>
      <c r="E117" s="171">
        <f t="shared" si="23"/>
        <v>240</v>
      </c>
      <c r="F117" s="171"/>
      <c r="G117" s="171">
        <f>E117+F117</f>
        <v>240</v>
      </c>
      <c r="H117" s="172">
        <f t="shared" si="24"/>
        <v>2.1711481728114531E-5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'[13]Sch C'!D119</f>
        <v>77</v>
      </c>
      <c r="D118" s="501">
        <f>'[13]Sch C'!F119</f>
        <v>0</v>
      </c>
      <c r="E118" s="171">
        <f t="shared" si="23"/>
        <v>77</v>
      </c>
      <c r="F118" s="171"/>
      <c r="G118" s="171">
        <f>E118+F118</f>
        <v>77</v>
      </c>
      <c r="H118" s="172">
        <f t="shared" si="24"/>
        <v>6.9657670544367459E-6</v>
      </c>
      <c r="I118" s="473"/>
      <c r="J118" s="168"/>
      <c r="K118" s="168"/>
    </row>
    <row r="119" spans="1:11" s="167" customFormat="1">
      <c r="A119" s="163"/>
      <c r="B119" s="170" t="s">
        <v>375</v>
      </c>
      <c r="C119" s="501">
        <f>SUM(C114:C118)</f>
        <v>344929</v>
      </c>
      <c r="D119" s="501">
        <f>SUM(D114:D118)</f>
        <v>0</v>
      </c>
      <c r="E119" s="171">
        <f t="shared" ref="E119:F119" si="25">SUM(E114:E118)</f>
        <v>344929</v>
      </c>
      <c r="F119" s="171">
        <f t="shared" si="25"/>
        <v>0</v>
      </c>
      <c r="G119" s="171">
        <f>SUM(G114:G118)</f>
        <v>344929</v>
      </c>
      <c r="H119" s="172">
        <f t="shared" si="24"/>
        <v>3.1203832004153408E-2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'[13]Sch C'!D124</f>
        <v>0</v>
      </c>
      <c r="D123" s="501">
        <f>'[13]Sch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'[13]Sch C'!D125</f>
        <v>606659</v>
      </c>
      <c r="D124" s="501">
        <f>'[13]Sch C'!F125</f>
        <v>0</v>
      </c>
      <c r="E124" s="171">
        <f t="shared" si="26"/>
        <v>606659</v>
      </c>
      <c r="F124" s="171"/>
      <c r="G124" s="171">
        <f>E124+F124</f>
        <v>606659</v>
      </c>
      <c r="H124" s="172">
        <f>IF($G$208=0,0,G124/$G$208)</f>
        <v>5.4881107473734307E-2</v>
      </c>
      <c r="I124" s="473"/>
      <c r="J124" s="183">
        <v>20104</v>
      </c>
      <c r="K124" s="183">
        <v>21319</v>
      </c>
    </row>
    <row r="125" spans="1:11" s="167" customFormat="1">
      <c r="A125" s="163" t="s">
        <v>198</v>
      </c>
      <c r="B125" s="163" t="s">
        <v>195</v>
      </c>
      <c r="C125" s="501">
        <f>'[13]Sch C'!D126</f>
        <v>0</v>
      </c>
      <c r="D125" s="501">
        <f>'[13]Sch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'[13]Sch C'!D127</f>
        <v>0</v>
      </c>
      <c r="D126" s="501">
        <f>'[13]Sch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'[13]Sch C'!D128</f>
        <v>44054</v>
      </c>
      <c r="D127" s="501">
        <f>'[13]Sch C'!F128</f>
        <v>0</v>
      </c>
      <c r="E127" s="171">
        <f t="shared" si="26"/>
        <v>44054</v>
      </c>
      <c r="F127" s="171"/>
      <c r="G127" s="171">
        <f>E127+F127</f>
        <v>44054</v>
      </c>
      <c r="H127" s="172">
        <f>IF($G$208=0,0,G127/$G$208)</f>
        <v>3.9853234002098234E-3</v>
      </c>
      <c r="I127" s="473"/>
      <c r="J127" s="183">
        <v>2849</v>
      </c>
      <c r="K127" s="183">
        <v>3147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'[13]Sch C'!D130</f>
        <v>0</v>
      </c>
      <c r="D129" s="501">
        <f>'[13]Sch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'[13]Sch C'!D131</f>
        <v>61326</v>
      </c>
      <c r="D130" s="501">
        <f>'[13]Sch C'!F131</f>
        <v>0</v>
      </c>
      <c r="E130" s="171">
        <f t="shared" si="27"/>
        <v>61326</v>
      </c>
      <c r="F130" s="171"/>
      <c r="G130" s="171">
        <f>E130+F130</f>
        <v>61326</v>
      </c>
      <c r="H130" s="172">
        <f>IF($G$208=0,0,G130/$G$208)</f>
        <v>5.5478263685764658E-3</v>
      </c>
      <c r="I130" s="473"/>
      <c r="J130" s="204"/>
      <c r="K130" s="204"/>
    </row>
    <row r="131" spans="1:11" s="167" customFormat="1">
      <c r="B131" s="163" t="s">
        <v>195</v>
      </c>
      <c r="C131" s="501">
        <f>'[13]Sch C'!D132</f>
        <v>0</v>
      </c>
      <c r="D131" s="501">
        <f>'[13]Sch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'[13]Sch C'!D133</f>
        <v>0</v>
      </c>
      <c r="D132" s="501">
        <f>'[13]Sch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'[13]Sch C'!D134</f>
        <v>5025</v>
      </c>
      <c r="D133" s="501">
        <f>'[13]Sch C'!F134</f>
        <v>0</v>
      </c>
      <c r="E133" s="171">
        <f t="shared" si="27"/>
        <v>5025</v>
      </c>
      <c r="F133" s="171"/>
      <c r="G133" s="171">
        <f>E133+F133</f>
        <v>5025</v>
      </c>
      <c r="H133" s="172">
        <f>IF($G$208=0,0,G133/$G$208)</f>
        <v>4.54584148682398E-4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'[13]Sch C'!D136</f>
        <v>955739</v>
      </c>
      <c r="D135" s="501">
        <f>'[13]Sch C'!F136</f>
        <v>0</v>
      </c>
      <c r="E135" s="171">
        <f t="shared" ref="E135:E138" si="28">C135+D135</f>
        <v>955739</v>
      </c>
      <c r="F135" s="171"/>
      <c r="G135" s="171">
        <f>E135+F135</f>
        <v>955739</v>
      </c>
      <c r="H135" s="172">
        <f>IF($G$208=0,0,G135/$G$208)</f>
        <v>8.6460457647276889E-2</v>
      </c>
      <c r="I135" s="473"/>
      <c r="J135" s="183">
        <v>37574</v>
      </c>
      <c r="K135" s="183">
        <v>39486</v>
      </c>
    </row>
    <row r="136" spans="1:11" s="167" customFormat="1">
      <c r="A136" s="169"/>
      <c r="B136" s="163" t="s">
        <v>195</v>
      </c>
      <c r="C136" s="501">
        <f>'[13]Sch C'!D137</f>
        <v>832294</v>
      </c>
      <c r="D136" s="501">
        <f>'[13]Sch C'!F137</f>
        <v>0</v>
      </c>
      <c r="E136" s="171">
        <f t="shared" si="28"/>
        <v>832294</v>
      </c>
      <c r="F136" s="171"/>
      <c r="G136" s="171">
        <f>E136+F136</f>
        <v>832294</v>
      </c>
      <c r="H136" s="172">
        <f>IF($G$208=0,0,G136/$G$208)</f>
        <v>7.5293066555913987E-2</v>
      </c>
      <c r="I136" s="473"/>
      <c r="J136" s="183">
        <v>48333</v>
      </c>
      <c r="K136" s="183">
        <v>50016</v>
      </c>
    </row>
    <row r="137" spans="1:11" s="167" customFormat="1">
      <c r="A137" s="169"/>
      <c r="B137" s="163" t="s">
        <v>196</v>
      </c>
      <c r="C137" s="501">
        <f>'[13]Sch C'!D138</f>
        <v>1732413</v>
      </c>
      <c r="D137" s="501">
        <f>'[13]Sch C'!F138</f>
        <v>79102</v>
      </c>
      <c r="E137" s="171">
        <f t="shared" si="28"/>
        <v>1811515</v>
      </c>
      <c r="F137" s="171"/>
      <c r="G137" s="171">
        <f>E137+F137</f>
        <v>1811515</v>
      </c>
      <c r="H137" s="172">
        <f>IF($G$208=0,0,G137/$G$208)</f>
        <v>0.1638778117612725</v>
      </c>
      <c r="I137" s="473"/>
      <c r="J137" s="183">
        <v>197307</v>
      </c>
      <c r="K137" s="183">
        <v>209257</v>
      </c>
    </row>
    <row r="138" spans="1:11" s="167" customFormat="1">
      <c r="A138" s="169"/>
      <c r="B138" s="163" t="s">
        <v>197</v>
      </c>
      <c r="C138" s="501">
        <f>'[13]Sch C'!D139</f>
        <v>79102</v>
      </c>
      <c r="D138" s="501">
        <f>'[13]Sch C'!F139</f>
        <v>-79102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'[13]Sch C'!D141</f>
        <v>785046</v>
      </c>
      <c r="D140" s="501">
        <f>'[13]Sch C'!F141</f>
        <v>-576603</v>
      </c>
      <c r="E140" s="171">
        <f t="shared" ref="E140:E143" si="29">C140+D140</f>
        <v>208443</v>
      </c>
      <c r="F140" s="171"/>
      <c r="G140" s="171">
        <f>E140+F140</f>
        <v>208443</v>
      </c>
      <c r="H140" s="172">
        <f>IF($G$208=0,0,G140/$G$208)</f>
        <v>1.8856693274389071E-2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'[13]Sch C'!D142</f>
        <v>0</v>
      </c>
      <c r="D141" s="501">
        <f>'[13]Sch C'!F142</f>
        <v>181520</v>
      </c>
      <c r="E141" s="171">
        <f t="shared" si="29"/>
        <v>181520</v>
      </c>
      <c r="F141" s="171"/>
      <c r="G141" s="171">
        <f>E141+F141</f>
        <v>181520</v>
      </c>
      <c r="H141" s="172">
        <f>IF($G$208=0,0,G141/$G$208)</f>
        <v>1.6421117347030625E-2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'[13]Sch C'!D143</f>
        <v>0</v>
      </c>
      <c r="D142" s="501">
        <f>'[13]Sch C'!F143</f>
        <v>395084</v>
      </c>
      <c r="E142" s="171">
        <f t="shared" si="29"/>
        <v>395084</v>
      </c>
      <c r="F142" s="171"/>
      <c r="G142" s="171">
        <f>E142+F142</f>
        <v>395084</v>
      </c>
      <c r="H142" s="172">
        <f>IF($G$208=0,0,G142/$G$208)</f>
        <v>3.5741079362793339E-2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'[13]Sch C'!D144</f>
        <v>0</v>
      </c>
      <c r="D143" s="501">
        <f>'[13]Sch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'[13]Sch C'!D146</f>
        <v>49613</v>
      </c>
      <c r="D145" s="501">
        <f>'[13]Sch C'!F146</f>
        <v>0</v>
      </c>
      <c r="E145" s="171">
        <f t="shared" ref="E145:E153" si="30">C145+D145</f>
        <v>49613</v>
      </c>
      <c r="F145" s="171"/>
      <c r="G145" s="171">
        <f t="shared" ref="G145:G153" si="31">E145+F145</f>
        <v>49613</v>
      </c>
      <c r="H145" s="172">
        <f t="shared" ref="H145:H153" si="32">IF($G$208=0,0,G145/$G$208)</f>
        <v>4.4882155957372766E-3</v>
      </c>
      <c r="I145" s="473"/>
      <c r="J145" s="183">
        <v>308</v>
      </c>
      <c r="K145" s="183">
        <v>308</v>
      </c>
    </row>
    <row r="146" spans="1:11" s="167" customFormat="1">
      <c r="A146" s="169"/>
      <c r="B146" s="163" t="s">
        <v>194</v>
      </c>
      <c r="C146" s="501">
        <f>'[13]Sch C'!D147</f>
        <v>0</v>
      </c>
      <c r="D146" s="501">
        <f>'[13]Sch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'[13]Sch C'!D148</f>
        <v>0</v>
      </c>
      <c r="D147" s="501">
        <f>'[13]Sch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'[13]Sch C'!D149</f>
        <v>0</v>
      </c>
      <c r="D148" s="501">
        <f>'[13]Sch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'[13]Sch C'!D150</f>
        <v>503</v>
      </c>
      <c r="D149" s="501">
        <f>'[13]Sch C'!F150</f>
        <v>0</v>
      </c>
      <c r="E149" s="171">
        <f t="shared" si="30"/>
        <v>503</v>
      </c>
      <c r="F149" s="171"/>
      <c r="G149" s="171">
        <f t="shared" si="31"/>
        <v>503</v>
      </c>
      <c r="H149" s="172">
        <f t="shared" si="32"/>
        <v>4.5503647121840043E-5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'[13]Sch C'!D151</f>
        <v>134306</v>
      </c>
      <c r="D150" s="501">
        <f>'[13]Sch C'!F151</f>
        <v>0</v>
      </c>
      <c r="E150" s="171">
        <f t="shared" si="30"/>
        <v>134306</v>
      </c>
      <c r="F150" s="171"/>
      <c r="G150" s="171">
        <f t="shared" si="31"/>
        <v>134306</v>
      </c>
      <c r="H150" s="172">
        <f t="shared" si="32"/>
        <v>1.2149926104067293E-2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'[13]Sch C'!D152</f>
        <v>14856</v>
      </c>
      <c r="D151" s="501">
        <f>'[13]Sch C'!F152</f>
        <v>0</v>
      </c>
      <c r="E151" s="171">
        <f t="shared" si="30"/>
        <v>14856</v>
      </c>
      <c r="F151" s="171"/>
      <c r="G151" s="171">
        <f t="shared" si="31"/>
        <v>14856</v>
      </c>
      <c r="H151" s="172">
        <f t="shared" si="32"/>
        <v>1.3439407189702896E-3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'[13]Sch C'!D153</f>
        <v>0</v>
      </c>
      <c r="D152" s="501">
        <f>'[13]Sch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'[13]Sch C'!D154</f>
        <v>4</v>
      </c>
      <c r="D153" s="501">
        <f>'[13]Sch C'!F154</f>
        <v>0</v>
      </c>
      <c r="E153" s="171">
        <f t="shared" si="30"/>
        <v>4</v>
      </c>
      <c r="F153" s="171"/>
      <c r="G153" s="171">
        <f t="shared" si="31"/>
        <v>4</v>
      </c>
      <c r="H153" s="172">
        <f t="shared" si="32"/>
        <v>3.6185802880190889E-7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'[13]Sch C'!D156</f>
        <v>0</v>
      </c>
      <c r="D155" s="501">
        <f>'[13]Sch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'[13]Sch C'!D157</f>
        <v>0</v>
      </c>
      <c r="D156" s="501">
        <f>'[13]Sch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'[13]Sch C'!D158</f>
        <v>3072</v>
      </c>
      <c r="D157" s="501">
        <f>'[13]Sch C'!F158</f>
        <v>0</v>
      </c>
      <c r="E157" s="171">
        <f t="shared" si="33"/>
        <v>3072</v>
      </c>
      <c r="F157" s="171"/>
      <c r="G157" s="171">
        <f t="shared" si="34"/>
        <v>3072</v>
      </c>
      <c r="H157" s="172">
        <f t="shared" si="35"/>
        <v>2.7790696611986604E-4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'[13]Sch C'!D159</f>
        <v>0</v>
      </c>
      <c r="D158" s="501">
        <f>'[13]Sch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'[13]Sch C'!D160</f>
        <v>0</v>
      </c>
      <c r="D159" s="501">
        <f>'[13]Sch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'[13]Sch C'!D161</f>
        <v>37759</v>
      </c>
      <c r="D160" s="501">
        <f>'[13]Sch C'!F161</f>
        <v>0</v>
      </c>
      <c r="E160" s="171">
        <f t="shared" si="33"/>
        <v>37759</v>
      </c>
      <c r="F160" s="171"/>
      <c r="G160" s="171">
        <f t="shared" si="34"/>
        <v>37759</v>
      </c>
      <c r="H160" s="172">
        <f t="shared" si="35"/>
        <v>3.4158493273828191E-3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5341771</v>
      </c>
      <c r="D161" s="501">
        <f>SUM(D123:D160)</f>
        <v>1</v>
      </c>
      <c r="E161" s="171">
        <f t="shared" ref="E161:F161" si="36">SUM(E123:E160)</f>
        <v>5341772</v>
      </c>
      <c r="F161" s="171">
        <f t="shared" si="36"/>
        <v>0</v>
      </c>
      <c r="G161" s="171">
        <f>SUM(G123:G160)</f>
        <v>5341772</v>
      </c>
      <c r="H161" s="172">
        <f t="shared" si="35"/>
        <v>0.4832407715573076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'[13]Sch C'!D175</f>
        <v>0</v>
      </c>
      <c r="D164" s="501">
        <f>'[13]Sch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'[13]Sch C'!D176</f>
        <v>0</v>
      </c>
      <c r="D165" s="501">
        <f>'[13]Sch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'[13]Sch C'!D177</f>
        <v>0</v>
      </c>
      <c r="D166" s="501">
        <f>'[13]Sch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'[13]Sch C'!D178</f>
        <v>0</v>
      </c>
      <c r="D167" s="501">
        <f>'[13]Sch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'[13]Sch C'!D179</f>
        <v>0</v>
      </c>
      <c r="D168" s="501">
        <f>'[13]Sch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'[13]Sch C'!D180</f>
        <v>0</v>
      </c>
      <c r="D169" s="501">
        <f>'[13]Sch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'[13]Sch C'!D181</f>
        <v>0</v>
      </c>
      <c r="D170" s="501">
        <f>'[13]Sch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'[13]Sch C'!D182</f>
        <v>0</v>
      </c>
      <c r="D171" s="501">
        <f>'[13]Sch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'[13]Sch C'!D183</f>
        <v>0</v>
      </c>
      <c r="D172" s="501">
        <f>'[13]Sch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'[13]Sch C'!D184</f>
        <v>0</v>
      </c>
      <c r="D173" s="501">
        <f>'[13]Sch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'[13]Sch C'!D185</f>
        <v>0</v>
      </c>
      <c r="D174" s="501">
        <f>'[13]Sch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'[13]Sch C'!D186</f>
        <v>0</v>
      </c>
      <c r="D175" s="501">
        <f>'[13]Sch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'[13]Sch C'!D187</f>
        <v>0</v>
      </c>
      <c r="D176" s="501">
        <f>'[13]Sch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'[13]Sch C'!D188</f>
        <v>44</v>
      </c>
      <c r="D177" s="501">
        <f>'[13]Sch C'!F188</f>
        <v>0</v>
      </c>
      <c r="E177" s="171">
        <f t="shared" si="37"/>
        <v>44</v>
      </c>
      <c r="F177" s="216"/>
      <c r="G177" s="171">
        <f t="shared" si="38"/>
        <v>44</v>
      </c>
      <c r="H177" s="172">
        <f t="shared" si="39"/>
        <v>3.9804383168209974E-6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'[13]Sch C'!D189</f>
        <v>0</v>
      </c>
      <c r="D178" s="501">
        <f>'[13]Sch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'[13]Sch C'!D190</f>
        <v>0</v>
      </c>
      <c r="D179" s="501">
        <f>'[13]Sch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'[13]Sch C'!D191</f>
        <v>0</v>
      </c>
      <c r="D180" s="501">
        <f>'[13]Sch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'[13]Sch C'!D192</f>
        <v>0</v>
      </c>
      <c r="D181" s="501">
        <f>'[13]Sch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'[13]Sch C'!D193</f>
        <v>80124</v>
      </c>
      <c r="D182" s="501">
        <f>'[13]Sch C'!F193</f>
        <v>0</v>
      </c>
      <c r="E182" s="171">
        <f t="shared" si="37"/>
        <v>80124</v>
      </c>
      <c r="F182" s="216"/>
      <c r="G182" s="171">
        <f t="shared" si="38"/>
        <v>80124</v>
      </c>
      <c r="H182" s="172">
        <f t="shared" si="39"/>
        <v>7.2483781749310364E-3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'[13]Sch C'!D194</f>
        <v>382756</v>
      </c>
      <c r="D183" s="501">
        <f>'[13]Sch C'!F194</f>
        <v>0</v>
      </c>
      <c r="E183" s="171">
        <f t="shared" si="37"/>
        <v>382756</v>
      </c>
      <c r="F183" s="216"/>
      <c r="G183" s="171">
        <f t="shared" si="38"/>
        <v>382756</v>
      </c>
      <c r="H183" s="172">
        <f t="shared" si="39"/>
        <v>3.4625832918025859E-2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'[13]Sch C'!D195</f>
        <v>207381</v>
      </c>
      <c r="D184" s="501">
        <f>'[13]Sch C'!F195</f>
        <v>0</v>
      </c>
      <c r="E184" s="171">
        <f t="shared" si="37"/>
        <v>207381</v>
      </c>
      <c r="F184" s="216"/>
      <c r="G184" s="171">
        <f t="shared" si="38"/>
        <v>207381</v>
      </c>
      <c r="H184" s="172">
        <f t="shared" si="39"/>
        <v>1.8760619967742167E-2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'[13]Sch C'!D196</f>
        <v>0</v>
      </c>
      <c r="D185" s="501">
        <f>'[13]Sch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'[13]Sch C'!D197</f>
        <v>352816</v>
      </c>
      <c r="D186" s="501">
        <f>'[13]Sch C'!F197</f>
        <v>0</v>
      </c>
      <c r="E186" s="171">
        <f t="shared" si="37"/>
        <v>352816</v>
      </c>
      <c r="F186" s="216"/>
      <c r="G186" s="171">
        <f t="shared" si="38"/>
        <v>352816</v>
      </c>
      <c r="H186" s="172">
        <f t="shared" si="39"/>
        <v>3.1917325572443568E-2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'[13]Sch C'!D198</f>
        <v>69745</v>
      </c>
      <c r="D187" s="501">
        <f>'[13]Sch C'!F198</f>
        <v>0</v>
      </c>
      <c r="E187" s="171">
        <f t="shared" si="37"/>
        <v>69745</v>
      </c>
      <c r="F187" s="216"/>
      <c r="G187" s="171">
        <f t="shared" si="38"/>
        <v>69745</v>
      </c>
      <c r="H187" s="172">
        <f t="shared" si="39"/>
        <v>6.3094470546972833E-3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'[13]Sch C'!D199</f>
        <v>0</v>
      </c>
      <c r="D188" s="501">
        <f>'[13]Sch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'[13]Sch C'!D200</f>
        <v>0</v>
      </c>
      <c r="D189" s="501">
        <f>'[13]Sch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'[13]Sch C'!D201</f>
        <v>0</v>
      </c>
      <c r="D190" s="501">
        <f>'[13]Sch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'[13]Sch C'!D202</f>
        <v>0</v>
      </c>
      <c r="D191" s="501">
        <f>'[13]Sch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'[13]Sch C'!D203</f>
        <v>0</v>
      </c>
      <c r="D192" s="501">
        <f>'[13]Sch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'[13]Sch C'!D204</f>
        <v>0</v>
      </c>
      <c r="D193" s="501">
        <f>'[13]Sch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'[13]Sch C'!D205</f>
        <v>532512</v>
      </c>
      <c r="D194" s="501">
        <f>'[13]Sch C'!F205</f>
        <v>0</v>
      </c>
      <c r="E194" s="171">
        <f t="shared" si="37"/>
        <v>532512</v>
      </c>
      <c r="F194" s="216"/>
      <c r="G194" s="171">
        <f t="shared" si="38"/>
        <v>532512</v>
      </c>
      <c r="H194" s="172">
        <f t="shared" si="39"/>
        <v>4.8173435658340522E-2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'[13]Sch C'!D206</f>
        <v>15136</v>
      </c>
      <c r="D195" s="501">
        <f>'[13]Sch C'!F206</f>
        <v>0</v>
      </c>
      <c r="E195" s="171">
        <f t="shared" si="37"/>
        <v>15136</v>
      </c>
      <c r="F195" s="216"/>
      <c r="G195" s="171">
        <f t="shared" si="38"/>
        <v>15136</v>
      </c>
      <c r="H195" s="172">
        <f t="shared" si="39"/>
        <v>1.3692707809864232E-3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'[13]Sch C'!D207</f>
        <v>903</v>
      </c>
      <c r="D196" s="501">
        <f>'[13]Sch C'!F207</f>
        <v>0</v>
      </c>
      <c r="E196" s="171">
        <f t="shared" si="37"/>
        <v>903</v>
      </c>
      <c r="F196" s="216"/>
      <c r="G196" s="171">
        <f t="shared" si="38"/>
        <v>903</v>
      </c>
      <c r="H196" s="172">
        <f t="shared" si="39"/>
        <v>8.1689450002030929E-5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1641417</v>
      </c>
      <c r="D197" s="501">
        <f>SUM(D164:D196)</f>
        <v>0</v>
      </c>
      <c r="E197" s="171">
        <f t="shared" ref="E197:F197" si="40">SUM(E164:E196)</f>
        <v>1641417</v>
      </c>
      <c r="F197" s="171">
        <f t="shared" si="40"/>
        <v>0</v>
      </c>
      <c r="G197" s="171">
        <f>SUM(G164:G196)</f>
        <v>1641417</v>
      </c>
      <c r="H197" s="172">
        <f>IF($G$208=0,0,G197/$G$208)</f>
        <v>0.14848998001548572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'[13]Sch C'!D211</f>
        <v>265172</v>
      </c>
      <c r="D200" s="501">
        <f>'[13]Sch C'!F211</f>
        <v>0</v>
      </c>
      <c r="E200" s="171">
        <f t="shared" ref="E200:E205" si="41">C200+D200</f>
        <v>265172</v>
      </c>
      <c r="F200" s="171"/>
      <c r="G200" s="171">
        <f t="shared" ref="G200:G205" si="42">E200+F200</f>
        <v>265172</v>
      </c>
      <c r="H200" s="172">
        <f t="shared" ref="H200:H206" si="43">IF($G$208=0,0,G200/$G$208)</f>
        <v>2.3988654303364946E-2</v>
      </c>
      <c r="I200" s="473"/>
      <c r="J200" s="183">
        <v>14860</v>
      </c>
      <c r="K200" s="183">
        <v>15730</v>
      </c>
    </row>
    <row r="201" spans="1:14" s="167" customFormat="1">
      <c r="A201" s="169" t="s">
        <v>86</v>
      </c>
      <c r="B201" s="170" t="s">
        <v>45</v>
      </c>
      <c r="C201" s="501">
        <f>'[13]Sch C'!D212</f>
        <v>74851</v>
      </c>
      <c r="D201" s="501">
        <f>'[13]Sch C'!F212</f>
        <v>0</v>
      </c>
      <c r="E201" s="171">
        <f t="shared" si="41"/>
        <v>74851</v>
      </c>
      <c r="F201" s="171"/>
      <c r="G201" s="171">
        <f t="shared" si="42"/>
        <v>74851</v>
      </c>
      <c r="H201" s="172">
        <f t="shared" si="43"/>
        <v>6.7713588284629206E-3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'[13]Sch C'!D213</f>
        <v>9616</v>
      </c>
      <c r="D202" s="501">
        <f>'[13]Sch C'!F213</f>
        <v>0</v>
      </c>
      <c r="E202" s="171">
        <f t="shared" si="41"/>
        <v>9616</v>
      </c>
      <c r="F202" s="171"/>
      <c r="G202" s="171">
        <f t="shared" si="42"/>
        <v>9616</v>
      </c>
      <c r="H202" s="172">
        <f t="shared" si="43"/>
        <v>8.6990670123978894E-4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'[13]Sch C'!D214</f>
        <v>0</v>
      </c>
      <c r="D203" s="501">
        <f>'[13]Sch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'[13]Sch C'!D215</f>
        <v>0</v>
      </c>
      <c r="D204" s="501">
        <f>'[13]Sch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'[13]Sch C'!D216</f>
        <v>14877</v>
      </c>
      <c r="D205" s="501">
        <f>'[13]Sch C'!F216</f>
        <v>0</v>
      </c>
      <c r="E205" s="171">
        <f t="shared" si="41"/>
        <v>14877</v>
      </c>
      <c r="F205" s="171"/>
      <c r="G205" s="171">
        <f t="shared" si="42"/>
        <v>14877</v>
      </c>
      <c r="H205" s="172">
        <f t="shared" si="43"/>
        <v>1.3458404736214995E-3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364516</v>
      </c>
      <c r="D206" s="501">
        <f>SUM(D200:D205)</f>
        <v>0</v>
      </c>
      <c r="E206" s="171">
        <f t="shared" ref="E206:F206" si="44">SUM(E200:E205)</f>
        <v>364516</v>
      </c>
      <c r="F206" s="171">
        <f t="shared" si="44"/>
        <v>0</v>
      </c>
      <c r="G206" s="171">
        <f>SUM(G200:G205)</f>
        <v>364516</v>
      </c>
      <c r="H206" s="172">
        <f t="shared" si="43"/>
        <v>3.2975760306689153E-2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11555838</v>
      </c>
      <c r="D208" s="501">
        <f>SUM(D25:D206)/2</f>
        <v>-501779</v>
      </c>
      <c r="E208" s="171">
        <f t="shared" ref="E208:F208" si="45">SUM(E25:E206)/2</f>
        <v>11054059</v>
      </c>
      <c r="F208" s="171">
        <f t="shared" si="45"/>
        <v>0</v>
      </c>
      <c r="G208" s="171">
        <f>SUM(G25:G206)/2</f>
        <v>11054059</v>
      </c>
      <c r="H208" s="172">
        <f>IF($G$208=0,0,G208/$G$208)</f>
        <v>1</v>
      </c>
      <c r="I208" s="473"/>
      <c r="J208" s="183">
        <f>SUM(J25:J200)</f>
        <v>408850</v>
      </c>
      <c r="K208" s="183">
        <f>SUM(K25:K200)</f>
        <v>431270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'[13]Sch C'!D221</f>
        <v>11555838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720220</v>
      </c>
      <c r="D215" s="501">
        <f>D21-D208</f>
        <v>486238</v>
      </c>
      <c r="E215" s="171">
        <f t="shared" ref="E215:F215" si="46">E21-E208</f>
        <v>1206458</v>
      </c>
      <c r="F215" s="171">
        <f t="shared" si="46"/>
        <v>0</v>
      </c>
      <c r="G215" s="171">
        <f>G21-G208</f>
        <v>1206458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'[13]Sch D'!C9</f>
        <v>3143</v>
      </c>
      <c r="D219" s="530"/>
      <c r="E219" s="234">
        <f t="shared" ref="E219:G227" si="47">C219+D219</f>
        <v>3143</v>
      </c>
      <c r="F219" s="233"/>
      <c r="G219" s="234">
        <f t="shared" si="47"/>
        <v>3143</v>
      </c>
      <c r="H219" s="172">
        <f t="shared" ref="H219:H228" si="48">IF($G$228=0,0,G219/$G$228)</f>
        <v>8.1802092551142569E-2</v>
      </c>
      <c r="I219" s="473"/>
      <c r="J219" s="168"/>
      <c r="K219" s="168"/>
    </row>
    <row r="220" spans="1:11">
      <c r="A220" s="163"/>
      <c r="B220" s="170" t="s">
        <v>217</v>
      </c>
      <c r="C220" s="530">
        <f>'[13]Sch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'[13]Sch D'!E9</f>
        <v>3116</v>
      </c>
      <c r="D221" s="530"/>
      <c r="E221" s="234">
        <f t="shared" si="49"/>
        <v>3116</v>
      </c>
      <c r="F221" s="233"/>
      <c r="G221" s="234">
        <f t="shared" si="47"/>
        <v>3116</v>
      </c>
      <c r="H221" s="172">
        <f t="shared" si="48"/>
        <v>8.1099370152516781E-2</v>
      </c>
      <c r="I221" s="473"/>
      <c r="J221" s="168"/>
      <c r="K221" s="168"/>
    </row>
    <row r="222" spans="1:11">
      <c r="A222" s="163"/>
      <c r="B222" s="202" t="s">
        <v>334</v>
      </c>
      <c r="C222" s="530">
        <f>'[13]Sch D'!F9</f>
        <v>347</v>
      </c>
      <c r="D222" s="530"/>
      <c r="E222" s="234">
        <f>C222+D222</f>
        <v>347</v>
      </c>
      <c r="F222" s="233"/>
      <c r="G222" s="234">
        <f>E222+F222</f>
        <v>347</v>
      </c>
      <c r="H222" s="172">
        <f t="shared" si="48"/>
        <v>9.0312841601165993E-3</v>
      </c>
      <c r="I222" s="473"/>
      <c r="J222" s="168"/>
      <c r="K222" s="168"/>
    </row>
    <row r="223" spans="1:11">
      <c r="A223" s="163"/>
      <c r="B223" s="170" t="s">
        <v>73</v>
      </c>
      <c r="C223" s="530">
        <f>'[13]Sch D'!G9</f>
        <v>11352</v>
      </c>
      <c r="D223" s="530"/>
      <c r="E223" s="234">
        <f t="shared" si="49"/>
        <v>11352</v>
      </c>
      <c r="F223" s="233"/>
      <c r="G223" s="234">
        <f t="shared" si="47"/>
        <v>11352</v>
      </c>
      <c r="H223" s="172">
        <f t="shared" si="48"/>
        <v>0.29545572848888657</v>
      </c>
      <c r="I223" s="473"/>
      <c r="J223" s="168"/>
      <c r="K223" s="168"/>
    </row>
    <row r="224" spans="1:11">
      <c r="A224" s="163"/>
      <c r="B224" s="170" t="s">
        <v>74</v>
      </c>
      <c r="C224" s="530">
        <f>'[13]Sch D'!H9</f>
        <v>19106</v>
      </c>
      <c r="D224" s="530"/>
      <c r="E224" s="234">
        <f t="shared" si="49"/>
        <v>19106</v>
      </c>
      <c r="F224" s="233"/>
      <c r="G224" s="234">
        <f t="shared" si="47"/>
        <v>19106</v>
      </c>
      <c r="H224" s="172">
        <f t="shared" si="48"/>
        <v>0.49726719067201081</v>
      </c>
      <c r="I224" s="473"/>
      <c r="J224" s="168"/>
      <c r="K224" s="168"/>
    </row>
    <row r="225" spans="1:11">
      <c r="A225" s="163"/>
      <c r="B225" s="170" t="s">
        <v>236</v>
      </c>
      <c r="C225" s="530">
        <f>'[13]Sch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426</v>
      </c>
      <c r="C226" s="530">
        <f>'[13]Sch D'!J9</f>
        <v>142</v>
      </c>
      <c r="D226" s="530"/>
      <c r="E226" s="234">
        <f>C226+D226</f>
        <v>142</v>
      </c>
      <c r="F226" s="233"/>
      <c r="G226" s="234">
        <f>E226+F226</f>
        <v>142</v>
      </c>
      <c r="H226" s="172">
        <f t="shared" si="48"/>
        <v>3.6957992816615479E-3</v>
      </c>
      <c r="I226" s="473"/>
      <c r="J226" s="168"/>
      <c r="K226" s="168"/>
    </row>
    <row r="227" spans="1:11">
      <c r="A227" s="163"/>
      <c r="B227" s="170" t="s">
        <v>179</v>
      </c>
      <c r="C227" s="530">
        <f>'[13]Sch D'!K9</f>
        <v>1216</v>
      </c>
      <c r="D227" s="530"/>
      <c r="E227" s="234">
        <f t="shared" si="49"/>
        <v>1216</v>
      </c>
      <c r="F227" s="233"/>
      <c r="G227" s="234">
        <f t="shared" si="47"/>
        <v>1216</v>
      </c>
      <c r="H227" s="172">
        <f t="shared" si="48"/>
        <v>3.164853469366509E-2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38422</v>
      </c>
      <c r="D228" s="530">
        <f>SUM(D219:D227)</f>
        <v>0</v>
      </c>
      <c r="E228" s="236">
        <f>SUM(E219:E227)</f>
        <v>38422</v>
      </c>
      <c r="F228" s="236">
        <f>SUM(F219:F227)</f>
        <v>0</v>
      </c>
      <c r="G228" s="236">
        <f>SUM(G219:G227)</f>
        <v>38422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'[13]Sch D'!N22</f>
        <v>108</v>
      </c>
      <c r="D231" s="502"/>
      <c r="E231" s="234">
        <f>C231+D231</f>
        <v>108</v>
      </c>
      <c r="F231" s="234"/>
      <c r="G231" s="234">
        <f>E231+F231</f>
        <v>108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'[13]Sch D'!N24</f>
        <v>108</v>
      </c>
      <c r="D232" s="502"/>
      <c r="E232" s="234">
        <f>C232+D232</f>
        <v>108</v>
      </c>
      <c r="F232" s="183">
        <v>-98</v>
      </c>
      <c r="G232" s="234">
        <f>E232+F232</f>
        <v>10</v>
      </c>
      <c r="H232" s="167" t="s">
        <v>598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'[13]Sch D'!N28</f>
        <v>39420</v>
      </c>
      <c r="D235" s="438"/>
      <c r="E235" s="233">
        <f>E231*E233</f>
        <v>39420</v>
      </c>
      <c r="F235" s="238"/>
      <c r="G235" s="233">
        <f>G231*G233</f>
        <v>39420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'[13]Sch D'!N30</f>
        <v>0.97468290208016239</v>
      </c>
      <c r="D236" s="238"/>
      <c r="E236" s="242">
        <f>E228/E235</f>
        <v>0.97468290208016239</v>
      </c>
      <c r="F236" s="243"/>
      <c r="G236" s="242">
        <f>G228/G235</f>
        <v>0.97468290208016239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'[13]Sch D'!N32</f>
        <v>7.9731100963977675E-2</v>
      </c>
      <c r="D237" s="238"/>
      <c r="E237" s="242">
        <f>(E219+E220)/E235</f>
        <v>7.9731100963977675E-2</v>
      </c>
      <c r="F237" s="243"/>
      <c r="G237" s="242">
        <f>(G219+G220)/G235</f>
        <v>7.9731100963977675E-2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'[13]Sch D'!N34</f>
        <v>8.1802092551142569E-2</v>
      </c>
      <c r="D238" s="238"/>
      <c r="E238" s="242">
        <f>(E237/E236)</f>
        <v>8.1802092551142569E-2</v>
      </c>
      <c r="F238" s="243"/>
      <c r="G238" s="242">
        <f>(G237/G236)</f>
        <v>8.1802092551142569E-2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'[13]Sch B'!C85</f>
        <v>228.95789263620037</v>
      </c>
      <c r="I241" s="475"/>
    </row>
    <row r="242" spans="2:9">
      <c r="F242" s="142" t="s">
        <v>341</v>
      </c>
      <c r="G242" s="501">
        <f>'[13]Sch B'!E85</f>
        <v>228.95796045785639</v>
      </c>
      <c r="I242" s="475"/>
    </row>
    <row r="243" spans="2:9">
      <c r="F243" s="142" t="s">
        <v>342</v>
      </c>
      <c r="G243" s="501">
        <f>'[13]Sch B'!G85</f>
        <v>228.95789473684209</v>
      </c>
      <c r="I243" s="475"/>
    </row>
    <row r="244" spans="2:9">
      <c r="F244" s="142" t="s">
        <v>343</v>
      </c>
      <c r="G244" s="501">
        <f>'[13]Sch B'!I85</f>
        <v>228.95770528683914</v>
      </c>
      <c r="I244" s="475"/>
    </row>
    <row r="245" spans="2:9">
      <c r="F245" s="142"/>
      <c r="I245" s="475"/>
    </row>
    <row r="246" spans="2:9">
      <c r="B246" s="417"/>
      <c r="I246" s="475"/>
    </row>
    <row r="247" spans="2:9" ht="15">
      <c r="B247" s="418"/>
    </row>
    <row r="248" spans="2:9" ht="15">
      <c r="B248" s="418"/>
    </row>
    <row r="249" spans="2:9" ht="15">
      <c r="B249" s="42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">
    <tabColor rgb="FFE28CAB"/>
  </sheetPr>
  <dimension ref="A1:O246"/>
  <sheetViews>
    <sheetView showGridLines="0" zoomScaleNormal="100" workbookViewId="0">
      <pane xSplit="2" ySplit="10" topLeftCell="C195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9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436" t="s">
        <v>481</v>
      </c>
      <c r="D2"/>
      <c r="F2"/>
    </row>
    <row r="3" spans="1:11">
      <c r="A3" s="145"/>
      <c r="B3" s="140" t="s">
        <v>79</v>
      </c>
      <c r="C3" s="441">
        <v>42552</v>
      </c>
      <c r="D3" s="144"/>
      <c r="E3" s="147"/>
      <c r="F3" s="420"/>
    </row>
    <row r="4" spans="1:11">
      <c r="A4" s="145"/>
      <c r="B4" s="148" t="s">
        <v>80</v>
      </c>
      <c r="C4" s="441">
        <v>42916</v>
      </c>
      <c r="D4" s="144"/>
      <c r="E4" s="149"/>
      <c r="F4" s="420"/>
      <c r="G4" s="150"/>
    </row>
    <row r="5" spans="1:11">
      <c r="A5" s="145"/>
      <c r="B5" s="148"/>
      <c r="C5" s="151"/>
      <c r="D5" s="144"/>
      <c r="F5" s="53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535"/>
      <c r="D9" s="144"/>
      <c r="F9"/>
      <c r="G9" s="165" t="s">
        <v>641</v>
      </c>
      <c r="I9" s="475"/>
    </row>
    <row r="10" spans="1:11" s="167" customFormat="1" ht="16" thickBot="1">
      <c r="A10" s="163" t="s">
        <v>245</v>
      </c>
      <c r="B10" s="164" t="s">
        <v>246</v>
      </c>
      <c r="C10" s="536"/>
      <c r="D10" s="165"/>
      <c r="E10" s="165"/>
      <c r="F10" t="s">
        <v>701</v>
      </c>
      <c r="G10" s="345" t="s">
        <v>642</v>
      </c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'[14]Sch B'!E10</f>
        <v>4148927</v>
      </c>
      <c r="D11" s="501">
        <f>'[14]Sch B'!G10</f>
        <v>0</v>
      </c>
      <c r="E11" s="171">
        <f>C11+D11</f>
        <v>4148927</v>
      </c>
      <c r="F11" s="171">
        <f>677673+96384</f>
        <v>774057</v>
      </c>
      <c r="G11" s="171">
        <f t="shared" ref="G11:G20" si="0">E11+F11</f>
        <v>4922984</v>
      </c>
      <c r="H11" s="172">
        <f t="shared" ref="H11:H21" si="1">IF($G$21=0,0,G11/$G$21)</f>
        <v>0.69423741586592191</v>
      </c>
      <c r="I11" s="473" t="s">
        <v>697</v>
      </c>
      <c r="J11" s="336" t="s">
        <v>344</v>
      </c>
      <c r="K11" s="337">
        <f>G21</f>
        <v>7091211</v>
      </c>
    </row>
    <row r="12" spans="1:11" s="167" customFormat="1">
      <c r="A12" s="169" t="s">
        <v>15</v>
      </c>
      <c r="B12" s="170" t="s">
        <v>212</v>
      </c>
      <c r="C12" s="501">
        <f>'[14]Sch B'!E15</f>
        <v>0</v>
      </c>
      <c r="D12" s="501">
        <f>'[14]Sch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5466970</v>
      </c>
    </row>
    <row r="13" spans="1:11" s="167" customFormat="1">
      <c r="A13" s="169" t="s">
        <v>16</v>
      </c>
      <c r="B13" s="170" t="s">
        <v>170</v>
      </c>
      <c r="C13" s="501">
        <f>'[14]Sch B'!E21</f>
        <v>1133402</v>
      </c>
      <c r="D13" s="501">
        <f>'[14]Sch B'!G21</f>
        <v>0</v>
      </c>
      <c r="E13" s="171">
        <f t="shared" si="2"/>
        <v>1133402</v>
      </c>
      <c r="F13" s="171"/>
      <c r="G13" s="171">
        <f t="shared" si="0"/>
        <v>1133402</v>
      </c>
      <c r="H13" s="172">
        <f t="shared" si="1"/>
        <v>0.15983193843759549</v>
      </c>
      <c r="I13" s="473"/>
      <c r="J13" s="338" t="s">
        <v>346</v>
      </c>
      <c r="K13" s="339">
        <f>G228</f>
        <v>23442</v>
      </c>
    </row>
    <row r="14" spans="1:11" s="167" customFormat="1">
      <c r="A14" s="173" t="s">
        <v>18</v>
      </c>
      <c r="B14" s="174" t="s">
        <v>306</v>
      </c>
      <c r="C14" s="501">
        <f>'[14]Sch B'!E27</f>
        <v>592633</v>
      </c>
      <c r="D14" s="501">
        <f>'[14]Sch B'!G27</f>
        <v>0</v>
      </c>
      <c r="E14" s="171">
        <f t="shared" si="2"/>
        <v>592633</v>
      </c>
      <c r="F14" s="175"/>
      <c r="G14" s="175">
        <f>E14+F14</f>
        <v>592633</v>
      </c>
      <c r="H14" s="176">
        <f t="shared" si="1"/>
        <v>8.3572890441421077E-2</v>
      </c>
      <c r="I14" s="479"/>
      <c r="J14" s="338" t="s">
        <v>347</v>
      </c>
      <c r="K14" s="339">
        <f>G231</f>
        <v>108</v>
      </c>
    </row>
    <row r="15" spans="1:11" s="167" customFormat="1">
      <c r="A15" s="169" t="s">
        <v>19</v>
      </c>
      <c r="B15" s="170" t="s">
        <v>171</v>
      </c>
      <c r="C15" s="501">
        <f>'[14]Sch B'!E32</f>
        <v>0</v>
      </c>
      <c r="D15" s="501">
        <f>'[14]Sch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39420</v>
      </c>
    </row>
    <row r="16" spans="1:11" s="167" customFormat="1">
      <c r="A16" s="169" t="s">
        <v>21</v>
      </c>
      <c r="B16" s="170" t="s">
        <v>172</v>
      </c>
      <c r="C16" s="501">
        <f>'[14]Sch B'!E37</f>
        <v>139094</v>
      </c>
      <c r="D16" s="501">
        <f>'[14]Sch B'!G37</f>
        <v>0</v>
      </c>
      <c r="E16" s="171">
        <f t="shared" si="2"/>
        <v>139094</v>
      </c>
      <c r="F16" s="171"/>
      <c r="G16" s="171">
        <f t="shared" si="0"/>
        <v>139094</v>
      </c>
      <c r="H16" s="172">
        <f t="shared" si="1"/>
        <v>1.9614985367097382E-2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'[14]Sch B'!E42</f>
        <v>0</v>
      </c>
      <c r="D17" s="501">
        <f>'[14]Sch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128985</v>
      </c>
    </row>
    <row r="18" spans="1:11" s="167" customFormat="1" ht="13.5" thickBot="1">
      <c r="A18" s="169" t="s">
        <v>216</v>
      </c>
      <c r="B18" s="170" t="s">
        <v>229</v>
      </c>
      <c r="C18" s="501">
        <f>'[14]Sch B'!E47</f>
        <v>299598</v>
      </c>
      <c r="D18" s="501">
        <f>'[14]Sch B'!G47</f>
        <v>0</v>
      </c>
      <c r="E18" s="171">
        <f t="shared" si="2"/>
        <v>299598</v>
      </c>
      <c r="F18" s="171"/>
      <c r="G18" s="171">
        <f>E18+F18</f>
        <v>299598</v>
      </c>
      <c r="H18" s="172">
        <f t="shared" si="1"/>
        <v>4.2249201159012192E-2</v>
      </c>
      <c r="I18" s="473"/>
      <c r="J18" s="341" t="s">
        <v>252</v>
      </c>
      <c r="K18" s="342">
        <f>K208</f>
        <v>136618</v>
      </c>
    </row>
    <row r="19" spans="1:11" s="167" customFormat="1">
      <c r="A19" s="169" t="s">
        <v>227</v>
      </c>
      <c r="B19" s="177" t="s">
        <v>173</v>
      </c>
      <c r="C19" s="501">
        <f>'[14]Sch B'!E52</f>
        <v>0</v>
      </c>
      <c r="D19" s="501">
        <f>'[14]Sch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'[14]Sch B'!E67</f>
        <v>3500</v>
      </c>
      <c r="D20" s="501">
        <f>'[14]Sch B'!G67</f>
        <v>0</v>
      </c>
      <c r="E20" s="171">
        <f t="shared" si="2"/>
        <v>3500</v>
      </c>
      <c r="F20" s="171"/>
      <c r="G20" s="171">
        <f t="shared" si="0"/>
        <v>3500</v>
      </c>
      <c r="H20" s="172">
        <f t="shared" si="1"/>
        <v>4.9356872895193788E-4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6317154</v>
      </c>
      <c r="D21" s="501">
        <f>SUM(D11:D20)</f>
        <v>0</v>
      </c>
      <c r="E21" s="171">
        <f>SUM(E11:E20)</f>
        <v>6317154</v>
      </c>
      <c r="F21" s="171">
        <f>SUM(F11:F20)</f>
        <v>774057</v>
      </c>
      <c r="G21" s="171">
        <f>SUM(G11:G20)</f>
        <v>7091211</v>
      </c>
      <c r="H21" s="172">
        <f t="shared" si="1"/>
        <v>1</v>
      </c>
      <c r="I21" s="473"/>
      <c r="J21" s="168"/>
      <c r="K21" s="168"/>
    </row>
    <row r="22" spans="1:1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345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'[14]Sch C'!D10</f>
        <v>228150</v>
      </c>
      <c r="D25" s="501">
        <f>'[14]Sch C'!F10</f>
        <v>13838</v>
      </c>
      <c r="E25" s="171">
        <f t="shared" ref="E25:E60" si="3">C25+D25</f>
        <v>241988</v>
      </c>
      <c r="F25" s="171"/>
      <c r="G25" s="182">
        <f>E25+F25</f>
        <v>241988</v>
      </c>
      <c r="H25" s="172">
        <f>IF($G$208=0,0,G25/$G$208)</f>
        <v>4.4263641468674605E-2</v>
      </c>
      <c r="I25" s="473"/>
      <c r="J25" s="183">
        <v>3611</v>
      </c>
      <c r="K25" s="183">
        <v>3830</v>
      </c>
    </row>
    <row r="26" spans="1:11" s="167" customFormat="1">
      <c r="A26" s="169" t="s">
        <v>84</v>
      </c>
      <c r="B26" s="170" t="s">
        <v>176</v>
      </c>
      <c r="C26" s="501">
        <f>'[14]Sch C'!D11</f>
        <v>0</v>
      </c>
      <c r="D26" s="501">
        <f>'[14]Sch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'[14]Sch C'!D12</f>
        <v>159724</v>
      </c>
      <c r="D27" s="501">
        <f>'[14]Sch C'!F12</f>
        <v>9685</v>
      </c>
      <c r="E27" s="171">
        <f t="shared" si="3"/>
        <v>169409</v>
      </c>
      <c r="F27" s="171"/>
      <c r="G27" s="171">
        <f t="shared" si="4"/>
        <v>169409</v>
      </c>
      <c r="H27" s="172">
        <f t="shared" si="5"/>
        <v>3.0987731778297667E-2</v>
      </c>
      <c r="I27" s="473"/>
      <c r="J27" s="183">
        <v>5444</v>
      </c>
      <c r="K27" s="183">
        <v>5774</v>
      </c>
    </row>
    <row r="28" spans="1:11" s="167" customFormat="1">
      <c r="A28" s="169" t="s">
        <v>86</v>
      </c>
      <c r="B28" s="170" t="s">
        <v>45</v>
      </c>
      <c r="C28" s="501">
        <f>'[14]Sch C'!D13</f>
        <v>554091</v>
      </c>
      <c r="D28" s="501">
        <f>'[14]Sch C'!F13</f>
        <v>-500961</v>
      </c>
      <c r="E28" s="171">
        <f t="shared" si="3"/>
        <v>53130</v>
      </c>
      <c r="F28" s="171"/>
      <c r="G28" s="171">
        <f t="shared" si="4"/>
        <v>53130</v>
      </c>
      <c r="H28" s="172">
        <f t="shared" si="5"/>
        <v>9.718363188384059E-3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'[14]Sch C'!D14</f>
        <v>0</v>
      </c>
      <c r="D29" s="501">
        <f>'[14]Sch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'[14]Sch C'!D15</f>
        <v>0</v>
      </c>
      <c r="D30" s="501">
        <f>'[14]Sch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'[14]Sch C'!D16</f>
        <v>336651</v>
      </c>
      <c r="D31" s="501">
        <f>'[14]Sch C'!F16</f>
        <v>156593</v>
      </c>
      <c r="E31" s="171">
        <f t="shared" si="3"/>
        <v>493244</v>
      </c>
      <c r="F31" s="171">
        <v>-34676.925363637703</v>
      </c>
      <c r="G31" s="171">
        <f t="shared" si="4"/>
        <v>458567.07463636232</v>
      </c>
      <c r="H31" s="172">
        <f t="shared" si="5"/>
        <v>8.3879566677037248E-2</v>
      </c>
      <c r="I31" s="473" t="s">
        <v>405</v>
      </c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'[14]Sch C'!D17</f>
        <v>0</v>
      </c>
      <c r="D32" s="501">
        <f>'[14]Sch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'[14]Sch C'!D18</f>
        <v>12241</v>
      </c>
      <c r="D33" s="501">
        <f>'[14]Sch C'!F18</f>
        <v>0</v>
      </c>
      <c r="E33" s="171">
        <f t="shared" si="3"/>
        <v>12241</v>
      </c>
      <c r="F33" s="171"/>
      <c r="G33" s="171">
        <f t="shared" si="4"/>
        <v>12241</v>
      </c>
      <c r="H33" s="172">
        <f t="shared" si="5"/>
        <v>2.2390830752683846E-3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'[14]Sch C'!D19</f>
        <v>18434</v>
      </c>
      <c r="D34" s="501">
        <f>'[14]Sch C'!F19</f>
        <v>-931</v>
      </c>
      <c r="E34" s="171">
        <f t="shared" si="3"/>
        <v>17503</v>
      </c>
      <c r="F34" s="171"/>
      <c r="G34" s="171">
        <f t="shared" si="4"/>
        <v>17503</v>
      </c>
      <c r="H34" s="172">
        <f t="shared" si="5"/>
        <v>3.2015906434460038E-3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'[14]Sch C'!D20</f>
        <v>17426</v>
      </c>
      <c r="D35" s="501">
        <f>'[14]Sch C'!F20</f>
        <v>0</v>
      </c>
      <c r="E35" s="171">
        <f t="shared" si="3"/>
        <v>17426</v>
      </c>
      <c r="F35" s="171"/>
      <c r="G35" s="171">
        <f t="shared" si="4"/>
        <v>17426</v>
      </c>
      <c r="H35" s="172">
        <f t="shared" si="5"/>
        <v>3.1875060591150125E-3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'[14]Sch C'!D21</f>
        <v>13921</v>
      </c>
      <c r="D36" s="501">
        <f>'[14]Sch C'!F21</f>
        <v>0</v>
      </c>
      <c r="E36" s="171">
        <f t="shared" si="3"/>
        <v>13921</v>
      </c>
      <c r="F36" s="171">
        <v>-12047</v>
      </c>
      <c r="G36" s="171">
        <f t="shared" si="4"/>
        <v>1874</v>
      </c>
      <c r="H36" s="172">
        <f t="shared" si="5"/>
        <v>3.4278585761399823E-4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'[14]Sch C'!D22</f>
        <v>0</v>
      </c>
      <c r="D37" s="501">
        <f>'[14]Sch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'[14]Sch C'!D23</f>
        <v>744</v>
      </c>
      <c r="D38" s="501">
        <f>'[14]Sch C'!F23</f>
        <v>0</v>
      </c>
      <c r="E38" s="171">
        <f t="shared" si="3"/>
        <v>744</v>
      </c>
      <c r="F38" s="171"/>
      <c r="G38" s="171">
        <f t="shared" si="4"/>
        <v>744</v>
      </c>
      <c r="H38" s="172">
        <f t="shared" si="5"/>
        <v>1.3609000963970901E-4</v>
      </c>
      <c r="I38" s="473" t="s">
        <v>693</v>
      </c>
      <c r="J38" s="168"/>
      <c r="K38" s="168"/>
    </row>
    <row r="39" spans="1:11" s="167" customFormat="1">
      <c r="A39" s="163">
        <v>150</v>
      </c>
      <c r="B39" s="170" t="s">
        <v>29</v>
      </c>
      <c r="C39" s="501">
        <f>'[14]Sch C'!D24</f>
        <v>45844</v>
      </c>
      <c r="D39" s="501">
        <f>'[14]Sch C'!F24</f>
        <v>-9600</v>
      </c>
      <c r="E39" s="171">
        <f t="shared" si="3"/>
        <v>36244</v>
      </c>
      <c r="F39" s="171"/>
      <c r="G39" s="171">
        <f t="shared" si="4"/>
        <v>36244</v>
      </c>
      <c r="H39" s="172">
        <f t="shared" si="5"/>
        <v>6.6296321362656098E-3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'[14]Sch C'!D25</f>
        <v>0</v>
      </c>
      <c r="D40" s="501">
        <f>'[14]Sch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'[14]Sch C'!D26</f>
        <v>367018</v>
      </c>
      <c r="D41" s="501">
        <f>'[14]Sch C'!F26</f>
        <v>0</v>
      </c>
      <c r="E41" s="171">
        <f t="shared" si="3"/>
        <v>367018</v>
      </c>
      <c r="F41" s="171"/>
      <c r="G41" s="171">
        <f t="shared" si="4"/>
        <v>367018</v>
      </c>
      <c r="H41" s="172">
        <f t="shared" si="5"/>
        <v>6.71337139219714E-2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'[14]Sch C'!D27</f>
        <v>0</v>
      </c>
      <c r="D42" s="501">
        <f>'[14]Sch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'[14]Sch C'!D28</f>
        <v>0</v>
      </c>
      <c r="D43" s="501">
        <f>'[14]Sch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'[14]Sch C'!D29</f>
        <v>104974</v>
      </c>
      <c r="D44" s="501">
        <f>'[14]Sch C'!F29</f>
        <v>-104974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'[14]Sch C'!D30</f>
        <v>0</v>
      </c>
      <c r="D45" s="501">
        <f>'[14]Sch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'[14]Sch C'!D31</f>
        <v>46663</v>
      </c>
      <c r="D46" s="501">
        <f>'[14]Sch C'!F31</f>
        <v>-29175</v>
      </c>
      <c r="E46" s="171">
        <f t="shared" si="3"/>
        <v>17488</v>
      </c>
      <c r="F46" s="171"/>
      <c r="G46" s="171">
        <f t="shared" si="4"/>
        <v>17488</v>
      </c>
      <c r="H46" s="172">
        <f t="shared" si="5"/>
        <v>3.1988468932516549E-3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'[14]Sch C'!D32</f>
        <v>85360</v>
      </c>
      <c r="D47" s="501">
        <f>'[14]Sch C'!F32</f>
        <v>0</v>
      </c>
      <c r="E47" s="171">
        <f t="shared" si="3"/>
        <v>85360</v>
      </c>
      <c r="F47" s="171"/>
      <c r="G47" s="171">
        <f t="shared" si="4"/>
        <v>85360</v>
      </c>
      <c r="H47" s="172">
        <f t="shared" si="5"/>
        <v>1.5613767772641883E-2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'[14]Sch C'!D33</f>
        <v>0</v>
      </c>
      <c r="D48" s="501">
        <f>'[14]Sch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'[14]Sch C'!D34</f>
        <v>0</v>
      </c>
      <c r="D49" s="501">
        <f>'[14]Sch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'[14]Sch C'!D35</f>
        <v>0</v>
      </c>
      <c r="D50" s="501">
        <f>'[14]Sch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'[14]Sch C'!D36</f>
        <v>0</v>
      </c>
      <c r="D51" s="501">
        <f>'[14]Sch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'[14]Sch C'!D37</f>
        <v>0</v>
      </c>
      <c r="D52" s="501">
        <f>'[14]Sch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'[14]Sch C'!D38</f>
        <v>0</v>
      </c>
      <c r="D53" s="501">
        <f>'[14]Sch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'[14]Sch C'!D39</f>
        <v>10439</v>
      </c>
      <c r="D54" s="501">
        <f>'[14]Sch C'!F39</f>
        <v>0</v>
      </c>
      <c r="E54" s="171">
        <f t="shared" si="3"/>
        <v>10439</v>
      </c>
      <c r="F54" s="171"/>
      <c r="G54" s="171">
        <f t="shared" si="4"/>
        <v>10439</v>
      </c>
      <c r="H54" s="172">
        <f t="shared" si="5"/>
        <v>1.9094672185872613E-3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'[14]Sch C'!D40</f>
        <v>8501</v>
      </c>
      <c r="D55" s="501">
        <f>'[14]Sch C'!F40</f>
        <v>0</v>
      </c>
      <c r="E55" s="171">
        <f t="shared" si="3"/>
        <v>8501</v>
      </c>
      <c r="F55" s="171"/>
      <c r="G55" s="171">
        <f t="shared" si="4"/>
        <v>8501</v>
      </c>
      <c r="H55" s="172">
        <f t="shared" si="5"/>
        <v>1.554974693477374E-3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'[14]Sch C'!D41</f>
        <v>17016</v>
      </c>
      <c r="D56" s="501">
        <f>'[14]Sch C'!F41</f>
        <v>0</v>
      </c>
      <c r="E56" s="171">
        <f t="shared" si="3"/>
        <v>17016</v>
      </c>
      <c r="F56" s="171"/>
      <c r="G56" s="171">
        <f t="shared" si="4"/>
        <v>17016</v>
      </c>
      <c r="H56" s="172">
        <f t="shared" si="5"/>
        <v>3.112510220469474E-3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'[14]Sch C'!D42</f>
        <v>4762</v>
      </c>
      <c r="D57" s="501">
        <f>'[14]Sch C'!F42</f>
        <v>0</v>
      </c>
      <c r="E57" s="171">
        <f t="shared" si="3"/>
        <v>4762</v>
      </c>
      <c r="F57" s="171"/>
      <c r="G57" s="171">
        <f t="shared" si="4"/>
        <v>4762</v>
      </c>
      <c r="H57" s="172">
        <f t="shared" si="5"/>
        <v>8.7104922836598697E-4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'[14]Sch C'!D43</f>
        <v>5909</v>
      </c>
      <c r="D58" s="501">
        <f>'[14]Sch C'!F43</f>
        <v>0</v>
      </c>
      <c r="E58" s="171">
        <f t="shared" si="3"/>
        <v>5909</v>
      </c>
      <c r="F58" s="171"/>
      <c r="G58" s="171">
        <f t="shared" si="4"/>
        <v>5909</v>
      </c>
      <c r="H58" s="172">
        <f t="shared" si="5"/>
        <v>1.0808546598938718E-3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'[14]Sch C'!D44</f>
        <v>0</v>
      </c>
      <c r="D59" s="501">
        <f>'[14]Sch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'[14]Sch C'!D45</f>
        <v>30466</v>
      </c>
      <c r="D60" s="501">
        <f>'[14]Sch C'!F45</f>
        <v>-3463</v>
      </c>
      <c r="E60" s="171">
        <f t="shared" si="3"/>
        <v>27003</v>
      </c>
      <c r="F60" s="171">
        <v>-1333.9</v>
      </c>
      <c r="G60" s="171">
        <f t="shared" si="4"/>
        <v>25669.1</v>
      </c>
      <c r="H60" s="172">
        <f t="shared" si="5"/>
        <v>4.6953065409175467E-3</v>
      </c>
      <c r="I60" s="473" t="s">
        <v>635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2068334</v>
      </c>
      <c r="D61" s="501">
        <f>SUM(D25:D60)</f>
        <v>-468988</v>
      </c>
      <c r="E61" s="171">
        <f t="shared" ref="E61:F61" si="6">SUM(E25:E60)</f>
        <v>1599346</v>
      </c>
      <c r="F61" s="171">
        <f t="shared" si="6"/>
        <v>-48057.825363637705</v>
      </c>
      <c r="G61" s="171">
        <f>SUM(G25:G60)</f>
        <v>1551288.1746363624</v>
      </c>
      <c r="H61" s="186">
        <f t="shared" si="5"/>
        <v>0.28375648204331877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'[14]Sch C'!D57</f>
        <v>545447</v>
      </c>
      <c r="D64" s="501">
        <f>'[14]Sch C'!F57</f>
        <v>0</v>
      </c>
      <c r="E64" s="171">
        <f t="shared" ref="E64:E78" si="7">C64+D64</f>
        <v>545447</v>
      </c>
      <c r="F64" s="171">
        <v>-545447</v>
      </c>
      <c r="G64" s="171">
        <f t="shared" ref="G64:G78" si="8">E64+F64</f>
        <v>0</v>
      </c>
      <c r="H64" s="172">
        <f t="shared" ref="H64:H79" si="9">IF($G$208=0,0,G64/$G$208)</f>
        <v>0</v>
      </c>
      <c r="I64" s="473" t="s">
        <v>693</v>
      </c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'[14]Sch C'!D58</f>
        <v>2951</v>
      </c>
      <c r="D65" s="501">
        <f>'[14]Sch C'!F58</f>
        <v>0</v>
      </c>
      <c r="E65" s="171">
        <f t="shared" si="7"/>
        <v>2951</v>
      </c>
      <c r="F65" s="171">
        <v>303962</v>
      </c>
      <c r="G65" s="171">
        <f t="shared" si="8"/>
        <v>306913</v>
      </c>
      <c r="H65" s="172">
        <f t="shared" si="9"/>
        <v>5.613950689321507E-2</v>
      </c>
      <c r="I65" s="473" t="s">
        <v>693</v>
      </c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'[14]Sch C'!D59</f>
        <v>0</v>
      </c>
      <c r="D66" s="501">
        <f>'[14]Sch C'!F59</f>
        <v>0</v>
      </c>
      <c r="E66" s="171">
        <f t="shared" si="7"/>
        <v>0</v>
      </c>
      <c r="F66" s="171">
        <v>35978</v>
      </c>
      <c r="G66" s="171">
        <f t="shared" si="8"/>
        <v>35978</v>
      </c>
      <c r="H66" s="172">
        <f t="shared" si="9"/>
        <v>6.5809762994858212E-3</v>
      </c>
      <c r="I66" s="473" t="s">
        <v>693</v>
      </c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'[14]Sch C'!D60</f>
        <v>40613</v>
      </c>
      <c r="D67" s="501">
        <f>'[14]Sch C'!F60</f>
        <v>0</v>
      </c>
      <c r="E67" s="171">
        <f t="shared" si="7"/>
        <v>40613</v>
      </c>
      <c r="F67" s="171"/>
      <c r="G67" s="171">
        <f t="shared" si="8"/>
        <v>40613</v>
      </c>
      <c r="H67" s="172">
        <f t="shared" si="9"/>
        <v>7.4287951095396536E-3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'[14]Sch C'!D61</f>
        <v>6603</v>
      </c>
      <c r="D68" s="501">
        <f>'[14]Sch C'!F61</f>
        <v>0</v>
      </c>
      <c r="E68" s="171">
        <f t="shared" si="7"/>
        <v>6603</v>
      </c>
      <c r="F68" s="171"/>
      <c r="G68" s="171">
        <f t="shared" si="8"/>
        <v>6603</v>
      </c>
      <c r="H68" s="172">
        <f t="shared" si="9"/>
        <v>1.2077988355524176E-3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'[14]Sch C'!D62</f>
        <v>1240</v>
      </c>
      <c r="D69" s="501">
        <f>'[14]Sch C'!F62</f>
        <v>0</v>
      </c>
      <c r="E69" s="171">
        <f t="shared" si="7"/>
        <v>1240</v>
      </c>
      <c r="F69" s="171"/>
      <c r="G69" s="171">
        <f t="shared" si="8"/>
        <v>1240</v>
      </c>
      <c r="H69" s="172">
        <f t="shared" si="9"/>
        <v>2.2681668273284836E-4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'[14]Sch C'!D63</f>
        <v>0</v>
      </c>
      <c r="D70" s="501">
        <f>'[14]Sch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'[14]Sch C'!D64</f>
        <v>0</v>
      </c>
      <c r="D71" s="501">
        <f>'[14]Sch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'[14]Sch C'!D65</f>
        <v>9995</v>
      </c>
      <c r="D72" s="501">
        <f>'[14]Sch C'!F65</f>
        <v>0</v>
      </c>
      <c r="E72" s="171">
        <f t="shared" si="7"/>
        <v>9995</v>
      </c>
      <c r="F72" s="171">
        <v>-5883</v>
      </c>
      <c r="G72" s="171">
        <f t="shared" si="8"/>
        <v>4112</v>
      </c>
      <c r="H72" s="172">
        <f t="shared" si="9"/>
        <v>7.5215338661086494E-4</v>
      </c>
      <c r="I72" s="473" t="s">
        <v>693</v>
      </c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'[14]Sch C'!D66</f>
        <v>14247</v>
      </c>
      <c r="D73" s="501">
        <f>'[14]Sch C'!F66</f>
        <v>0</v>
      </c>
      <c r="E73" s="171">
        <f t="shared" si="7"/>
        <v>14247</v>
      </c>
      <c r="F73" s="171">
        <v>-923</v>
      </c>
      <c r="G73" s="171">
        <f t="shared" si="8"/>
        <v>13324</v>
      </c>
      <c r="H73" s="172">
        <f t="shared" si="9"/>
        <v>2.4371818393003801E-3</v>
      </c>
      <c r="I73" s="473" t="s">
        <v>693</v>
      </c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'[14]Sch C'!D67</f>
        <v>61804</v>
      </c>
      <c r="D74" s="501">
        <f>'[14]Sch C'!F67</f>
        <v>0</v>
      </c>
      <c r="E74" s="171">
        <f t="shared" si="7"/>
        <v>61804</v>
      </c>
      <c r="F74" s="171"/>
      <c r="G74" s="171">
        <f t="shared" si="8"/>
        <v>61804</v>
      </c>
      <c r="H74" s="172">
        <f t="shared" si="9"/>
        <v>1.1304982467436258E-2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'[14]Sch C'!D68</f>
        <v>0</v>
      </c>
      <c r="D75" s="501">
        <f>'[14]Sch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'[14]Sch C'!D69</f>
        <v>8285</v>
      </c>
      <c r="D76" s="501">
        <f>'[14]Sch C'!F69</f>
        <v>0</v>
      </c>
      <c r="E76" s="171">
        <f t="shared" si="7"/>
        <v>8285</v>
      </c>
      <c r="F76" s="171"/>
      <c r="G76" s="171">
        <f t="shared" si="8"/>
        <v>8285</v>
      </c>
      <c r="H76" s="172">
        <f t="shared" si="9"/>
        <v>1.515464690678749E-3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'[14]Sch C'!D70</f>
        <v>0</v>
      </c>
      <c r="D77" s="501">
        <f>'[14]Sch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'[14]Sch C'!D71</f>
        <v>0</v>
      </c>
      <c r="D78" s="501">
        <f>'[14]Sch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691185</v>
      </c>
      <c r="D79" s="501">
        <f>SUM(D64:D78)</f>
        <v>0</v>
      </c>
      <c r="E79" s="171">
        <f t="shared" ref="E79:F79" si="10">SUM(E64:E78)</f>
        <v>691185</v>
      </c>
      <c r="F79" s="171">
        <f t="shared" si="10"/>
        <v>-212313</v>
      </c>
      <c r="G79" s="171">
        <f>SUM(G64:G78)</f>
        <v>478872</v>
      </c>
      <c r="H79" s="172">
        <f t="shared" si="9"/>
        <v>8.7593676204552065E-2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'[14]Sch C'!D75</f>
        <v>37657</v>
      </c>
      <c r="D82" s="501">
        <f>'[14]Sch C'!F75</f>
        <v>2284</v>
      </c>
      <c r="E82" s="171">
        <f t="shared" ref="E82:E92" si="11">C82+D82</f>
        <v>39941</v>
      </c>
      <c r="F82" s="171"/>
      <c r="G82" s="171">
        <f t="shared" ref="G82:G92" si="12">E82+F82</f>
        <v>39941</v>
      </c>
      <c r="H82" s="172">
        <f t="shared" ref="H82:H93" si="13">IF($G$208=0,0,G82/$G$208)</f>
        <v>7.3058751008328194E-3</v>
      </c>
      <c r="I82" s="473"/>
      <c r="J82" s="183">
        <v>1676</v>
      </c>
      <c r="K82" s="183">
        <v>1778</v>
      </c>
    </row>
    <row r="83" spans="1:11" s="167" customFormat="1">
      <c r="A83" s="169" t="s">
        <v>86</v>
      </c>
      <c r="B83" s="199" t="s">
        <v>45</v>
      </c>
      <c r="C83" s="501">
        <f>'[14]Sch C'!D76</f>
        <v>0</v>
      </c>
      <c r="D83" s="501">
        <f>'[14]Sch C'!F76</f>
        <v>5139</v>
      </c>
      <c r="E83" s="171">
        <f t="shared" si="11"/>
        <v>5139</v>
      </c>
      <c r="F83" s="171"/>
      <c r="G83" s="171">
        <f t="shared" si="12"/>
        <v>5139</v>
      </c>
      <c r="H83" s="172">
        <f t="shared" si="13"/>
        <v>9.4000881658395789E-4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'[14]Sch C'!D77</f>
        <v>11847</v>
      </c>
      <c r="D84" s="501">
        <f>'[14]Sch C'!F77</f>
        <v>0</v>
      </c>
      <c r="E84" s="171">
        <f t="shared" si="11"/>
        <v>11847</v>
      </c>
      <c r="F84" s="171"/>
      <c r="G84" s="171">
        <f t="shared" si="12"/>
        <v>11847</v>
      </c>
      <c r="H84" s="172">
        <f t="shared" si="13"/>
        <v>2.1670139034968183E-3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'[14]Sch C'!D78</f>
        <v>0</v>
      </c>
      <c r="D85" s="501">
        <f>'[14]Sch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'[14]Sch C'!D79</f>
        <v>4240</v>
      </c>
      <c r="D86" s="501">
        <f>'[14]Sch C'!F79</f>
        <v>0</v>
      </c>
      <c r="E86" s="171">
        <f t="shared" si="11"/>
        <v>4240</v>
      </c>
      <c r="F86" s="171"/>
      <c r="G86" s="171">
        <f>E86+F86</f>
        <v>4240</v>
      </c>
      <c r="H86" s="172">
        <f t="shared" si="13"/>
        <v>7.7556672160264276E-4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'[14]Sch C'!D80</f>
        <v>9407</v>
      </c>
      <c r="D87" s="501">
        <f>'[14]Sch C'!F80</f>
        <v>0</v>
      </c>
      <c r="E87" s="171">
        <f t="shared" si="11"/>
        <v>9407</v>
      </c>
      <c r="F87" s="171"/>
      <c r="G87" s="171">
        <f t="shared" si="12"/>
        <v>9407</v>
      </c>
      <c r="H87" s="172">
        <f t="shared" si="13"/>
        <v>1.720697205216052E-3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'[14]Sch C'!D81</f>
        <v>5717</v>
      </c>
      <c r="D88" s="501">
        <f>'[14]Sch C'!F81</f>
        <v>0</v>
      </c>
      <c r="E88" s="171">
        <f t="shared" si="11"/>
        <v>5717</v>
      </c>
      <c r="F88" s="171"/>
      <c r="G88" s="171">
        <f t="shared" si="12"/>
        <v>5717</v>
      </c>
      <c r="H88" s="172">
        <f t="shared" si="13"/>
        <v>1.045734657406205E-3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'[14]Sch C'!D82</f>
        <v>2175</v>
      </c>
      <c r="D89" s="501">
        <f>'[14]Sch C'!F82</f>
        <v>0</v>
      </c>
      <c r="E89" s="171">
        <f t="shared" si="11"/>
        <v>2175</v>
      </c>
      <c r="F89" s="171"/>
      <c r="G89" s="171">
        <f t="shared" si="12"/>
        <v>2175</v>
      </c>
      <c r="H89" s="172">
        <f t="shared" si="13"/>
        <v>3.9784377818060095E-4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'[14]Sch C'!D83</f>
        <v>0</v>
      </c>
      <c r="D90" s="501">
        <f>'[14]Sch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'[14]Sch C'!D84</f>
        <v>112245</v>
      </c>
      <c r="D91" s="501">
        <f>'[14]Sch C'!F84</f>
        <v>0</v>
      </c>
      <c r="E91" s="171">
        <f t="shared" si="11"/>
        <v>112245</v>
      </c>
      <c r="F91" s="171"/>
      <c r="G91" s="171">
        <f t="shared" si="12"/>
        <v>112245</v>
      </c>
      <c r="H91" s="172">
        <f t="shared" si="13"/>
        <v>2.0531482704313358E-2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'[14]Sch C'!D85</f>
        <v>0</v>
      </c>
      <c r="D92" s="501">
        <f>'[14]Sch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183288</v>
      </c>
      <c r="D93" s="501">
        <f>SUM(D82:D92)</f>
        <v>7423</v>
      </c>
      <c r="E93" s="171">
        <f t="shared" ref="E93:F93" si="14">SUM(E82:E92)</f>
        <v>190711</v>
      </c>
      <c r="F93" s="171">
        <f t="shared" si="14"/>
        <v>0</v>
      </c>
      <c r="G93" s="171">
        <f>SUM(G82:G92)</f>
        <v>190711</v>
      </c>
      <c r="H93" s="172">
        <f t="shared" si="13"/>
        <v>3.4884222887632453E-2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'[14]Sch C'!D89</f>
        <v>163612</v>
      </c>
      <c r="D96" s="501">
        <f>'[14]Sch C'!F89</f>
        <v>9924</v>
      </c>
      <c r="E96" s="171">
        <f t="shared" ref="E96:E101" si="15">C96+D96</f>
        <v>173536</v>
      </c>
      <c r="F96" s="171"/>
      <c r="G96" s="171">
        <f t="shared" ref="G96:G101" si="16">E96+F96</f>
        <v>173536</v>
      </c>
      <c r="H96" s="172">
        <f t="shared" ref="H96:H102" si="17">IF($G$208=0,0,G96/$G$208)</f>
        <v>3.1742628915102884E-2</v>
      </c>
      <c r="I96" s="473"/>
      <c r="J96" s="183">
        <v>11977</v>
      </c>
      <c r="K96" s="183">
        <v>12704</v>
      </c>
    </row>
    <row r="97" spans="1:11" s="167" customFormat="1">
      <c r="A97" s="169" t="s">
        <v>86</v>
      </c>
      <c r="B97" s="170" t="s">
        <v>45</v>
      </c>
      <c r="C97" s="501">
        <f>'[14]Sch C'!D90</f>
        <v>0</v>
      </c>
      <c r="D97" s="501">
        <f>'[14]Sch C'!F90</f>
        <v>22328</v>
      </c>
      <c r="E97" s="171">
        <f t="shared" si="15"/>
        <v>22328</v>
      </c>
      <c r="F97" s="171"/>
      <c r="G97" s="171">
        <f t="shared" si="16"/>
        <v>22328</v>
      </c>
      <c r="H97" s="172">
        <f t="shared" si="17"/>
        <v>4.0841636226282563E-3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'[14]Sch C'!D91</f>
        <v>18823</v>
      </c>
      <c r="D98" s="501">
        <f>'[14]Sch C'!F91</f>
        <v>0</v>
      </c>
      <c r="E98" s="171">
        <f t="shared" si="15"/>
        <v>18823</v>
      </c>
      <c r="F98" s="171"/>
      <c r="G98" s="171">
        <f t="shared" si="16"/>
        <v>18823</v>
      </c>
      <c r="H98" s="172">
        <f t="shared" si="17"/>
        <v>3.4430406605487135E-3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'[14]Sch C'!D92</f>
        <v>168815</v>
      </c>
      <c r="D99" s="501">
        <f>'[14]Sch C'!F92</f>
        <v>0</v>
      </c>
      <c r="E99" s="171">
        <f t="shared" si="15"/>
        <v>168815</v>
      </c>
      <c r="F99" s="171"/>
      <c r="G99" s="171">
        <f t="shared" si="16"/>
        <v>168815</v>
      </c>
      <c r="H99" s="172">
        <f t="shared" si="17"/>
        <v>3.0879079270601448E-2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'[14]Sch C'!D93</f>
        <v>13263</v>
      </c>
      <c r="D100" s="501">
        <f>'[14]Sch C'!F93</f>
        <v>0</v>
      </c>
      <c r="E100" s="171">
        <f t="shared" si="15"/>
        <v>13263</v>
      </c>
      <c r="F100" s="171"/>
      <c r="G100" s="171">
        <f t="shared" si="16"/>
        <v>13263</v>
      </c>
      <c r="H100" s="172">
        <f t="shared" si="17"/>
        <v>2.426023921843361E-3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'[14]Sch C'!D94</f>
        <v>0</v>
      </c>
      <c r="D101" s="501">
        <f>'[14]Sch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364513</v>
      </c>
      <c r="D102" s="501">
        <f>SUM(D96:D101)</f>
        <v>32252</v>
      </c>
      <c r="E102" s="171">
        <f t="shared" ref="E102:F102" si="18">SUM(E96:E101)</f>
        <v>396765</v>
      </c>
      <c r="F102" s="171">
        <f t="shared" si="18"/>
        <v>0</v>
      </c>
      <c r="G102" s="171">
        <f>SUM(G96:G101)</f>
        <v>396765</v>
      </c>
      <c r="H102" s="172">
        <f t="shared" si="17"/>
        <v>7.2574936390724668E-2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'[14]Sch C'!D98</f>
        <v>20507</v>
      </c>
      <c r="D105" s="501">
        <f>'[14]Sch C'!F98</f>
        <v>1244</v>
      </c>
      <c r="E105" s="171">
        <f t="shared" ref="E105:E110" si="19">C105+D105</f>
        <v>21751</v>
      </c>
      <c r="F105" s="171"/>
      <c r="G105" s="171">
        <f t="shared" ref="G105:G110" si="20">E105+F105</f>
        <v>21751</v>
      </c>
      <c r="H105" s="172">
        <f t="shared" ref="H105:H111" si="21">IF($G$208=0,0,G105/$G$208)</f>
        <v>3.9786206984856326E-3</v>
      </c>
      <c r="I105" s="473"/>
      <c r="J105" s="183">
        <v>2014</v>
      </c>
      <c r="K105" s="183">
        <v>2136</v>
      </c>
    </row>
    <row r="106" spans="1:11" s="167" customFormat="1">
      <c r="A106" s="169" t="s">
        <v>86</v>
      </c>
      <c r="B106" s="170" t="s">
        <v>45</v>
      </c>
      <c r="C106" s="501">
        <f>'[14]Sch C'!D99</f>
        <v>0</v>
      </c>
      <c r="D106" s="501">
        <f>'[14]Sch C'!F99</f>
        <v>2798</v>
      </c>
      <c r="E106" s="171">
        <f t="shared" si="19"/>
        <v>2798</v>
      </c>
      <c r="F106" s="171"/>
      <c r="G106" s="171">
        <f t="shared" si="20"/>
        <v>2798</v>
      </c>
      <c r="H106" s="172">
        <f t="shared" si="21"/>
        <v>5.1180086958589491E-4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'[14]Sch C'!D100</f>
        <v>821</v>
      </c>
      <c r="D107" s="501">
        <f>'[14]Sch C'!F100</f>
        <v>0</v>
      </c>
      <c r="E107" s="171">
        <f t="shared" si="19"/>
        <v>821</v>
      </c>
      <c r="F107" s="171"/>
      <c r="G107" s="171">
        <f t="shared" si="20"/>
        <v>821</v>
      </c>
      <c r="H107" s="172">
        <f t="shared" si="21"/>
        <v>1.5017459397070041E-4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'[14]Sch C'!D101</f>
        <v>688</v>
      </c>
      <c r="D108" s="501">
        <f>'[14]Sch C'!F101</f>
        <v>0</v>
      </c>
      <c r="E108" s="171">
        <f t="shared" si="19"/>
        <v>688</v>
      </c>
      <c r="F108" s="171"/>
      <c r="G108" s="171">
        <f t="shared" si="20"/>
        <v>688</v>
      </c>
      <c r="H108" s="172">
        <f t="shared" si="21"/>
        <v>1.2584667558080618E-4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'[14]Sch C'!D102</f>
        <v>3127</v>
      </c>
      <c r="D109" s="501">
        <f>'[14]Sch C'!F102</f>
        <v>0</v>
      </c>
      <c r="E109" s="171">
        <f t="shared" si="19"/>
        <v>3127</v>
      </c>
      <c r="F109" s="171"/>
      <c r="G109" s="171">
        <f t="shared" si="20"/>
        <v>3127</v>
      </c>
      <c r="H109" s="172">
        <f t="shared" si="21"/>
        <v>5.7198045718194902E-4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'[14]Sch C'!D103</f>
        <v>0</v>
      </c>
      <c r="D110" s="501">
        <f>'[14]Sch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25143</v>
      </c>
      <c r="D111" s="501">
        <f>SUM(D105:D110)</f>
        <v>4042</v>
      </c>
      <c r="E111" s="171">
        <f t="shared" ref="E111:F111" si="22">SUM(E105:E110)</f>
        <v>29185</v>
      </c>
      <c r="F111" s="171">
        <f t="shared" si="22"/>
        <v>0</v>
      </c>
      <c r="G111" s="171">
        <f>SUM(G105:G110)</f>
        <v>29185</v>
      </c>
      <c r="H111" s="172">
        <f t="shared" si="21"/>
        <v>5.3384232948049835E-3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'[14]Sch C'!D115</f>
        <v>90207</v>
      </c>
      <c r="D114" s="501">
        <f>'[14]Sch C'!F115</f>
        <v>5471</v>
      </c>
      <c r="E114" s="171">
        <f t="shared" ref="E114:E118" si="23">C114+D114</f>
        <v>95678</v>
      </c>
      <c r="F114" s="171"/>
      <c r="G114" s="171">
        <f>E114+F114</f>
        <v>95678</v>
      </c>
      <c r="H114" s="172">
        <f t="shared" ref="H114:H119" si="24">IF($G$208=0,0,G114/$G$208)</f>
        <v>1.7501102072994729E-2</v>
      </c>
      <c r="I114" s="473"/>
      <c r="J114" s="183">
        <v>8337</v>
      </c>
      <c r="K114" s="183">
        <v>8843</v>
      </c>
    </row>
    <row r="115" spans="1:11" s="167" customFormat="1">
      <c r="A115" s="169" t="s">
        <v>86</v>
      </c>
      <c r="B115" s="170" t="s">
        <v>151</v>
      </c>
      <c r="C115" s="501">
        <f>'[14]Sch C'!D116</f>
        <v>0</v>
      </c>
      <c r="D115" s="501">
        <f>'[14]Sch C'!F116</f>
        <v>12310</v>
      </c>
      <c r="E115" s="171">
        <f t="shared" si="23"/>
        <v>12310</v>
      </c>
      <c r="F115" s="171"/>
      <c r="G115" s="171">
        <f>E115+F115</f>
        <v>12310</v>
      </c>
      <c r="H115" s="172">
        <f t="shared" si="24"/>
        <v>2.2517043261623898E-3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'[14]Sch C'!D117</f>
        <v>29513</v>
      </c>
      <c r="D116" s="501">
        <f>'[14]Sch C'!F117</f>
        <v>0</v>
      </c>
      <c r="E116" s="171">
        <f t="shared" si="23"/>
        <v>29513</v>
      </c>
      <c r="F116" s="171">
        <v>923</v>
      </c>
      <c r="G116" s="171">
        <f>E116+F116</f>
        <v>30436</v>
      </c>
      <c r="H116" s="172">
        <f t="shared" si="24"/>
        <v>5.567252061013688E-3</v>
      </c>
      <c r="I116" s="473" t="s">
        <v>693</v>
      </c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'[14]Sch C'!D118</f>
        <v>210</v>
      </c>
      <c r="D117" s="501">
        <f>'[14]Sch C'!F118</f>
        <v>0</v>
      </c>
      <c r="E117" s="171">
        <f t="shared" si="23"/>
        <v>210</v>
      </c>
      <c r="F117" s="171"/>
      <c r="G117" s="171">
        <f>E117+F117</f>
        <v>210</v>
      </c>
      <c r="H117" s="172">
        <f t="shared" si="24"/>
        <v>3.8412502720885608E-5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'[14]Sch C'!D119</f>
        <v>0</v>
      </c>
      <c r="D118" s="501">
        <f>'[14]Sch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119930</v>
      </c>
      <c r="D119" s="501">
        <f>SUM(D114:D118)</f>
        <v>17781</v>
      </c>
      <c r="E119" s="171">
        <f t="shared" ref="E119:F119" si="25">SUM(E114:E118)</f>
        <v>137711</v>
      </c>
      <c r="F119" s="171">
        <f t="shared" si="25"/>
        <v>923</v>
      </c>
      <c r="G119" s="171">
        <f>SUM(G114:G118)</f>
        <v>138634</v>
      </c>
      <c r="H119" s="172">
        <f t="shared" si="24"/>
        <v>2.5358470962891694E-2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'[14]Sch C'!D124</f>
        <v>0</v>
      </c>
      <c r="D123" s="501">
        <f>'[14]Sch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'[14]Sch C'!D125</f>
        <v>160498</v>
      </c>
      <c r="D124" s="501">
        <f>'[14]Sch C'!F125</f>
        <v>9735</v>
      </c>
      <c r="E124" s="171">
        <f t="shared" si="26"/>
        <v>170233</v>
      </c>
      <c r="F124" s="171">
        <v>30800.964620003753</v>
      </c>
      <c r="G124" s="171">
        <f>E124+F124</f>
        <v>201033.96462000377</v>
      </c>
      <c r="H124" s="172">
        <f>IF($G$208=0,0,G124/$G$208)</f>
        <v>3.677246529979198E-2</v>
      </c>
      <c r="I124" s="473" t="s">
        <v>405</v>
      </c>
      <c r="J124" s="183">
        <v>4048</v>
      </c>
      <c r="K124" s="183">
        <v>4294</v>
      </c>
    </row>
    <row r="125" spans="1:11" s="167" customFormat="1">
      <c r="A125" s="163" t="s">
        <v>198</v>
      </c>
      <c r="B125" s="163" t="s">
        <v>195</v>
      </c>
      <c r="C125" s="501">
        <f>'[14]Sch C'!D126</f>
        <v>1120</v>
      </c>
      <c r="D125" s="501">
        <f>'[14]Sch C'!F126</f>
        <v>68</v>
      </c>
      <c r="E125" s="171">
        <f t="shared" si="26"/>
        <v>1188</v>
      </c>
      <c r="F125" s="171"/>
      <c r="G125" s="171">
        <f>E125+F125</f>
        <v>1188</v>
      </c>
      <c r="H125" s="172">
        <f>IF($G$208=0,0,G125/$G$208)</f>
        <v>2.1730501539243859E-4</v>
      </c>
      <c r="I125" s="473"/>
      <c r="J125" s="183">
        <v>35</v>
      </c>
      <c r="K125" s="183">
        <v>37</v>
      </c>
    </row>
    <row r="126" spans="1:11" s="167" customFormat="1">
      <c r="A126" s="169"/>
      <c r="B126" s="163" t="s">
        <v>196</v>
      </c>
      <c r="C126" s="501">
        <f>'[14]Sch C'!D127</f>
        <v>0</v>
      </c>
      <c r="D126" s="501">
        <f>'[14]Sch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'[14]Sch C'!D128</f>
        <v>32154</v>
      </c>
      <c r="D127" s="501">
        <f>'[14]Sch C'!F128</f>
        <v>1950</v>
      </c>
      <c r="E127" s="171">
        <f t="shared" si="26"/>
        <v>34104</v>
      </c>
      <c r="F127" s="171"/>
      <c r="G127" s="171">
        <f>E127+F127</f>
        <v>34104</v>
      </c>
      <c r="H127" s="172">
        <f>IF($G$208=0,0,G127/$G$208)</f>
        <v>6.2381904418718232E-3</v>
      </c>
      <c r="I127" s="473"/>
      <c r="J127" s="183">
        <v>1945</v>
      </c>
      <c r="K127" s="183">
        <v>2063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'[14]Sch C'!D130</f>
        <v>0</v>
      </c>
      <c r="D129" s="501">
        <f>'[14]Sch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'[14]Sch C'!D131</f>
        <v>0</v>
      </c>
      <c r="D130" s="501">
        <f>'[14]Sch C'!F131</f>
        <v>21903</v>
      </c>
      <c r="E130" s="171">
        <f t="shared" si="27"/>
        <v>21903</v>
      </c>
      <c r="F130" s="171">
        <v>3875.9607436339802</v>
      </c>
      <c r="G130" s="171">
        <f>E130+F130</f>
        <v>25778.960743633979</v>
      </c>
      <c r="H130" s="172">
        <f>IF($G$208=0,0,G130/$G$208)</f>
        <v>4.7154019033640165E-3</v>
      </c>
      <c r="I130" s="473" t="s">
        <v>405</v>
      </c>
      <c r="J130" s="204"/>
      <c r="K130" s="204"/>
    </row>
    <row r="131" spans="1:11" s="167" customFormat="1">
      <c r="B131" s="163" t="s">
        <v>195</v>
      </c>
      <c r="C131" s="501">
        <f>'[14]Sch C'!D132</f>
        <v>0</v>
      </c>
      <c r="D131" s="501">
        <f>'[14]Sch C'!F132</f>
        <v>153</v>
      </c>
      <c r="E131" s="171">
        <f t="shared" si="27"/>
        <v>153</v>
      </c>
      <c r="F131" s="171"/>
      <c r="G131" s="171">
        <f>E131+F131</f>
        <v>153</v>
      </c>
      <c r="H131" s="172">
        <f>IF($G$208=0,0,G131/$G$208)</f>
        <v>2.7986251982359514E-5</v>
      </c>
      <c r="I131" s="473"/>
      <c r="J131" s="168"/>
      <c r="K131" s="168"/>
    </row>
    <row r="132" spans="1:11" s="167" customFormat="1">
      <c r="B132" s="163" t="s">
        <v>196</v>
      </c>
      <c r="C132" s="501">
        <f>'[14]Sch C'!D133</f>
        <v>0</v>
      </c>
      <c r="D132" s="501">
        <f>'[14]Sch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'[14]Sch C'!D134</f>
        <v>0</v>
      </c>
      <c r="D133" s="501">
        <f>'[14]Sch C'!F134</f>
        <v>4388</v>
      </c>
      <c r="E133" s="171">
        <f t="shared" si="27"/>
        <v>4388</v>
      </c>
      <c r="F133" s="171"/>
      <c r="G133" s="171">
        <f>E133+F133</f>
        <v>4388</v>
      </c>
      <c r="H133" s="172">
        <f>IF($G$208=0,0,G133/$G$208)</f>
        <v>8.02638390186886E-4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'[14]Sch C'!D136</f>
        <v>426816</v>
      </c>
      <c r="D135" s="501">
        <f>'[14]Sch C'!F136</f>
        <v>25888</v>
      </c>
      <c r="E135" s="171">
        <f t="shared" ref="E135:E138" si="28">C135+D135</f>
        <v>452704</v>
      </c>
      <c r="F135" s="171"/>
      <c r="G135" s="171">
        <f>E135+F135</f>
        <v>452704</v>
      </c>
      <c r="H135" s="172">
        <f>IF($G$208=0,0,G135/$G$208)</f>
        <v>8.2807112532170477E-2</v>
      </c>
      <c r="I135" s="473"/>
      <c r="J135" s="183">
        <v>14390</v>
      </c>
      <c r="K135" s="183">
        <v>15263</v>
      </c>
    </row>
    <row r="136" spans="1:11" s="167" customFormat="1">
      <c r="A136" s="169"/>
      <c r="B136" s="163" t="s">
        <v>195</v>
      </c>
      <c r="C136" s="501">
        <f>'[14]Sch C'!D137</f>
        <v>260754</v>
      </c>
      <c r="D136" s="501">
        <f>'[14]Sch C'!F137</f>
        <v>15816</v>
      </c>
      <c r="E136" s="171">
        <f t="shared" si="28"/>
        <v>276570</v>
      </c>
      <c r="F136" s="171"/>
      <c r="G136" s="171">
        <f>E136+F136</f>
        <v>276570</v>
      </c>
      <c r="H136" s="172">
        <f>IF($G$208=0,0,G136/$G$208)</f>
        <v>5.0589266083406345E-2</v>
      </c>
      <c r="I136" s="473"/>
      <c r="J136" s="183">
        <v>10037</v>
      </c>
      <c r="K136" s="183">
        <v>10646</v>
      </c>
    </row>
    <row r="137" spans="1:11" s="167" customFormat="1">
      <c r="A137" s="169"/>
      <c r="B137" s="163" t="s">
        <v>196</v>
      </c>
      <c r="C137" s="501">
        <f>'[14]Sch C'!D138</f>
        <v>579407</v>
      </c>
      <c r="D137" s="501">
        <f>'[14]Sch C'!F138</f>
        <v>35143</v>
      </c>
      <c r="E137" s="171">
        <f t="shared" si="28"/>
        <v>614550</v>
      </c>
      <c r="F137" s="171"/>
      <c r="G137" s="171">
        <f>E137+F137</f>
        <v>614550</v>
      </c>
      <c r="H137" s="172">
        <f>IF($G$208=0,0,G137/$G$208)</f>
        <v>0.11241144546247739</v>
      </c>
      <c r="I137" s="473"/>
      <c r="J137" s="183">
        <v>43079</v>
      </c>
      <c r="K137" s="183">
        <v>45692</v>
      </c>
    </row>
    <row r="138" spans="1:11" s="167" customFormat="1">
      <c r="A138" s="169"/>
      <c r="B138" s="163" t="s">
        <v>197</v>
      </c>
      <c r="C138" s="501">
        <f>'[14]Sch C'!D139</f>
        <v>65394</v>
      </c>
      <c r="D138" s="501">
        <f>'[14]Sch C'!F139</f>
        <v>3966</v>
      </c>
      <c r="E138" s="171">
        <f t="shared" si="28"/>
        <v>69360</v>
      </c>
      <c r="F138" s="171"/>
      <c r="G138" s="171">
        <f>E138+F138</f>
        <v>69360</v>
      </c>
      <c r="H138" s="172">
        <f>IF($G$208=0,0,G138/$G$208)</f>
        <v>1.2687100898669647E-2</v>
      </c>
      <c r="I138" s="473"/>
      <c r="J138" s="183">
        <v>4698</v>
      </c>
      <c r="K138" s="183">
        <v>4983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'[14]Sch C'!D141</f>
        <v>0</v>
      </c>
      <c r="D140" s="501">
        <f>'[14]Sch C'!F141</f>
        <v>58246</v>
      </c>
      <c r="E140" s="171">
        <f t="shared" ref="E140:E143" si="29">C140+D140</f>
        <v>58246</v>
      </c>
      <c r="F140" s="171"/>
      <c r="G140" s="171">
        <f>E140+F140</f>
        <v>58246</v>
      </c>
      <c r="H140" s="172">
        <f>IF($G$208=0,0,G140/$G$208)</f>
        <v>1.0654164921336681E-2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'[14]Sch C'!D142</f>
        <v>0</v>
      </c>
      <c r="D141" s="501">
        <f>'[14]Sch C'!F142</f>
        <v>35584</v>
      </c>
      <c r="E141" s="171">
        <f t="shared" si="29"/>
        <v>35584</v>
      </c>
      <c r="F141" s="171"/>
      <c r="G141" s="171">
        <f>E141+F141</f>
        <v>35584</v>
      </c>
      <c r="H141" s="172">
        <f>IF($G$208=0,0,G141/$G$208)</f>
        <v>6.5089071277142545E-3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'[14]Sch C'!D143</f>
        <v>0</v>
      </c>
      <c r="D142" s="501">
        <f>'[14]Sch C'!F143</f>
        <v>79069</v>
      </c>
      <c r="E142" s="171">
        <f t="shared" si="29"/>
        <v>79069</v>
      </c>
      <c r="F142" s="171"/>
      <c r="G142" s="171">
        <f>E142+F142</f>
        <v>79069</v>
      </c>
      <c r="H142" s="172">
        <f>IF($G$208=0,0,G142/$G$208)</f>
        <v>1.4463038941131925E-2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'[14]Sch C'!D144</f>
        <v>0</v>
      </c>
      <c r="D143" s="501">
        <f>'[14]Sch C'!F144</f>
        <v>8925</v>
      </c>
      <c r="E143" s="171">
        <f t="shared" si="29"/>
        <v>8925</v>
      </c>
      <c r="F143" s="171"/>
      <c r="G143" s="171">
        <f>E143+F143</f>
        <v>8925</v>
      </c>
      <c r="H143" s="172">
        <f>IF($G$208=0,0,G143/$G$208)</f>
        <v>1.6325313656376384E-3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'[14]Sch C'!D146</f>
        <v>23925</v>
      </c>
      <c r="D145" s="501">
        <f>'[14]Sch C'!F146</f>
        <v>0</v>
      </c>
      <c r="E145" s="171">
        <f t="shared" ref="E145:E153" si="30">C145+D145</f>
        <v>23925</v>
      </c>
      <c r="F145" s="171"/>
      <c r="G145" s="171">
        <f t="shared" ref="G145:G153" si="31">E145+F145</f>
        <v>23925</v>
      </c>
      <c r="H145" s="172">
        <f t="shared" ref="H145:H153" si="32">IF($G$208=0,0,G145/$G$208)</f>
        <v>4.3762815599866101E-3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'[14]Sch C'!D147</f>
        <v>0</v>
      </c>
      <c r="D146" s="501">
        <f>'[14]Sch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'[14]Sch C'!D148</f>
        <v>0</v>
      </c>
      <c r="D147" s="501">
        <f>'[14]Sch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'[14]Sch C'!D149</f>
        <v>39453</v>
      </c>
      <c r="D148" s="501">
        <f>'[14]Sch C'!F149</f>
        <v>0</v>
      </c>
      <c r="E148" s="171">
        <f t="shared" si="30"/>
        <v>39453</v>
      </c>
      <c r="F148" s="171"/>
      <c r="G148" s="171">
        <f t="shared" si="31"/>
        <v>39453</v>
      </c>
      <c r="H148" s="172">
        <f t="shared" si="32"/>
        <v>7.2166117611766663E-3</v>
      </c>
      <c r="I148" s="473"/>
      <c r="J148" s="183">
        <v>1662</v>
      </c>
      <c r="K148" s="183">
        <v>1662</v>
      </c>
    </row>
    <row r="149" spans="1:11" s="167" customFormat="1">
      <c r="A149" s="169"/>
      <c r="B149" s="163" t="s">
        <v>197</v>
      </c>
      <c r="C149" s="501">
        <f>'[14]Sch C'!D150</f>
        <v>17972</v>
      </c>
      <c r="D149" s="501">
        <f>'[14]Sch C'!F150</f>
        <v>0</v>
      </c>
      <c r="E149" s="171">
        <f t="shared" si="30"/>
        <v>17972</v>
      </c>
      <c r="F149" s="171"/>
      <c r="G149" s="171">
        <f t="shared" si="31"/>
        <v>17972</v>
      </c>
      <c r="H149" s="172">
        <f t="shared" si="32"/>
        <v>3.2873785661893151E-3</v>
      </c>
      <c r="I149" s="473"/>
      <c r="J149" s="183">
        <v>1498</v>
      </c>
      <c r="K149" s="183">
        <v>1498</v>
      </c>
    </row>
    <row r="150" spans="1:11" s="167" customFormat="1">
      <c r="A150" s="169">
        <v>110</v>
      </c>
      <c r="B150" s="167" t="s">
        <v>65</v>
      </c>
      <c r="C150" s="501">
        <f>'[14]Sch C'!D151</f>
        <v>75489</v>
      </c>
      <c r="D150" s="501">
        <f>'[14]Sch C'!F151</f>
        <v>0</v>
      </c>
      <c r="E150" s="171">
        <f t="shared" si="30"/>
        <v>75489</v>
      </c>
      <c r="F150" s="171"/>
      <c r="G150" s="171">
        <f t="shared" si="31"/>
        <v>75489</v>
      </c>
      <c r="H150" s="172">
        <f t="shared" si="32"/>
        <v>1.3808197228080637E-2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'[14]Sch C'!D152</f>
        <v>3529</v>
      </c>
      <c r="D151" s="501">
        <f>'[14]Sch C'!F152</f>
        <v>0</v>
      </c>
      <c r="E151" s="171">
        <f t="shared" si="30"/>
        <v>3529</v>
      </c>
      <c r="F151" s="171"/>
      <c r="G151" s="171">
        <f t="shared" si="31"/>
        <v>3529</v>
      </c>
      <c r="H151" s="172">
        <f t="shared" si="32"/>
        <v>6.4551296239050149E-4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'[14]Sch C'!D153</f>
        <v>109</v>
      </c>
      <c r="D152" s="501">
        <f>'[14]Sch C'!F153</f>
        <v>0</v>
      </c>
      <c r="E152" s="171">
        <f t="shared" si="30"/>
        <v>109</v>
      </c>
      <c r="F152" s="171"/>
      <c r="G152" s="171">
        <f t="shared" si="31"/>
        <v>109</v>
      </c>
      <c r="H152" s="172">
        <f t="shared" si="32"/>
        <v>1.9937918078935865E-5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'[14]Sch C'!D154</f>
        <v>0</v>
      </c>
      <c r="D153" s="501">
        <f>'[14]Sch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'[14]Sch C'!D156</f>
        <v>0</v>
      </c>
      <c r="D155" s="501">
        <f>'[14]Sch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'[14]Sch C'!D157</f>
        <v>0</v>
      </c>
      <c r="D156" s="501">
        <f>'[14]Sch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'[14]Sch C'!D158</f>
        <v>0</v>
      </c>
      <c r="D157" s="501">
        <f>'[14]Sch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'[14]Sch C'!D159</f>
        <v>0</v>
      </c>
      <c r="D158" s="501">
        <f>'[14]Sch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'[14]Sch C'!D160</f>
        <v>0</v>
      </c>
      <c r="D159" s="501">
        <f>'[14]Sch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'[14]Sch C'!D161</f>
        <v>1395</v>
      </c>
      <c r="D160" s="501">
        <f>'[14]Sch C'!F161</f>
        <v>0</v>
      </c>
      <c r="E160" s="171">
        <f t="shared" si="33"/>
        <v>1395</v>
      </c>
      <c r="F160" s="171"/>
      <c r="G160" s="171">
        <f t="shared" si="34"/>
        <v>1395</v>
      </c>
      <c r="H160" s="172">
        <f t="shared" si="35"/>
        <v>2.5516876807445441E-4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1688015</v>
      </c>
      <c r="D161" s="501">
        <f>SUM(D123:D160)</f>
        <v>300834</v>
      </c>
      <c r="E161" s="171">
        <f t="shared" ref="E161:F161" si="36">SUM(E123:E160)</f>
        <v>1988849</v>
      </c>
      <c r="F161" s="171">
        <f t="shared" si="36"/>
        <v>34676.925363637733</v>
      </c>
      <c r="G161" s="171">
        <f>SUM(G123:G160)</f>
        <v>2023525.9253636377</v>
      </c>
      <c r="H161" s="172">
        <f t="shared" si="35"/>
        <v>0.37013664339911095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'[14]Sch C'!D175</f>
        <v>0</v>
      </c>
      <c r="D164" s="501">
        <f>'[14]Sch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'[14]Sch C'!D176</f>
        <v>0</v>
      </c>
      <c r="D165" s="501">
        <f>'[14]Sch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'[14]Sch C'!D177</f>
        <v>150514</v>
      </c>
      <c r="D166" s="501">
        <f>'[14]Sch C'!F177</f>
        <v>9129</v>
      </c>
      <c r="E166" s="171">
        <f t="shared" si="37"/>
        <v>159643</v>
      </c>
      <c r="F166" s="216"/>
      <c r="G166" s="171">
        <f t="shared" si="38"/>
        <v>159643</v>
      </c>
      <c r="H166" s="172">
        <f t="shared" si="39"/>
        <v>2.9201367485096864E-2</v>
      </c>
      <c r="I166" s="483"/>
      <c r="J166" s="183">
        <v>4967</v>
      </c>
      <c r="K166" s="183">
        <v>5268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'[14]Sch C'!D178</f>
        <v>0</v>
      </c>
      <c r="D167" s="501">
        <f>'[14]Sch C'!F178</f>
        <v>20540</v>
      </c>
      <c r="E167" s="171">
        <f t="shared" si="37"/>
        <v>20540</v>
      </c>
      <c r="F167" s="216"/>
      <c r="G167" s="171">
        <f t="shared" si="38"/>
        <v>20540</v>
      </c>
      <c r="H167" s="172">
        <f t="shared" si="39"/>
        <v>3.7571085994618589E-3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'[14]Sch C'!D179</f>
        <v>33356</v>
      </c>
      <c r="D168" s="501">
        <f>'[14]Sch C'!F179</f>
        <v>2023</v>
      </c>
      <c r="E168" s="171">
        <f t="shared" si="37"/>
        <v>35379</v>
      </c>
      <c r="F168" s="216"/>
      <c r="G168" s="171">
        <f t="shared" si="38"/>
        <v>35379</v>
      </c>
      <c r="H168" s="172">
        <f t="shared" si="39"/>
        <v>6.4714092083914855E-3</v>
      </c>
      <c r="I168" s="483"/>
      <c r="J168" s="183">
        <v>827</v>
      </c>
      <c r="K168" s="183">
        <v>877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'[14]Sch C'!D180</f>
        <v>0</v>
      </c>
      <c r="D169" s="501">
        <f>'[14]Sch C'!F180</f>
        <v>4552</v>
      </c>
      <c r="E169" s="171">
        <f t="shared" si="37"/>
        <v>4552</v>
      </c>
      <c r="F169" s="216"/>
      <c r="G169" s="171">
        <f t="shared" si="38"/>
        <v>4552</v>
      </c>
      <c r="H169" s="172">
        <f t="shared" si="39"/>
        <v>8.326367256451014E-4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'[14]Sch C'!D181</f>
        <v>0</v>
      </c>
      <c r="D170" s="501">
        <f>'[14]Sch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'[14]Sch C'!D182</f>
        <v>0</v>
      </c>
      <c r="D171" s="501">
        <f>'[14]Sch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'[14]Sch C'!D183</f>
        <v>102268</v>
      </c>
      <c r="D172" s="501">
        <f>'[14]Sch C'!F183</f>
        <v>6203</v>
      </c>
      <c r="E172" s="171">
        <f t="shared" si="37"/>
        <v>108471</v>
      </c>
      <c r="F172" s="216"/>
      <c r="G172" s="171">
        <f t="shared" si="38"/>
        <v>108471</v>
      </c>
      <c r="H172" s="172">
        <f t="shared" si="39"/>
        <v>1.9841155155415156E-2</v>
      </c>
      <c r="I172" s="483"/>
      <c r="J172" s="183">
        <v>3440</v>
      </c>
      <c r="K172" s="183">
        <v>3649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'[14]Sch C'!D184</f>
        <v>0</v>
      </c>
      <c r="D173" s="501">
        <f>'[14]Sch C'!F184</f>
        <v>13956</v>
      </c>
      <c r="E173" s="171">
        <f t="shared" si="37"/>
        <v>13956</v>
      </c>
      <c r="F173" s="216"/>
      <c r="G173" s="171">
        <f t="shared" si="38"/>
        <v>13956</v>
      </c>
      <c r="H173" s="172">
        <f t="shared" si="39"/>
        <v>2.5527851808222835E-3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'[14]Sch C'!D185</f>
        <v>0</v>
      </c>
      <c r="D174" s="501">
        <f>'[14]Sch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'[14]Sch C'!D186</f>
        <v>0</v>
      </c>
      <c r="D175" s="501">
        <f>'[14]Sch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'[14]Sch C'!D187</f>
        <v>0</v>
      </c>
      <c r="D176" s="501">
        <f>'[14]Sch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'[14]Sch C'!D188</f>
        <v>0</v>
      </c>
      <c r="D177" s="501">
        <f>'[14]Sch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'[14]Sch C'!D189</f>
        <v>0</v>
      </c>
      <c r="D178" s="501">
        <f>'[14]Sch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'[14]Sch C'!D190</f>
        <v>0</v>
      </c>
      <c r="D179" s="501">
        <f>'[14]Sch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'[14]Sch C'!D191</f>
        <v>0</v>
      </c>
      <c r="D180" s="501">
        <f>'[14]Sch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'[14]Sch C'!D192</f>
        <v>0</v>
      </c>
      <c r="D181" s="501">
        <f>'[14]Sch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'[14]Sch C'!D193</f>
        <v>0</v>
      </c>
      <c r="D182" s="501">
        <f>'[14]Sch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'[14]Sch C'!D194</f>
        <v>0</v>
      </c>
      <c r="D183" s="501">
        <f>'[14]Sch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'[14]Sch C'!D195</f>
        <v>332</v>
      </c>
      <c r="D184" s="501">
        <f>'[14]Sch C'!F195</f>
        <v>0</v>
      </c>
      <c r="E184" s="171">
        <f t="shared" si="37"/>
        <v>332</v>
      </c>
      <c r="F184" s="216"/>
      <c r="G184" s="171">
        <f t="shared" si="38"/>
        <v>332</v>
      </c>
      <c r="H184" s="172">
        <f t="shared" si="39"/>
        <v>6.0728337634923917E-5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'[14]Sch C'!D196</f>
        <v>0</v>
      </c>
      <c r="D185" s="501">
        <f>'[14]Sch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'[14]Sch C'!D197</f>
        <v>0</v>
      </c>
      <c r="D186" s="501">
        <f>'[14]Sch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'[14]Sch C'!D198</f>
        <v>36450</v>
      </c>
      <c r="D187" s="501">
        <f>'[14]Sch C'!F198</f>
        <v>-5631</v>
      </c>
      <c r="E187" s="171">
        <f t="shared" si="37"/>
        <v>30819</v>
      </c>
      <c r="F187" s="216"/>
      <c r="G187" s="171">
        <f t="shared" si="38"/>
        <v>30819</v>
      </c>
      <c r="H187" s="172">
        <f t="shared" si="39"/>
        <v>5.6373091493093982E-3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'[14]Sch C'!D199</f>
        <v>0</v>
      </c>
      <c r="D188" s="501">
        <f>'[14]Sch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'[14]Sch C'!D200</f>
        <v>0</v>
      </c>
      <c r="D189" s="501">
        <f>'[14]Sch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'[14]Sch C'!D201</f>
        <v>0</v>
      </c>
      <c r="D190" s="501">
        <f>'[14]Sch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'[14]Sch C'!D202</f>
        <v>0</v>
      </c>
      <c r="D191" s="501">
        <f>'[14]Sch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'[14]Sch C'!D203</f>
        <v>0</v>
      </c>
      <c r="D192" s="501">
        <f>'[14]Sch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'[14]Sch C'!D204</f>
        <v>0</v>
      </c>
      <c r="D193" s="501">
        <f>'[14]Sch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'[14]Sch C'!D205</f>
        <v>146721</v>
      </c>
      <c r="D194" s="501">
        <f>'[14]Sch C'!F205</f>
        <v>0</v>
      </c>
      <c r="E194" s="171">
        <f t="shared" si="37"/>
        <v>146721</v>
      </c>
      <c r="F194" s="216">
        <v>5883</v>
      </c>
      <c r="G194" s="171">
        <f t="shared" si="38"/>
        <v>152604</v>
      </c>
      <c r="H194" s="172">
        <f t="shared" si="39"/>
        <v>2.7913816977228702E-2</v>
      </c>
      <c r="I194" s="473" t="s">
        <v>693</v>
      </c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'[14]Sch C'!D206</f>
        <v>7035</v>
      </c>
      <c r="D195" s="501">
        <f>'[14]Sch C'!F206</f>
        <v>0</v>
      </c>
      <c r="E195" s="171">
        <f t="shared" si="37"/>
        <v>7035</v>
      </c>
      <c r="F195" s="216"/>
      <c r="G195" s="171">
        <f t="shared" si="38"/>
        <v>7035</v>
      </c>
      <c r="H195" s="172">
        <f t="shared" si="39"/>
        <v>1.2868188411496678E-3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'[14]Sch C'!D207</f>
        <v>14851</v>
      </c>
      <c r="D196" s="501">
        <f>'[14]Sch C'!F207</f>
        <v>-1875</v>
      </c>
      <c r="E196" s="171">
        <f t="shared" si="37"/>
        <v>12976</v>
      </c>
      <c r="F196" s="216"/>
      <c r="G196" s="171">
        <f t="shared" si="38"/>
        <v>12976</v>
      </c>
      <c r="H196" s="172">
        <f t="shared" si="39"/>
        <v>2.3735268347914841E-3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491527</v>
      </c>
      <c r="D197" s="501">
        <f>SUM(D164:D196)</f>
        <v>48897</v>
      </c>
      <c r="E197" s="171">
        <f t="shared" ref="E197:F197" si="40">SUM(E164:E196)</f>
        <v>540424</v>
      </c>
      <c r="F197" s="171">
        <f t="shared" si="40"/>
        <v>5883</v>
      </c>
      <c r="G197" s="171">
        <f>SUM(G164:G196)</f>
        <v>546307</v>
      </c>
      <c r="H197" s="172">
        <f>IF($G$208=0,0,G197/$G$208)</f>
        <v>9.9928662494946932E-2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'[14]Sch C'!D211</f>
        <v>85324</v>
      </c>
      <c r="D200" s="501">
        <f>'[14]Sch C'!F211</f>
        <v>5175</v>
      </c>
      <c r="E200" s="171">
        <f t="shared" ref="E200:E205" si="41">C200+D200</f>
        <v>90499</v>
      </c>
      <c r="F200" s="171"/>
      <c r="G200" s="171">
        <f t="shared" ref="G200:G205" si="42">E200+F200</f>
        <v>90499</v>
      </c>
      <c r="H200" s="172">
        <f t="shared" ref="H200:H206" si="43">IF($G$208=0,0,G200/$G$208)</f>
        <v>1.6553776589225841E-2</v>
      </c>
      <c r="I200" s="473"/>
      <c r="J200" s="183">
        <v>5300</v>
      </c>
      <c r="K200" s="183">
        <v>5621</v>
      </c>
    </row>
    <row r="201" spans="1:14" s="167" customFormat="1">
      <c r="A201" s="169" t="s">
        <v>86</v>
      </c>
      <c r="B201" s="170" t="s">
        <v>45</v>
      </c>
      <c r="C201" s="501">
        <f>'[14]Sch C'!D212</f>
        <v>0</v>
      </c>
      <c r="D201" s="501">
        <f>'[14]Sch C'!F212</f>
        <v>11644</v>
      </c>
      <c r="E201" s="171">
        <f t="shared" si="41"/>
        <v>11644</v>
      </c>
      <c r="F201" s="171"/>
      <c r="G201" s="171">
        <f t="shared" si="42"/>
        <v>11644</v>
      </c>
      <c r="H201" s="172">
        <f t="shared" si="43"/>
        <v>2.1298818175332955E-3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'[14]Sch C'!D213</f>
        <v>3082</v>
      </c>
      <c r="D202" s="501">
        <f>'[14]Sch C'!F213</f>
        <v>0</v>
      </c>
      <c r="E202" s="171">
        <f t="shared" si="41"/>
        <v>3082</v>
      </c>
      <c r="F202" s="171"/>
      <c r="G202" s="171">
        <f t="shared" si="42"/>
        <v>3082</v>
      </c>
      <c r="H202" s="172">
        <f t="shared" si="43"/>
        <v>5.6374920659890216E-4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'[14]Sch C'!D214</f>
        <v>0</v>
      </c>
      <c r="D203" s="501">
        <f>'[14]Sch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'[14]Sch C'!D215</f>
        <v>0</v>
      </c>
      <c r="D204" s="501">
        <f>'[14]Sch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'[14]Sch C'!D216</f>
        <v>5123</v>
      </c>
      <c r="D205" s="501">
        <f>'[14]Sch C'!F216</f>
        <v>0</v>
      </c>
      <c r="E205" s="171">
        <f t="shared" si="41"/>
        <v>5123</v>
      </c>
      <c r="F205" s="171">
        <v>1333.9</v>
      </c>
      <c r="G205" s="171">
        <f t="shared" si="42"/>
        <v>6456.9</v>
      </c>
      <c r="H205" s="172">
        <f t="shared" si="43"/>
        <v>1.1810747086594584E-3</v>
      </c>
      <c r="I205" s="473" t="s">
        <v>635</v>
      </c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93529</v>
      </c>
      <c r="D206" s="501">
        <f>SUM(D200:D205)</f>
        <v>16819</v>
      </c>
      <c r="E206" s="171">
        <f t="shared" ref="E206:F206" si="44">SUM(E200:E205)</f>
        <v>110348</v>
      </c>
      <c r="F206" s="171">
        <f t="shared" si="44"/>
        <v>1333.9</v>
      </c>
      <c r="G206" s="171">
        <f>SUM(G200:G205)</f>
        <v>111681.9</v>
      </c>
      <c r="H206" s="172">
        <f t="shared" si="43"/>
        <v>2.0428482322017497E-2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5725464</v>
      </c>
      <c r="D208" s="501">
        <f>SUM(D25:D206)/2</f>
        <v>-40940</v>
      </c>
      <c r="E208" s="171">
        <f t="shared" ref="E208:F208" si="45">SUM(E25:E206)/2</f>
        <v>5684524</v>
      </c>
      <c r="F208" s="171">
        <f t="shared" si="45"/>
        <v>-217553.99999999994</v>
      </c>
      <c r="G208" s="171">
        <f>SUM(G25:G206)/2</f>
        <v>5466970</v>
      </c>
      <c r="H208" s="172">
        <f>IF($G$208=0,0,G208/$G$208)</f>
        <v>1</v>
      </c>
      <c r="I208" s="473"/>
      <c r="J208" s="183">
        <f>SUM(J25:J200)</f>
        <v>128985</v>
      </c>
      <c r="K208" s="183">
        <f>SUM(K25:K200)</f>
        <v>136618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'[14]Sch C'!D221</f>
        <v>5725464</v>
      </c>
      <c r="D211" s="196"/>
      <c r="E211" s="165"/>
      <c r="F211" s="420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20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534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591690</v>
      </c>
      <c r="D215" s="501">
        <f>D21-D208</f>
        <v>40940</v>
      </c>
      <c r="E215" s="171">
        <f t="shared" ref="E215:F215" si="46">E21-E208</f>
        <v>632630</v>
      </c>
      <c r="F215" s="171">
        <f t="shared" si="46"/>
        <v>991611</v>
      </c>
      <c r="G215" s="171">
        <f>G21-G208</f>
        <v>1624241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'[14]Sch D'!C9</f>
        <v>17287</v>
      </c>
      <c r="D219" s="530"/>
      <c r="E219" s="234">
        <f t="shared" ref="E219:G227" si="47">C219+D219</f>
        <v>17287</v>
      </c>
      <c r="F219" s="233"/>
      <c r="G219" s="234">
        <f t="shared" si="47"/>
        <v>17287</v>
      </c>
      <c r="H219" s="172">
        <f t="shared" ref="H219:H228" si="48">IF($G$228=0,0,G219/$G$228)</f>
        <v>0.73743707874754716</v>
      </c>
      <c r="I219" s="473"/>
      <c r="J219" s="168"/>
      <c r="K219" s="168"/>
    </row>
    <row r="220" spans="1:11">
      <c r="A220" s="163"/>
      <c r="B220" s="170" t="s">
        <v>217</v>
      </c>
      <c r="C220" s="530">
        <f>'[14]Sch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'[14]Sch D'!E9</f>
        <v>2280</v>
      </c>
      <c r="D221" s="530"/>
      <c r="E221" s="234">
        <f t="shared" si="49"/>
        <v>2280</v>
      </c>
      <c r="F221" s="233"/>
      <c r="G221" s="234">
        <f t="shared" si="47"/>
        <v>2280</v>
      </c>
      <c r="H221" s="172">
        <f t="shared" si="48"/>
        <v>9.7261325825441516E-2</v>
      </c>
      <c r="I221" s="473"/>
      <c r="J221" s="168"/>
      <c r="K221" s="168"/>
    </row>
    <row r="222" spans="1:11">
      <c r="A222" s="163"/>
      <c r="B222" s="202" t="s">
        <v>334</v>
      </c>
      <c r="C222" s="530">
        <f>'[14]Sch D'!F9</f>
        <v>1558</v>
      </c>
      <c r="D222" s="530"/>
      <c r="E222" s="234">
        <f>C222+D222</f>
        <v>1558</v>
      </c>
      <c r="F222" s="233"/>
      <c r="G222" s="234">
        <f>E222+F222</f>
        <v>1558</v>
      </c>
      <c r="H222" s="172">
        <f t="shared" si="48"/>
        <v>6.6461905980718369E-2</v>
      </c>
      <c r="I222" s="473"/>
      <c r="J222" s="168"/>
      <c r="K222" s="168"/>
    </row>
    <row r="223" spans="1:11">
      <c r="A223" s="163"/>
      <c r="B223" s="170" t="s">
        <v>73</v>
      </c>
      <c r="C223" s="530">
        <f>'[14]Sch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'[14]Sch D'!H9</f>
        <v>680</v>
      </c>
      <c r="D224" s="530"/>
      <c r="E224" s="234">
        <f t="shared" si="49"/>
        <v>680</v>
      </c>
      <c r="F224" s="233"/>
      <c r="G224" s="234">
        <f t="shared" si="47"/>
        <v>680</v>
      </c>
      <c r="H224" s="172">
        <f t="shared" si="48"/>
        <v>2.9007763842675539E-2</v>
      </c>
      <c r="I224" s="473"/>
      <c r="J224" s="168"/>
      <c r="K224" s="168"/>
    </row>
    <row r="225" spans="1:11">
      <c r="A225" s="163"/>
      <c r="B225" s="170" t="s">
        <v>236</v>
      </c>
      <c r="C225" s="530">
        <f>'[14]Sch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'[14]Sch D'!J9</f>
        <v>1637</v>
      </c>
      <c r="D226" s="530"/>
      <c r="E226" s="234">
        <f>C226+D226</f>
        <v>1637</v>
      </c>
      <c r="F226" s="233"/>
      <c r="G226" s="234">
        <f>E226+F226</f>
        <v>1637</v>
      </c>
      <c r="H226" s="172">
        <f t="shared" si="48"/>
        <v>6.9831925603617437E-2</v>
      </c>
      <c r="I226" s="473"/>
      <c r="J226" s="168"/>
      <c r="K226" s="168"/>
    </row>
    <row r="227" spans="1:11">
      <c r="A227" s="163"/>
      <c r="B227" s="170" t="s">
        <v>179</v>
      </c>
      <c r="C227" s="530">
        <f>'[14]Sch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23442</v>
      </c>
      <c r="D228" s="530">
        <f>SUM(D219:D227)</f>
        <v>0</v>
      </c>
      <c r="E228" s="236">
        <f>SUM(E219:E227)</f>
        <v>23442</v>
      </c>
      <c r="F228" s="236">
        <f>SUM(F219:F227)</f>
        <v>0</v>
      </c>
      <c r="G228" s="236">
        <f>SUM(G219:G227)</f>
        <v>23442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'[14]Sch D'!N22</f>
        <v>108</v>
      </c>
      <c r="D231" s="502"/>
      <c r="E231" s="234">
        <f>C231+D231</f>
        <v>108</v>
      </c>
      <c r="F231" s="234"/>
      <c r="G231" s="234">
        <f>E231+F231</f>
        <v>108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'[14]Sch D'!N24</f>
        <v>108</v>
      </c>
      <c r="D232" s="502"/>
      <c r="E232" s="234">
        <f>C232+D232</f>
        <v>108</v>
      </c>
      <c r="F232" s="234"/>
      <c r="G232" s="234">
        <f>E232+F232</f>
        <v>108</v>
      </c>
      <c r="H232" s="167"/>
      <c r="I232" s="475"/>
      <c r="J232" s="168"/>
      <c r="K232" s="168"/>
    </row>
    <row r="233" spans="1:11">
      <c r="A233" s="163"/>
      <c r="B233" s="202" t="s">
        <v>435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537" t="s">
        <v>436</v>
      </c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'[14]Sch D'!N28</f>
        <v>39420</v>
      </c>
      <c r="D235" s="438"/>
      <c r="E235" s="233">
        <f>E231*E233</f>
        <v>39420</v>
      </c>
      <c r="F235" s="238"/>
      <c r="G235" s="233">
        <f>G231*G233</f>
        <v>39420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'[14]Sch D'!N30</f>
        <v>0.59467275494672756</v>
      </c>
      <c r="D236" s="238"/>
      <c r="E236" s="242">
        <f>E228/E235</f>
        <v>0.59467275494672756</v>
      </c>
      <c r="F236" s="243"/>
      <c r="G236" s="242">
        <f>G228/G235</f>
        <v>0.59467275494672756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'[14]Sch D'!N32</f>
        <v>0.43853373921867073</v>
      </c>
      <c r="D237" s="238"/>
      <c r="E237" s="242">
        <f>(E219+E220)/E235</f>
        <v>0.43853373921867073</v>
      </c>
      <c r="F237" s="243"/>
      <c r="G237" s="242">
        <f>(G219+G220)/G235</f>
        <v>0.43853373921867073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'[14]Sch D'!N34</f>
        <v>0.73743707874754716</v>
      </c>
      <c r="D238" s="238"/>
      <c r="E238" s="242">
        <f>(E237/E236)</f>
        <v>0.73743707874754716</v>
      </c>
      <c r="F238" s="243"/>
      <c r="G238" s="242">
        <f>(G237/G236)</f>
        <v>0.73743707874754716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 ht="15.5">
      <c r="B241" s="148" t="s">
        <v>339</v>
      </c>
      <c r="E241"/>
      <c r="F241" s="142" t="s">
        <v>340</v>
      </c>
      <c r="G241" s="501">
        <f>'[14]Sch B'!C85</f>
        <v>184.984375</v>
      </c>
      <c r="I241" s="475"/>
    </row>
    <row r="242" spans="2:9" ht="15.5">
      <c r="E242"/>
      <c r="F242" s="142" t="s">
        <v>341</v>
      </c>
      <c r="G242" s="501">
        <f>'[14]Sch B'!E85</f>
        <v>199.93191489361703</v>
      </c>
      <c r="I242" s="475"/>
    </row>
    <row r="243" spans="2:9" ht="15.5">
      <c r="E243"/>
      <c r="F243" s="142" t="s">
        <v>342</v>
      </c>
      <c r="G243" s="501">
        <f>'[14]Sch B'!G85</f>
        <v>214.74458874458875</v>
      </c>
      <c r="I243" s="475"/>
    </row>
    <row r="244" spans="2:9" ht="15.5">
      <c r="E244"/>
      <c r="F244" s="142" t="s">
        <v>343</v>
      </c>
      <c r="G244" s="501">
        <f>'[14]Sch B'!I85</f>
        <v>218.90697674418604</v>
      </c>
      <c r="H244"/>
      <c r="I244" s="475"/>
    </row>
    <row r="245" spans="2:9" ht="15.5">
      <c r="E245"/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" bottom="1" header="0.5" footer="0.5"/>
  <pageSetup scale="70" orientation="portrait" horizontalDpi="300" verticalDpi="300" r:id="rId3"/>
  <headerFooter alignWithMargins="0"/>
  <ignoredErrors>
    <ignoredError sqref="F11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5">
    <tabColor rgb="FFE28CAB"/>
  </sheetPr>
  <dimension ref="A1:L246"/>
  <sheetViews>
    <sheetView showGridLines="0" zoomScaleNormal="100" workbookViewId="0">
      <pane xSplit="5" ySplit="10" topLeftCell="F200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33.6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61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99"/>
      <c r="D1" s="429"/>
      <c r="E1" s="429"/>
      <c r="F1" s="429"/>
      <c r="G1" s="429"/>
      <c r="H1" s="429"/>
      <c r="I1" s="560"/>
    </row>
    <row r="2" spans="1:11" ht="23">
      <c r="B2" s="143" t="s">
        <v>189</v>
      </c>
      <c r="C2" s="244" t="s">
        <v>482</v>
      </c>
      <c r="D2" s="244"/>
      <c r="E2" s="144"/>
    </row>
    <row r="3" spans="1:11" ht="15.5">
      <c r="A3" s="145"/>
      <c r="B3" s="140" t="s">
        <v>79</v>
      </c>
      <c r="C3" s="441">
        <v>42552</v>
      </c>
      <c r="D3" s="144"/>
      <c r="E3" s="368"/>
      <c r="F3" s="368"/>
      <c r="I3" s="563"/>
    </row>
    <row r="4" spans="1:11" ht="15.5">
      <c r="A4" s="145"/>
      <c r="B4" s="148" t="s">
        <v>80</v>
      </c>
      <c r="C4" s="441">
        <v>42916</v>
      </c>
      <c r="D4" s="144"/>
      <c r="E4" s="368"/>
      <c r="F4" s="368"/>
      <c r="G4" s="150"/>
      <c r="I4" s="563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62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65"/>
      <c r="I9" s="634" t="s">
        <v>632</v>
      </c>
    </row>
    <row r="10" spans="1:11" s="167" customFormat="1" ht="16" thickBot="1">
      <c r="A10" s="163" t="s">
        <v>245</v>
      </c>
      <c r="B10" s="164" t="s">
        <v>246</v>
      </c>
      <c r="C10" s="518"/>
      <c r="D10" s="165"/>
      <c r="E10" s="165"/>
      <c r="F10"/>
      <c r="G10" s="165"/>
      <c r="H10" s="166"/>
      <c r="I10" s="634" t="s">
        <v>636</v>
      </c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'[15]Sch B'!E10</f>
        <v>5047428</v>
      </c>
      <c r="D11" s="501">
        <f>'[15]Sch B'!G10</f>
        <v>0</v>
      </c>
      <c r="E11" s="171">
        <f t="shared" ref="E11:E20" si="0">C11+D11</f>
        <v>5047428</v>
      </c>
      <c r="F11" s="171">
        <f>1099788+125645</f>
        <v>1225433</v>
      </c>
      <c r="G11" s="171">
        <f t="shared" ref="G11:G20" si="1">E11+F11</f>
        <v>6272861</v>
      </c>
      <c r="H11" s="172">
        <f t="shared" ref="H11:H21" si="2">IF($G$21=0,0,G11/$G$21)</f>
        <v>0.6894112958691776</v>
      </c>
      <c r="I11" s="472"/>
      <c r="J11" s="336" t="s">
        <v>344</v>
      </c>
      <c r="K11" s="337">
        <f>G21</f>
        <v>9098866</v>
      </c>
    </row>
    <row r="12" spans="1:11" s="167" customFormat="1">
      <c r="A12" s="169" t="s">
        <v>15</v>
      </c>
      <c r="B12" s="170" t="s">
        <v>212</v>
      </c>
      <c r="C12" s="501">
        <f>'[15]Sch B'!E15</f>
        <v>0</v>
      </c>
      <c r="D12" s="501">
        <f>'[15]Sch B'!G15</f>
        <v>0</v>
      </c>
      <c r="E12" s="171">
        <f t="shared" si="0"/>
        <v>0</v>
      </c>
      <c r="F12" s="171"/>
      <c r="G12" s="171">
        <f>E12+F12</f>
        <v>0</v>
      </c>
      <c r="H12" s="172">
        <f t="shared" si="2"/>
        <v>0</v>
      </c>
      <c r="I12" s="473"/>
      <c r="J12" s="338" t="s">
        <v>345</v>
      </c>
      <c r="K12" s="339">
        <f>G208</f>
        <v>6917226.0000000009</v>
      </c>
    </row>
    <row r="13" spans="1:11" s="167" customFormat="1">
      <c r="A13" s="169" t="s">
        <v>16</v>
      </c>
      <c r="B13" s="170" t="s">
        <v>170</v>
      </c>
      <c r="C13" s="501">
        <f>'[15]Sch B'!E21</f>
        <v>593980</v>
      </c>
      <c r="D13" s="501">
        <f>'[15]Sch B'!G21</f>
        <v>0</v>
      </c>
      <c r="E13" s="171">
        <f t="shared" si="0"/>
        <v>593980</v>
      </c>
      <c r="F13" s="171"/>
      <c r="G13" s="171">
        <f t="shared" si="1"/>
        <v>593980</v>
      </c>
      <c r="H13" s="172">
        <f t="shared" si="2"/>
        <v>6.5280662447386298E-2</v>
      </c>
      <c r="I13" s="473"/>
      <c r="J13" s="338" t="s">
        <v>346</v>
      </c>
      <c r="K13" s="339">
        <f>G228</f>
        <v>30037</v>
      </c>
    </row>
    <row r="14" spans="1:11" s="167" customFormat="1">
      <c r="A14" s="173" t="s">
        <v>18</v>
      </c>
      <c r="B14" s="174" t="s">
        <v>306</v>
      </c>
      <c r="C14" s="501">
        <f>'[15]Sch B'!E27</f>
        <v>1366106</v>
      </c>
      <c r="D14" s="501">
        <f>'[15]Sch B'!G27</f>
        <v>0</v>
      </c>
      <c r="E14" s="171">
        <f t="shared" si="0"/>
        <v>1366106</v>
      </c>
      <c r="F14" s="175"/>
      <c r="G14" s="175">
        <f>E14+F14</f>
        <v>1366106</v>
      </c>
      <c r="H14" s="176">
        <f t="shared" si="2"/>
        <v>0.15014024824631991</v>
      </c>
      <c r="I14" s="479"/>
      <c r="J14" s="338" t="s">
        <v>347</v>
      </c>
      <c r="K14" s="339">
        <f>G231</f>
        <v>120</v>
      </c>
    </row>
    <row r="15" spans="1:11" s="167" customFormat="1">
      <c r="A15" s="169" t="s">
        <v>19</v>
      </c>
      <c r="B15" s="170" t="s">
        <v>171</v>
      </c>
      <c r="C15" s="501">
        <f>'[15]Sch B'!E32</f>
        <v>0</v>
      </c>
      <c r="D15" s="501">
        <f>'[15]Sch B'!G32</f>
        <v>0</v>
      </c>
      <c r="E15" s="171">
        <f t="shared" si="0"/>
        <v>0</v>
      </c>
      <c r="F15" s="171"/>
      <c r="G15" s="171">
        <f t="shared" si="1"/>
        <v>0</v>
      </c>
      <c r="H15" s="172">
        <f t="shared" si="2"/>
        <v>0</v>
      </c>
      <c r="I15" s="633"/>
      <c r="J15" s="338" t="s">
        <v>348</v>
      </c>
      <c r="K15" s="339">
        <f>G235</f>
        <v>43800</v>
      </c>
    </row>
    <row r="16" spans="1:11" s="167" customFormat="1">
      <c r="A16" s="169" t="s">
        <v>21</v>
      </c>
      <c r="B16" s="170" t="s">
        <v>172</v>
      </c>
      <c r="C16" s="501">
        <f>'[15]Sch B'!E37</f>
        <v>377590</v>
      </c>
      <c r="D16" s="501">
        <f>'[15]Sch B'!G37</f>
        <v>0</v>
      </c>
      <c r="E16" s="171">
        <f t="shared" si="0"/>
        <v>377590</v>
      </c>
      <c r="F16" s="171">
        <v>-737</v>
      </c>
      <c r="G16" s="171">
        <f t="shared" si="1"/>
        <v>376853</v>
      </c>
      <c r="H16" s="172">
        <f t="shared" si="2"/>
        <v>4.1417578849935806E-2</v>
      </c>
      <c r="I16" s="472" t="s">
        <v>402</v>
      </c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'[15]Sch B'!E42</f>
        <v>0</v>
      </c>
      <c r="D17" s="501">
        <f>'[15]Sch B'!G42</f>
        <v>0</v>
      </c>
      <c r="E17" s="171">
        <f t="shared" si="0"/>
        <v>0</v>
      </c>
      <c r="F17" s="171"/>
      <c r="G17" s="171">
        <f>E17+F17</f>
        <v>0</v>
      </c>
      <c r="H17" s="172">
        <f t="shared" si="2"/>
        <v>0</v>
      </c>
      <c r="I17" s="547"/>
      <c r="J17" s="338" t="s">
        <v>156</v>
      </c>
      <c r="K17" s="339">
        <f>J208</f>
        <v>176058</v>
      </c>
    </row>
    <row r="18" spans="1:11" s="167" customFormat="1" ht="13.5" thickBot="1">
      <c r="A18" s="169" t="s">
        <v>216</v>
      </c>
      <c r="B18" s="170" t="s">
        <v>229</v>
      </c>
      <c r="C18" s="501">
        <f>'[15]Sch B'!E47</f>
        <v>486496</v>
      </c>
      <c r="D18" s="501">
        <f>'[15]Sch B'!G47</f>
        <v>0</v>
      </c>
      <c r="E18" s="171">
        <f t="shared" si="0"/>
        <v>486496</v>
      </c>
      <c r="F18" s="171"/>
      <c r="G18" s="171">
        <f>E18+F18</f>
        <v>486496</v>
      </c>
      <c r="H18" s="172">
        <f t="shared" si="2"/>
        <v>5.3467761806800983E-2</v>
      </c>
      <c r="I18" s="633"/>
      <c r="J18" s="341" t="s">
        <v>252</v>
      </c>
      <c r="K18" s="342">
        <f>K208</f>
        <v>185785</v>
      </c>
    </row>
    <row r="19" spans="1:11" s="167" customFormat="1">
      <c r="A19" s="169" t="s">
        <v>227</v>
      </c>
      <c r="B19" s="177" t="s">
        <v>173</v>
      </c>
      <c r="C19" s="501">
        <f>'[15]Sch B'!E52</f>
        <v>-737</v>
      </c>
      <c r="D19" s="501">
        <f>'[15]Sch B'!G52</f>
        <v>0</v>
      </c>
      <c r="E19" s="171">
        <f t="shared" si="0"/>
        <v>-737</v>
      </c>
      <c r="F19" s="171">
        <v>737</v>
      </c>
      <c r="G19" s="171">
        <f t="shared" si="1"/>
        <v>0</v>
      </c>
      <c r="H19" s="172">
        <f t="shared" si="2"/>
        <v>0</v>
      </c>
      <c r="I19" s="635" t="s">
        <v>402</v>
      </c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'[15]Sch B'!E67</f>
        <v>2570</v>
      </c>
      <c r="D20" s="501">
        <f>'[15]Sch B'!G67</f>
        <v>0</v>
      </c>
      <c r="E20" s="171">
        <f t="shared" si="0"/>
        <v>2570</v>
      </c>
      <c r="F20" s="171"/>
      <c r="G20" s="171">
        <f t="shared" si="1"/>
        <v>2570</v>
      </c>
      <c r="H20" s="172">
        <f t="shared" si="2"/>
        <v>2.8245278037944508E-4</v>
      </c>
      <c r="I20" s="633"/>
      <c r="J20" s="168"/>
      <c r="K20" s="168"/>
    </row>
    <row r="21" spans="1:11" s="167" customFormat="1">
      <c r="A21" s="169"/>
      <c r="B21" s="178" t="s">
        <v>77</v>
      </c>
      <c r="C21" s="501">
        <f>SUM(C11:C20)</f>
        <v>7873433</v>
      </c>
      <c r="D21" s="501">
        <f>SUM(D11:D20)</f>
        <v>0</v>
      </c>
      <c r="E21" s="171">
        <f>SUM(E11:E20)</f>
        <v>7873433</v>
      </c>
      <c r="F21" s="171">
        <f>SUM(F11:F20)</f>
        <v>1225433</v>
      </c>
      <c r="G21" s="171">
        <f>SUM(G11:G20)</f>
        <v>9098866</v>
      </c>
      <c r="H21" s="172">
        <f t="shared" si="2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637" t="s">
        <v>646</v>
      </c>
      <c r="I23" s="475"/>
    </row>
    <row r="24" spans="1:11">
      <c r="A24" s="181" t="s">
        <v>161</v>
      </c>
      <c r="B24" s="148" t="s">
        <v>12</v>
      </c>
      <c r="F24" s="369"/>
      <c r="I24" s="475"/>
    </row>
    <row r="25" spans="1:11" s="167" customFormat="1">
      <c r="A25" s="169" t="s">
        <v>83</v>
      </c>
      <c r="B25" s="170" t="s">
        <v>14</v>
      </c>
      <c r="C25" s="501">
        <f>'[15]Sch C'!D10</f>
        <v>181803</v>
      </c>
      <c r="D25" s="501">
        <f>'[15]Sch C'!F10</f>
        <v>10600</v>
      </c>
      <c r="E25" s="171">
        <f t="shared" ref="E25:E60" si="3">C25+D25</f>
        <v>192403</v>
      </c>
      <c r="F25" s="171"/>
      <c r="G25" s="182">
        <f>E25+F25</f>
        <v>192403</v>
      </c>
      <c r="H25" s="172">
        <f>IF($G$208=0,0,G25/$G$208)</f>
        <v>2.7815051871949822E-2</v>
      </c>
      <c r="I25" s="473"/>
      <c r="J25" s="183">
        <v>2705</v>
      </c>
      <c r="K25" s="183">
        <v>2863</v>
      </c>
    </row>
    <row r="26" spans="1:11" s="167" customFormat="1">
      <c r="A26" s="169" t="s">
        <v>84</v>
      </c>
      <c r="B26" s="170" t="s">
        <v>176</v>
      </c>
      <c r="C26" s="501">
        <f>'[15]Sch C'!D11</f>
        <v>0</v>
      </c>
      <c r="D26" s="501">
        <f>'[15]Sch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'[15]Sch C'!D12</f>
        <v>243642</v>
      </c>
      <c r="D27" s="501">
        <f>'[15]Sch C'!F12</f>
        <v>14203</v>
      </c>
      <c r="E27" s="171">
        <f t="shared" si="3"/>
        <v>257845</v>
      </c>
      <c r="F27" s="171">
        <v>-42207</v>
      </c>
      <c r="G27" s="171">
        <f t="shared" si="4"/>
        <v>215638</v>
      </c>
      <c r="H27" s="172">
        <f t="shared" si="5"/>
        <v>3.1174057346109549E-2</v>
      </c>
      <c r="I27" s="473"/>
      <c r="J27" s="183">
        <v>12231</v>
      </c>
      <c r="K27" s="183">
        <v>12944</v>
      </c>
    </row>
    <row r="28" spans="1:11" s="167" customFormat="1">
      <c r="A28" s="169" t="s">
        <v>86</v>
      </c>
      <c r="B28" s="170" t="s">
        <v>45</v>
      </c>
      <c r="C28" s="501">
        <f>'[15]Sch C'!D13</f>
        <v>710616</v>
      </c>
      <c r="D28" s="501">
        <f>'[15]Sch C'!F13</f>
        <v>-649630</v>
      </c>
      <c r="E28" s="171">
        <f t="shared" si="3"/>
        <v>60986</v>
      </c>
      <c r="F28" s="171"/>
      <c r="G28" s="171">
        <f t="shared" si="4"/>
        <v>60986</v>
      </c>
      <c r="H28" s="172">
        <f t="shared" si="5"/>
        <v>8.8165400407620043E-3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'[15]Sch C'!D14</f>
        <v>0</v>
      </c>
      <c r="D29" s="501">
        <f>'[15]Sch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'[15]Sch C'!D15</f>
        <v>0</v>
      </c>
      <c r="D30" s="501">
        <f>'[15]Sch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'[15]Sch C'!D16</f>
        <v>391508</v>
      </c>
      <c r="D31" s="501">
        <f>'[15]Sch C'!F16</f>
        <v>161483</v>
      </c>
      <c r="E31" s="171">
        <f t="shared" si="3"/>
        <v>552991</v>
      </c>
      <c r="F31" s="171">
        <v>-70330.173015372595</v>
      </c>
      <c r="G31" s="171">
        <f t="shared" si="4"/>
        <v>482660.82698462741</v>
      </c>
      <c r="H31" s="172">
        <f t="shared" si="5"/>
        <v>6.9776645577956736E-2</v>
      </c>
      <c r="I31" s="473" t="s">
        <v>647</v>
      </c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'[15]Sch C'!D17</f>
        <v>0</v>
      </c>
      <c r="D32" s="501">
        <f>'[15]Sch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'[15]Sch C'!D18</f>
        <v>8852</v>
      </c>
      <c r="D33" s="501">
        <f>'[15]Sch C'!F18</f>
        <v>0</v>
      </c>
      <c r="E33" s="171">
        <f t="shared" si="3"/>
        <v>8852</v>
      </c>
      <c r="F33" s="171"/>
      <c r="G33" s="171">
        <f t="shared" si="4"/>
        <v>8852</v>
      </c>
      <c r="H33" s="172">
        <f t="shared" si="5"/>
        <v>1.2797037425118102E-3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'[15]Sch C'!D19</f>
        <v>21265</v>
      </c>
      <c r="D34" s="501">
        <f>'[15]Sch C'!F19</f>
        <v>-1624</v>
      </c>
      <c r="E34" s="171">
        <f t="shared" si="3"/>
        <v>19641</v>
      </c>
      <c r="F34" s="171"/>
      <c r="G34" s="171">
        <f t="shared" si="4"/>
        <v>19641</v>
      </c>
      <c r="H34" s="172">
        <f t="shared" si="5"/>
        <v>2.8394330328371515E-3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'[15]Sch C'!D20</f>
        <v>37818</v>
      </c>
      <c r="D35" s="501">
        <f>'[15]Sch C'!F20</f>
        <v>0</v>
      </c>
      <c r="E35" s="171">
        <f t="shared" si="3"/>
        <v>37818</v>
      </c>
      <c r="F35" s="171"/>
      <c r="G35" s="171">
        <f t="shared" si="4"/>
        <v>37818</v>
      </c>
      <c r="H35" s="172">
        <f t="shared" si="5"/>
        <v>5.4672205303108491E-3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'[15]Sch C'!D21</f>
        <v>14919</v>
      </c>
      <c r="D36" s="501">
        <f>'[15]Sch C'!F21</f>
        <v>0</v>
      </c>
      <c r="E36" s="171">
        <f t="shared" si="3"/>
        <v>14919</v>
      </c>
      <c r="F36" s="171">
        <v>-13598</v>
      </c>
      <c r="G36" s="171">
        <f t="shared" si="4"/>
        <v>1321</v>
      </c>
      <c r="H36" s="172">
        <f t="shared" si="5"/>
        <v>1.909725083436626E-4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'[15]Sch C'!D22</f>
        <v>0</v>
      </c>
      <c r="D37" s="501">
        <f>'[15]Sch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'[15]Sch C'!D23</f>
        <v>1507</v>
      </c>
      <c r="D38" s="501">
        <f>'[15]Sch C'!F23</f>
        <v>0</v>
      </c>
      <c r="E38" s="171">
        <f t="shared" si="3"/>
        <v>1507</v>
      </c>
      <c r="F38" s="171"/>
      <c r="G38" s="171">
        <f t="shared" si="4"/>
        <v>1507</v>
      </c>
      <c r="H38" s="172">
        <f t="shared" si="5"/>
        <v>2.1786190013164234E-4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'[15]Sch C'!D24</f>
        <v>58282</v>
      </c>
      <c r="D39" s="501">
        <f>'[15]Sch C'!F24</f>
        <v>-13200</v>
      </c>
      <c r="E39" s="171">
        <f t="shared" si="3"/>
        <v>45082</v>
      </c>
      <c r="F39" s="171"/>
      <c r="G39" s="171">
        <f t="shared" si="4"/>
        <v>45082</v>
      </c>
      <c r="H39" s="172">
        <f t="shared" si="5"/>
        <v>6.5173524762672198E-3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'[15]Sch C'!D25</f>
        <v>0</v>
      </c>
      <c r="D40" s="501">
        <f>'[15]Sch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'[15]Sch C'!D26</f>
        <v>484441</v>
      </c>
      <c r="D41" s="501">
        <f>'[15]Sch C'!F26</f>
        <v>0</v>
      </c>
      <c r="E41" s="171">
        <f t="shared" si="3"/>
        <v>484441</v>
      </c>
      <c r="F41" s="171"/>
      <c r="G41" s="171">
        <f t="shared" si="4"/>
        <v>484441</v>
      </c>
      <c r="H41" s="172">
        <f t="shared" si="5"/>
        <v>7.0033999178283304E-2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'[15]Sch C'!D27</f>
        <v>0</v>
      </c>
      <c r="D42" s="501">
        <f>'[15]Sch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'[15]Sch C'!D28</f>
        <v>0</v>
      </c>
      <c r="D43" s="501">
        <f>'[15]Sch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'[15]Sch C'!D29</f>
        <v>58522</v>
      </c>
      <c r="D44" s="501">
        <f>'[15]Sch C'!F29</f>
        <v>-58522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'[15]Sch C'!D30</f>
        <v>0</v>
      </c>
      <c r="D45" s="501">
        <f>'[15]Sch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'[15]Sch C'!D31</f>
        <v>85330</v>
      </c>
      <c r="D46" s="501">
        <f>'[15]Sch C'!F31</f>
        <v>0</v>
      </c>
      <c r="E46" s="171">
        <f t="shared" si="3"/>
        <v>85330</v>
      </c>
      <c r="F46" s="171"/>
      <c r="G46" s="171">
        <f t="shared" si="4"/>
        <v>85330</v>
      </c>
      <c r="H46" s="172">
        <f t="shared" si="5"/>
        <v>1.2335869899291998E-2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'[15]Sch C'!D32</f>
        <v>105600</v>
      </c>
      <c r="D47" s="501">
        <f>'[15]Sch C'!F32</f>
        <v>-12031</v>
      </c>
      <c r="E47" s="171">
        <f t="shared" si="3"/>
        <v>93569</v>
      </c>
      <c r="F47" s="171"/>
      <c r="G47" s="171">
        <f t="shared" si="4"/>
        <v>93569</v>
      </c>
      <c r="H47" s="172">
        <f t="shared" si="5"/>
        <v>1.3526954302201487E-2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'[15]Sch C'!D33</f>
        <v>0</v>
      </c>
      <c r="D48" s="501">
        <f>'[15]Sch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'[15]Sch C'!D34</f>
        <v>0</v>
      </c>
      <c r="D49" s="501">
        <f>'[15]Sch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'[15]Sch C'!D35</f>
        <v>100040</v>
      </c>
      <c r="D50" s="501">
        <f>'[15]Sch C'!F35</f>
        <v>-100040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'[15]Sch C'!D36</f>
        <v>0</v>
      </c>
      <c r="D51" s="501">
        <f>'[15]Sch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'[15]Sch C'!D37</f>
        <v>0</v>
      </c>
      <c r="D52" s="501">
        <f>'[15]Sch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'[15]Sch C'!D38</f>
        <v>0</v>
      </c>
      <c r="D53" s="501">
        <f>'[15]Sch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'[15]Sch C'!D39</f>
        <v>8994</v>
      </c>
      <c r="D54" s="501">
        <f>'[15]Sch C'!F39</f>
        <v>0</v>
      </c>
      <c r="E54" s="171">
        <f t="shared" si="3"/>
        <v>8994</v>
      </c>
      <c r="F54" s="171"/>
      <c r="G54" s="171">
        <f t="shared" si="4"/>
        <v>8994</v>
      </c>
      <c r="H54" s="172">
        <f t="shared" si="5"/>
        <v>1.3002322029090851E-3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'[15]Sch C'!D40</f>
        <v>9621</v>
      </c>
      <c r="D55" s="501">
        <f>'[15]Sch C'!F40</f>
        <v>0</v>
      </c>
      <c r="E55" s="171">
        <f t="shared" si="3"/>
        <v>9621</v>
      </c>
      <c r="F55" s="171"/>
      <c r="G55" s="171">
        <f t="shared" si="4"/>
        <v>9621</v>
      </c>
      <c r="H55" s="172">
        <f t="shared" si="5"/>
        <v>1.3908754752266297E-3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'[15]Sch C'!D41</f>
        <v>32558</v>
      </c>
      <c r="D56" s="501">
        <f>'[15]Sch C'!F41</f>
        <v>0</v>
      </c>
      <c r="E56" s="171">
        <f t="shared" si="3"/>
        <v>32558</v>
      </c>
      <c r="F56" s="171"/>
      <c r="G56" s="171">
        <f t="shared" si="4"/>
        <v>32558</v>
      </c>
      <c r="H56" s="172">
        <f t="shared" si="5"/>
        <v>4.7068000958765833E-3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'[15]Sch C'!D42</f>
        <v>17527</v>
      </c>
      <c r="D57" s="501">
        <f>'[15]Sch C'!F42</f>
        <v>0</v>
      </c>
      <c r="E57" s="171">
        <f t="shared" si="3"/>
        <v>17527</v>
      </c>
      <c r="F57" s="171">
        <v>-438</v>
      </c>
      <c r="G57" s="171">
        <f t="shared" si="4"/>
        <v>17089</v>
      </c>
      <c r="H57" s="172">
        <f t="shared" si="5"/>
        <v>2.4704990121762679E-3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'[15]Sch C'!D43</f>
        <v>16915</v>
      </c>
      <c r="D58" s="501">
        <f>'[15]Sch C'!F43</f>
        <v>0</v>
      </c>
      <c r="E58" s="171">
        <f t="shared" si="3"/>
        <v>16915</v>
      </c>
      <c r="F58" s="171"/>
      <c r="G58" s="171">
        <f t="shared" si="4"/>
        <v>16915</v>
      </c>
      <c r="H58" s="172">
        <f t="shared" si="5"/>
        <v>2.4453444198584804E-3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'[15]Sch C'!D44</f>
        <v>0</v>
      </c>
      <c r="D59" s="501">
        <f>'[15]Sch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'[15]Sch C'!D45</f>
        <v>35342</v>
      </c>
      <c r="D60" s="501">
        <f>'[15]Sch C'!F45</f>
        <v>-859</v>
      </c>
      <c r="E60" s="171">
        <f t="shared" si="3"/>
        <v>34483</v>
      </c>
      <c r="F60" s="171">
        <v>-64.819999999999993</v>
      </c>
      <c r="G60" s="171">
        <f t="shared" si="4"/>
        <v>34418.18</v>
      </c>
      <c r="H60" s="172">
        <f t="shared" si="5"/>
        <v>4.975720035748434E-3</v>
      </c>
      <c r="I60" s="472" t="s">
        <v>637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2625102</v>
      </c>
      <c r="D61" s="501">
        <f>SUM(D25:D60)</f>
        <v>-649620</v>
      </c>
      <c r="E61" s="171">
        <f t="shared" ref="E61:F61" si="6">SUM(E25:E60)</f>
        <v>1975482</v>
      </c>
      <c r="F61" s="171">
        <f t="shared" si="6"/>
        <v>-126637.9930153726</v>
      </c>
      <c r="G61" s="171">
        <f>SUM(G25:G60)</f>
        <v>1848844.0069846273</v>
      </c>
      <c r="H61" s="186">
        <f t="shared" si="5"/>
        <v>0.26728113364875272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'[15]Sch C'!D57</f>
        <v>709082</v>
      </c>
      <c r="D64" s="501">
        <f>'[15]Sch C'!F57</f>
        <v>0</v>
      </c>
      <c r="E64" s="171">
        <f t="shared" ref="E64:E78" si="7">C64+D64</f>
        <v>709082</v>
      </c>
      <c r="F64" s="171">
        <v>-709082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'[15]Sch C'!D58</f>
        <v>672</v>
      </c>
      <c r="D65" s="501">
        <f>'[15]Sch C'!F58</f>
        <v>0</v>
      </c>
      <c r="E65" s="171">
        <f t="shared" si="7"/>
        <v>672</v>
      </c>
      <c r="F65" s="171">
        <v>205343</v>
      </c>
      <c r="G65" s="171">
        <f t="shared" si="8"/>
        <v>206015</v>
      </c>
      <c r="H65" s="172">
        <f t="shared" si="9"/>
        <v>2.9782892737637887E-2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'[15]Sch C'!D59</f>
        <v>0</v>
      </c>
      <c r="D66" s="501">
        <f>'[15]Sch C'!F59</f>
        <v>0</v>
      </c>
      <c r="E66" s="171">
        <f t="shared" si="7"/>
        <v>0</v>
      </c>
      <c r="F66" s="171">
        <v>177961</v>
      </c>
      <c r="G66" s="171">
        <f t="shared" si="8"/>
        <v>177961</v>
      </c>
      <c r="H66" s="172">
        <f t="shared" si="9"/>
        <v>2.5727220709573458E-2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'[15]Sch C'!D60</f>
        <v>67206</v>
      </c>
      <c r="D67" s="501">
        <f>'[15]Sch C'!F60</f>
        <v>0</v>
      </c>
      <c r="E67" s="171">
        <f t="shared" si="7"/>
        <v>67206</v>
      </c>
      <c r="F67" s="171"/>
      <c r="G67" s="171">
        <f t="shared" si="8"/>
        <v>67206</v>
      </c>
      <c r="H67" s="172">
        <f t="shared" si="9"/>
        <v>9.7157444328116495E-3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'[15]Sch C'!D61</f>
        <v>8377</v>
      </c>
      <c r="D68" s="501">
        <f>'[15]Sch C'!F61</f>
        <v>0</v>
      </c>
      <c r="E68" s="171">
        <f t="shared" si="7"/>
        <v>8377</v>
      </c>
      <c r="F68" s="171"/>
      <c r="G68" s="171">
        <f t="shared" si="8"/>
        <v>8377</v>
      </c>
      <c r="H68" s="172">
        <f t="shared" si="9"/>
        <v>1.2110345968167006E-3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'[15]Sch C'!D62</f>
        <v>8484</v>
      </c>
      <c r="D69" s="501">
        <f>'[15]Sch C'!F62</f>
        <v>0</v>
      </c>
      <c r="E69" s="171">
        <f t="shared" si="7"/>
        <v>8484</v>
      </c>
      <c r="F69" s="171"/>
      <c r="G69" s="171">
        <f t="shared" si="8"/>
        <v>8484</v>
      </c>
      <c r="H69" s="172">
        <f t="shared" si="9"/>
        <v>1.2265032254259148E-3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'[15]Sch C'!D63</f>
        <v>0</v>
      </c>
      <c r="D70" s="501">
        <f>'[15]Sch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'[15]Sch C'!D64</f>
        <v>0</v>
      </c>
      <c r="D71" s="501">
        <f>'[15]Sch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'[15]Sch C'!D65</f>
        <v>8728</v>
      </c>
      <c r="D72" s="501">
        <f>'[15]Sch C'!F65</f>
        <v>0</v>
      </c>
      <c r="E72" s="171">
        <f t="shared" si="7"/>
        <v>8728</v>
      </c>
      <c r="F72" s="171"/>
      <c r="G72" s="171">
        <f t="shared" si="8"/>
        <v>8728</v>
      </c>
      <c r="H72" s="172">
        <f t="shared" si="9"/>
        <v>1.2617774813198238E-3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'[15]Sch C'!D66</f>
        <v>6266</v>
      </c>
      <c r="D73" s="501">
        <f>'[15]Sch C'!F66</f>
        <v>0</v>
      </c>
      <c r="E73" s="171">
        <f t="shared" si="7"/>
        <v>6266</v>
      </c>
      <c r="F73" s="171">
        <v>-724</v>
      </c>
      <c r="G73" s="171">
        <f t="shared" si="8"/>
        <v>5542</v>
      </c>
      <c r="H73" s="172">
        <f t="shared" si="9"/>
        <v>8.0118822198378356E-4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'[15]Sch C'!D67</f>
        <v>60348</v>
      </c>
      <c r="D74" s="501">
        <f>'[15]Sch C'!F67</f>
        <v>0</v>
      </c>
      <c r="E74" s="171">
        <f t="shared" si="7"/>
        <v>60348</v>
      </c>
      <c r="F74" s="171"/>
      <c r="G74" s="171">
        <f t="shared" si="8"/>
        <v>60348</v>
      </c>
      <c r="H74" s="172">
        <f t="shared" si="9"/>
        <v>8.7243065355967833E-3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'[15]Sch C'!D68</f>
        <v>0</v>
      </c>
      <c r="D75" s="501">
        <f>'[15]Sch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'[15]Sch C'!D69</f>
        <v>6568</v>
      </c>
      <c r="D76" s="501">
        <f>'[15]Sch C'!F69</f>
        <v>0</v>
      </c>
      <c r="E76" s="171">
        <f t="shared" si="7"/>
        <v>6568</v>
      </c>
      <c r="F76" s="171"/>
      <c r="G76" s="171">
        <f t="shared" si="8"/>
        <v>6568</v>
      </c>
      <c r="H76" s="172">
        <f t="shared" si="9"/>
        <v>9.4951357668522022E-4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'[15]Sch C'!D70</f>
        <v>0</v>
      </c>
      <c r="D77" s="501">
        <f>'[15]Sch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'[15]Sch C'!D71</f>
        <v>0</v>
      </c>
      <c r="D78" s="501">
        <f>'[15]Sch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875731</v>
      </c>
      <c r="D79" s="501">
        <f>SUM(D64:D78)</f>
        <v>0</v>
      </c>
      <c r="E79" s="171">
        <f t="shared" ref="E79:F79" si="10">SUM(E64:E78)</f>
        <v>875731</v>
      </c>
      <c r="F79" s="171">
        <f t="shared" si="10"/>
        <v>-326502</v>
      </c>
      <c r="G79" s="171">
        <f>SUM(G64:G78)</f>
        <v>549229</v>
      </c>
      <c r="H79" s="172">
        <f t="shared" si="9"/>
        <v>7.940018151785122E-2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'[15]Sch C'!D75</f>
        <v>61862</v>
      </c>
      <c r="D82" s="501">
        <f>'[15]Sch C'!F75</f>
        <v>3607</v>
      </c>
      <c r="E82" s="171">
        <f t="shared" ref="E82:E92" si="11">C82+D82</f>
        <v>65469</v>
      </c>
      <c r="F82" s="171"/>
      <c r="G82" s="171">
        <f t="shared" ref="G82:G92" si="12">E82+F82</f>
        <v>65469</v>
      </c>
      <c r="H82" s="172">
        <f t="shared" ref="H82:H93" si="13">IF($G$208=0,0,G82/$G$208)</f>
        <v>9.4646322095013214E-3</v>
      </c>
      <c r="I82" s="473"/>
      <c r="J82" s="183">
        <v>4027</v>
      </c>
      <c r="K82" s="183">
        <v>4262</v>
      </c>
    </row>
    <row r="83" spans="1:11" s="167" customFormat="1">
      <c r="A83" s="169" t="s">
        <v>86</v>
      </c>
      <c r="B83" s="199" t="s">
        <v>45</v>
      </c>
      <c r="C83" s="501">
        <f>'[15]Sch C'!D76</f>
        <v>0</v>
      </c>
      <c r="D83" s="501">
        <f>'[15]Sch C'!F76</f>
        <v>8724</v>
      </c>
      <c r="E83" s="171">
        <f t="shared" si="11"/>
        <v>8724</v>
      </c>
      <c r="F83" s="171"/>
      <c r="G83" s="171">
        <f t="shared" si="12"/>
        <v>8724</v>
      </c>
      <c r="H83" s="172">
        <f t="shared" si="13"/>
        <v>1.2611992148297596E-3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'[15]Sch C'!D77</f>
        <v>21634</v>
      </c>
      <c r="D84" s="501">
        <f>'[15]Sch C'!F77</f>
        <v>0</v>
      </c>
      <c r="E84" s="171">
        <f t="shared" si="11"/>
        <v>21634</v>
      </c>
      <c r="F84" s="171"/>
      <c r="G84" s="171">
        <f t="shared" si="12"/>
        <v>21634</v>
      </c>
      <c r="H84" s="172">
        <f t="shared" si="13"/>
        <v>3.1275543115115794E-3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'[15]Sch C'!D78</f>
        <v>0</v>
      </c>
      <c r="D85" s="501">
        <f>'[15]Sch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'[15]Sch C'!D79</f>
        <v>5891</v>
      </c>
      <c r="D86" s="501">
        <f>'[15]Sch C'!F79</f>
        <v>0</v>
      </c>
      <c r="E86" s="171">
        <f t="shared" si="11"/>
        <v>5891</v>
      </c>
      <c r="F86" s="171"/>
      <c r="G86" s="171">
        <f>E86+F86</f>
        <v>5891</v>
      </c>
      <c r="H86" s="172">
        <f t="shared" si="13"/>
        <v>8.5164197324187456E-4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'[15]Sch C'!D80</f>
        <v>26812</v>
      </c>
      <c r="D87" s="501">
        <f>'[15]Sch C'!F80</f>
        <v>0</v>
      </c>
      <c r="E87" s="171">
        <f t="shared" si="11"/>
        <v>26812</v>
      </c>
      <c r="F87" s="171"/>
      <c r="G87" s="171">
        <f t="shared" si="12"/>
        <v>26812</v>
      </c>
      <c r="H87" s="172">
        <f t="shared" si="13"/>
        <v>3.8761202828995318E-3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'[15]Sch C'!D81</f>
        <v>15695</v>
      </c>
      <c r="D88" s="501">
        <f>'[15]Sch C'!F81</f>
        <v>0</v>
      </c>
      <c r="E88" s="171">
        <f t="shared" si="11"/>
        <v>15695</v>
      </c>
      <c r="F88" s="171"/>
      <c r="G88" s="171">
        <f t="shared" si="12"/>
        <v>15695</v>
      </c>
      <c r="H88" s="172">
        <f t="shared" si="13"/>
        <v>2.2689731403889358E-3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'[15]Sch C'!D82</f>
        <v>624</v>
      </c>
      <c r="D89" s="501">
        <f>'[15]Sch C'!F82</f>
        <v>0</v>
      </c>
      <c r="E89" s="171">
        <f t="shared" si="11"/>
        <v>624</v>
      </c>
      <c r="F89" s="171"/>
      <c r="G89" s="171">
        <f t="shared" si="12"/>
        <v>624</v>
      </c>
      <c r="H89" s="172">
        <f t="shared" si="13"/>
        <v>9.0209572449996561E-5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'[15]Sch C'!D83</f>
        <v>0</v>
      </c>
      <c r="D90" s="501">
        <f>'[15]Sch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'[15]Sch C'!D84</f>
        <v>122015</v>
      </c>
      <c r="D91" s="501">
        <f>'[15]Sch C'!F84</f>
        <v>0</v>
      </c>
      <c r="E91" s="171">
        <f t="shared" si="11"/>
        <v>122015</v>
      </c>
      <c r="F91" s="171"/>
      <c r="G91" s="171">
        <f t="shared" si="12"/>
        <v>122015</v>
      </c>
      <c r="H91" s="172">
        <f t="shared" si="13"/>
        <v>1.7639296446292196E-2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'[15]Sch C'!D85</f>
        <v>0</v>
      </c>
      <c r="D92" s="501">
        <f>'[15]Sch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254533</v>
      </c>
      <c r="D93" s="501">
        <f>SUM(D82:D92)</f>
        <v>12331</v>
      </c>
      <c r="E93" s="171">
        <f t="shared" ref="E93:F93" si="14">SUM(E82:E92)</f>
        <v>266864</v>
      </c>
      <c r="F93" s="171">
        <f t="shared" si="14"/>
        <v>0</v>
      </c>
      <c r="G93" s="171">
        <f>SUM(G82:G92)</f>
        <v>266864</v>
      </c>
      <c r="H93" s="172">
        <f t="shared" si="13"/>
        <v>3.8579627151115195E-2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'[15]Sch C'!D89</f>
        <v>197572</v>
      </c>
      <c r="D96" s="501">
        <f>'[15]Sch C'!F89</f>
        <v>11520</v>
      </c>
      <c r="E96" s="171">
        <f t="shared" ref="E96:E101" si="15">C96+D96</f>
        <v>209092</v>
      </c>
      <c r="F96" s="171"/>
      <c r="G96" s="171">
        <f t="shared" ref="G96:G101" si="16">E96+F96</f>
        <v>209092</v>
      </c>
      <c r="H96" s="172">
        <f t="shared" ref="H96:H102" si="17">IF($G$208=0,0,G96/$G$208)</f>
        <v>3.0227724235119682E-2</v>
      </c>
      <c r="I96" s="473"/>
      <c r="J96" s="183">
        <v>17831</v>
      </c>
      <c r="K96" s="183">
        <v>18871</v>
      </c>
    </row>
    <row r="97" spans="1:11" s="167" customFormat="1">
      <c r="A97" s="169" t="s">
        <v>86</v>
      </c>
      <c r="B97" s="170" t="s">
        <v>45</v>
      </c>
      <c r="C97" s="501">
        <f>'[15]Sch C'!D90</f>
        <v>0</v>
      </c>
      <c r="D97" s="501">
        <f>'[15]Sch C'!F90</f>
        <v>27863</v>
      </c>
      <c r="E97" s="171">
        <f t="shared" si="15"/>
        <v>27863</v>
      </c>
      <c r="F97" s="171"/>
      <c r="G97" s="171">
        <f t="shared" si="16"/>
        <v>27863</v>
      </c>
      <c r="H97" s="172">
        <f t="shared" si="17"/>
        <v>4.0280598031638692E-3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'[15]Sch C'!D91</f>
        <v>8730</v>
      </c>
      <c r="D98" s="501">
        <f>'[15]Sch C'!F91</f>
        <v>0</v>
      </c>
      <c r="E98" s="171">
        <f t="shared" si="15"/>
        <v>8730</v>
      </c>
      <c r="F98" s="171"/>
      <c r="G98" s="171">
        <f t="shared" si="16"/>
        <v>8730</v>
      </c>
      <c r="H98" s="172">
        <f t="shared" si="17"/>
        <v>1.2620666145648557E-3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'[15]Sch C'!D92</f>
        <v>188520</v>
      </c>
      <c r="D99" s="501">
        <f>'[15]Sch C'!F92</f>
        <v>0</v>
      </c>
      <c r="E99" s="171">
        <f t="shared" si="15"/>
        <v>188520</v>
      </c>
      <c r="F99" s="171"/>
      <c r="G99" s="171">
        <f t="shared" si="16"/>
        <v>188520</v>
      </c>
      <c r="H99" s="172">
        <f t="shared" si="17"/>
        <v>2.7253699676720117E-2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'[15]Sch C'!D93</f>
        <v>28219</v>
      </c>
      <c r="D100" s="501">
        <f>'[15]Sch C'!F93</f>
        <v>0</v>
      </c>
      <c r="E100" s="171">
        <f t="shared" si="15"/>
        <v>28219</v>
      </c>
      <c r="F100" s="171"/>
      <c r="G100" s="171">
        <f t="shared" si="16"/>
        <v>28219</v>
      </c>
      <c r="H100" s="172">
        <f t="shared" si="17"/>
        <v>4.0795255207795719E-3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'[15]Sch C'!D94</f>
        <v>0</v>
      </c>
      <c r="D101" s="501">
        <f>'[15]Sch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423041</v>
      </c>
      <c r="D102" s="501">
        <f>SUM(D96:D101)</f>
        <v>39383</v>
      </c>
      <c r="E102" s="171">
        <f t="shared" ref="E102:F102" si="18">SUM(E96:E101)</f>
        <v>462424</v>
      </c>
      <c r="F102" s="171">
        <f t="shared" si="18"/>
        <v>0</v>
      </c>
      <c r="G102" s="171">
        <f>SUM(G96:G101)</f>
        <v>462424</v>
      </c>
      <c r="H102" s="172">
        <f t="shared" si="17"/>
        <v>6.6851075850348093E-2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'[15]Sch C'!D98</f>
        <v>26677</v>
      </c>
      <c r="D105" s="501">
        <f>'[15]Sch C'!F98</f>
        <v>1555</v>
      </c>
      <c r="E105" s="171">
        <f t="shared" ref="E105:E110" si="19">C105+D105</f>
        <v>28232</v>
      </c>
      <c r="F105" s="171"/>
      <c r="G105" s="171">
        <f t="shared" ref="G105:G110" si="20">E105+F105</f>
        <v>28232</v>
      </c>
      <c r="H105" s="172">
        <f t="shared" ref="H105:H111" si="21">IF($G$208=0,0,G105/$G$208)</f>
        <v>4.0814048868722808E-3</v>
      </c>
      <c r="I105" s="473"/>
      <c r="J105" s="183">
        <v>2484</v>
      </c>
      <c r="K105" s="183">
        <v>2629</v>
      </c>
    </row>
    <row r="106" spans="1:11" s="167" customFormat="1">
      <c r="A106" s="169" t="s">
        <v>86</v>
      </c>
      <c r="B106" s="170" t="s">
        <v>45</v>
      </c>
      <c r="C106" s="501">
        <f>'[15]Sch C'!D99</f>
        <v>0</v>
      </c>
      <c r="D106" s="501">
        <f>'[15]Sch C'!F99</f>
        <v>3762</v>
      </c>
      <c r="E106" s="171">
        <f t="shared" si="19"/>
        <v>3762</v>
      </c>
      <c r="F106" s="171"/>
      <c r="G106" s="171">
        <f t="shared" si="20"/>
        <v>3762</v>
      </c>
      <c r="H106" s="172">
        <f t="shared" si="21"/>
        <v>5.4385963390526774E-4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'[15]Sch C'!D100</f>
        <v>4739</v>
      </c>
      <c r="D107" s="501">
        <f>'[15]Sch C'!F100</f>
        <v>0</v>
      </c>
      <c r="E107" s="171">
        <f t="shared" si="19"/>
        <v>4739</v>
      </c>
      <c r="F107" s="171"/>
      <c r="G107" s="171">
        <f t="shared" si="20"/>
        <v>4739</v>
      </c>
      <c r="H107" s="172">
        <f t="shared" si="21"/>
        <v>6.8510122410341944E-4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'[15]Sch C'!D101</f>
        <v>0</v>
      </c>
      <c r="D108" s="501">
        <f>'[15]Sch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'[15]Sch C'!D102</f>
        <v>2840</v>
      </c>
      <c r="D109" s="501">
        <f>'[15]Sch C'!F102</f>
        <v>0</v>
      </c>
      <c r="E109" s="171">
        <f t="shared" si="19"/>
        <v>2840</v>
      </c>
      <c r="F109" s="171"/>
      <c r="G109" s="171">
        <f t="shared" si="20"/>
        <v>2840</v>
      </c>
      <c r="H109" s="172">
        <f t="shared" si="21"/>
        <v>4.105692079454972E-4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'[15]Sch C'!D103</f>
        <v>0</v>
      </c>
      <c r="D110" s="501">
        <f>'[15]Sch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34256</v>
      </c>
      <c r="D111" s="501">
        <f>SUM(D105:D110)</f>
        <v>5317</v>
      </c>
      <c r="E111" s="171">
        <f t="shared" ref="E111:F111" si="22">SUM(E105:E110)</f>
        <v>39573</v>
      </c>
      <c r="F111" s="171">
        <f t="shared" si="22"/>
        <v>0</v>
      </c>
      <c r="G111" s="171">
        <f>SUM(G105:G110)</f>
        <v>39573</v>
      </c>
      <c r="H111" s="172">
        <f t="shared" si="21"/>
        <v>5.7209349528264649E-3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'[15]Sch C'!D115</f>
        <v>119282</v>
      </c>
      <c r="D114" s="501">
        <f>'[15]Sch C'!F115</f>
        <v>6955</v>
      </c>
      <c r="E114" s="171">
        <f t="shared" ref="E114:E118" si="23">C114+D114</f>
        <v>126237</v>
      </c>
      <c r="F114" s="171"/>
      <c r="G114" s="171">
        <f>E114+F114</f>
        <v>126237</v>
      </c>
      <c r="H114" s="172">
        <f t="shared" ref="H114:H119" si="24">IF($G$208=0,0,G114/$G$208)</f>
        <v>1.8249656726554833E-2</v>
      </c>
      <c r="I114" s="473"/>
      <c r="J114" s="183">
        <v>10049</v>
      </c>
      <c r="K114" s="183">
        <v>10635</v>
      </c>
    </row>
    <row r="115" spans="1:11" s="167" customFormat="1">
      <c r="A115" s="169" t="s">
        <v>86</v>
      </c>
      <c r="B115" s="170" t="s">
        <v>151</v>
      </c>
      <c r="C115" s="501">
        <f>'[15]Sch C'!D116</f>
        <v>0</v>
      </c>
      <c r="D115" s="501">
        <f>'[15]Sch C'!F116</f>
        <v>16821</v>
      </c>
      <c r="E115" s="171">
        <f t="shared" si="23"/>
        <v>16821</v>
      </c>
      <c r="F115" s="171"/>
      <c r="G115" s="171">
        <f>E115+F115</f>
        <v>16821</v>
      </c>
      <c r="H115" s="172">
        <f t="shared" si="24"/>
        <v>2.4317551573419748E-3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'[15]Sch C'!D117</f>
        <v>17626</v>
      </c>
      <c r="D116" s="501">
        <f>'[15]Sch C'!F117</f>
        <v>0</v>
      </c>
      <c r="E116" s="171">
        <f t="shared" si="23"/>
        <v>17626</v>
      </c>
      <c r="F116" s="171"/>
      <c r="G116" s="171">
        <f>E116+F116</f>
        <v>17626</v>
      </c>
      <c r="H116" s="172">
        <f t="shared" si="24"/>
        <v>2.548131288467371E-3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'[15]Sch C'!D118</f>
        <v>2441</v>
      </c>
      <c r="D117" s="501">
        <f>'[15]Sch C'!F118</f>
        <v>0</v>
      </c>
      <c r="E117" s="171">
        <f t="shared" si="23"/>
        <v>2441</v>
      </c>
      <c r="F117" s="171"/>
      <c r="G117" s="171">
        <f>E117+F117</f>
        <v>2441</v>
      </c>
      <c r="H117" s="172">
        <f t="shared" si="24"/>
        <v>3.5288712556160514E-4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'[15]Sch C'!D119</f>
        <v>0</v>
      </c>
      <c r="D118" s="501">
        <f>'[15]Sch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139349</v>
      </c>
      <c r="D119" s="501">
        <f>SUM(D114:D118)</f>
        <v>23776</v>
      </c>
      <c r="E119" s="171">
        <f t="shared" ref="E119:F119" si="25">SUM(E114:E118)</f>
        <v>163125</v>
      </c>
      <c r="F119" s="171">
        <f t="shared" si="25"/>
        <v>0</v>
      </c>
      <c r="G119" s="171">
        <f>SUM(G114:G118)</f>
        <v>163125</v>
      </c>
      <c r="H119" s="172">
        <f t="shared" si="24"/>
        <v>2.3582430297925783E-2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'[15]Sch C'!D124</f>
        <v>0</v>
      </c>
      <c r="D123" s="501">
        <f>'[15]Sch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'[15]Sch C'!D125</f>
        <v>144060</v>
      </c>
      <c r="D124" s="501">
        <f>'[15]Sch C'!F125</f>
        <v>8400</v>
      </c>
      <c r="E124" s="171">
        <f t="shared" si="26"/>
        <v>152460</v>
      </c>
      <c r="F124" s="171">
        <v>65142.522762418848</v>
      </c>
      <c r="G124" s="171">
        <f>E124+F124</f>
        <v>217602.52276241884</v>
      </c>
      <c r="H124" s="172">
        <f>IF($G$208=0,0,G124/$G$208)</f>
        <v>3.1458061766728281E-2</v>
      </c>
      <c r="I124" s="473" t="s">
        <v>647</v>
      </c>
      <c r="J124" s="183">
        <v>3742</v>
      </c>
      <c r="K124" s="183">
        <v>3960</v>
      </c>
    </row>
    <row r="125" spans="1:11" s="167" customFormat="1">
      <c r="A125" s="163" t="s">
        <v>198</v>
      </c>
      <c r="B125" s="163" t="s">
        <v>195</v>
      </c>
      <c r="C125" s="501">
        <f>'[15]Sch C'!D126</f>
        <v>59715</v>
      </c>
      <c r="D125" s="501">
        <f>'[15]Sch C'!F126</f>
        <v>3482</v>
      </c>
      <c r="E125" s="171">
        <f t="shared" si="26"/>
        <v>63197</v>
      </c>
      <c r="F125" s="171"/>
      <c r="G125" s="171">
        <f>E125+F125</f>
        <v>63197</v>
      </c>
      <c r="H125" s="172">
        <f>IF($G$208=0,0,G125/$G$208)</f>
        <v>9.1361768431449247E-3</v>
      </c>
      <c r="I125" s="473"/>
      <c r="J125" s="183">
        <v>1847</v>
      </c>
      <c r="K125" s="183">
        <v>1955</v>
      </c>
    </row>
    <row r="126" spans="1:11" s="167" customFormat="1">
      <c r="A126" s="169"/>
      <c r="B126" s="163" t="s">
        <v>196</v>
      </c>
      <c r="C126" s="501">
        <f>'[15]Sch C'!D127</f>
        <v>0</v>
      </c>
      <c r="D126" s="501">
        <f>'[15]Sch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'[15]Sch C'!D128</f>
        <v>91214</v>
      </c>
      <c r="D127" s="501">
        <f>'[15]Sch C'!F128</f>
        <v>5318</v>
      </c>
      <c r="E127" s="171">
        <f t="shared" si="26"/>
        <v>96532</v>
      </c>
      <c r="F127" s="171"/>
      <c r="G127" s="171">
        <f>E127+F127</f>
        <v>96532</v>
      </c>
      <c r="H127" s="172">
        <f>IF($G$208=0,0,G127/$G$208)</f>
        <v>1.3955305204716455E-2</v>
      </c>
      <c r="I127" s="473"/>
      <c r="J127" s="183">
        <v>5784</v>
      </c>
      <c r="K127" s="183">
        <v>6121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'[15]Sch C'!D130</f>
        <v>0</v>
      </c>
      <c r="D129" s="501">
        <f>'[15]Sch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'[15]Sch C'!D131</f>
        <v>0</v>
      </c>
      <c r="D130" s="501">
        <f>'[15]Sch C'!F131</f>
        <v>20316</v>
      </c>
      <c r="E130" s="171">
        <f t="shared" si="27"/>
        <v>20316</v>
      </c>
      <c r="F130" s="171">
        <v>5187.6502529537147</v>
      </c>
      <c r="G130" s="171">
        <f>E130+F130</f>
        <v>25503.650252953714</v>
      </c>
      <c r="H130" s="172">
        <f>IF($G$208=0,0,G130/$G$208)</f>
        <v>3.686976578899361E-3</v>
      </c>
      <c r="I130" s="473" t="s">
        <v>647</v>
      </c>
      <c r="J130" s="204"/>
      <c r="K130" s="204"/>
    </row>
    <row r="131" spans="1:11" s="167" customFormat="1">
      <c r="B131" s="163" t="s">
        <v>195</v>
      </c>
      <c r="C131" s="501">
        <f>'[15]Sch C'!D132</f>
        <v>0</v>
      </c>
      <c r="D131" s="501">
        <f>'[15]Sch C'!F132</f>
        <v>8421</v>
      </c>
      <c r="E131" s="171">
        <f t="shared" si="27"/>
        <v>8421</v>
      </c>
      <c r="F131" s="171"/>
      <c r="G131" s="171">
        <f>E131+F131</f>
        <v>8421</v>
      </c>
      <c r="H131" s="172">
        <f>IF($G$208=0,0,G131/$G$208)</f>
        <v>1.2173955282074056E-3</v>
      </c>
      <c r="I131" s="473"/>
      <c r="J131" s="168"/>
      <c r="K131" s="168"/>
    </row>
    <row r="132" spans="1:11" s="167" customFormat="1">
      <c r="B132" s="163" t="s">
        <v>196</v>
      </c>
      <c r="C132" s="501">
        <f>'[15]Sch C'!D133</f>
        <v>0</v>
      </c>
      <c r="D132" s="501">
        <f>'[15]Sch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'[15]Sch C'!D134</f>
        <v>0</v>
      </c>
      <c r="D133" s="501">
        <f>'[15]Sch C'!F134</f>
        <v>12864</v>
      </c>
      <c r="E133" s="171">
        <f t="shared" si="27"/>
        <v>12864</v>
      </c>
      <c r="F133" s="171"/>
      <c r="G133" s="171">
        <f>E133+F133</f>
        <v>12864</v>
      </c>
      <c r="H133" s="172">
        <f>IF($G$208=0,0,G133/$G$208)</f>
        <v>1.8597050320460829E-3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'[15]Sch C'!D136</f>
        <v>634876</v>
      </c>
      <c r="D135" s="501">
        <f>'[15]Sch C'!F136</f>
        <v>37017</v>
      </c>
      <c r="E135" s="171">
        <f t="shared" ref="E135:E138" si="28">C135+D135</f>
        <v>671893</v>
      </c>
      <c r="F135" s="171"/>
      <c r="G135" s="171">
        <f>E135+F135</f>
        <v>671893</v>
      </c>
      <c r="H135" s="172">
        <f>IF($G$208=0,0,G135/$G$208)</f>
        <v>9.7133301702156311E-2</v>
      </c>
      <c r="I135" s="473"/>
      <c r="J135" s="183">
        <v>21594</v>
      </c>
      <c r="K135" s="183">
        <v>22853</v>
      </c>
    </row>
    <row r="136" spans="1:11" s="167" customFormat="1">
      <c r="A136" s="169"/>
      <c r="B136" s="163" t="s">
        <v>195</v>
      </c>
      <c r="C136" s="501">
        <f>'[15]Sch C'!D137</f>
        <v>275944</v>
      </c>
      <c r="D136" s="501">
        <f>'[15]Sch C'!F137</f>
        <v>16089</v>
      </c>
      <c r="E136" s="171">
        <f t="shared" si="28"/>
        <v>292033</v>
      </c>
      <c r="F136" s="171"/>
      <c r="G136" s="171">
        <f>E136+F136</f>
        <v>292033</v>
      </c>
      <c r="H136" s="172">
        <f>IF($G$208=0,0,G136/$G$208)</f>
        <v>4.2218224473220906E-2</v>
      </c>
      <c r="I136" s="473"/>
      <c r="J136" s="183">
        <v>9930</v>
      </c>
      <c r="K136" s="183">
        <v>10509</v>
      </c>
    </row>
    <row r="137" spans="1:11" s="167" customFormat="1">
      <c r="A137" s="169"/>
      <c r="B137" s="163" t="s">
        <v>196</v>
      </c>
      <c r="C137" s="501">
        <f>'[15]Sch C'!D138</f>
        <v>523809</v>
      </c>
      <c r="D137" s="501">
        <f>'[15]Sch C'!F138</f>
        <v>30541</v>
      </c>
      <c r="E137" s="171">
        <f t="shared" si="28"/>
        <v>554350</v>
      </c>
      <c r="F137" s="171"/>
      <c r="G137" s="171">
        <f>E137+F137</f>
        <v>554350</v>
      </c>
      <c r="H137" s="172">
        <f>IF($G$208=0,0,G137/$G$208)</f>
        <v>8.0140507191755764E-2</v>
      </c>
      <c r="I137" s="473"/>
      <c r="J137" s="183">
        <v>40574</v>
      </c>
      <c r="K137" s="183">
        <v>42940</v>
      </c>
    </row>
    <row r="138" spans="1:11" s="167" customFormat="1">
      <c r="A138" s="169"/>
      <c r="B138" s="163" t="s">
        <v>197</v>
      </c>
      <c r="C138" s="501">
        <f>'[15]Sch C'!D139</f>
        <v>189786</v>
      </c>
      <c r="D138" s="501">
        <f>'[15]Sch C'!F139</f>
        <v>11066</v>
      </c>
      <c r="E138" s="171">
        <f t="shared" si="28"/>
        <v>200852</v>
      </c>
      <c r="F138" s="171"/>
      <c r="G138" s="171">
        <f>E138+F138</f>
        <v>200852</v>
      </c>
      <c r="H138" s="172">
        <f>IF($G$208=0,0,G138/$G$208)</f>
        <v>2.9036495265587676E-2</v>
      </c>
      <c r="I138" s="473"/>
      <c r="J138" s="183">
        <v>14454</v>
      </c>
      <c r="K138" s="183">
        <v>15297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'[15]Sch C'!D141</f>
        <v>0</v>
      </c>
      <c r="D140" s="501">
        <f>'[15]Sch C'!F141</f>
        <v>89534</v>
      </c>
      <c r="E140" s="171">
        <f t="shared" ref="E140:E143" si="29">C140+D140</f>
        <v>89534</v>
      </c>
      <c r="F140" s="171"/>
      <c r="G140" s="171">
        <f>E140+F140</f>
        <v>89534</v>
      </c>
      <c r="H140" s="172">
        <f>IF($G$208=0,0,G140/$G$208)</f>
        <v>1.2943627980349346E-2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'[15]Sch C'!D142</f>
        <v>0</v>
      </c>
      <c r="D141" s="501">
        <f>'[15]Sch C'!F142</f>
        <v>38915</v>
      </c>
      <c r="E141" s="171">
        <f t="shared" si="29"/>
        <v>38915</v>
      </c>
      <c r="F141" s="171"/>
      <c r="G141" s="171">
        <f>E141+F141</f>
        <v>38915</v>
      </c>
      <c r="H141" s="172">
        <f>IF($G$208=0,0,G141/$G$208)</f>
        <v>5.6258101152109235E-3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'[15]Sch C'!D143</f>
        <v>0</v>
      </c>
      <c r="D142" s="501">
        <f>'[15]Sch C'!F143</f>
        <v>73870</v>
      </c>
      <c r="E142" s="171">
        <f t="shared" si="29"/>
        <v>73870</v>
      </c>
      <c r="F142" s="171"/>
      <c r="G142" s="171">
        <f>E142+F142</f>
        <v>73870</v>
      </c>
      <c r="H142" s="172">
        <f>IF($G$208=0,0,G142/$G$208)</f>
        <v>1.0679136405258407E-2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'[15]Sch C'!D144</f>
        <v>0</v>
      </c>
      <c r="D143" s="501">
        <f>'[15]Sch C'!F144</f>
        <v>26765</v>
      </c>
      <c r="E143" s="171">
        <f t="shared" si="29"/>
        <v>26765</v>
      </c>
      <c r="F143" s="171"/>
      <c r="G143" s="171">
        <f>E143+F143</f>
        <v>26765</v>
      </c>
      <c r="H143" s="172">
        <f>IF($G$208=0,0,G143/$G$208)</f>
        <v>3.869325651641279E-3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'[15]Sch C'!D146</f>
        <v>35888</v>
      </c>
      <c r="D145" s="501">
        <f>'[15]Sch C'!F146</f>
        <v>0</v>
      </c>
      <c r="E145" s="171">
        <f t="shared" ref="E145:E153" si="30">C145+D145</f>
        <v>35888</v>
      </c>
      <c r="F145" s="171"/>
      <c r="G145" s="171">
        <f t="shared" ref="G145:G153" si="31">E145+F145</f>
        <v>35888</v>
      </c>
      <c r="H145" s="172">
        <f t="shared" ref="H145:H153" si="32">IF($G$208=0,0,G145/$G$208)</f>
        <v>5.1882069488549303E-3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'[15]Sch C'!D147</f>
        <v>36769</v>
      </c>
      <c r="D146" s="501">
        <f>'[15]Sch C'!F147</f>
        <v>0</v>
      </c>
      <c r="E146" s="171">
        <f t="shared" si="30"/>
        <v>36769</v>
      </c>
      <c r="F146" s="171"/>
      <c r="G146" s="171">
        <f t="shared" si="31"/>
        <v>36769</v>
      </c>
      <c r="H146" s="172">
        <f t="shared" si="32"/>
        <v>5.3155701432915439E-3</v>
      </c>
      <c r="I146" s="473"/>
      <c r="J146" s="183">
        <v>766</v>
      </c>
      <c r="K146" s="183">
        <v>766</v>
      </c>
    </row>
    <row r="147" spans="1:11" s="167" customFormat="1">
      <c r="A147" s="169"/>
      <c r="B147" s="163" t="s">
        <v>195</v>
      </c>
      <c r="C147" s="501">
        <f>'[15]Sch C'!D148</f>
        <v>2056</v>
      </c>
      <c r="D147" s="501">
        <f>'[15]Sch C'!F148</f>
        <v>0</v>
      </c>
      <c r="E147" s="171">
        <f t="shared" si="30"/>
        <v>2056</v>
      </c>
      <c r="F147" s="171"/>
      <c r="G147" s="171">
        <f t="shared" si="31"/>
        <v>2056</v>
      </c>
      <c r="H147" s="172">
        <f t="shared" si="32"/>
        <v>2.9722897589293739E-4</v>
      </c>
      <c r="I147" s="473"/>
      <c r="J147" s="183">
        <v>57</v>
      </c>
      <c r="K147" s="183">
        <v>57</v>
      </c>
    </row>
    <row r="148" spans="1:11" s="167" customFormat="1">
      <c r="A148" s="169"/>
      <c r="B148" s="163" t="s">
        <v>196</v>
      </c>
      <c r="C148" s="501">
        <f>'[15]Sch C'!D149</f>
        <v>135824</v>
      </c>
      <c r="D148" s="501">
        <f>'[15]Sch C'!F149</f>
        <v>0</v>
      </c>
      <c r="E148" s="171">
        <f t="shared" si="30"/>
        <v>135824</v>
      </c>
      <c r="F148" s="171"/>
      <c r="G148" s="171">
        <f t="shared" si="31"/>
        <v>135824</v>
      </c>
      <c r="H148" s="172">
        <f t="shared" si="32"/>
        <v>1.9635616936615918E-2</v>
      </c>
      <c r="I148" s="473"/>
      <c r="J148" s="183">
        <v>7546</v>
      </c>
      <c r="K148" s="183">
        <v>7546</v>
      </c>
    </row>
    <row r="149" spans="1:11" s="167" customFormat="1">
      <c r="A149" s="169"/>
      <c r="B149" s="163" t="s">
        <v>197</v>
      </c>
      <c r="C149" s="501">
        <f>'[15]Sch C'!D150</f>
        <v>13124</v>
      </c>
      <c r="D149" s="501">
        <f>'[15]Sch C'!F150</f>
        <v>0</v>
      </c>
      <c r="E149" s="171">
        <f t="shared" si="30"/>
        <v>13124</v>
      </c>
      <c r="F149" s="171"/>
      <c r="G149" s="171">
        <f t="shared" si="31"/>
        <v>13124</v>
      </c>
      <c r="H149" s="172">
        <f t="shared" si="32"/>
        <v>1.8972923539002482E-3</v>
      </c>
      <c r="I149" s="473"/>
      <c r="J149" s="183">
        <v>875</v>
      </c>
      <c r="K149" s="183">
        <v>875</v>
      </c>
    </row>
    <row r="150" spans="1:11" s="167" customFormat="1">
      <c r="A150" s="169">
        <v>110</v>
      </c>
      <c r="B150" s="167" t="s">
        <v>65</v>
      </c>
      <c r="C150" s="501">
        <f>'[15]Sch C'!D151</f>
        <v>133417</v>
      </c>
      <c r="D150" s="501">
        <f>'[15]Sch C'!F151</f>
        <v>0</v>
      </c>
      <c r="E150" s="171">
        <f t="shared" si="30"/>
        <v>133417</v>
      </c>
      <c r="F150" s="171"/>
      <c r="G150" s="171">
        <f t="shared" si="31"/>
        <v>133417</v>
      </c>
      <c r="H150" s="172">
        <f t="shared" si="32"/>
        <v>1.9287645076219859E-2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'[15]Sch C'!D152</f>
        <v>2407</v>
      </c>
      <c r="D151" s="501">
        <f>'[15]Sch C'!F152</f>
        <v>0</v>
      </c>
      <c r="E151" s="171">
        <f t="shared" si="30"/>
        <v>2407</v>
      </c>
      <c r="F151" s="171"/>
      <c r="G151" s="171">
        <f t="shared" si="31"/>
        <v>2407</v>
      </c>
      <c r="H151" s="172">
        <f t="shared" si="32"/>
        <v>3.4797186039606048E-4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'[15]Sch C'!D153</f>
        <v>0</v>
      </c>
      <c r="D152" s="501">
        <f>'[15]Sch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'[15]Sch C'!D154</f>
        <v>0</v>
      </c>
      <c r="D153" s="501">
        <f>'[15]Sch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'[15]Sch C'!D156</f>
        <v>0</v>
      </c>
      <c r="D155" s="501">
        <f>'[15]Sch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'[15]Sch C'!D157</f>
        <v>0</v>
      </c>
      <c r="D156" s="501">
        <f>'[15]Sch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'[15]Sch C'!D158</f>
        <v>0</v>
      </c>
      <c r="D157" s="501">
        <f>'[15]Sch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'[15]Sch C'!D159</f>
        <v>0</v>
      </c>
      <c r="D158" s="501">
        <f>'[15]Sch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'[15]Sch C'!D160</f>
        <v>0</v>
      </c>
      <c r="D159" s="501">
        <f>'[15]Sch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'[15]Sch C'!D161</f>
        <v>5515</v>
      </c>
      <c r="D160" s="501">
        <f>'[15]Sch C'!F161</f>
        <v>0</v>
      </c>
      <c r="E160" s="171">
        <f t="shared" si="33"/>
        <v>5515</v>
      </c>
      <c r="F160" s="171"/>
      <c r="G160" s="171">
        <f t="shared" si="34"/>
        <v>5515</v>
      </c>
      <c r="H160" s="172">
        <f t="shared" si="35"/>
        <v>7.9728492317585097E-4</v>
      </c>
      <c r="I160" s="473"/>
      <c r="J160" s="168"/>
      <c r="K160" s="168"/>
    </row>
    <row r="161" spans="1:12" s="167" customFormat="1">
      <c r="A161" s="169"/>
      <c r="B161" s="170" t="s">
        <v>233</v>
      </c>
      <c r="C161" s="501">
        <f>SUM(C123:C160)</f>
        <v>2284404</v>
      </c>
      <c r="D161" s="501">
        <f>SUM(D123:D160)</f>
        <v>382598</v>
      </c>
      <c r="E161" s="171">
        <f t="shared" ref="E161:F161" si="36">SUM(E123:E160)</f>
        <v>2667002</v>
      </c>
      <c r="F161" s="171">
        <f t="shared" si="36"/>
        <v>70330.173015372566</v>
      </c>
      <c r="G161" s="171">
        <f>SUM(G123:G160)</f>
        <v>2737332.1730153728</v>
      </c>
      <c r="H161" s="172">
        <f t="shared" si="35"/>
        <v>0.3957268669572705</v>
      </c>
      <c r="I161" s="473"/>
      <c r="J161" s="168"/>
      <c r="K161" s="168"/>
    </row>
    <row r="162" spans="1:12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2" s="167" customFormat="1" ht="26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2" s="221" customFormat="1">
      <c r="A164" s="215" t="s">
        <v>95</v>
      </c>
      <c r="B164" s="148" t="s">
        <v>102</v>
      </c>
      <c r="C164" s="501">
        <f>'[15]Sch C'!D175</f>
        <v>0</v>
      </c>
      <c r="D164" s="501">
        <f>'[15]Sch C'!F175</f>
        <v>0</v>
      </c>
      <c r="E164" s="171">
        <f t="shared" ref="E164:E196" si="37">C164+D164</f>
        <v>0</v>
      </c>
      <c r="F164" s="655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9"/>
    </row>
    <row r="165" spans="1:12" s="221" customFormat="1">
      <c r="A165" s="215" t="s">
        <v>123</v>
      </c>
      <c r="B165" s="148" t="s">
        <v>103</v>
      </c>
      <c r="C165" s="501">
        <f>'[15]Sch C'!D176</f>
        <v>0</v>
      </c>
      <c r="D165" s="501">
        <f>'[15]Sch C'!F176</f>
        <v>0</v>
      </c>
      <c r="E165" s="171">
        <f t="shared" si="37"/>
        <v>0</v>
      </c>
      <c r="F165" s="655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9"/>
    </row>
    <row r="166" spans="1:12" s="221" customFormat="1">
      <c r="A166" s="215" t="s">
        <v>124</v>
      </c>
      <c r="B166" s="148" t="s">
        <v>104</v>
      </c>
      <c r="C166" s="501">
        <f>'[15]Sch C'!D177</f>
        <v>239157</v>
      </c>
      <c r="D166" s="501">
        <f>'[15]Sch C'!F177</f>
        <v>13944</v>
      </c>
      <c r="E166" s="171">
        <f t="shared" si="37"/>
        <v>253101</v>
      </c>
      <c r="F166" s="655"/>
      <c r="G166" s="171">
        <f t="shared" si="38"/>
        <v>253101</v>
      </c>
      <c r="H166" s="172">
        <f t="shared" si="39"/>
        <v>3.6589956725427211E-2</v>
      </c>
      <c r="I166" s="483"/>
      <c r="J166" s="183">
        <v>7583</v>
      </c>
      <c r="K166" s="183">
        <v>8025</v>
      </c>
      <c r="L166" s="219"/>
    </row>
    <row r="167" spans="1:12" s="221" customFormat="1">
      <c r="A167" s="215" t="s">
        <v>157</v>
      </c>
      <c r="B167" s="148" t="s">
        <v>105</v>
      </c>
      <c r="C167" s="501">
        <f>'[15]Sch C'!D178</f>
        <v>0</v>
      </c>
      <c r="D167" s="501">
        <f>'[15]Sch C'!F178</f>
        <v>33727</v>
      </c>
      <c r="E167" s="171">
        <f t="shared" si="37"/>
        <v>33727</v>
      </c>
      <c r="F167" s="655"/>
      <c r="G167" s="171">
        <f t="shared" si="38"/>
        <v>33727</v>
      </c>
      <c r="H167" s="172">
        <f t="shared" si="39"/>
        <v>4.8757984775978109E-3</v>
      </c>
      <c r="I167" s="484"/>
      <c r="J167" s="222"/>
      <c r="K167" s="222"/>
      <c r="L167" s="219"/>
    </row>
    <row r="168" spans="1:12" s="221" customFormat="1">
      <c r="A168" s="215" t="s">
        <v>158</v>
      </c>
      <c r="B168" s="148" t="s">
        <v>316</v>
      </c>
      <c r="C168" s="501">
        <f>'[15]Sch C'!D179</f>
        <v>24771</v>
      </c>
      <c r="D168" s="501">
        <f>'[15]Sch C'!F179</f>
        <v>1444</v>
      </c>
      <c r="E168" s="171">
        <f t="shared" si="37"/>
        <v>26215</v>
      </c>
      <c r="F168" s="655"/>
      <c r="G168" s="171">
        <f t="shared" si="38"/>
        <v>26215</v>
      </c>
      <c r="H168" s="172">
        <f t="shared" si="39"/>
        <v>3.7898140092574679E-3</v>
      </c>
      <c r="I168" s="483"/>
      <c r="J168" s="183">
        <v>826</v>
      </c>
      <c r="K168" s="183">
        <v>874</v>
      </c>
      <c r="L168" s="219"/>
    </row>
    <row r="169" spans="1:12" s="221" customFormat="1">
      <c r="A169" s="215" t="s">
        <v>86</v>
      </c>
      <c r="B169" s="148" t="s">
        <v>317</v>
      </c>
      <c r="C169" s="501">
        <f>'[15]Sch C'!D180</f>
        <v>0</v>
      </c>
      <c r="D169" s="501">
        <f>'[15]Sch C'!F180</f>
        <v>3494</v>
      </c>
      <c r="E169" s="171">
        <f t="shared" si="37"/>
        <v>3494</v>
      </c>
      <c r="F169" s="655"/>
      <c r="G169" s="171">
        <f t="shared" si="38"/>
        <v>3494</v>
      </c>
      <c r="H169" s="172">
        <f t="shared" si="39"/>
        <v>5.0511577907097439E-4</v>
      </c>
      <c r="I169" s="484"/>
      <c r="J169" s="222"/>
      <c r="K169" s="222"/>
      <c r="L169" s="219"/>
    </row>
    <row r="170" spans="1:12" s="221" customFormat="1">
      <c r="A170" s="215" t="s">
        <v>96</v>
      </c>
      <c r="B170" s="148" t="s">
        <v>318</v>
      </c>
      <c r="C170" s="501">
        <f>'[15]Sch C'!D181</f>
        <v>0</v>
      </c>
      <c r="D170" s="501">
        <f>'[15]Sch C'!F181</f>
        <v>0</v>
      </c>
      <c r="E170" s="171">
        <f t="shared" si="37"/>
        <v>0</v>
      </c>
      <c r="F170" s="655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9"/>
    </row>
    <row r="171" spans="1:12" s="221" customFormat="1">
      <c r="A171" s="215" t="s">
        <v>125</v>
      </c>
      <c r="B171" s="148" t="s">
        <v>109</v>
      </c>
      <c r="C171" s="501">
        <f>'[15]Sch C'!D182</f>
        <v>0</v>
      </c>
      <c r="D171" s="501">
        <f>'[15]Sch C'!F182</f>
        <v>0</v>
      </c>
      <c r="E171" s="171">
        <f t="shared" si="37"/>
        <v>0</v>
      </c>
      <c r="F171" s="655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9"/>
    </row>
    <row r="172" spans="1:12" s="221" customFormat="1">
      <c r="A172" s="215" t="s">
        <v>126</v>
      </c>
      <c r="B172" s="148" t="s">
        <v>319</v>
      </c>
      <c r="C172" s="501">
        <f>'[15]Sch C'!D183</f>
        <v>98672</v>
      </c>
      <c r="D172" s="501">
        <f>'[15]Sch C'!F183</f>
        <v>5753</v>
      </c>
      <c r="E172" s="171">
        <f t="shared" si="37"/>
        <v>104425</v>
      </c>
      <c r="F172" s="655"/>
      <c r="G172" s="171">
        <f t="shared" si="38"/>
        <v>104425</v>
      </c>
      <c r="H172" s="172">
        <f t="shared" si="39"/>
        <v>1.5096369556235402E-2</v>
      </c>
      <c r="I172" s="483"/>
      <c r="J172" s="183">
        <v>2935</v>
      </c>
      <c r="K172" s="183">
        <v>3106</v>
      </c>
      <c r="L172" s="219"/>
    </row>
    <row r="173" spans="1:12" s="221" customFormat="1">
      <c r="A173" s="215" t="s">
        <v>127</v>
      </c>
      <c r="B173" s="148" t="s">
        <v>111</v>
      </c>
      <c r="C173" s="501">
        <f>'[15]Sch C'!D184</f>
        <v>0</v>
      </c>
      <c r="D173" s="501">
        <f>'[15]Sch C'!F184</f>
        <v>13915</v>
      </c>
      <c r="E173" s="171">
        <f t="shared" si="37"/>
        <v>13915</v>
      </c>
      <c r="F173" s="655"/>
      <c r="G173" s="171">
        <f t="shared" si="38"/>
        <v>13915</v>
      </c>
      <c r="H173" s="172">
        <f t="shared" si="39"/>
        <v>2.01164455231042E-3</v>
      </c>
      <c r="I173" s="484"/>
      <c r="J173" s="222"/>
      <c r="K173" s="222"/>
      <c r="L173" s="219"/>
    </row>
    <row r="174" spans="1:12" s="221" customFormat="1">
      <c r="A174" s="215" t="s">
        <v>128</v>
      </c>
      <c r="B174" s="148" t="s">
        <v>320</v>
      </c>
      <c r="C174" s="501">
        <f>'[15]Sch C'!D185</f>
        <v>0</v>
      </c>
      <c r="D174" s="501">
        <f>'[15]Sch C'!F185</f>
        <v>0</v>
      </c>
      <c r="E174" s="171">
        <f t="shared" si="37"/>
        <v>0</v>
      </c>
      <c r="F174" s="655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9"/>
    </row>
    <row r="175" spans="1:12" s="221" customFormat="1">
      <c r="A175" s="215" t="s">
        <v>129</v>
      </c>
      <c r="B175" s="148" t="s">
        <v>321</v>
      </c>
      <c r="C175" s="501">
        <f>'[15]Sch C'!D186</f>
        <v>0</v>
      </c>
      <c r="D175" s="501">
        <f>'[15]Sch C'!F186</f>
        <v>0</v>
      </c>
      <c r="E175" s="171">
        <f t="shared" si="37"/>
        <v>0</v>
      </c>
      <c r="F175" s="655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</row>
    <row r="176" spans="1:12" s="221" customFormat="1">
      <c r="A176" s="224" t="s">
        <v>293</v>
      </c>
      <c r="B176" s="148" t="s">
        <v>154</v>
      </c>
      <c r="C176" s="501">
        <f>'[15]Sch C'!D187</f>
        <v>0</v>
      </c>
      <c r="D176" s="501">
        <f>'[15]Sch C'!F187</f>
        <v>0</v>
      </c>
      <c r="E176" s="171">
        <f t="shared" si="37"/>
        <v>0</v>
      </c>
      <c r="F176" s="655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</row>
    <row r="177" spans="1:12" s="221" customFormat="1">
      <c r="A177" s="224" t="s">
        <v>294</v>
      </c>
      <c r="B177" s="148" t="s">
        <v>322</v>
      </c>
      <c r="C177" s="501">
        <f>'[15]Sch C'!D188</f>
        <v>828</v>
      </c>
      <c r="D177" s="501">
        <f>'[15]Sch C'!F188</f>
        <v>0</v>
      </c>
      <c r="E177" s="171">
        <f t="shared" si="37"/>
        <v>828</v>
      </c>
      <c r="F177" s="655"/>
      <c r="G177" s="171">
        <f t="shared" si="38"/>
        <v>828</v>
      </c>
      <c r="H177" s="172">
        <f t="shared" si="39"/>
        <v>1.1970116344326467E-4</v>
      </c>
      <c r="I177" s="473"/>
      <c r="J177" s="223"/>
      <c r="K177" s="218"/>
      <c r="L177" s="220"/>
    </row>
    <row r="178" spans="1:12" s="221" customFormat="1">
      <c r="A178" s="224" t="s">
        <v>295</v>
      </c>
      <c r="B178" s="148" t="s">
        <v>323</v>
      </c>
      <c r="C178" s="501">
        <f>'[15]Sch C'!D189</f>
        <v>0</v>
      </c>
      <c r="D178" s="501">
        <f>'[15]Sch C'!F189</f>
        <v>0</v>
      </c>
      <c r="E178" s="171">
        <f t="shared" si="37"/>
        <v>0</v>
      </c>
      <c r="F178" s="655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</row>
    <row r="179" spans="1:12" s="221" customFormat="1">
      <c r="A179" s="224" t="s">
        <v>296</v>
      </c>
      <c r="B179" s="148" t="s">
        <v>324</v>
      </c>
      <c r="C179" s="501">
        <f>'[15]Sch C'!D190</f>
        <v>0</v>
      </c>
      <c r="D179" s="501">
        <f>'[15]Sch C'!F190</f>
        <v>0</v>
      </c>
      <c r="E179" s="171">
        <f t="shared" si="37"/>
        <v>0</v>
      </c>
      <c r="F179" s="655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</row>
    <row r="180" spans="1:12" s="221" customFormat="1">
      <c r="A180" s="224" t="s">
        <v>297</v>
      </c>
      <c r="B180" s="148" t="s">
        <v>325</v>
      </c>
      <c r="C180" s="501">
        <f>'[15]Sch C'!D191</f>
        <v>124</v>
      </c>
      <c r="D180" s="501">
        <f>'[15]Sch C'!F191</f>
        <v>0</v>
      </c>
      <c r="E180" s="171">
        <f t="shared" si="37"/>
        <v>124</v>
      </c>
      <c r="F180" s="655"/>
      <c r="G180" s="171">
        <f t="shared" si="38"/>
        <v>124</v>
      </c>
      <c r="H180" s="172">
        <f t="shared" si="39"/>
        <v>1.7926261191986497E-5</v>
      </c>
      <c r="I180" s="473"/>
      <c r="J180" s="223"/>
      <c r="K180" s="218"/>
      <c r="L180" s="220"/>
    </row>
    <row r="181" spans="1:12" s="221" customFormat="1">
      <c r="A181" s="224" t="s">
        <v>298</v>
      </c>
      <c r="B181" s="148" t="s">
        <v>117</v>
      </c>
      <c r="C181" s="501">
        <f>'[15]Sch C'!D192</f>
        <v>0</v>
      </c>
      <c r="D181" s="501">
        <f>'[15]Sch C'!F192</f>
        <v>0</v>
      </c>
      <c r="E181" s="171">
        <f t="shared" si="37"/>
        <v>0</v>
      </c>
      <c r="F181" s="655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</row>
    <row r="182" spans="1:12" s="221" customFormat="1">
      <c r="A182" s="224" t="s">
        <v>132</v>
      </c>
      <c r="B182" s="148" t="s">
        <v>118</v>
      </c>
      <c r="C182" s="501">
        <f>'[15]Sch C'!D193</f>
        <v>0</v>
      </c>
      <c r="D182" s="501">
        <f>'[15]Sch C'!F193</f>
        <v>0</v>
      </c>
      <c r="E182" s="171">
        <f t="shared" si="37"/>
        <v>0</v>
      </c>
      <c r="F182" s="655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</row>
    <row r="183" spans="1:12" s="221" customFormat="1">
      <c r="A183" s="224" t="s">
        <v>133</v>
      </c>
      <c r="B183" s="148" t="s">
        <v>119</v>
      </c>
      <c r="C183" s="501">
        <f>'[15]Sch C'!D194</f>
        <v>0</v>
      </c>
      <c r="D183" s="501">
        <f>'[15]Sch C'!F194</f>
        <v>0</v>
      </c>
      <c r="E183" s="171">
        <f t="shared" si="37"/>
        <v>0</v>
      </c>
      <c r="F183" s="655"/>
      <c r="G183" s="171">
        <f t="shared" si="38"/>
        <v>0</v>
      </c>
      <c r="H183" s="172">
        <f t="shared" si="39"/>
        <v>0</v>
      </c>
      <c r="I183" s="473"/>
      <c r="J183" s="223"/>
      <c r="K183" s="218"/>
      <c r="L183" s="220"/>
    </row>
    <row r="184" spans="1:12" s="221" customFormat="1">
      <c r="A184" s="224" t="s">
        <v>134</v>
      </c>
      <c r="B184" s="148" t="s">
        <v>326</v>
      </c>
      <c r="C184" s="501">
        <f>'[15]Sch C'!D195</f>
        <v>1516</v>
      </c>
      <c r="D184" s="501">
        <f>'[15]Sch C'!F195</f>
        <v>0</v>
      </c>
      <c r="E184" s="171">
        <f t="shared" si="37"/>
        <v>1516</v>
      </c>
      <c r="F184" s="655"/>
      <c r="G184" s="171">
        <f t="shared" si="38"/>
        <v>1516</v>
      </c>
      <c r="H184" s="172">
        <f t="shared" si="39"/>
        <v>2.1916299973428653E-4</v>
      </c>
      <c r="I184" s="473"/>
      <c r="J184" s="223"/>
      <c r="K184" s="218"/>
      <c r="L184" s="220"/>
    </row>
    <row r="185" spans="1:12" s="221" customFormat="1">
      <c r="A185" s="224" t="s">
        <v>135</v>
      </c>
      <c r="B185" s="148" t="s">
        <v>327</v>
      </c>
      <c r="C185" s="501">
        <f>'[15]Sch C'!D196</f>
        <v>0</v>
      </c>
      <c r="D185" s="501">
        <f>'[15]Sch C'!F196</f>
        <v>0</v>
      </c>
      <c r="E185" s="171">
        <f t="shared" si="37"/>
        <v>0</v>
      </c>
      <c r="F185" s="655"/>
      <c r="G185" s="171">
        <f t="shared" si="38"/>
        <v>0</v>
      </c>
      <c r="H185" s="172">
        <f t="shared" si="39"/>
        <v>0</v>
      </c>
      <c r="I185" s="473"/>
      <c r="J185" s="223"/>
      <c r="K185" s="218"/>
      <c r="L185" s="220"/>
    </row>
    <row r="186" spans="1:12" s="221" customFormat="1">
      <c r="A186" s="224" t="s">
        <v>136</v>
      </c>
      <c r="B186" s="148" t="s">
        <v>328</v>
      </c>
      <c r="C186" s="501">
        <f>'[15]Sch C'!D197</f>
        <v>0</v>
      </c>
      <c r="D186" s="501">
        <f>'[15]Sch C'!F197</f>
        <v>0</v>
      </c>
      <c r="E186" s="171">
        <f t="shared" si="37"/>
        <v>0</v>
      </c>
      <c r="F186" s="655"/>
      <c r="G186" s="171">
        <f t="shared" si="38"/>
        <v>0</v>
      </c>
      <c r="H186" s="172">
        <f t="shared" si="39"/>
        <v>0</v>
      </c>
      <c r="I186" s="473"/>
      <c r="J186" s="223"/>
      <c r="K186" s="218"/>
      <c r="L186" s="220"/>
    </row>
    <row r="187" spans="1:12" s="221" customFormat="1">
      <c r="A187" s="224" t="s">
        <v>137</v>
      </c>
      <c r="B187" s="148" t="s">
        <v>122</v>
      </c>
      <c r="C187" s="501">
        <f>'[15]Sch C'!D198</f>
        <v>29964</v>
      </c>
      <c r="D187" s="501">
        <f>'[15]Sch C'!F198</f>
        <v>-828</v>
      </c>
      <c r="E187" s="171">
        <f t="shared" si="37"/>
        <v>29136</v>
      </c>
      <c r="F187" s="655"/>
      <c r="G187" s="171">
        <f t="shared" si="38"/>
        <v>29136</v>
      </c>
      <c r="H187" s="172">
        <f t="shared" si="39"/>
        <v>4.2120931136267626E-3</v>
      </c>
      <c r="I187" s="473"/>
      <c r="J187" s="223"/>
      <c r="K187" s="218"/>
      <c r="L187" s="220"/>
    </row>
    <row r="188" spans="1:12" s="221" customFormat="1">
      <c r="A188" s="224" t="s">
        <v>275</v>
      </c>
      <c r="B188" s="148" t="s">
        <v>329</v>
      </c>
      <c r="C188" s="501">
        <f>'[15]Sch C'!D199</f>
        <v>1944</v>
      </c>
      <c r="D188" s="501">
        <f>'[15]Sch C'!F199</f>
        <v>0</v>
      </c>
      <c r="E188" s="171">
        <f t="shared" si="37"/>
        <v>1944</v>
      </c>
      <c r="F188" s="655"/>
      <c r="G188" s="171">
        <f t="shared" si="38"/>
        <v>1944</v>
      </c>
      <c r="H188" s="172">
        <f t="shared" si="39"/>
        <v>2.8103751417114315E-4</v>
      </c>
      <c r="I188" s="473"/>
      <c r="J188" s="223"/>
      <c r="K188" s="218"/>
      <c r="L188" s="220"/>
    </row>
    <row r="189" spans="1:12" s="221" customFormat="1">
      <c r="A189" s="224" t="s">
        <v>277</v>
      </c>
      <c r="B189" s="148" t="s">
        <v>278</v>
      </c>
      <c r="C189" s="501">
        <f>'[15]Sch C'!D200</f>
        <v>0</v>
      </c>
      <c r="D189" s="501">
        <f>'[15]Sch C'!F200</f>
        <v>0</v>
      </c>
      <c r="E189" s="171">
        <f t="shared" si="37"/>
        <v>0</v>
      </c>
      <c r="F189" s="655"/>
      <c r="G189" s="171">
        <f t="shared" si="38"/>
        <v>0</v>
      </c>
      <c r="H189" s="172">
        <f t="shared" si="39"/>
        <v>0</v>
      </c>
      <c r="I189" s="473"/>
      <c r="J189" s="223"/>
      <c r="K189" s="218"/>
      <c r="L189" s="220"/>
    </row>
    <row r="190" spans="1:12" s="221" customFormat="1">
      <c r="A190" s="225" t="s">
        <v>279</v>
      </c>
      <c r="B190" s="226" t="s">
        <v>280</v>
      </c>
      <c r="C190" s="501">
        <f>'[15]Sch C'!D201</f>
        <v>0</v>
      </c>
      <c r="D190" s="501">
        <f>'[15]Sch C'!F201</f>
        <v>0</v>
      </c>
      <c r="E190" s="171">
        <f t="shared" si="37"/>
        <v>0</v>
      </c>
      <c r="F190" s="655"/>
      <c r="G190" s="171">
        <f t="shared" si="38"/>
        <v>0</v>
      </c>
      <c r="H190" s="172">
        <f t="shared" si="39"/>
        <v>0</v>
      </c>
      <c r="I190" s="473"/>
      <c r="J190" s="223"/>
      <c r="K190" s="218"/>
      <c r="L190" s="220"/>
    </row>
    <row r="191" spans="1:12" s="221" customFormat="1">
      <c r="A191" s="225" t="s">
        <v>281</v>
      </c>
      <c r="B191" s="226" t="s">
        <v>282</v>
      </c>
      <c r="C191" s="501">
        <f>'[15]Sch C'!D202</f>
        <v>0</v>
      </c>
      <c r="D191" s="501">
        <f>'[15]Sch C'!F202</f>
        <v>0</v>
      </c>
      <c r="E191" s="171">
        <f t="shared" si="37"/>
        <v>0</v>
      </c>
      <c r="F191" s="655"/>
      <c r="G191" s="171">
        <f t="shared" si="38"/>
        <v>0</v>
      </c>
      <c r="H191" s="172">
        <f t="shared" si="39"/>
        <v>0</v>
      </c>
      <c r="I191" s="473"/>
      <c r="J191" s="223"/>
      <c r="K191" s="218"/>
      <c r="L191" s="220"/>
    </row>
    <row r="192" spans="1:12" s="221" customFormat="1">
      <c r="A192" s="225" t="s">
        <v>283</v>
      </c>
      <c r="B192" s="226" t="s">
        <v>330</v>
      </c>
      <c r="C192" s="501">
        <f>'[15]Sch C'!D203</f>
        <v>0</v>
      </c>
      <c r="D192" s="501">
        <f>'[15]Sch C'!F203</f>
        <v>0</v>
      </c>
      <c r="E192" s="171">
        <f t="shared" si="37"/>
        <v>0</v>
      </c>
      <c r="F192" s="655"/>
      <c r="G192" s="171">
        <f t="shared" si="38"/>
        <v>0</v>
      </c>
      <c r="H192" s="172">
        <f t="shared" si="39"/>
        <v>0</v>
      </c>
      <c r="I192" s="473"/>
      <c r="J192" s="223"/>
      <c r="K192" s="218"/>
      <c r="L192" s="220"/>
    </row>
    <row r="193" spans="1:12" s="221" customFormat="1">
      <c r="A193" s="225" t="s">
        <v>285</v>
      </c>
      <c r="B193" s="226" t="s">
        <v>331</v>
      </c>
      <c r="C193" s="501">
        <f>'[15]Sch C'!D204</f>
        <v>0</v>
      </c>
      <c r="D193" s="501">
        <f>'[15]Sch C'!F204</f>
        <v>0</v>
      </c>
      <c r="E193" s="171">
        <f t="shared" si="37"/>
        <v>0</v>
      </c>
      <c r="F193" s="655"/>
      <c r="G193" s="171">
        <f t="shared" si="38"/>
        <v>0</v>
      </c>
      <c r="H193" s="172">
        <f t="shared" si="39"/>
        <v>0</v>
      </c>
      <c r="I193" s="473"/>
      <c r="J193" s="223"/>
      <c r="K193" s="218"/>
      <c r="L193" s="220"/>
    </row>
    <row r="194" spans="1:12" s="221" customFormat="1">
      <c r="A194" s="224" t="s">
        <v>138</v>
      </c>
      <c r="B194" s="148" t="s">
        <v>332</v>
      </c>
      <c r="C194" s="501">
        <f>'[15]Sch C'!D205</f>
        <v>184275</v>
      </c>
      <c r="D194" s="501">
        <f>'[15]Sch C'!F205</f>
        <v>0</v>
      </c>
      <c r="E194" s="171">
        <f t="shared" si="37"/>
        <v>184275</v>
      </c>
      <c r="F194" s="655">
        <v>-60079</v>
      </c>
      <c r="G194" s="171">
        <f t="shared" si="38"/>
        <v>124196</v>
      </c>
      <c r="H194" s="172">
        <f t="shared" si="39"/>
        <v>1.7954596249999635E-2</v>
      </c>
      <c r="I194" s="473"/>
      <c r="J194" s="223"/>
      <c r="K194" s="218"/>
      <c r="L194" s="220"/>
    </row>
    <row r="195" spans="1:12" s="221" customFormat="1">
      <c r="A195" s="224" t="s">
        <v>139</v>
      </c>
      <c r="B195" s="148" t="s">
        <v>67</v>
      </c>
      <c r="C195" s="501">
        <f>'[15]Sch C'!D206</f>
        <v>959</v>
      </c>
      <c r="D195" s="501">
        <f>'[15]Sch C'!F206</f>
        <v>0</v>
      </c>
      <c r="E195" s="171">
        <f t="shared" si="37"/>
        <v>959</v>
      </c>
      <c r="F195" s="655"/>
      <c r="G195" s="171">
        <f t="shared" si="38"/>
        <v>959</v>
      </c>
      <c r="H195" s="172">
        <f t="shared" si="39"/>
        <v>1.386393909928633E-4</v>
      </c>
      <c r="I195" s="473"/>
      <c r="J195" s="223"/>
      <c r="K195" s="218"/>
      <c r="L195" s="220"/>
    </row>
    <row r="196" spans="1:12" s="221" customFormat="1">
      <c r="A196" s="225" t="s">
        <v>143</v>
      </c>
      <c r="B196" s="194" t="s">
        <v>333</v>
      </c>
      <c r="C196" s="501">
        <f>'[15]Sch C'!D207</f>
        <v>43773</v>
      </c>
      <c r="D196" s="501">
        <f>'[15]Sch C'!F207</f>
        <v>-350</v>
      </c>
      <c r="E196" s="171">
        <f t="shared" si="37"/>
        <v>43423</v>
      </c>
      <c r="F196" s="655"/>
      <c r="G196" s="171">
        <f t="shared" si="38"/>
        <v>43423</v>
      </c>
      <c r="H196" s="172">
        <f t="shared" si="39"/>
        <v>6.2775164495131423E-3</v>
      </c>
      <c r="I196" s="472"/>
      <c r="J196" s="223"/>
      <c r="K196" s="218"/>
      <c r="L196" s="220"/>
    </row>
    <row r="197" spans="1:12" s="167" customFormat="1" ht="26">
      <c r="A197" s="163"/>
      <c r="B197" s="212" t="s">
        <v>130</v>
      </c>
      <c r="C197" s="501">
        <f>SUM(C164:C196)</f>
        <v>625983</v>
      </c>
      <c r="D197" s="501">
        <f>SUM(D164:D196)</f>
        <v>71099</v>
      </c>
      <c r="E197" s="171">
        <f t="shared" ref="E197:F197" si="40">SUM(E164:E196)</f>
        <v>697082</v>
      </c>
      <c r="F197" s="171">
        <f t="shared" si="40"/>
        <v>-60079</v>
      </c>
      <c r="G197" s="171">
        <f>SUM(G164:G196)</f>
        <v>637003</v>
      </c>
      <c r="H197" s="172">
        <f>IF($G$208=0,0,G197/$G$208)</f>
        <v>9.2089372242572368E-2</v>
      </c>
      <c r="I197" s="473"/>
      <c r="J197" s="168"/>
      <c r="K197" s="168"/>
    </row>
    <row r="198" spans="1:12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2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2" s="167" customFormat="1">
      <c r="A200" s="169" t="s">
        <v>85</v>
      </c>
      <c r="B200" s="170" t="s">
        <v>69</v>
      </c>
      <c r="C200" s="501">
        <f>'[15]Sch C'!D211</f>
        <v>132147</v>
      </c>
      <c r="D200" s="501">
        <f>'[15]Sch C'!F211</f>
        <v>7705</v>
      </c>
      <c r="E200" s="171">
        <f t="shared" ref="E200:E205" si="41">C200+D200</f>
        <v>139852</v>
      </c>
      <c r="F200" s="171">
        <v>42207</v>
      </c>
      <c r="G200" s="171">
        <f t="shared" ref="G200:G205" si="42">E200+F200</f>
        <v>182059</v>
      </c>
      <c r="H200" s="172">
        <f t="shared" ref="H200:H206" si="43">IF($G$208=0,0,G200/$G$208)</f>
        <v>2.6319654728644108E-2</v>
      </c>
      <c r="I200" s="473"/>
      <c r="J200" s="183">
        <v>8218</v>
      </c>
      <c r="K200" s="183">
        <v>8697</v>
      </c>
    </row>
    <row r="201" spans="1:12" s="167" customFormat="1">
      <c r="A201" s="169" t="s">
        <v>86</v>
      </c>
      <c r="B201" s="170" t="s">
        <v>45</v>
      </c>
      <c r="C201" s="501">
        <f>'[15]Sch C'!D212</f>
        <v>0</v>
      </c>
      <c r="D201" s="501">
        <f>'[15]Sch C'!F212</f>
        <v>18636</v>
      </c>
      <c r="E201" s="171">
        <f t="shared" si="41"/>
        <v>18636</v>
      </c>
      <c r="F201" s="171"/>
      <c r="G201" s="171">
        <f t="shared" si="42"/>
        <v>18636</v>
      </c>
      <c r="H201" s="172">
        <f t="shared" si="43"/>
        <v>2.6941435772085513E-3</v>
      </c>
      <c r="I201" s="473"/>
      <c r="J201" s="168"/>
      <c r="K201" s="168"/>
    </row>
    <row r="202" spans="1:12" s="167" customFormat="1">
      <c r="A202" s="169" t="s">
        <v>140</v>
      </c>
      <c r="B202" s="170" t="s">
        <v>54</v>
      </c>
      <c r="C202" s="501">
        <f>'[15]Sch C'!D213</f>
        <v>3278</v>
      </c>
      <c r="D202" s="501">
        <f>'[15]Sch C'!F213</f>
        <v>0</v>
      </c>
      <c r="E202" s="171">
        <f t="shared" si="41"/>
        <v>3278</v>
      </c>
      <c r="F202" s="171"/>
      <c r="G202" s="171">
        <f t="shared" si="42"/>
        <v>3278</v>
      </c>
      <c r="H202" s="172">
        <f t="shared" si="43"/>
        <v>4.7388938860751397E-4</v>
      </c>
      <c r="I202" s="473"/>
      <c r="J202" s="168"/>
      <c r="K202" s="168"/>
    </row>
    <row r="203" spans="1:12" s="167" customFormat="1">
      <c r="A203" s="169" t="s">
        <v>141</v>
      </c>
      <c r="B203" s="170" t="s">
        <v>70</v>
      </c>
      <c r="C203" s="501">
        <f>'[15]Sch C'!D214</f>
        <v>0</v>
      </c>
      <c r="D203" s="501">
        <f>'[15]Sch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2" s="167" customFormat="1">
      <c r="A204" s="169" t="s">
        <v>142</v>
      </c>
      <c r="B204" s="202" t="s">
        <v>71</v>
      </c>
      <c r="C204" s="501">
        <f>'[15]Sch C'!D215</f>
        <v>0</v>
      </c>
      <c r="D204" s="501">
        <f>'[15]Sch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2" s="167" customFormat="1">
      <c r="A205" s="169" t="s">
        <v>143</v>
      </c>
      <c r="B205" s="170" t="s">
        <v>312</v>
      </c>
      <c r="C205" s="501">
        <f>'[15]Sch C'!D216</f>
        <v>8794</v>
      </c>
      <c r="D205" s="501">
        <f>'[15]Sch C'!F216</f>
        <v>0</v>
      </c>
      <c r="E205" s="171">
        <f t="shared" si="41"/>
        <v>8794</v>
      </c>
      <c r="F205" s="171">
        <v>64.819999999999993</v>
      </c>
      <c r="G205" s="171">
        <f t="shared" si="42"/>
        <v>8858.82</v>
      </c>
      <c r="H205" s="172">
        <f t="shared" si="43"/>
        <v>1.2806896868773694E-3</v>
      </c>
      <c r="I205" s="472" t="s">
        <v>635</v>
      </c>
      <c r="J205" s="168"/>
      <c r="K205" s="168"/>
    </row>
    <row r="206" spans="1:12" s="167" customFormat="1">
      <c r="A206" s="163"/>
      <c r="B206" s="170" t="s">
        <v>144</v>
      </c>
      <c r="C206" s="501">
        <f>SUM(C200:C205)</f>
        <v>144219</v>
      </c>
      <c r="D206" s="501">
        <f>SUM(D200:D205)</f>
        <v>26341</v>
      </c>
      <c r="E206" s="171">
        <f t="shared" ref="E206:F206" si="44">SUM(E200:E205)</f>
        <v>170560</v>
      </c>
      <c r="F206" s="171">
        <f t="shared" si="44"/>
        <v>42271.82</v>
      </c>
      <c r="G206" s="171">
        <f>SUM(G200:G205)</f>
        <v>212831.82</v>
      </c>
      <c r="H206" s="172">
        <f t="shared" si="43"/>
        <v>3.0768377381337544E-2</v>
      </c>
      <c r="I206" s="473"/>
      <c r="J206" s="168"/>
      <c r="K206" s="168"/>
    </row>
    <row r="207" spans="1:12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2" s="167" customFormat="1">
      <c r="A208" s="227"/>
      <c r="B208" s="228" t="s">
        <v>145</v>
      </c>
      <c r="C208" s="501">
        <f>SUM(C25:C206)/2</f>
        <v>7406618</v>
      </c>
      <c r="D208" s="501">
        <f>SUM(D25:D206)/2</f>
        <v>-88775</v>
      </c>
      <c r="E208" s="171">
        <f t="shared" ref="E208:F208" si="45">SUM(E25:E206)/2</f>
        <v>7317843</v>
      </c>
      <c r="F208" s="171">
        <f t="shared" si="45"/>
        <v>-400617.00000000006</v>
      </c>
      <c r="G208" s="171">
        <f>SUM(G25:G206)/2</f>
        <v>6917226.0000000009</v>
      </c>
      <c r="H208" s="172">
        <f>IF($G$208=0,0,G208/$G$208)</f>
        <v>1</v>
      </c>
      <c r="I208" s="473"/>
      <c r="J208" s="183">
        <f>SUM(J25:J200)</f>
        <v>176058</v>
      </c>
      <c r="K208" s="183">
        <f>SUM(K25:K200)</f>
        <v>185785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'[15]Sch C'!D221</f>
        <v>7406618</v>
      </c>
      <c r="D211" s="196"/>
      <c r="E211" s="165"/>
      <c r="F211" s="140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368"/>
      <c r="G212"/>
      <c r="I212" s="475"/>
      <c r="J212" s="168"/>
      <c r="K212" s="168"/>
    </row>
    <row r="213" spans="1:11" s="167" customFormat="1" ht="15.5">
      <c r="A213" s="163"/>
      <c r="B213" s="230"/>
      <c r="C213" s="581"/>
      <c r="D213" s="231"/>
      <c r="E213" s="231"/>
      <c r="F213" s="368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421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466815</v>
      </c>
      <c r="D215" s="501">
        <f>D21-D208</f>
        <v>88775</v>
      </c>
      <c r="E215" s="171">
        <f t="shared" ref="E215:F215" si="46">E21-E208</f>
        <v>555590</v>
      </c>
      <c r="F215" s="171">
        <f t="shared" si="46"/>
        <v>1626050</v>
      </c>
      <c r="G215" s="171">
        <f>G21-G208</f>
        <v>2181639.9999999991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'[15]Sch D'!C9</f>
        <v>21232</v>
      </c>
      <c r="D219" s="530"/>
      <c r="E219" s="234">
        <f t="shared" ref="E219:G227" si="47">C219+D219</f>
        <v>21232</v>
      </c>
      <c r="F219" s="233"/>
      <c r="G219" s="234">
        <f t="shared" si="47"/>
        <v>21232</v>
      </c>
      <c r="H219" s="172">
        <f t="shared" ref="H219:H228" si="48">IF($G$228=0,0,G219/$G$228)</f>
        <v>0.70686153743716085</v>
      </c>
      <c r="I219" s="473"/>
      <c r="J219" s="168"/>
      <c r="K219" s="168"/>
    </row>
    <row r="220" spans="1:11">
      <c r="A220" s="163"/>
      <c r="B220" s="170" t="s">
        <v>217</v>
      </c>
      <c r="C220" s="530">
        <f>'[15]Sch D'!D9</f>
        <v>0</v>
      </c>
      <c r="D220" s="530"/>
      <c r="E220" s="171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'[15]Sch D'!E9</f>
        <v>1138</v>
      </c>
      <c r="D221" s="530"/>
      <c r="E221" s="171">
        <f t="shared" si="49"/>
        <v>1138</v>
      </c>
      <c r="F221" s="233"/>
      <c r="G221" s="234">
        <f t="shared" si="47"/>
        <v>1138</v>
      </c>
      <c r="H221" s="172">
        <f t="shared" si="48"/>
        <v>3.7886606518627026E-2</v>
      </c>
      <c r="I221" s="473"/>
      <c r="J221" s="168"/>
      <c r="K221" s="168"/>
    </row>
    <row r="222" spans="1:11">
      <c r="A222" s="163"/>
      <c r="B222" s="202" t="s">
        <v>334</v>
      </c>
      <c r="C222" s="530">
        <f>'[15]Sch D'!F9</f>
        <v>3039</v>
      </c>
      <c r="D222" s="530"/>
      <c r="E222" s="171">
        <f t="shared" si="49"/>
        <v>3039</v>
      </c>
      <c r="F222" s="233"/>
      <c r="G222" s="234">
        <f>E222+F222</f>
        <v>3039</v>
      </c>
      <c r="H222" s="172">
        <f t="shared" si="48"/>
        <v>0.10117521723208044</v>
      </c>
      <c r="I222" s="473"/>
      <c r="J222" s="168"/>
      <c r="K222" s="168"/>
    </row>
    <row r="223" spans="1:11">
      <c r="A223" s="163"/>
      <c r="B223" s="170" t="s">
        <v>73</v>
      </c>
      <c r="C223" s="530">
        <f>'[15]Sch D'!G9</f>
        <v>0</v>
      </c>
      <c r="D223" s="530"/>
      <c r="E223" s="171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'[15]Sch D'!H9</f>
        <v>2018</v>
      </c>
      <c r="D224" s="530"/>
      <c r="E224" s="171">
        <f t="shared" si="49"/>
        <v>2018</v>
      </c>
      <c r="F224" s="233"/>
      <c r="G224" s="234">
        <f t="shared" si="47"/>
        <v>2018</v>
      </c>
      <c r="H224" s="172">
        <f t="shared" si="48"/>
        <v>6.7183806638479213E-2</v>
      </c>
      <c r="I224" s="473"/>
      <c r="J224" s="168"/>
      <c r="K224" s="168"/>
    </row>
    <row r="225" spans="1:11">
      <c r="A225" s="163"/>
      <c r="B225" s="170" t="s">
        <v>236</v>
      </c>
      <c r="C225" s="530">
        <f>'[15]Sch D'!I9</f>
        <v>0</v>
      </c>
      <c r="D225" s="530"/>
      <c r="E225" s="171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'[15]Sch D'!J9</f>
        <v>2610</v>
      </c>
      <c r="D226" s="530"/>
      <c r="E226" s="171">
        <f t="shared" si="49"/>
        <v>2610</v>
      </c>
      <c r="F226" s="233"/>
      <c r="G226" s="234">
        <f>E226+F226</f>
        <v>2610</v>
      </c>
      <c r="H226" s="172">
        <f t="shared" si="48"/>
        <v>8.6892832173652498E-2</v>
      </c>
      <c r="I226" s="473"/>
      <c r="J226" s="168"/>
      <c r="K226" s="168"/>
    </row>
    <row r="227" spans="1:11">
      <c r="A227" s="163"/>
      <c r="B227" s="170" t="s">
        <v>179</v>
      </c>
      <c r="C227" s="530">
        <f>'[15]Sch D'!K9</f>
        <v>0</v>
      </c>
      <c r="D227" s="530"/>
      <c r="E227" s="171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30037</v>
      </c>
      <c r="D228" s="530">
        <f>SUM(D219:D227)</f>
        <v>0</v>
      </c>
      <c r="E228" s="236">
        <f>SUM(E219:E227)</f>
        <v>30037</v>
      </c>
      <c r="F228" s="236">
        <f>SUM(F219:F227)</f>
        <v>0</v>
      </c>
      <c r="G228" s="236">
        <f>SUM(G219:G227)</f>
        <v>30037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'[15]Sch D'!N22</f>
        <v>120</v>
      </c>
      <c r="D231" s="502"/>
      <c r="E231" s="234">
        <f>C231+D231</f>
        <v>120</v>
      </c>
      <c r="F231" s="234"/>
      <c r="G231" s="234">
        <f>E231+F231</f>
        <v>120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'[15]Sch D'!N24</f>
        <v>120</v>
      </c>
      <c r="D232" s="502"/>
      <c r="E232" s="234">
        <f>C232+D232</f>
        <v>120</v>
      </c>
      <c r="F232" s="234"/>
      <c r="G232" s="234">
        <f>E232+F232</f>
        <v>120</v>
      </c>
      <c r="H232" s="167"/>
      <c r="I232" s="475"/>
      <c r="J232" s="168"/>
      <c r="K232" s="168"/>
    </row>
    <row r="233" spans="1:11">
      <c r="A233" s="268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538" t="s">
        <v>437</v>
      </c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'[15]Sch D'!N28</f>
        <v>43800</v>
      </c>
      <c r="D235" s="438"/>
      <c r="E235" s="233">
        <f>E231*E233</f>
        <v>43800</v>
      </c>
      <c r="F235" s="238"/>
      <c r="G235" s="233">
        <f>G231*G233</f>
        <v>43800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'[15]Sch D'!N30</f>
        <v>0.68577625570776257</v>
      </c>
      <c r="D236" s="238"/>
      <c r="E236" s="242">
        <f>E228/E235</f>
        <v>0.68577625570776257</v>
      </c>
      <c r="F236" s="243"/>
      <c r="G236" s="242">
        <f>G228/G235</f>
        <v>0.68577625570776257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'[15]Sch D'!N32</f>
        <v>0.48474885844748861</v>
      </c>
      <c r="D237" s="238"/>
      <c r="E237" s="242">
        <f>(E219+E220)/E235</f>
        <v>0.48474885844748861</v>
      </c>
      <c r="F237" s="243"/>
      <c r="G237" s="242">
        <f>(G219+G220)/G235</f>
        <v>0.48474885844748861</v>
      </c>
      <c r="H237" s="167"/>
      <c r="I237" s="475"/>
      <c r="J237" s="168"/>
      <c r="K237" s="168"/>
    </row>
    <row r="238" spans="1:11" ht="39">
      <c r="A238" s="163"/>
      <c r="B238" s="241" t="s">
        <v>338</v>
      </c>
      <c r="C238" s="532">
        <f>'[15]Sch D'!N34</f>
        <v>0.70686153743716085</v>
      </c>
      <c r="D238" s="238"/>
      <c r="E238" s="242">
        <f>(E237/E236)</f>
        <v>0.70686153743716085</v>
      </c>
      <c r="F238" s="243"/>
      <c r="G238" s="242">
        <f>(G237/G236)</f>
        <v>0.70686153743716085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'[15]Sch B'!C85</f>
        <v>180.72571428571428</v>
      </c>
      <c r="I241" s="475"/>
    </row>
    <row r="242" spans="2:9">
      <c r="F242" s="142" t="s">
        <v>341</v>
      </c>
      <c r="G242" s="501">
        <f>'[15]Sch B'!E85</f>
        <v>198.07374631268436</v>
      </c>
      <c r="I242" s="475"/>
    </row>
    <row r="243" spans="2:9">
      <c r="F243" s="142" t="s">
        <v>342</v>
      </c>
      <c r="G243" s="501">
        <f>'[15]Sch B'!G85</f>
        <v>185.6544901065449</v>
      </c>
      <c r="I243" s="475"/>
    </row>
    <row r="244" spans="2:9">
      <c r="F244" s="142" t="s">
        <v>343</v>
      </c>
      <c r="G244" s="501">
        <f>'[15]Sch B'!I85</f>
        <v>186.82293762575452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E28CAB"/>
  </sheetPr>
  <dimension ref="A1:L246"/>
  <sheetViews>
    <sheetView showGridLines="0" topLeftCell="A185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33.6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61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99"/>
      <c r="D1" s="429"/>
      <c r="E1" s="429"/>
      <c r="F1" s="429"/>
      <c r="G1" s="429"/>
      <c r="H1" s="429"/>
      <c r="I1" s="560"/>
    </row>
    <row r="2" spans="1:11" ht="23">
      <c r="B2" s="143" t="s">
        <v>189</v>
      </c>
      <c r="C2" s="575" t="s">
        <v>478</v>
      </c>
      <c r="D2" s="244"/>
      <c r="E2" s="144"/>
    </row>
    <row r="3" spans="1:11" ht="15.5">
      <c r="A3" s="145"/>
      <c r="B3" s="140" t="s">
        <v>79</v>
      </c>
      <c r="C3" s="441">
        <v>42552</v>
      </c>
      <c r="D3" s="144"/>
      <c r="E3" s="368"/>
      <c r="F3" s="368"/>
      <c r="I3" s="563"/>
    </row>
    <row r="4" spans="1:11" ht="15.5">
      <c r="A4" s="145"/>
      <c r="B4" s="148" t="s">
        <v>80</v>
      </c>
      <c r="C4" s="441">
        <v>42916</v>
      </c>
      <c r="D4" s="144"/>
      <c r="E4" s="368"/>
      <c r="F4" s="368"/>
      <c r="G4" s="150"/>
      <c r="I4" s="563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62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518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'[16]Sch B'!E10</f>
        <v>62399</v>
      </c>
      <c r="D11" s="501">
        <f>'[16]Sch B'!G10</f>
        <v>0</v>
      </c>
      <c r="E11" s="171">
        <f>C11+D11</f>
        <v>62399</v>
      </c>
      <c r="F11" s="171"/>
      <c r="G11" s="171">
        <f t="shared" ref="G11:G20" si="0">E11+F11</f>
        <v>62399</v>
      </c>
      <c r="H11" s="172">
        <f t="shared" ref="H11:H21" si="1">IF($G$21=0,0,G11/$G$21)</f>
        <v>7.4248672307752348E-3</v>
      </c>
      <c r="I11" s="472"/>
      <c r="J11" s="336" t="s">
        <v>344</v>
      </c>
      <c r="K11" s="337">
        <f>G21</f>
        <v>8404056</v>
      </c>
    </row>
    <row r="12" spans="1:11" s="167" customFormat="1">
      <c r="A12" s="169" t="s">
        <v>15</v>
      </c>
      <c r="B12" s="170" t="s">
        <v>212</v>
      </c>
      <c r="C12" s="501">
        <f>'[16]Sch B'!E15</f>
        <v>0</v>
      </c>
      <c r="D12" s="501">
        <f>'[16]Sch B'!G15</f>
        <v>0</v>
      </c>
      <c r="E12" s="171">
        <f t="shared" ref="E12:E19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7885728</v>
      </c>
    </row>
    <row r="13" spans="1:11" s="167" customFormat="1">
      <c r="A13" s="169" t="s">
        <v>16</v>
      </c>
      <c r="B13" s="170" t="s">
        <v>170</v>
      </c>
      <c r="C13" s="501">
        <f>'[16]Sch B'!E21</f>
        <v>6177408</v>
      </c>
      <c r="D13" s="501">
        <f>'[16]Sch B'!G21</f>
        <v>0</v>
      </c>
      <c r="E13" s="171">
        <f t="shared" si="2"/>
        <v>6177408</v>
      </c>
      <c r="F13" s="171"/>
      <c r="G13" s="171">
        <f t="shared" si="0"/>
        <v>6177408</v>
      </c>
      <c r="H13" s="172">
        <f t="shared" si="1"/>
        <v>0.73505078976151517</v>
      </c>
      <c r="I13" s="473"/>
      <c r="J13" s="338" t="s">
        <v>346</v>
      </c>
      <c r="K13" s="339">
        <f>G228</f>
        <v>17475</v>
      </c>
    </row>
    <row r="14" spans="1:11" s="167" customFormat="1">
      <c r="A14" s="173" t="s">
        <v>18</v>
      </c>
      <c r="B14" s="174" t="s">
        <v>306</v>
      </c>
      <c r="C14" s="501">
        <f>'[16]Sch B'!E27</f>
        <v>2116818</v>
      </c>
      <c r="D14" s="501">
        <f>'[16]Sch B'!G27</f>
        <v>0</v>
      </c>
      <c r="E14" s="171">
        <f t="shared" si="2"/>
        <v>2116818</v>
      </c>
      <c r="F14" s="175"/>
      <c r="G14" s="175">
        <f>E14+F14</f>
        <v>2116818</v>
      </c>
      <c r="H14" s="176">
        <f t="shared" si="1"/>
        <v>0.25188052054864934</v>
      </c>
      <c r="I14" s="479"/>
      <c r="J14" s="338" t="s">
        <v>347</v>
      </c>
      <c r="K14" s="339">
        <f>G231</f>
        <v>60</v>
      </c>
    </row>
    <row r="15" spans="1:11" s="167" customFormat="1">
      <c r="A15" s="169" t="s">
        <v>19</v>
      </c>
      <c r="B15" s="170" t="s">
        <v>171</v>
      </c>
      <c r="C15" s="501">
        <f>'[16]Sch B'!E32</f>
        <v>0</v>
      </c>
      <c r="D15" s="501">
        <f>'[16]Sch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21900</v>
      </c>
    </row>
    <row r="16" spans="1:11" s="167" customFormat="1">
      <c r="A16" s="169" t="s">
        <v>21</v>
      </c>
      <c r="B16" s="170" t="s">
        <v>172</v>
      </c>
      <c r="C16" s="501">
        <f>'[16]Sch B'!E37</f>
        <v>46660</v>
      </c>
      <c r="D16" s="501">
        <f>'[16]Sch B'!G37</f>
        <v>0</v>
      </c>
      <c r="E16" s="171">
        <f t="shared" si="2"/>
        <v>46660</v>
      </c>
      <c r="F16" s="171"/>
      <c r="G16" s="171">
        <f t="shared" si="0"/>
        <v>46660</v>
      </c>
      <c r="H16" s="172">
        <f t="shared" si="1"/>
        <v>5.5520810427726799E-3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'[16]Sch B'!E42</f>
        <v>0</v>
      </c>
      <c r="D17" s="501">
        <f>'[16]Sch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547"/>
      <c r="J17" s="338" t="s">
        <v>156</v>
      </c>
      <c r="K17" s="339">
        <f>J208</f>
        <v>184155</v>
      </c>
    </row>
    <row r="18" spans="1:11" s="167" customFormat="1" ht="13.5" thickBot="1">
      <c r="A18" s="169" t="s">
        <v>216</v>
      </c>
      <c r="B18" s="170" t="s">
        <v>229</v>
      </c>
      <c r="C18" s="501">
        <f>'[16]Sch B'!E47</f>
        <v>177</v>
      </c>
      <c r="D18" s="501">
        <f>'[16]Sch B'!G47</f>
        <v>0</v>
      </c>
      <c r="E18" s="171">
        <f t="shared" si="2"/>
        <v>177</v>
      </c>
      <c r="F18" s="171"/>
      <c r="G18" s="171">
        <f>E18+F18</f>
        <v>177</v>
      </c>
      <c r="H18" s="172">
        <f t="shared" si="1"/>
        <v>2.1061258992086678E-5</v>
      </c>
      <c r="I18" s="473"/>
      <c r="J18" s="341" t="s">
        <v>252</v>
      </c>
      <c r="K18" s="342">
        <f>K208</f>
        <v>195137</v>
      </c>
    </row>
    <row r="19" spans="1:11" s="167" customFormat="1">
      <c r="A19" s="169" t="s">
        <v>227</v>
      </c>
      <c r="B19" s="177" t="s">
        <v>173</v>
      </c>
      <c r="C19" s="501">
        <f>'[16]Sch B'!E52</f>
        <v>0</v>
      </c>
      <c r="D19" s="501">
        <f>'[16]Sch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'[16]Sch B'!E67</f>
        <v>594</v>
      </c>
      <c r="D20" s="501">
        <f>'[16]Sch B'!G67</f>
        <v>0</v>
      </c>
      <c r="E20" s="171">
        <f>C20+D20</f>
        <v>594</v>
      </c>
      <c r="F20" s="171"/>
      <c r="G20" s="171">
        <f t="shared" si="0"/>
        <v>594</v>
      </c>
      <c r="H20" s="172">
        <f t="shared" si="1"/>
        <v>7.0680157295477324E-5</v>
      </c>
      <c r="I20" s="633"/>
      <c r="J20" s="168"/>
      <c r="K20" s="168"/>
    </row>
    <row r="21" spans="1:11" s="167" customFormat="1">
      <c r="A21" s="169"/>
      <c r="B21" s="178" t="s">
        <v>77</v>
      </c>
      <c r="C21" s="501">
        <f>SUM(C11:C20)</f>
        <v>8404056</v>
      </c>
      <c r="D21" s="501">
        <f>SUM(D11:D20)</f>
        <v>0</v>
      </c>
      <c r="E21" s="171">
        <f>SUM(E11:E20)</f>
        <v>8404056</v>
      </c>
      <c r="F21" s="171">
        <f>SUM(F11:F20)</f>
        <v>0</v>
      </c>
      <c r="G21" s="171">
        <f>SUM(G11:G20)</f>
        <v>8404056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F24" s="369"/>
      <c r="I24" s="475"/>
    </row>
    <row r="25" spans="1:11" s="167" customFormat="1">
      <c r="A25" s="169" t="s">
        <v>83</v>
      </c>
      <c r="B25" s="170" t="s">
        <v>14</v>
      </c>
      <c r="C25" s="501">
        <f>'[16]Sch C'!D10</f>
        <v>250751</v>
      </c>
      <c r="D25" s="501">
        <f>'[16]Sch C'!F10</f>
        <v>14959</v>
      </c>
      <c r="E25" s="171">
        <f t="shared" ref="E25:E60" si="3">C25+D25</f>
        <v>265710</v>
      </c>
      <c r="F25" s="171"/>
      <c r="G25" s="182">
        <f>E25+F25</f>
        <v>265710</v>
      </c>
      <c r="H25" s="172">
        <f>IF($G$208=0,0,G25/$G$208)</f>
        <v>3.3695050095565053E-2</v>
      </c>
      <c r="I25" s="473"/>
      <c r="J25" s="183">
        <v>3687</v>
      </c>
      <c r="K25" s="183">
        <v>3907</v>
      </c>
    </row>
    <row r="26" spans="1:11" s="167" customFormat="1">
      <c r="A26" s="169" t="s">
        <v>84</v>
      </c>
      <c r="B26" s="170" t="s">
        <v>176</v>
      </c>
      <c r="C26" s="501">
        <f>'[16]Sch C'!D11</f>
        <v>0</v>
      </c>
      <c r="D26" s="501">
        <f>'[16]Sch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'[16]Sch C'!D12</f>
        <v>331406</v>
      </c>
      <c r="D27" s="501">
        <f>'[16]Sch C'!F12</f>
        <v>19768</v>
      </c>
      <c r="E27" s="171">
        <f t="shared" si="3"/>
        <v>351174</v>
      </c>
      <c r="F27" s="171"/>
      <c r="G27" s="171">
        <f t="shared" si="4"/>
        <v>351174</v>
      </c>
      <c r="H27" s="172">
        <f t="shared" si="5"/>
        <v>4.4532857334161159E-2</v>
      </c>
      <c r="I27" s="473"/>
      <c r="J27" s="183">
        <v>20171</v>
      </c>
      <c r="K27" s="183">
        <v>21374</v>
      </c>
    </row>
    <row r="28" spans="1:11" s="167" customFormat="1">
      <c r="A28" s="169" t="s">
        <v>86</v>
      </c>
      <c r="B28" s="170" t="s">
        <v>45</v>
      </c>
      <c r="C28" s="501">
        <f>'[16]Sch C'!D13</f>
        <v>921013</v>
      </c>
      <c r="D28" s="501">
        <f>'[16]Sch C'!F13</f>
        <v>-820925</v>
      </c>
      <c r="E28" s="171">
        <f t="shared" si="3"/>
        <v>100088</v>
      </c>
      <c r="F28" s="171"/>
      <c r="G28" s="171">
        <f t="shared" si="4"/>
        <v>100088</v>
      </c>
      <c r="H28" s="172">
        <f t="shared" si="5"/>
        <v>1.2692296767020115E-2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'[16]Sch C'!D14</f>
        <v>0</v>
      </c>
      <c r="D29" s="501">
        <f>'[16]Sch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'[16]Sch C'!D15</f>
        <v>0</v>
      </c>
      <c r="D30" s="501">
        <f>'[16]Sch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'[16]Sch C'!D16</f>
        <v>420007</v>
      </c>
      <c r="D31" s="501">
        <f>'[16]Sch C'!F16</f>
        <v>178716</v>
      </c>
      <c r="E31" s="171">
        <f t="shared" si="3"/>
        <v>598723</v>
      </c>
      <c r="F31" s="171"/>
      <c r="G31" s="171">
        <f t="shared" si="4"/>
        <v>598723</v>
      </c>
      <c r="H31" s="172">
        <f t="shared" si="5"/>
        <v>7.5924886072661901E-2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'[16]Sch C'!D17</f>
        <v>0</v>
      </c>
      <c r="D32" s="501">
        <f>'[16]Sch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'[16]Sch C'!D18</f>
        <v>15744</v>
      </c>
      <c r="D33" s="501">
        <f>'[16]Sch C'!F18</f>
        <v>-633</v>
      </c>
      <c r="E33" s="171">
        <f t="shared" si="3"/>
        <v>15111</v>
      </c>
      <c r="F33" s="171"/>
      <c r="G33" s="171">
        <f t="shared" si="4"/>
        <v>15111</v>
      </c>
      <c r="H33" s="172">
        <f t="shared" si="5"/>
        <v>1.9162466673971002E-3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'[16]Sch C'!D19</f>
        <v>10244</v>
      </c>
      <c r="D34" s="501">
        <f>'[16]Sch C'!F19</f>
        <v>0</v>
      </c>
      <c r="E34" s="171">
        <f t="shared" si="3"/>
        <v>10244</v>
      </c>
      <c r="F34" s="171"/>
      <c r="G34" s="171">
        <f t="shared" si="4"/>
        <v>10244</v>
      </c>
      <c r="H34" s="172">
        <f t="shared" si="5"/>
        <v>1.299055711787168E-3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'[16]Sch C'!D20</f>
        <v>30809</v>
      </c>
      <c r="D35" s="501">
        <f>'[16]Sch C'!F20</f>
        <v>0</v>
      </c>
      <c r="E35" s="171">
        <f t="shared" si="3"/>
        <v>30809</v>
      </c>
      <c r="F35" s="171">
        <f>-381-585</f>
        <v>-966</v>
      </c>
      <c r="G35" s="171">
        <f t="shared" si="4"/>
        <v>29843</v>
      </c>
      <c r="H35" s="172">
        <f t="shared" si="5"/>
        <v>3.7844318241765378E-3</v>
      </c>
      <c r="I35" s="473" t="s">
        <v>696</v>
      </c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'[16]Sch C'!D21</f>
        <v>334</v>
      </c>
      <c r="D36" s="501">
        <f>'[16]Sch C'!F21</f>
        <v>0</v>
      </c>
      <c r="E36" s="171">
        <f t="shared" si="3"/>
        <v>334</v>
      </c>
      <c r="F36" s="171"/>
      <c r="G36" s="171">
        <f t="shared" si="4"/>
        <v>334</v>
      </c>
      <c r="H36" s="172">
        <f t="shared" si="5"/>
        <v>4.2354998802900631E-5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'[16]Sch C'!D22</f>
        <v>0</v>
      </c>
      <c r="D37" s="501">
        <f>'[16]Sch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'[16]Sch C'!D23</f>
        <v>13660</v>
      </c>
      <c r="D38" s="501">
        <f>'[16]Sch C'!F23</f>
        <v>0</v>
      </c>
      <c r="E38" s="171">
        <f t="shared" si="3"/>
        <v>13660</v>
      </c>
      <c r="F38" s="171"/>
      <c r="G38" s="171">
        <f t="shared" si="4"/>
        <v>13660</v>
      </c>
      <c r="H38" s="172">
        <f t="shared" si="5"/>
        <v>1.7322433642144391E-3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'[16]Sch C'!D24</f>
        <v>45660</v>
      </c>
      <c r="D39" s="501">
        <f>'[16]Sch C'!F24</f>
        <v>-7200</v>
      </c>
      <c r="E39" s="171">
        <f t="shared" si="3"/>
        <v>38460</v>
      </c>
      <c r="F39" s="171"/>
      <c r="G39" s="171">
        <f t="shared" si="4"/>
        <v>38460</v>
      </c>
      <c r="H39" s="172">
        <f t="shared" si="5"/>
        <v>4.8771654310166418E-3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'[16]Sch C'!D25</f>
        <v>0</v>
      </c>
      <c r="D40" s="501">
        <f>'[16]Sch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'[16]Sch C'!D26</f>
        <v>9333</v>
      </c>
      <c r="D41" s="501">
        <f>'[16]Sch C'!F26</f>
        <v>0</v>
      </c>
      <c r="E41" s="171">
        <f t="shared" si="3"/>
        <v>9333</v>
      </c>
      <c r="F41" s="171"/>
      <c r="G41" s="171">
        <f t="shared" si="4"/>
        <v>9333</v>
      </c>
      <c r="H41" s="172">
        <f t="shared" si="5"/>
        <v>1.1835305503816514E-3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'[16]Sch C'!D27</f>
        <v>0</v>
      </c>
      <c r="D42" s="501">
        <f>'[16]Sch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'[16]Sch C'!D28</f>
        <v>0</v>
      </c>
      <c r="D43" s="501">
        <f>'[16]Sch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'[16]Sch C'!D29</f>
        <v>181930</v>
      </c>
      <c r="D44" s="501">
        <f>'[16]Sch C'!F29</f>
        <v>-181930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'[16]Sch C'!D30</f>
        <v>0</v>
      </c>
      <c r="D45" s="501">
        <f>'[16]Sch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'[16]Sch C'!D31</f>
        <v>82572</v>
      </c>
      <c r="D46" s="501">
        <f>'[16]Sch C'!F31</f>
        <v>0</v>
      </c>
      <c r="E46" s="171">
        <f t="shared" si="3"/>
        <v>82572</v>
      </c>
      <c r="F46" s="171"/>
      <c r="G46" s="171">
        <f t="shared" si="4"/>
        <v>82572</v>
      </c>
      <c r="H46" s="172">
        <f t="shared" si="5"/>
        <v>1.0471068745967399E-2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'[16]Sch C'!D32</f>
        <v>57600</v>
      </c>
      <c r="D47" s="501">
        <f>'[16]Sch C'!F32</f>
        <v>-25840</v>
      </c>
      <c r="E47" s="171">
        <f t="shared" si="3"/>
        <v>31760</v>
      </c>
      <c r="F47" s="171"/>
      <c r="G47" s="171">
        <f t="shared" si="4"/>
        <v>31760</v>
      </c>
      <c r="H47" s="172">
        <f t="shared" si="5"/>
        <v>4.0275292274854014E-3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'[16]Sch C'!D33</f>
        <v>0</v>
      </c>
      <c r="D48" s="501">
        <f>'[16]Sch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'[16]Sch C'!D34</f>
        <v>0</v>
      </c>
      <c r="D49" s="501">
        <f>'[16]Sch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'[16]Sch C'!D35</f>
        <v>0</v>
      </c>
      <c r="D50" s="501">
        <f>'[16]Sch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'[16]Sch C'!D36</f>
        <v>0</v>
      </c>
      <c r="D51" s="501">
        <f>'[16]Sch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'[16]Sch C'!D37</f>
        <v>0</v>
      </c>
      <c r="D52" s="501">
        <f>'[16]Sch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'[16]Sch C'!D38</f>
        <v>150</v>
      </c>
      <c r="D53" s="501">
        <f>'[16]Sch C'!F38</f>
        <v>-150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'[16]Sch C'!D39</f>
        <v>2324</v>
      </c>
      <c r="D54" s="501">
        <f>'[16]Sch C'!F39</f>
        <v>0</v>
      </c>
      <c r="E54" s="171">
        <f t="shared" si="3"/>
        <v>2324</v>
      </c>
      <c r="F54" s="171"/>
      <c r="G54" s="171">
        <f t="shared" si="4"/>
        <v>2324</v>
      </c>
      <c r="H54" s="172">
        <f t="shared" si="5"/>
        <v>2.9470963238904514E-4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'[16]Sch C'!D40</f>
        <v>25715</v>
      </c>
      <c r="D55" s="501">
        <f>'[16]Sch C'!F40</f>
        <v>0</v>
      </c>
      <c r="E55" s="171">
        <f t="shared" si="3"/>
        <v>25715</v>
      </c>
      <c r="F55" s="171">
        <f>-745-2360-1439-250</f>
        <v>-4794</v>
      </c>
      <c r="G55" s="171">
        <f t="shared" si="4"/>
        <v>20921</v>
      </c>
      <c r="H55" s="172">
        <f t="shared" si="5"/>
        <v>2.6530207483697128E-3</v>
      </c>
      <c r="I55" s="473" t="s">
        <v>696</v>
      </c>
      <c r="J55" s="168"/>
      <c r="K55" s="168"/>
    </row>
    <row r="56" spans="1:11" s="167" customFormat="1">
      <c r="A56" s="163">
        <v>330</v>
      </c>
      <c r="B56" s="170" t="s">
        <v>48</v>
      </c>
      <c r="C56" s="501">
        <f>'[16]Sch C'!D41</f>
        <v>14603</v>
      </c>
      <c r="D56" s="501">
        <f>'[16]Sch C'!F41</f>
        <v>0</v>
      </c>
      <c r="E56" s="171">
        <f t="shared" si="3"/>
        <v>14603</v>
      </c>
      <c r="F56" s="171"/>
      <c r="G56" s="171">
        <f t="shared" si="4"/>
        <v>14603</v>
      </c>
      <c r="H56" s="172">
        <f t="shared" si="5"/>
        <v>1.8518264895771195E-3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'[16]Sch C'!D42</f>
        <v>4550</v>
      </c>
      <c r="D57" s="501">
        <f>'[16]Sch C'!F42</f>
        <v>0</v>
      </c>
      <c r="E57" s="171">
        <f t="shared" si="3"/>
        <v>4550</v>
      </c>
      <c r="F57" s="171"/>
      <c r="G57" s="171">
        <f t="shared" si="4"/>
        <v>4550</v>
      </c>
      <c r="H57" s="172">
        <f t="shared" si="5"/>
        <v>5.7699175015927509E-4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'[16]Sch C'!D43</f>
        <v>9500</v>
      </c>
      <c r="D58" s="501">
        <f>'[16]Sch C'!F43</f>
        <v>0</v>
      </c>
      <c r="E58" s="171">
        <f t="shared" si="3"/>
        <v>9500</v>
      </c>
      <c r="F58" s="171"/>
      <c r="G58" s="171">
        <f t="shared" si="4"/>
        <v>9500</v>
      </c>
      <c r="H58" s="172">
        <f t="shared" si="5"/>
        <v>1.2047080497831018E-3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'[16]Sch C'!D44</f>
        <v>0</v>
      </c>
      <c r="D59" s="501">
        <f>'[16]Sch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'[16]Sch C'!D45</f>
        <v>3966</v>
      </c>
      <c r="D60" s="501">
        <f>'[16]Sch C'!F45</f>
        <v>0</v>
      </c>
      <c r="E60" s="171">
        <f t="shared" si="3"/>
        <v>3966</v>
      </c>
      <c r="F60" s="171"/>
      <c r="G60" s="171">
        <f t="shared" si="4"/>
        <v>3966</v>
      </c>
      <c r="H60" s="172">
        <f t="shared" si="5"/>
        <v>5.0293390794102966E-4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2431871</v>
      </c>
      <c r="D61" s="501">
        <f>SUM(D25:D60)</f>
        <v>-823235</v>
      </c>
      <c r="E61" s="171">
        <f t="shared" ref="E61:F61" si="6">SUM(E25:E60)</f>
        <v>1608636</v>
      </c>
      <c r="F61" s="171">
        <f t="shared" si="6"/>
        <v>-5760</v>
      </c>
      <c r="G61" s="171">
        <f>SUM(G25:G60)</f>
        <v>1602876</v>
      </c>
      <c r="H61" s="186">
        <f t="shared" si="5"/>
        <v>0.20326290736885674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'[16]Sch C'!D57</f>
        <v>724928</v>
      </c>
      <c r="D64" s="501">
        <f>'[16]Sch C'!F57</f>
        <v>0</v>
      </c>
      <c r="E64" s="171">
        <f t="shared" ref="E64:E78" si="7">C64+D64</f>
        <v>724928</v>
      </c>
      <c r="F64" s="171"/>
      <c r="G64" s="171">
        <f t="shared" ref="G64:G78" si="8">E64+F64</f>
        <v>724928</v>
      </c>
      <c r="H64" s="172">
        <f t="shared" ref="H64:H79" si="9">IF($G$208=0,0,G64/$G$208)</f>
        <v>9.1929115485596263E-2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'[16]Sch C'!D58</f>
        <v>5806</v>
      </c>
      <c r="D65" s="501">
        <f>'[16]Sch C'!F58</f>
        <v>0</v>
      </c>
      <c r="E65" s="171">
        <f t="shared" si="7"/>
        <v>5806</v>
      </c>
      <c r="F65" s="171"/>
      <c r="G65" s="171">
        <f t="shared" si="8"/>
        <v>5806</v>
      </c>
      <c r="H65" s="172">
        <f t="shared" si="9"/>
        <v>7.3626683547796726E-4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'[16]Sch C'!D59</f>
        <v>0</v>
      </c>
      <c r="D66" s="501">
        <f>'[16]Sch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'[16]Sch C'!D60</f>
        <v>48907</v>
      </c>
      <c r="D67" s="501">
        <f>'[16]Sch C'!F60</f>
        <v>0</v>
      </c>
      <c r="E67" s="171">
        <f t="shared" si="7"/>
        <v>48907</v>
      </c>
      <c r="F67" s="171"/>
      <c r="G67" s="171">
        <f t="shared" si="8"/>
        <v>48907</v>
      </c>
      <c r="H67" s="172">
        <f t="shared" si="9"/>
        <v>6.20196385165707E-3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'[16]Sch C'!D61</f>
        <v>6039</v>
      </c>
      <c r="D68" s="501">
        <f>'[16]Sch C'!F61</f>
        <v>0</v>
      </c>
      <c r="E68" s="171">
        <f t="shared" si="7"/>
        <v>6039</v>
      </c>
      <c r="F68" s="171"/>
      <c r="G68" s="171">
        <f t="shared" si="8"/>
        <v>6039</v>
      </c>
      <c r="H68" s="172">
        <f t="shared" si="9"/>
        <v>7.658138855410686E-4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'[16]Sch C'!D62</f>
        <v>0</v>
      </c>
      <c r="D69" s="501">
        <f>'[16]Sch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'[16]Sch C'!D63</f>
        <v>0</v>
      </c>
      <c r="D70" s="501">
        <f>'[16]Sch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'[16]Sch C'!D64</f>
        <v>0</v>
      </c>
      <c r="D71" s="501">
        <f>'[16]Sch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'[16]Sch C'!D65</f>
        <v>3953</v>
      </c>
      <c r="D72" s="501">
        <f>'[16]Sch C'!F65</f>
        <v>0</v>
      </c>
      <c r="E72" s="171">
        <f t="shared" si="7"/>
        <v>3953</v>
      </c>
      <c r="F72" s="171"/>
      <c r="G72" s="171">
        <f t="shared" si="8"/>
        <v>3953</v>
      </c>
      <c r="H72" s="172">
        <f t="shared" si="9"/>
        <v>5.0128536008343179E-4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'[16]Sch C'!D66</f>
        <v>1131</v>
      </c>
      <c r="D73" s="501">
        <f>'[16]Sch C'!F66</f>
        <v>0</v>
      </c>
      <c r="E73" s="171">
        <f t="shared" si="7"/>
        <v>1131</v>
      </c>
      <c r="F73" s="171"/>
      <c r="G73" s="171">
        <f t="shared" si="8"/>
        <v>1131</v>
      </c>
      <c r="H73" s="172">
        <f t="shared" si="9"/>
        <v>1.4342366361101981E-4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'[16]Sch C'!D67</f>
        <v>62945</v>
      </c>
      <c r="D74" s="501">
        <f>'[16]Sch C'!F67</f>
        <v>0</v>
      </c>
      <c r="E74" s="171">
        <f t="shared" si="7"/>
        <v>62945</v>
      </c>
      <c r="F74" s="171"/>
      <c r="G74" s="171">
        <f t="shared" si="8"/>
        <v>62945</v>
      </c>
      <c r="H74" s="172">
        <f t="shared" si="9"/>
        <v>7.9821419151155093E-3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'[16]Sch C'!D68</f>
        <v>0</v>
      </c>
      <c r="D75" s="501">
        <f>'[16]Sch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'[16]Sch C'!D69</f>
        <v>3119</v>
      </c>
      <c r="D76" s="501">
        <f>'[16]Sch C'!F69</f>
        <v>0</v>
      </c>
      <c r="E76" s="171">
        <f t="shared" si="7"/>
        <v>3119</v>
      </c>
      <c r="F76" s="171"/>
      <c r="G76" s="171">
        <f t="shared" si="8"/>
        <v>3119</v>
      </c>
      <c r="H76" s="172">
        <f t="shared" si="9"/>
        <v>3.9552467444984153E-4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'[16]Sch C'!D70</f>
        <v>0</v>
      </c>
      <c r="D77" s="501">
        <f>'[16]Sch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'[16]Sch C'!D71</f>
        <v>0</v>
      </c>
      <c r="D78" s="501">
        <f>'[16]Sch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856828</v>
      </c>
      <c r="D79" s="501">
        <f>SUM(D64:D78)</f>
        <v>0</v>
      </c>
      <c r="E79" s="171">
        <f t="shared" ref="E79:F79" si="10">SUM(E64:E78)</f>
        <v>856828</v>
      </c>
      <c r="F79" s="171">
        <f t="shared" si="10"/>
        <v>0</v>
      </c>
      <c r="G79" s="171">
        <f>SUM(G64:G78)</f>
        <v>856828</v>
      </c>
      <c r="H79" s="172">
        <f t="shared" si="9"/>
        <v>0.10865553567153216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'[16]Sch C'!D75</f>
        <v>42981</v>
      </c>
      <c r="D82" s="501">
        <f>'[16]Sch C'!F75</f>
        <v>2564</v>
      </c>
      <c r="E82" s="171">
        <f t="shared" ref="E82:E92" si="11">C82+D82</f>
        <v>45545</v>
      </c>
      <c r="F82" s="171"/>
      <c r="G82" s="171">
        <f t="shared" ref="G82:G92" si="12">E82+F82</f>
        <v>45545</v>
      </c>
      <c r="H82" s="172">
        <f t="shared" ref="H82:H93" si="13">IF($G$208=0,0,G82/$G$208)</f>
        <v>5.775624013407513E-3</v>
      </c>
      <c r="I82" s="473"/>
      <c r="J82" s="183">
        <v>2385</v>
      </c>
      <c r="K82" s="183">
        <v>2527</v>
      </c>
    </row>
    <row r="83" spans="1:11" s="167" customFormat="1">
      <c r="A83" s="169" t="s">
        <v>86</v>
      </c>
      <c r="B83" s="199" t="s">
        <v>45</v>
      </c>
      <c r="C83" s="501">
        <f>'[16]Sch C'!D76</f>
        <v>0</v>
      </c>
      <c r="D83" s="501">
        <f>'[16]Sch C'!F76</f>
        <v>7261</v>
      </c>
      <c r="E83" s="171">
        <f t="shared" si="11"/>
        <v>7261</v>
      </c>
      <c r="F83" s="171"/>
      <c r="G83" s="171">
        <f t="shared" si="12"/>
        <v>7261</v>
      </c>
      <c r="H83" s="172">
        <f t="shared" si="13"/>
        <v>9.207773841552739E-4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'[16]Sch C'!D77</f>
        <v>13974</v>
      </c>
      <c r="D84" s="501">
        <f>'[16]Sch C'!F77</f>
        <v>0</v>
      </c>
      <c r="E84" s="171">
        <f t="shared" si="11"/>
        <v>13974</v>
      </c>
      <c r="F84" s="171"/>
      <c r="G84" s="171">
        <f t="shared" si="12"/>
        <v>13974</v>
      </c>
      <c r="H84" s="172">
        <f t="shared" si="13"/>
        <v>1.7720621355441122E-3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'[16]Sch C'!D78</f>
        <v>0</v>
      </c>
      <c r="D85" s="501">
        <f>'[16]Sch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'[16]Sch C'!D79</f>
        <v>1122</v>
      </c>
      <c r="D86" s="501">
        <f>'[16]Sch C'!F79</f>
        <v>0</v>
      </c>
      <c r="E86" s="171">
        <f t="shared" si="11"/>
        <v>1122</v>
      </c>
      <c r="F86" s="171">
        <v>585</v>
      </c>
      <c r="G86" s="171">
        <f>E86+F86</f>
        <v>1707</v>
      </c>
      <c r="H86" s="172">
        <f t="shared" si="13"/>
        <v>2.1646701483997419E-4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'[16]Sch C'!D80</f>
        <v>22520</v>
      </c>
      <c r="D87" s="501">
        <f>'[16]Sch C'!F80</f>
        <v>0</v>
      </c>
      <c r="E87" s="171">
        <f t="shared" si="11"/>
        <v>22520</v>
      </c>
      <c r="F87" s="171"/>
      <c r="G87" s="171">
        <f t="shared" si="12"/>
        <v>22520</v>
      </c>
      <c r="H87" s="172">
        <f t="shared" si="13"/>
        <v>2.8557921348542582E-3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'[16]Sch C'!D81</f>
        <v>13369</v>
      </c>
      <c r="D88" s="501">
        <f>'[16]Sch C'!F81</f>
        <v>0</v>
      </c>
      <c r="E88" s="171">
        <f t="shared" si="11"/>
        <v>13369</v>
      </c>
      <c r="F88" s="171"/>
      <c r="G88" s="171">
        <f t="shared" si="12"/>
        <v>13369</v>
      </c>
      <c r="H88" s="172">
        <f t="shared" si="13"/>
        <v>1.6953412544789778E-3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'[16]Sch C'!D82</f>
        <v>262</v>
      </c>
      <c r="D89" s="501">
        <f>'[16]Sch C'!F82</f>
        <v>0</v>
      </c>
      <c r="E89" s="171">
        <f t="shared" si="11"/>
        <v>262</v>
      </c>
      <c r="F89" s="171"/>
      <c r="G89" s="171">
        <f t="shared" si="12"/>
        <v>262</v>
      </c>
      <c r="H89" s="172">
        <f t="shared" si="13"/>
        <v>3.3224579899281337E-5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'[16]Sch C'!D83</f>
        <v>0</v>
      </c>
      <c r="D90" s="501">
        <f>'[16]Sch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'[16]Sch C'!D84</f>
        <v>96597</v>
      </c>
      <c r="D91" s="501">
        <f>'[16]Sch C'!F84</f>
        <v>0</v>
      </c>
      <c r="E91" s="171">
        <f t="shared" si="11"/>
        <v>96597</v>
      </c>
      <c r="F91" s="171"/>
      <c r="G91" s="171">
        <f t="shared" si="12"/>
        <v>96597</v>
      </c>
      <c r="H91" s="172">
        <f t="shared" si="13"/>
        <v>1.2249598261568241E-2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'[16]Sch C'!D85</f>
        <v>0</v>
      </c>
      <c r="D92" s="501">
        <f>'[16]Sch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190825</v>
      </c>
      <c r="D93" s="501">
        <f>SUM(D82:D92)</f>
        <v>9825</v>
      </c>
      <c r="E93" s="171">
        <f t="shared" ref="E93:F93" si="14">SUM(E82:E92)</f>
        <v>200650</v>
      </c>
      <c r="F93" s="171">
        <f t="shared" si="14"/>
        <v>585</v>
      </c>
      <c r="G93" s="171">
        <f>SUM(G82:G92)</f>
        <v>201235</v>
      </c>
      <c r="H93" s="172">
        <f t="shared" si="13"/>
        <v>2.551888677874763E-2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'[16]Sch C'!D89</f>
        <v>166774</v>
      </c>
      <c r="D96" s="501">
        <f>'[16]Sch C'!F89</f>
        <v>9950</v>
      </c>
      <c r="E96" s="171">
        <f t="shared" ref="E96:E101" si="15">C96+D96</f>
        <v>176724</v>
      </c>
      <c r="F96" s="171"/>
      <c r="G96" s="171">
        <f t="shared" ref="G96:G101" si="16">E96+F96</f>
        <v>176724</v>
      </c>
      <c r="H96" s="172">
        <f t="shared" ref="H96:H102" si="17">IF($G$208=0,0,G96/$G$208)</f>
        <v>2.2410613198933567E-2</v>
      </c>
      <c r="I96" s="473"/>
      <c r="J96" s="183">
        <v>12381</v>
      </c>
      <c r="K96" s="183">
        <v>13120</v>
      </c>
    </row>
    <row r="97" spans="1:11" s="167" customFormat="1">
      <c r="A97" s="169" t="s">
        <v>86</v>
      </c>
      <c r="B97" s="170" t="s">
        <v>45</v>
      </c>
      <c r="C97" s="501">
        <f>'[16]Sch C'!D90</f>
        <v>0</v>
      </c>
      <c r="D97" s="501">
        <f>'[16]Sch C'!F90</f>
        <v>28172</v>
      </c>
      <c r="E97" s="171">
        <f t="shared" si="15"/>
        <v>28172</v>
      </c>
      <c r="F97" s="171"/>
      <c r="G97" s="171">
        <f t="shared" si="16"/>
        <v>28172</v>
      </c>
      <c r="H97" s="172">
        <f t="shared" si="17"/>
        <v>3.5725300187883732E-3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'[16]Sch C'!D91</f>
        <v>2928</v>
      </c>
      <c r="D98" s="501">
        <f>'[16]Sch C'!F91</f>
        <v>0</v>
      </c>
      <c r="E98" s="171">
        <f t="shared" si="15"/>
        <v>2928</v>
      </c>
      <c r="F98" s="171"/>
      <c r="G98" s="171">
        <f t="shared" si="16"/>
        <v>2928</v>
      </c>
      <c r="H98" s="172">
        <f t="shared" si="17"/>
        <v>3.7130370208051814E-4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'[16]Sch C'!D92</f>
        <v>134787</v>
      </c>
      <c r="D99" s="501">
        <f>'[16]Sch C'!F92</f>
        <v>0</v>
      </c>
      <c r="E99" s="171">
        <f t="shared" si="15"/>
        <v>134787</v>
      </c>
      <c r="F99" s="171">
        <v>745</v>
      </c>
      <c r="G99" s="171">
        <f t="shared" si="16"/>
        <v>135532</v>
      </c>
      <c r="H99" s="172">
        <f t="shared" si="17"/>
        <v>1.7186999095074037E-2</v>
      </c>
      <c r="I99" s="473" t="s">
        <v>693</v>
      </c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'[16]Sch C'!D93</f>
        <v>10905</v>
      </c>
      <c r="D100" s="501">
        <f>'[16]Sch C'!F93</f>
        <v>0</v>
      </c>
      <c r="E100" s="171">
        <f t="shared" si="15"/>
        <v>10905</v>
      </c>
      <c r="F100" s="171"/>
      <c r="G100" s="171">
        <f t="shared" si="16"/>
        <v>10905</v>
      </c>
      <c r="H100" s="172">
        <f t="shared" si="17"/>
        <v>1.3828780297773396E-3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'[16]Sch C'!D94</f>
        <v>0</v>
      </c>
      <c r="D101" s="501">
        <f>'[16]Sch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315394</v>
      </c>
      <c r="D102" s="501">
        <f>SUM(D96:D101)</f>
        <v>38122</v>
      </c>
      <c r="E102" s="171">
        <f t="shared" ref="E102:F102" si="18">SUM(E96:E101)</f>
        <v>353516</v>
      </c>
      <c r="F102" s="171">
        <f t="shared" si="18"/>
        <v>745</v>
      </c>
      <c r="G102" s="171">
        <f>SUM(G96:G101)</f>
        <v>354261</v>
      </c>
      <c r="H102" s="172">
        <f t="shared" si="17"/>
        <v>4.4924324044653838E-2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'[16]Sch C'!D98</f>
        <v>19783</v>
      </c>
      <c r="D105" s="501">
        <f>'[16]Sch C'!F98</f>
        <v>1180</v>
      </c>
      <c r="E105" s="171">
        <f t="shared" ref="E105:E110" si="19">C105+D105</f>
        <v>20963</v>
      </c>
      <c r="F105" s="171"/>
      <c r="G105" s="171">
        <f t="shared" ref="G105:G110" si="20">E105+F105</f>
        <v>20963</v>
      </c>
      <c r="H105" s="172">
        <f t="shared" ref="H105:H111" si="21">IF($G$208=0,0,G105/$G$208)</f>
        <v>2.6583468260634908E-3</v>
      </c>
      <c r="I105" s="473"/>
      <c r="J105" s="183">
        <v>2015</v>
      </c>
      <c r="K105" s="183">
        <v>2135</v>
      </c>
    </row>
    <row r="106" spans="1:11" s="167" customFormat="1">
      <c r="A106" s="169" t="s">
        <v>86</v>
      </c>
      <c r="B106" s="170" t="s">
        <v>45</v>
      </c>
      <c r="C106" s="501">
        <f>'[16]Sch C'!D99</f>
        <v>0</v>
      </c>
      <c r="D106" s="501">
        <f>'[16]Sch C'!F99</f>
        <v>3342</v>
      </c>
      <c r="E106" s="171">
        <f t="shared" si="19"/>
        <v>3342</v>
      </c>
      <c r="F106" s="171"/>
      <c r="G106" s="171">
        <f t="shared" si="20"/>
        <v>3342</v>
      </c>
      <c r="H106" s="172">
        <f t="shared" si="21"/>
        <v>4.2380361077632908E-4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'[16]Sch C'!D100</f>
        <v>7808</v>
      </c>
      <c r="D107" s="501">
        <f>'[16]Sch C'!F100</f>
        <v>0</v>
      </c>
      <c r="E107" s="171">
        <f t="shared" si="19"/>
        <v>7808</v>
      </c>
      <c r="F107" s="171"/>
      <c r="G107" s="171">
        <f t="shared" si="20"/>
        <v>7808</v>
      </c>
      <c r="H107" s="172">
        <f t="shared" si="21"/>
        <v>9.9014320554804839E-4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'[16]Sch C'!D101</f>
        <v>0</v>
      </c>
      <c r="D108" s="501">
        <f>'[16]Sch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'[16]Sch C'!D102</f>
        <v>11196</v>
      </c>
      <c r="D109" s="501">
        <f>'[16]Sch C'!F102</f>
        <v>0</v>
      </c>
      <c r="E109" s="171">
        <f t="shared" si="19"/>
        <v>11196</v>
      </c>
      <c r="F109" s="171"/>
      <c r="G109" s="171">
        <f t="shared" si="20"/>
        <v>11196</v>
      </c>
      <c r="H109" s="172">
        <f t="shared" si="21"/>
        <v>1.4197801395128009E-3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'[16]Sch C'!D103</f>
        <v>146</v>
      </c>
      <c r="D110" s="501">
        <f>'[16]Sch C'!F103</f>
        <v>0</v>
      </c>
      <c r="E110" s="171">
        <f t="shared" si="19"/>
        <v>146</v>
      </c>
      <c r="F110" s="171"/>
      <c r="G110" s="171">
        <f t="shared" si="20"/>
        <v>146</v>
      </c>
      <c r="H110" s="172">
        <f t="shared" si="21"/>
        <v>1.8514460554561355E-5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38933</v>
      </c>
      <c r="D111" s="501">
        <f>SUM(D105:D110)</f>
        <v>4522</v>
      </c>
      <c r="E111" s="171">
        <f t="shared" ref="E111:F111" si="22">SUM(E105:E110)</f>
        <v>43455</v>
      </c>
      <c r="F111" s="171">
        <f t="shared" si="22"/>
        <v>0</v>
      </c>
      <c r="G111" s="171">
        <f>SUM(G105:G110)</f>
        <v>43455</v>
      </c>
      <c r="H111" s="172">
        <f t="shared" si="21"/>
        <v>5.5105882424552307E-3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'[16]Sch C'!D115</f>
        <v>73763</v>
      </c>
      <c r="D114" s="501">
        <f>'[16]Sch C'!F115</f>
        <v>4401</v>
      </c>
      <c r="E114" s="171">
        <f t="shared" ref="E114:E118" si="23">C114+D114</f>
        <v>78164</v>
      </c>
      <c r="F114" s="171"/>
      <c r="G114" s="171">
        <f>E114+F114</f>
        <v>78164</v>
      </c>
      <c r="H114" s="172">
        <f t="shared" ref="H114:H119" si="24">IF($G$208=0,0,G114/$G$208)</f>
        <v>9.9120842108680399E-3</v>
      </c>
      <c r="I114" s="473"/>
      <c r="J114" s="183">
        <v>7573</v>
      </c>
      <c r="K114" s="183">
        <v>8025</v>
      </c>
    </row>
    <row r="115" spans="1:11" s="167" customFormat="1">
      <c r="A115" s="169" t="s">
        <v>86</v>
      </c>
      <c r="B115" s="170" t="s">
        <v>151</v>
      </c>
      <c r="C115" s="501">
        <f>'[16]Sch C'!D116</f>
        <v>0</v>
      </c>
      <c r="D115" s="501">
        <f>'[16]Sch C'!F116</f>
        <v>12461</v>
      </c>
      <c r="E115" s="171">
        <f t="shared" si="23"/>
        <v>12461</v>
      </c>
      <c r="F115" s="171"/>
      <c r="G115" s="171">
        <f>E115+F115</f>
        <v>12461</v>
      </c>
      <c r="H115" s="172">
        <f t="shared" si="24"/>
        <v>1.5801965271944455E-3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'[16]Sch C'!D117</f>
        <v>30845</v>
      </c>
      <c r="D116" s="501">
        <f>'[16]Sch C'!F117</f>
        <v>0</v>
      </c>
      <c r="E116" s="171">
        <f t="shared" si="23"/>
        <v>30845</v>
      </c>
      <c r="F116" s="171"/>
      <c r="G116" s="171">
        <f>E116+F116</f>
        <v>30845</v>
      </c>
      <c r="H116" s="172">
        <f t="shared" si="24"/>
        <v>3.9114968205852399E-3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'[16]Sch C'!D118</f>
        <v>1481</v>
      </c>
      <c r="D117" s="501">
        <f>'[16]Sch C'!F118</f>
        <v>0</v>
      </c>
      <c r="E117" s="171">
        <f t="shared" si="23"/>
        <v>1481</v>
      </c>
      <c r="F117" s="171"/>
      <c r="G117" s="171">
        <f>E117+F117</f>
        <v>1481</v>
      </c>
      <c r="H117" s="172">
        <f t="shared" si="24"/>
        <v>1.8780764439250251E-4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'[16]Sch C'!D119</f>
        <v>0</v>
      </c>
      <c r="D118" s="501">
        <f>'[16]Sch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106089</v>
      </c>
      <c r="D119" s="501">
        <f>SUM(D114:D118)</f>
        <v>16862</v>
      </c>
      <c r="E119" s="171">
        <f t="shared" ref="E119:F119" si="25">SUM(E114:E118)</f>
        <v>122951</v>
      </c>
      <c r="F119" s="171">
        <f t="shared" si="25"/>
        <v>0</v>
      </c>
      <c r="G119" s="171">
        <f>SUM(G114:G118)</f>
        <v>122951</v>
      </c>
      <c r="H119" s="172">
        <f t="shared" si="24"/>
        <v>1.5591585203040227E-2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'[16]Sch C'!D124</f>
        <v>0</v>
      </c>
      <c r="D123" s="501">
        <f>'[16]Sch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'[16]Sch C'!D125</f>
        <v>89542</v>
      </c>
      <c r="D124" s="501">
        <f>'[16]Sch C'!F125</f>
        <v>5342</v>
      </c>
      <c r="E124" s="171">
        <f t="shared" si="26"/>
        <v>94884</v>
      </c>
      <c r="F124" s="171"/>
      <c r="G124" s="171">
        <f>E124+F124</f>
        <v>94884</v>
      </c>
      <c r="H124" s="172">
        <f>IF($G$208=0,0,G124/$G$208)</f>
        <v>1.2032370378486298E-2</v>
      </c>
      <c r="I124" s="473"/>
      <c r="J124" s="183">
        <v>1940</v>
      </c>
      <c r="K124" s="183">
        <v>2056</v>
      </c>
    </row>
    <row r="125" spans="1:11" s="167" customFormat="1">
      <c r="A125" s="163" t="s">
        <v>198</v>
      </c>
      <c r="B125" s="163" t="s">
        <v>195</v>
      </c>
      <c r="C125" s="501">
        <f>'[16]Sch C'!D126</f>
        <v>135673</v>
      </c>
      <c r="D125" s="501">
        <f>'[16]Sch C'!F126</f>
        <v>8094</v>
      </c>
      <c r="E125" s="171">
        <f t="shared" si="26"/>
        <v>143767</v>
      </c>
      <c r="F125" s="171"/>
      <c r="G125" s="171">
        <f>E125+F125</f>
        <v>143767</v>
      </c>
      <c r="H125" s="172">
        <f>IF($G$208=0,0,G125/$G$208)</f>
        <v>1.8231290757175493E-2</v>
      </c>
      <c r="I125" s="473"/>
      <c r="J125" s="183">
        <v>4185</v>
      </c>
      <c r="K125" s="183">
        <v>4435</v>
      </c>
    </row>
    <row r="126" spans="1:11" s="167" customFormat="1">
      <c r="A126" s="169"/>
      <c r="B126" s="163" t="s">
        <v>196</v>
      </c>
      <c r="C126" s="501">
        <f>'[16]Sch C'!D127</f>
        <v>0</v>
      </c>
      <c r="D126" s="501">
        <f>'[16]Sch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'[16]Sch C'!D128</f>
        <v>62647</v>
      </c>
      <c r="D127" s="501">
        <f>'[16]Sch C'!F128</f>
        <v>3737</v>
      </c>
      <c r="E127" s="171">
        <f t="shared" si="26"/>
        <v>66384</v>
      </c>
      <c r="F127" s="171"/>
      <c r="G127" s="171">
        <f>E127+F127</f>
        <v>66384</v>
      </c>
      <c r="H127" s="172">
        <f>IF($G$208=0,0,G127/$G$208)</f>
        <v>8.4182462291369931E-3</v>
      </c>
      <c r="I127" s="473"/>
      <c r="J127" s="183">
        <v>3903</v>
      </c>
      <c r="K127" s="183">
        <v>4136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'[16]Sch C'!D130</f>
        <v>0</v>
      </c>
      <c r="D129" s="501">
        <f>'[16]Sch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'[16]Sch C'!D131</f>
        <v>0</v>
      </c>
      <c r="D130" s="501">
        <f>'[16]Sch C'!F131</f>
        <v>15126</v>
      </c>
      <c r="E130" s="171">
        <f t="shared" si="27"/>
        <v>15126</v>
      </c>
      <c r="F130" s="171"/>
      <c r="G130" s="171">
        <f>E130+F130</f>
        <v>15126</v>
      </c>
      <c r="H130" s="172">
        <f>IF($G$208=0,0,G130/$G$208)</f>
        <v>1.9181488380020208E-3</v>
      </c>
      <c r="I130" s="473"/>
      <c r="J130" s="204"/>
      <c r="K130" s="204"/>
    </row>
    <row r="131" spans="1:11" s="167" customFormat="1">
      <c r="B131" s="163" t="s">
        <v>195</v>
      </c>
      <c r="C131" s="501">
        <f>'[16]Sch C'!D132</f>
        <v>0</v>
      </c>
      <c r="D131" s="501">
        <f>'[16]Sch C'!F132</f>
        <v>22918</v>
      </c>
      <c r="E131" s="171">
        <f t="shared" si="27"/>
        <v>22918</v>
      </c>
      <c r="F131" s="171"/>
      <c r="G131" s="171">
        <f>E131+F131</f>
        <v>22918</v>
      </c>
      <c r="H131" s="172">
        <f>IF($G$208=0,0,G131/$G$208)</f>
        <v>2.9062630615714871E-3</v>
      </c>
      <c r="I131" s="473"/>
      <c r="J131" s="168"/>
      <c r="K131" s="168"/>
    </row>
    <row r="132" spans="1:11" s="167" customFormat="1">
      <c r="B132" s="163" t="s">
        <v>196</v>
      </c>
      <c r="C132" s="501">
        <f>'[16]Sch C'!D133</f>
        <v>0</v>
      </c>
      <c r="D132" s="501">
        <f>'[16]Sch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'[16]Sch C'!D134</f>
        <v>0</v>
      </c>
      <c r="D133" s="501">
        <f>'[16]Sch C'!F134</f>
        <v>10583</v>
      </c>
      <c r="E133" s="171">
        <f t="shared" si="27"/>
        <v>10583</v>
      </c>
      <c r="F133" s="171"/>
      <c r="G133" s="171">
        <f>E133+F133</f>
        <v>10583</v>
      </c>
      <c r="H133" s="172">
        <f>IF($G$208=0,0,G133/$G$208)</f>
        <v>1.3420447674583754E-3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'[16]Sch C'!D136</f>
        <v>629282</v>
      </c>
      <c r="D135" s="501">
        <f>'[16]Sch C'!F136</f>
        <v>37542</v>
      </c>
      <c r="E135" s="171">
        <f t="shared" ref="E135:E138" si="28">C135+D135</f>
        <v>666824</v>
      </c>
      <c r="F135" s="171"/>
      <c r="G135" s="171">
        <f>E135+F135</f>
        <v>666824</v>
      </c>
      <c r="H135" s="172">
        <f>IF($G$208=0,0,G135/$G$208)</f>
        <v>8.4560867430375483E-2</v>
      </c>
      <c r="I135" s="473"/>
      <c r="J135" s="183">
        <v>22571</v>
      </c>
      <c r="K135" s="183">
        <v>23918</v>
      </c>
    </row>
    <row r="136" spans="1:11" s="167" customFormat="1">
      <c r="A136" s="169"/>
      <c r="B136" s="163" t="s">
        <v>195</v>
      </c>
      <c r="C136" s="501">
        <f>'[16]Sch C'!D137</f>
        <v>165172</v>
      </c>
      <c r="D136" s="501">
        <f>'[16]Sch C'!F137</f>
        <v>9854</v>
      </c>
      <c r="E136" s="171">
        <f t="shared" si="28"/>
        <v>175026</v>
      </c>
      <c r="F136" s="171"/>
      <c r="G136" s="171">
        <f>E136+F136</f>
        <v>175026</v>
      </c>
      <c r="H136" s="172">
        <f>IF($G$208=0,0,G136/$G$208)</f>
        <v>2.2195287486456546E-2</v>
      </c>
      <c r="I136" s="473"/>
      <c r="J136" s="183">
        <v>7023</v>
      </c>
      <c r="K136" s="183">
        <v>7442</v>
      </c>
    </row>
    <row r="137" spans="1:11" s="167" customFormat="1">
      <c r="A137" s="169"/>
      <c r="B137" s="163" t="s">
        <v>196</v>
      </c>
      <c r="C137" s="501">
        <f>'[16]Sch C'!D138</f>
        <v>522543</v>
      </c>
      <c r="D137" s="501">
        <f>'[16]Sch C'!F138</f>
        <v>31174</v>
      </c>
      <c r="E137" s="171">
        <f t="shared" si="28"/>
        <v>553717</v>
      </c>
      <c r="F137" s="171"/>
      <c r="G137" s="171">
        <f>E137+F137</f>
        <v>553717</v>
      </c>
      <c r="H137" s="172">
        <f>IF($G$208=0,0,G137/$G$208)</f>
        <v>7.0217613389657874E-2</v>
      </c>
      <c r="I137" s="473"/>
      <c r="J137" s="183">
        <v>42518</v>
      </c>
      <c r="K137" s="183">
        <v>45055</v>
      </c>
    </row>
    <row r="138" spans="1:11" s="167" customFormat="1">
      <c r="A138" s="169"/>
      <c r="B138" s="163" t="s">
        <v>197</v>
      </c>
      <c r="C138" s="501">
        <f>'[16]Sch C'!D139</f>
        <v>141058</v>
      </c>
      <c r="D138" s="501">
        <f>'[16]Sch C'!F139</f>
        <v>8415</v>
      </c>
      <c r="E138" s="171">
        <f t="shared" si="28"/>
        <v>149473</v>
      </c>
      <c r="F138" s="171"/>
      <c r="G138" s="171">
        <f>E138+F138</f>
        <v>149473</v>
      </c>
      <c r="H138" s="172">
        <f>IF($G$208=0,0,G138/$G$208)</f>
        <v>1.8954876455287324E-2</v>
      </c>
      <c r="I138" s="473"/>
      <c r="J138" s="183">
        <v>8431</v>
      </c>
      <c r="K138" s="183">
        <v>8934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'[16]Sch C'!D141</f>
        <v>0</v>
      </c>
      <c r="D140" s="501">
        <f>'[16]Sch C'!F141</f>
        <v>106302</v>
      </c>
      <c r="E140" s="171">
        <f t="shared" ref="E140:E143" si="29">C140+D140</f>
        <v>106302</v>
      </c>
      <c r="F140" s="171"/>
      <c r="G140" s="171">
        <f>E140+F140</f>
        <v>106302</v>
      </c>
      <c r="H140" s="172">
        <f>IF($G$208=0,0,G140/$G$208)</f>
        <v>1.3480302642951926E-2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'[16]Sch C'!D142</f>
        <v>0</v>
      </c>
      <c r="D141" s="501">
        <f>'[16]Sch C'!F142</f>
        <v>27902</v>
      </c>
      <c r="E141" s="171">
        <f t="shared" si="29"/>
        <v>27902</v>
      </c>
      <c r="F141" s="171"/>
      <c r="G141" s="171">
        <f>E141+F141</f>
        <v>27902</v>
      </c>
      <c r="H141" s="172">
        <f>IF($G$208=0,0,G141/$G$208)</f>
        <v>3.5382909478998007E-3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'[16]Sch C'!D143</f>
        <v>0</v>
      </c>
      <c r="D142" s="501">
        <f>'[16]Sch C'!F143</f>
        <v>88272</v>
      </c>
      <c r="E142" s="171">
        <f t="shared" si="29"/>
        <v>88272</v>
      </c>
      <c r="F142" s="171"/>
      <c r="G142" s="171">
        <f>E142+F142</f>
        <v>88272</v>
      </c>
      <c r="H142" s="172">
        <f>IF($G$208=0,0,G142/$G$208)</f>
        <v>1.119389357583726E-2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'[16]Sch C'!D144</f>
        <v>0</v>
      </c>
      <c r="D143" s="501">
        <f>'[16]Sch C'!F144</f>
        <v>23828</v>
      </c>
      <c r="E143" s="171">
        <f t="shared" si="29"/>
        <v>23828</v>
      </c>
      <c r="F143" s="171"/>
      <c r="G143" s="171">
        <f>E143+F143</f>
        <v>23828</v>
      </c>
      <c r="H143" s="172">
        <f>IF($G$208=0,0,G143/$G$208)</f>
        <v>3.0216614116033423E-3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'[16]Sch C'!D146</f>
        <v>30000</v>
      </c>
      <c r="D145" s="501">
        <f>'[16]Sch C'!F146</f>
        <v>0</v>
      </c>
      <c r="E145" s="171">
        <f t="shared" ref="E145:E153" si="30">C145+D145</f>
        <v>30000</v>
      </c>
      <c r="F145" s="171"/>
      <c r="G145" s="171">
        <f t="shared" ref="G145:G153" si="31">E145+F145</f>
        <v>30000</v>
      </c>
      <c r="H145" s="172">
        <f t="shared" ref="H145:H153" si="32">IF($G$208=0,0,G145/$G$208)</f>
        <v>3.804341209841374E-3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'[16]Sch C'!D147</f>
        <v>0</v>
      </c>
      <c r="D146" s="501">
        <f>'[16]Sch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'[16]Sch C'!D148</f>
        <v>0</v>
      </c>
      <c r="D147" s="501">
        <f>'[16]Sch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'[16]Sch C'!D149</f>
        <v>0</v>
      </c>
      <c r="D148" s="501">
        <f>'[16]Sch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'[16]Sch C'!D150</f>
        <v>1260</v>
      </c>
      <c r="D149" s="501">
        <f>'[16]Sch C'!F150</f>
        <v>0</v>
      </c>
      <c r="E149" s="171">
        <f t="shared" si="30"/>
        <v>1260</v>
      </c>
      <c r="F149" s="171"/>
      <c r="G149" s="171">
        <f t="shared" si="31"/>
        <v>1260</v>
      </c>
      <c r="H149" s="172">
        <f t="shared" si="32"/>
        <v>1.5978233081333771E-4</v>
      </c>
      <c r="I149" s="473"/>
      <c r="J149" s="183">
        <v>84</v>
      </c>
      <c r="K149" s="183">
        <v>84</v>
      </c>
    </row>
    <row r="150" spans="1:11" s="167" customFormat="1">
      <c r="A150" s="169">
        <v>110</v>
      </c>
      <c r="B150" s="167" t="s">
        <v>65</v>
      </c>
      <c r="C150" s="501">
        <f>'[16]Sch C'!D151</f>
        <v>71163</v>
      </c>
      <c r="D150" s="501">
        <f>'[16]Sch C'!F151</f>
        <v>0</v>
      </c>
      <c r="E150" s="171">
        <f t="shared" si="30"/>
        <v>71163</v>
      </c>
      <c r="F150" s="171"/>
      <c r="G150" s="171">
        <f t="shared" si="31"/>
        <v>71163</v>
      </c>
      <c r="H150" s="172">
        <f t="shared" si="32"/>
        <v>9.0242777838647238E-3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'[16]Sch C'!D152</f>
        <v>3617</v>
      </c>
      <c r="D151" s="501">
        <f>'[16]Sch C'!F152</f>
        <v>0</v>
      </c>
      <c r="E151" s="171">
        <f t="shared" si="30"/>
        <v>3617</v>
      </c>
      <c r="F151" s="171"/>
      <c r="G151" s="171">
        <f t="shared" si="31"/>
        <v>3617</v>
      </c>
      <c r="H151" s="172">
        <f t="shared" si="32"/>
        <v>4.5867673853320837E-4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'[16]Sch C'!D153</f>
        <v>0</v>
      </c>
      <c r="D152" s="501">
        <f>'[16]Sch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'[16]Sch C'!D154</f>
        <v>0</v>
      </c>
      <c r="D153" s="501">
        <f>'[16]Sch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'[16]Sch C'!D156</f>
        <v>0</v>
      </c>
      <c r="D155" s="501">
        <f>'[16]Sch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'[16]Sch C'!D157</f>
        <v>0</v>
      </c>
      <c r="D156" s="501">
        <f>'[16]Sch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'[16]Sch C'!D158</f>
        <v>0</v>
      </c>
      <c r="D157" s="501">
        <f>'[16]Sch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'[16]Sch C'!D159</f>
        <v>0</v>
      </c>
      <c r="D158" s="501">
        <f>'[16]Sch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'[16]Sch C'!D160</f>
        <v>0</v>
      </c>
      <c r="D159" s="501">
        <f>'[16]Sch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'[16]Sch C'!D161</f>
        <v>7040</v>
      </c>
      <c r="D160" s="501">
        <f>'[16]Sch C'!F161</f>
        <v>0</v>
      </c>
      <c r="E160" s="171">
        <f t="shared" si="33"/>
        <v>7040</v>
      </c>
      <c r="F160" s="171"/>
      <c r="G160" s="171">
        <f t="shared" si="34"/>
        <v>7040</v>
      </c>
      <c r="H160" s="172">
        <f t="shared" si="35"/>
        <v>8.927520705761091E-4</v>
      </c>
      <c r="I160" s="473"/>
      <c r="J160" s="168"/>
      <c r="K160" s="168"/>
    </row>
    <row r="161" spans="1:12" s="167" customFormat="1">
      <c r="A161" s="169"/>
      <c r="B161" s="170" t="s">
        <v>233</v>
      </c>
      <c r="C161" s="501">
        <f>SUM(C123:C160)</f>
        <v>1858997</v>
      </c>
      <c r="D161" s="501">
        <f>SUM(D123:D160)</f>
        <v>399089</v>
      </c>
      <c r="E161" s="171">
        <f t="shared" ref="E161:F161" si="36">SUM(E123:E160)</f>
        <v>2258086</v>
      </c>
      <c r="F161" s="171">
        <f t="shared" si="36"/>
        <v>0</v>
      </c>
      <c r="G161" s="171">
        <f>SUM(G123:G160)</f>
        <v>2258086</v>
      </c>
      <c r="H161" s="172">
        <f t="shared" si="35"/>
        <v>0.28635098750552895</v>
      </c>
      <c r="I161" s="473"/>
      <c r="J161" s="168"/>
      <c r="K161" s="168"/>
    </row>
    <row r="162" spans="1:12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2" s="167" customFormat="1" ht="26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2" s="221" customFormat="1">
      <c r="A164" s="215" t="s">
        <v>95</v>
      </c>
      <c r="B164" s="148" t="s">
        <v>102</v>
      </c>
      <c r="C164" s="501">
        <f>'[16]Sch C'!D175</f>
        <v>0</v>
      </c>
      <c r="D164" s="501">
        <f>'[16]Sch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9"/>
    </row>
    <row r="165" spans="1:12" s="221" customFormat="1">
      <c r="A165" s="215" t="s">
        <v>123</v>
      </c>
      <c r="B165" s="148" t="s">
        <v>103</v>
      </c>
      <c r="C165" s="501">
        <f>'[16]Sch C'!D176</f>
        <v>0</v>
      </c>
      <c r="D165" s="501">
        <f>'[16]Sch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9"/>
    </row>
    <row r="166" spans="1:12" s="221" customFormat="1">
      <c r="A166" s="215" t="s">
        <v>124</v>
      </c>
      <c r="B166" s="148" t="s">
        <v>104</v>
      </c>
      <c r="C166" s="501">
        <f>'[16]Sch C'!D177</f>
        <v>762838</v>
      </c>
      <c r="D166" s="501">
        <f>'[16]Sch C'!F177</f>
        <v>45510</v>
      </c>
      <c r="E166" s="171">
        <f t="shared" si="37"/>
        <v>808348</v>
      </c>
      <c r="F166" s="216"/>
      <c r="G166" s="171">
        <f t="shared" si="38"/>
        <v>808348</v>
      </c>
      <c r="H166" s="172">
        <f t="shared" si="39"/>
        <v>0.1025077202764285</v>
      </c>
      <c r="I166" s="483"/>
      <c r="J166" s="183">
        <v>28432</v>
      </c>
      <c r="K166" s="183">
        <v>30128</v>
      </c>
      <c r="L166" s="219"/>
    </row>
    <row r="167" spans="1:12" s="221" customFormat="1">
      <c r="A167" s="215" t="s">
        <v>157</v>
      </c>
      <c r="B167" s="148" t="s">
        <v>105</v>
      </c>
      <c r="C167" s="501">
        <f>'[16]Sch C'!D178</f>
        <v>0</v>
      </c>
      <c r="D167" s="501">
        <f>'[16]Sch C'!F178</f>
        <v>128865</v>
      </c>
      <c r="E167" s="171">
        <f t="shared" si="37"/>
        <v>128865</v>
      </c>
      <c r="F167" s="216"/>
      <c r="G167" s="171">
        <f t="shared" si="38"/>
        <v>128865</v>
      </c>
      <c r="H167" s="172">
        <f t="shared" si="39"/>
        <v>1.6341547666873624E-2</v>
      </c>
      <c r="I167" s="484"/>
      <c r="J167" s="222"/>
      <c r="K167" s="222"/>
      <c r="L167" s="219"/>
    </row>
    <row r="168" spans="1:12" s="221" customFormat="1">
      <c r="A168" s="215" t="s">
        <v>158</v>
      </c>
      <c r="B168" s="148" t="s">
        <v>316</v>
      </c>
      <c r="C168" s="501">
        <f>'[16]Sch C'!D179</f>
        <v>61384</v>
      </c>
      <c r="D168" s="501">
        <f>'[16]Sch C'!F179</f>
        <v>3662</v>
      </c>
      <c r="E168" s="171">
        <f t="shared" si="37"/>
        <v>65046</v>
      </c>
      <c r="F168" s="216"/>
      <c r="G168" s="171">
        <f t="shared" si="38"/>
        <v>65046</v>
      </c>
      <c r="H168" s="172">
        <f t="shared" si="39"/>
        <v>8.2485726111780674E-3</v>
      </c>
      <c r="I168" s="483"/>
      <c r="J168" s="183">
        <v>1395</v>
      </c>
      <c r="K168" s="183">
        <v>1478</v>
      </c>
      <c r="L168" s="219"/>
    </row>
    <row r="169" spans="1:12" s="221" customFormat="1">
      <c r="A169" s="215" t="s">
        <v>86</v>
      </c>
      <c r="B169" s="148" t="s">
        <v>317</v>
      </c>
      <c r="C169" s="501">
        <f>'[16]Sch C'!D180</f>
        <v>0</v>
      </c>
      <c r="D169" s="501">
        <f>'[16]Sch C'!F180</f>
        <v>10370</v>
      </c>
      <c r="E169" s="171">
        <f t="shared" si="37"/>
        <v>10370</v>
      </c>
      <c r="F169" s="216"/>
      <c r="G169" s="171">
        <f t="shared" si="38"/>
        <v>10370</v>
      </c>
      <c r="H169" s="172">
        <f t="shared" si="39"/>
        <v>1.3150339448685018E-3</v>
      </c>
      <c r="I169" s="484"/>
      <c r="J169" s="222"/>
      <c r="K169" s="222"/>
      <c r="L169" s="219"/>
    </row>
    <row r="170" spans="1:12" s="221" customFormat="1">
      <c r="A170" s="215" t="s">
        <v>96</v>
      </c>
      <c r="B170" s="148" t="s">
        <v>318</v>
      </c>
      <c r="C170" s="501">
        <f>'[16]Sch C'!D181</f>
        <v>0</v>
      </c>
      <c r="D170" s="501">
        <f>'[16]Sch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9"/>
    </row>
    <row r="171" spans="1:12" s="221" customFormat="1">
      <c r="A171" s="215" t="s">
        <v>125</v>
      </c>
      <c r="B171" s="148" t="s">
        <v>109</v>
      </c>
      <c r="C171" s="501">
        <f>'[16]Sch C'!D182</f>
        <v>0</v>
      </c>
      <c r="D171" s="501">
        <f>'[16]Sch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9"/>
    </row>
    <row r="172" spans="1:12" s="221" customFormat="1">
      <c r="A172" s="215" t="s">
        <v>126</v>
      </c>
      <c r="B172" s="148" t="s">
        <v>319</v>
      </c>
      <c r="C172" s="501">
        <f>'[16]Sch C'!D183</f>
        <v>474637</v>
      </c>
      <c r="D172" s="501">
        <f>'[16]Sch C'!F183</f>
        <v>28316</v>
      </c>
      <c r="E172" s="171">
        <f t="shared" si="37"/>
        <v>502953</v>
      </c>
      <c r="F172" s="216"/>
      <c r="G172" s="171">
        <f t="shared" si="38"/>
        <v>502953</v>
      </c>
      <c r="H172" s="172">
        <f t="shared" si="39"/>
        <v>6.3780160817111617E-2</v>
      </c>
      <c r="I172" s="483"/>
      <c r="J172" s="183">
        <v>13347</v>
      </c>
      <c r="K172" s="183">
        <v>14143</v>
      </c>
      <c r="L172" s="219"/>
    </row>
    <row r="173" spans="1:12" s="221" customFormat="1">
      <c r="A173" s="215" t="s">
        <v>127</v>
      </c>
      <c r="B173" s="148" t="s">
        <v>111</v>
      </c>
      <c r="C173" s="501">
        <f>'[16]Sch C'!D184</f>
        <v>0</v>
      </c>
      <c r="D173" s="501">
        <f>'[16]Sch C'!F184</f>
        <v>80179</v>
      </c>
      <c r="E173" s="171">
        <f t="shared" si="37"/>
        <v>80179</v>
      </c>
      <c r="F173" s="216"/>
      <c r="G173" s="171">
        <f t="shared" si="38"/>
        <v>80179</v>
      </c>
      <c r="H173" s="172">
        <f t="shared" si="39"/>
        <v>1.0167609128795718E-2</v>
      </c>
      <c r="I173" s="484"/>
      <c r="J173" s="222"/>
      <c r="K173" s="222"/>
      <c r="L173" s="219"/>
    </row>
    <row r="174" spans="1:12" s="221" customFormat="1">
      <c r="A174" s="215" t="s">
        <v>128</v>
      </c>
      <c r="B174" s="148" t="s">
        <v>320</v>
      </c>
      <c r="C174" s="501">
        <f>'[16]Sch C'!D185</f>
        <v>0</v>
      </c>
      <c r="D174" s="501">
        <f>'[16]Sch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9"/>
    </row>
    <row r="175" spans="1:12" s="221" customFormat="1">
      <c r="A175" s="215" t="s">
        <v>129</v>
      </c>
      <c r="B175" s="148" t="s">
        <v>321</v>
      </c>
      <c r="C175" s="501">
        <f>'[16]Sch C'!D186</f>
        <v>0</v>
      </c>
      <c r="D175" s="501">
        <f>'[16]Sch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</row>
    <row r="176" spans="1:12" s="221" customFormat="1">
      <c r="A176" s="224" t="s">
        <v>293</v>
      </c>
      <c r="B176" s="148" t="s">
        <v>154</v>
      </c>
      <c r="C176" s="501">
        <f>'[16]Sch C'!D187</f>
        <v>0</v>
      </c>
      <c r="D176" s="501">
        <f>'[16]Sch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</row>
    <row r="177" spans="1:12" s="221" customFormat="1">
      <c r="A177" s="224" t="s">
        <v>294</v>
      </c>
      <c r="B177" s="148" t="s">
        <v>322</v>
      </c>
      <c r="C177" s="501">
        <f>'[16]Sch C'!D188</f>
        <v>7268</v>
      </c>
      <c r="D177" s="501">
        <f>'[16]Sch C'!F188</f>
        <v>0</v>
      </c>
      <c r="E177" s="171">
        <f t="shared" si="37"/>
        <v>7268</v>
      </c>
      <c r="F177" s="216"/>
      <c r="G177" s="171">
        <f t="shared" si="38"/>
        <v>7268</v>
      </c>
      <c r="H177" s="172">
        <f t="shared" si="39"/>
        <v>9.216650637709036E-4</v>
      </c>
      <c r="I177" s="473"/>
      <c r="J177" s="223"/>
      <c r="K177" s="218"/>
      <c r="L177" s="220"/>
    </row>
    <row r="178" spans="1:12" s="221" customFormat="1">
      <c r="A178" s="224" t="s">
        <v>295</v>
      </c>
      <c r="B178" s="148" t="s">
        <v>323</v>
      </c>
      <c r="C178" s="501">
        <f>'[16]Sch C'!D189</f>
        <v>0</v>
      </c>
      <c r="D178" s="501">
        <f>'[16]Sch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</row>
    <row r="179" spans="1:12" s="221" customFormat="1">
      <c r="A179" s="224" t="s">
        <v>296</v>
      </c>
      <c r="B179" s="148" t="s">
        <v>324</v>
      </c>
      <c r="C179" s="501">
        <f>'[16]Sch C'!D190</f>
        <v>0</v>
      </c>
      <c r="D179" s="501">
        <f>'[16]Sch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</row>
    <row r="180" spans="1:12" s="221" customFormat="1">
      <c r="A180" s="224" t="s">
        <v>297</v>
      </c>
      <c r="B180" s="148" t="s">
        <v>325</v>
      </c>
      <c r="C180" s="501">
        <f>'[16]Sch C'!D191</f>
        <v>729</v>
      </c>
      <c r="D180" s="501">
        <f>'[16]Sch C'!F191</f>
        <v>0</v>
      </c>
      <c r="E180" s="171">
        <f t="shared" si="37"/>
        <v>729</v>
      </c>
      <c r="F180" s="216"/>
      <c r="G180" s="171">
        <f t="shared" si="38"/>
        <v>729</v>
      </c>
      <c r="H180" s="172">
        <f t="shared" si="39"/>
        <v>9.2445491399145387E-5</v>
      </c>
      <c r="I180" s="473"/>
      <c r="J180" s="223"/>
      <c r="K180" s="218"/>
      <c r="L180" s="220"/>
    </row>
    <row r="181" spans="1:12" s="221" customFormat="1">
      <c r="A181" s="224" t="s">
        <v>298</v>
      </c>
      <c r="B181" s="148" t="s">
        <v>117</v>
      </c>
      <c r="C181" s="501">
        <f>'[16]Sch C'!D192</f>
        <v>0</v>
      </c>
      <c r="D181" s="501">
        <f>'[16]Sch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</row>
    <row r="182" spans="1:12" s="221" customFormat="1">
      <c r="A182" s="224" t="s">
        <v>132</v>
      </c>
      <c r="B182" s="148" t="s">
        <v>118</v>
      </c>
      <c r="C182" s="501">
        <f>'[16]Sch C'!D193</f>
        <v>0</v>
      </c>
      <c r="D182" s="501">
        <f>'[16]Sch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</row>
    <row r="183" spans="1:12" s="221" customFormat="1">
      <c r="A183" s="224" t="s">
        <v>133</v>
      </c>
      <c r="B183" s="148" t="s">
        <v>119</v>
      </c>
      <c r="C183" s="501">
        <f>'[16]Sch C'!D194</f>
        <v>0</v>
      </c>
      <c r="D183" s="501">
        <f>'[16]Sch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L183" s="220"/>
    </row>
    <row r="184" spans="1:12" s="221" customFormat="1">
      <c r="A184" s="224" t="s">
        <v>134</v>
      </c>
      <c r="B184" s="148" t="s">
        <v>326</v>
      </c>
      <c r="C184" s="501">
        <f>'[16]Sch C'!D195</f>
        <v>0</v>
      </c>
      <c r="D184" s="501">
        <f>'[16]Sch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L184" s="220"/>
    </row>
    <row r="185" spans="1:12" s="221" customFormat="1">
      <c r="A185" s="224" t="s">
        <v>135</v>
      </c>
      <c r="B185" s="148" t="s">
        <v>327</v>
      </c>
      <c r="C185" s="501">
        <f>'[16]Sch C'!D196</f>
        <v>0</v>
      </c>
      <c r="D185" s="501">
        <f>'[16]Sch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L185" s="220"/>
    </row>
    <row r="186" spans="1:12" s="221" customFormat="1">
      <c r="A186" s="224" t="s">
        <v>136</v>
      </c>
      <c r="B186" s="148" t="s">
        <v>328</v>
      </c>
      <c r="C186" s="501">
        <f>'[16]Sch C'!D197</f>
        <v>0</v>
      </c>
      <c r="D186" s="501">
        <f>'[16]Sch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L186" s="220"/>
    </row>
    <row r="187" spans="1:12" s="221" customFormat="1">
      <c r="A187" s="224" t="s">
        <v>137</v>
      </c>
      <c r="B187" s="148" t="s">
        <v>122</v>
      </c>
      <c r="C187" s="501">
        <f>'[16]Sch C'!D198</f>
        <v>55116</v>
      </c>
      <c r="D187" s="501">
        <f>'[16]Sch C'!F198</f>
        <v>0</v>
      </c>
      <c r="E187" s="171">
        <f t="shared" si="37"/>
        <v>55116</v>
      </c>
      <c r="F187" s="216"/>
      <c r="G187" s="171">
        <f t="shared" si="38"/>
        <v>55116</v>
      </c>
      <c r="H187" s="172">
        <f t="shared" si="39"/>
        <v>6.989335670720573E-3</v>
      </c>
      <c r="I187" s="473"/>
      <c r="J187" s="223"/>
      <c r="K187" s="218"/>
      <c r="L187" s="220"/>
    </row>
    <row r="188" spans="1:12" s="221" customFormat="1">
      <c r="A188" s="224" t="s">
        <v>275</v>
      </c>
      <c r="B188" s="148" t="s">
        <v>329</v>
      </c>
      <c r="C188" s="501">
        <f>'[16]Sch C'!D199</f>
        <v>0</v>
      </c>
      <c r="D188" s="501">
        <f>'[16]Sch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L188" s="220"/>
    </row>
    <row r="189" spans="1:12" s="221" customFormat="1">
      <c r="A189" s="224" t="s">
        <v>277</v>
      </c>
      <c r="B189" s="148" t="s">
        <v>278</v>
      </c>
      <c r="C189" s="501">
        <f>'[16]Sch C'!D200</f>
        <v>0</v>
      </c>
      <c r="D189" s="501">
        <f>'[16]Sch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L189" s="220"/>
    </row>
    <row r="190" spans="1:12" s="221" customFormat="1">
      <c r="A190" s="225" t="s">
        <v>279</v>
      </c>
      <c r="B190" s="226" t="s">
        <v>280</v>
      </c>
      <c r="C190" s="501">
        <f>'[16]Sch C'!D201</f>
        <v>0</v>
      </c>
      <c r="D190" s="501">
        <f>'[16]Sch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L190" s="220"/>
    </row>
    <row r="191" spans="1:12" s="221" customFormat="1">
      <c r="A191" s="225" t="s">
        <v>281</v>
      </c>
      <c r="B191" s="226" t="s">
        <v>282</v>
      </c>
      <c r="C191" s="501">
        <f>'[16]Sch C'!D202</f>
        <v>0</v>
      </c>
      <c r="D191" s="501">
        <f>'[16]Sch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L191" s="220"/>
    </row>
    <row r="192" spans="1:12" s="221" customFormat="1">
      <c r="A192" s="225" t="s">
        <v>283</v>
      </c>
      <c r="B192" s="226" t="s">
        <v>330</v>
      </c>
      <c r="C192" s="501">
        <f>'[16]Sch C'!D203</f>
        <v>0</v>
      </c>
      <c r="D192" s="501">
        <f>'[16]Sch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L192" s="220"/>
    </row>
    <row r="193" spans="1:12" s="221" customFormat="1">
      <c r="A193" s="225" t="s">
        <v>285</v>
      </c>
      <c r="B193" s="226" t="s">
        <v>331</v>
      </c>
      <c r="C193" s="501">
        <f>'[16]Sch C'!D204</f>
        <v>0</v>
      </c>
      <c r="D193" s="501">
        <f>'[16]Sch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L193" s="220"/>
    </row>
    <row r="194" spans="1:12" s="221" customFormat="1">
      <c r="A194" s="224" t="s">
        <v>138</v>
      </c>
      <c r="B194" s="148" t="s">
        <v>332</v>
      </c>
      <c r="C194" s="501">
        <f>'[16]Sch C'!D205</f>
        <v>692360</v>
      </c>
      <c r="D194" s="501">
        <f>'[16]Sch C'!F205</f>
        <v>0</v>
      </c>
      <c r="E194" s="171">
        <f t="shared" si="37"/>
        <v>692360</v>
      </c>
      <c r="F194" s="216"/>
      <c r="G194" s="171">
        <f t="shared" si="38"/>
        <v>692360</v>
      </c>
      <c r="H194" s="172">
        <f t="shared" si="39"/>
        <v>8.7799122668192467E-2</v>
      </c>
      <c r="I194" s="473"/>
      <c r="J194" s="223"/>
      <c r="K194" s="218"/>
      <c r="L194" s="220"/>
    </row>
    <row r="195" spans="1:12" s="221" customFormat="1">
      <c r="A195" s="224" t="s">
        <v>139</v>
      </c>
      <c r="B195" s="148" t="s">
        <v>67</v>
      </c>
      <c r="C195" s="501">
        <f>'[16]Sch C'!D206</f>
        <v>8397</v>
      </c>
      <c r="D195" s="501">
        <f>'[16]Sch C'!F206</f>
        <v>0</v>
      </c>
      <c r="E195" s="171">
        <f t="shared" si="37"/>
        <v>8397</v>
      </c>
      <c r="F195" s="216"/>
      <c r="G195" s="171">
        <f t="shared" si="38"/>
        <v>8397</v>
      </c>
      <c r="H195" s="172">
        <f t="shared" si="39"/>
        <v>1.0648351046346006E-3</v>
      </c>
      <c r="I195" s="473"/>
      <c r="J195" s="223"/>
      <c r="K195" s="218"/>
      <c r="L195" s="220"/>
    </row>
    <row r="196" spans="1:12" s="221" customFormat="1">
      <c r="A196" s="225" t="s">
        <v>143</v>
      </c>
      <c r="B196" s="194" t="s">
        <v>333</v>
      </c>
      <c r="C196" s="501">
        <f>'[16]Sch C'!D207</f>
        <v>38426</v>
      </c>
      <c r="D196" s="501">
        <f>'[16]Sch C'!F207</f>
        <v>-1631</v>
      </c>
      <c r="E196" s="171">
        <f t="shared" si="37"/>
        <v>36795</v>
      </c>
      <c r="F196" s="216"/>
      <c r="G196" s="171">
        <f t="shared" si="38"/>
        <v>36795</v>
      </c>
      <c r="H196" s="172">
        <f t="shared" si="39"/>
        <v>4.6660244938704458E-3</v>
      </c>
      <c r="I196" s="473"/>
      <c r="J196" s="223"/>
      <c r="K196" s="218"/>
      <c r="L196" s="220"/>
    </row>
    <row r="197" spans="1:12" s="167" customFormat="1" ht="26">
      <c r="A197" s="163"/>
      <c r="B197" s="212" t="s">
        <v>130</v>
      </c>
      <c r="C197" s="501">
        <f>SUM(C164:C196)</f>
        <v>2101155</v>
      </c>
      <c r="D197" s="501">
        <f>SUM(D164:D196)</f>
        <v>295271</v>
      </c>
      <c r="E197" s="171">
        <f t="shared" ref="E197:F197" si="40">SUM(E164:E196)</f>
        <v>2396426</v>
      </c>
      <c r="F197" s="171">
        <f t="shared" si="40"/>
        <v>0</v>
      </c>
      <c r="G197" s="171">
        <f>SUM(G164:G196)</f>
        <v>2396426</v>
      </c>
      <c r="H197" s="172">
        <f>IF($G$208=0,0,G197/$G$208)</f>
        <v>0.30389407293784415</v>
      </c>
      <c r="I197" s="473"/>
      <c r="J197" s="168"/>
      <c r="K197" s="168"/>
    </row>
    <row r="198" spans="1:12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2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2" s="167" customFormat="1">
      <c r="A200" s="169" t="s">
        <v>85</v>
      </c>
      <c r="B200" s="170" t="s">
        <v>69</v>
      </c>
      <c r="C200" s="501">
        <f>'[16]Sch C'!D211</f>
        <v>28832</v>
      </c>
      <c r="D200" s="501">
        <f>'[16]Sch C'!F211</f>
        <v>1720</v>
      </c>
      <c r="E200" s="171">
        <f t="shared" ref="E200:E205" si="41">C200+D200</f>
        <v>30552</v>
      </c>
      <c r="F200" s="171"/>
      <c r="G200" s="171">
        <f t="shared" ref="G200:G205" si="42">E200+F200</f>
        <v>30552</v>
      </c>
      <c r="H200" s="172">
        <f t="shared" ref="H200:H206" si="43">IF($G$208=0,0,G200/$G$208)</f>
        <v>3.8743410881024553E-3</v>
      </c>
      <c r="I200" s="473"/>
      <c r="J200" s="183">
        <v>2114</v>
      </c>
      <c r="K200" s="183">
        <v>2240</v>
      </c>
    </row>
    <row r="201" spans="1:12" s="167" customFormat="1">
      <c r="A201" s="169" t="s">
        <v>86</v>
      </c>
      <c r="B201" s="170" t="s">
        <v>45</v>
      </c>
      <c r="C201" s="501">
        <f>'[16]Sch C'!D212</f>
        <v>0</v>
      </c>
      <c r="D201" s="501">
        <f>'[16]Sch C'!F212</f>
        <v>4871</v>
      </c>
      <c r="E201" s="171">
        <f t="shared" si="41"/>
        <v>4871</v>
      </c>
      <c r="F201" s="171"/>
      <c r="G201" s="171">
        <f t="shared" si="42"/>
        <v>4871</v>
      </c>
      <c r="H201" s="172">
        <f t="shared" si="43"/>
        <v>6.1769820110457784E-4</v>
      </c>
      <c r="I201" s="473"/>
      <c r="J201" s="168"/>
      <c r="K201" s="168"/>
    </row>
    <row r="202" spans="1:12" s="167" customFormat="1">
      <c r="A202" s="169" t="s">
        <v>140</v>
      </c>
      <c r="B202" s="170" t="s">
        <v>54</v>
      </c>
      <c r="C202" s="501">
        <f>'[16]Sch C'!D213</f>
        <v>4260</v>
      </c>
      <c r="D202" s="501">
        <f>'[16]Sch C'!F213</f>
        <v>0</v>
      </c>
      <c r="E202" s="171">
        <f t="shared" si="41"/>
        <v>4260</v>
      </c>
      <c r="F202" s="171"/>
      <c r="G202" s="171">
        <f t="shared" si="42"/>
        <v>4260</v>
      </c>
      <c r="H202" s="172">
        <f t="shared" si="43"/>
        <v>5.4021645179747513E-4</v>
      </c>
      <c r="I202" s="473"/>
      <c r="J202" s="168"/>
      <c r="K202" s="168"/>
    </row>
    <row r="203" spans="1:12" s="167" customFormat="1">
      <c r="A203" s="169" t="s">
        <v>141</v>
      </c>
      <c r="B203" s="170" t="s">
        <v>70</v>
      </c>
      <c r="C203" s="501">
        <f>'[16]Sch C'!D214</f>
        <v>0</v>
      </c>
      <c r="D203" s="501">
        <f>'[16]Sch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2" s="167" customFormat="1">
      <c r="A204" s="169" t="s">
        <v>142</v>
      </c>
      <c r="B204" s="202" t="s">
        <v>71</v>
      </c>
      <c r="C204" s="501">
        <f>'[16]Sch C'!D215</f>
        <v>0</v>
      </c>
      <c r="D204" s="501">
        <f>'[16]Sch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2" s="167" customFormat="1">
      <c r="A205" s="169" t="s">
        <v>143</v>
      </c>
      <c r="B205" s="170" t="s">
        <v>312</v>
      </c>
      <c r="C205" s="501">
        <f>'[16]Sch C'!D216</f>
        <v>9927</v>
      </c>
      <c r="D205" s="501">
        <f>'[16]Sch C'!F216</f>
        <v>0</v>
      </c>
      <c r="E205" s="171">
        <f t="shared" si="41"/>
        <v>9927</v>
      </c>
      <c r="F205" s="171"/>
      <c r="G205" s="171">
        <f t="shared" si="42"/>
        <v>9927</v>
      </c>
      <c r="H205" s="172">
        <f t="shared" si="43"/>
        <v>1.2588565063365107E-3</v>
      </c>
      <c r="I205" s="473"/>
      <c r="J205" s="168"/>
      <c r="K205" s="168"/>
    </row>
    <row r="206" spans="1:12" s="167" customFormat="1">
      <c r="A206" s="163"/>
      <c r="B206" s="170" t="s">
        <v>144</v>
      </c>
      <c r="C206" s="501">
        <f>SUM(C200:C205)</f>
        <v>43019</v>
      </c>
      <c r="D206" s="501">
        <f>SUM(D200:D205)</f>
        <v>6591</v>
      </c>
      <c r="E206" s="171">
        <f t="shared" ref="E206:F206" si="44">SUM(E200:E205)</f>
        <v>49610</v>
      </c>
      <c r="F206" s="171">
        <f t="shared" si="44"/>
        <v>0</v>
      </c>
      <c r="G206" s="171">
        <f>SUM(G200:G205)</f>
        <v>49610</v>
      </c>
      <c r="H206" s="172">
        <f t="shared" si="43"/>
        <v>6.2911122473410189E-3</v>
      </c>
      <c r="I206" s="473"/>
      <c r="J206" s="168"/>
      <c r="K206" s="168"/>
    </row>
    <row r="207" spans="1:12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2" s="167" customFormat="1">
      <c r="A208" s="227"/>
      <c r="B208" s="228" t="s">
        <v>145</v>
      </c>
      <c r="C208" s="501">
        <f>SUM(C25:C206)/2</f>
        <v>7943111</v>
      </c>
      <c r="D208" s="501">
        <f>SUM(D25:D206)/2</f>
        <v>-52953</v>
      </c>
      <c r="E208" s="171">
        <f t="shared" ref="E208:F208" si="45">SUM(E25:E206)/2</f>
        <v>7890158</v>
      </c>
      <c r="F208" s="171">
        <f t="shared" si="45"/>
        <v>-4430</v>
      </c>
      <c r="G208" s="171">
        <f>SUM(G25:G206)/2</f>
        <v>7885728</v>
      </c>
      <c r="H208" s="172">
        <f>IF($G$208=0,0,G208/$G$208)</f>
        <v>1</v>
      </c>
      <c r="I208" s="473"/>
      <c r="J208" s="183">
        <f>SUM(J25:J200)</f>
        <v>184155</v>
      </c>
      <c r="K208" s="183">
        <f>SUM(K25:K200)</f>
        <v>195137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'[16]Sch C'!D221</f>
        <v>7943111</v>
      </c>
      <c r="D211" s="196"/>
      <c r="E211" s="165"/>
      <c r="F211" s="140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368"/>
      <c r="G212"/>
      <c r="I212" s="475"/>
      <c r="J212" s="168"/>
      <c r="K212" s="168"/>
    </row>
    <row r="213" spans="1:11" s="167" customFormat="1" ht="15.5">
      <c r="A213" s="163"/>
      <c r="B213" s="230"/>
      <c r="C213" s="581"/>
      <c r="D213" s="231"/>
      <c r="E213" s="231"/>
      <c r="F213" s="368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421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460945</v>
      </c>
      <c r="D215" s="501">
        <f>D21-D208</f>
        <v>52953</v>
      </c>
      <c r="E215" s="171">
        <f t="shared" ref="E215" si="46">E21-E208</f>
        <v>513898</v>
      </c>
      <c r="F215" s="171"/>
      <c r="G215" s="171">
        <f>G21-G208</f>
        <v>518328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'[16]Sch D'!C9</f>
        <v>385</v>
      </c>
      <c r="D219" s="530"/>
      <c r="E219" s="234">
        <f t="shared" ref="E219:G227" si="47">C219+D219</f>
        <v>385</v>
      </c>
      <c r="F219" s="233"/>
      <c r="G219" s="234">
        <f t="shared" si="47"/>
        <v>385</v>
      </c>
      <c r="H219" s="172">
        <f t="shared" ref="H219:H228" si="48">IF($G$228=0,0,G219/$G$228)</f>
        <v>2.2031473533619457E-2</v>
      </c>
      <c r="I219" s="473"/>
      <c r="J219" s="168"/>
      <c r="K219" s="168"/>
    </row>
    <row r="220" spans="1:11">
      <c r="A220" s="163"/>
      <c r="B220" s="170" t="s">
        <v>217</v>
      </c>
      <c r="C220" s="530">
        <f>'[16]Sch D'!D9</f>
        <v>0</v>
      </c>
      <c r="D220" s="530"/>
      <c r="E220" s="171">
        <f t="shared" si="47"/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'[16]Sch D'!E9</f>
        <v>12263</v>
      </c>
      <c r="D221" s="530"/>
      <c r="E221" s="171">
        <f t="shared" si="47"/>
        <v>12263</v>
      </c>
      <c r="F221" s="233"/>
      <c r="G221" s="234">
        <f t="shared" si="47"/>
        <v>12263</v>
      </c>
      <c r="H221" s="172">
        <f t="shared" si="48"/>
        <v>0.70174535050071529</v>
      </c>
      <c r="I221" s="473"/>
      <c r="J221" s="168"/>
      <c r="K221" s="168"/>
    </row>
    <row r="222" spans="1:11">
      <c r="A222" s="163"/>
      <c r="B222" s="202" t="s">
        <v>334</v>
      </c>
      <c r="C222" s="530">
        <f>'[16]Sch D'!F9</f>
        <v>4710</v>
      </c>
      <c r="D222" s="530"/>
      <c r="E222" s="171">
        <f t="shared" si="47"/>
        <v>4710</v>
      </c>
      <c r="F222" s="233"/>
      <c r="G222" s="234">
        <f>E222+F222</f>
        <v>4710</v>
      </c>
      <c r="H222" s="172">
        <f t="shared" si="48"/>
        <v>0.26952789699570817</v>
      </c>
      <c r="I222" s="473"/>
      <c r="J222" s="168"/>
      <c r="K222" s="168"/>
    </row>
    <row r="223" spans="1:11">
      <c r="A223" s="163"/>
      <c r="B223" s="170" t="s">
        <v>73</v>
      </c>
      <c r="C223" s="530">
        <f>'[16]Sch D'!G9</f>
        <v>0</v>
      </c>
      <c r="D223" s="530"/>
      <c r="E223" s="171">
        <f t="shared" si="47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'[16]Sch D'!H9</f>
        <v>116</v>
      </c>
      <c r="D224" s="530"/>
      <c r="E224" s="171">
        <f t="shared" si="47"/>
        <v>116</v>
      </c>
      <c r="F224" s="233"/>
      <c r="G224" s="234">
        <f t="shared" si="47"/>
        <v>116</v>
      </c>
      <c r="H224" s="172">
        <f t="shared" si="48"/>
        <v>6.6380543633762518E-3</v>
      </c>
      <c r="I224" s="473"/>
      <c r="J224" s="168"/>
      <c r="K224" s="168"/>
    </row>
    <row r="225" spans="1:11">
      <c r="A225" s="163"/>
      <c r="B225" s="170" t="s">
        <v>236</v>
      </c>
      <c r="C225" s="530">
        <f>'[16]Sch D'!I9</f>
        <v>0</v>
      </c>
      <c r="D225" s="530"/>
      <c r="E225" s="171">
        <f t="shared" si="47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'[16]Sch D'!J9</f>
        <v>1</v>
      </c>
      <c r="D226" s="530"/>
      <c r="E226" s="171">
        <f t="shared" si="47"/>
        <v>1</v>
      </c>
      <c r="F226" s="233"/>
      <c r="G226" s="234">
        <f>E226+F226</f>
        <v>1</v>
      </c>
      <c r="H226" s="172">
        <f t="shared" si="48"/>
        <v>5.7224606580829754E-5</v>
      </c>
      <c r="I226" s="473"/>
      <c r="J226" s="168"/>
      <c r="K226" s="168"/>
    </row>
    <row r="227" spans="1:11">
      <c r="A227" s="163"/>
      <c r="B227" s="170" t="s">
        <v>179</v>
      </c>
      <c r="C227" s="530">
        <f>'[16]Sch D'!K9</f>
        <v>0</v>
      </c>
      <c r="D227" s="530"/>
      <c r="E227" s="171">
        <f t="shared" si="47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17475</v>
      </c>
      <c r="D228" s="530">
        <f>SUM(D219:D227)</f>
        <v>0</v>
      </c>
      <c r="E228" s="236">
        <f>SUM(E219:E227)</f>
        <v>17475</v>
      </c>
      <c r="F228" s="236">
        <f>SUM(F219:F227)</f>
        <v>0</v>
      </c>
      <c r="G228" s="236">
        <f>SUM(G219:G227)</f>
        <v>17475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'[16]Sch D'!N22</f>
        <v>60</v>
      </c>
      <c r="D231" s="502"/>
      <c r="E231" s="234">
        <f>C231+D231</f>
        <v>60</v>
      </c>
      <c r="F231" s="234"/>
      <c r="G231" s="234">
        <f>E231+F231</f>
        <v>60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'[16]Sch D'!N24</f>
        <v>5</v>
      </c>
      <c r="D232" s="502"/>
      <c r="E232" s="234">
        <f>C232+D232</f>
        <v>5</v>
      </c>
      <c r="F232" s="234"/>
      <c r="G232" s="234">
        <f>E232+F232</f>
        <v>5</v>
      </c>
      <c r="H232" s="167"/>
      <c r="I232" s="475"/>
      <c r="J232" s="168"/>
      <c r="K232" s="168"/>
    </row>
    <row r="233" spans="1:11">
      <c r="A233" s="268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538" t="s">
        <v>437</v>
      </c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'[16]Sch D'!N28</f>
        <v>21900</v>
      </c>
      <c r="D235" s="438"/>
      <c r="E235" s="233">
        <f>E231*E233</f>
        <v>21900</v>
      </c>
      <c r="F235" s="238"/>
      <c r="G235" s="233">
        <f>G231*G233</f>
        <v>21900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'[16]Sch D'!N30</f>
        <v>0.79794520547945202</v>
      </c>
      <c r="D236" s="238"/>
      <c r="E236" s="242">
        <f>E228/E235</f>
        <v>0.79794520547945202</v>
      </c>
      <c r="F236" s="243"/>
      <c r="G236" s="242">
        <f>G228/G235</f>
        <v>0.79794520547945202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'[16]Sch D'!N32</f>
        <v>1.7579908675799085E-2</v>
      </c>
      <c r="D237" s="238"/>
      <c r="E237" s="242">
        <f>(E219+E220)/E235</f>
        <v>1.7579908675799085E-2</v>
      </c>
      <c r="F237" s="243"/>
      <c r="G237" s="242">
        <f>(G219+G220)/G235</f>
        <v>1.7579908675799085E-2</v>
      </c>
      <c r="H237" s="167"/>
      <c r="I237" s="475"/>
      <c r="J237" s="168"/>
      <c r="K237" s="168"/>
    </row>
    <row r="238" spans="1:11" ht="39">
      <c r="A238" s="163"/>
      <c r="B238" s="241" t="s">
        <v>338</v>
      </c>
      <c r="C238" s="532">
        <f>'[16]Sch D'!N34</f>
        <v>2.2031473533619454E-2</v>
      </c>
      <c r="D238" s="238"/>
      <c r="E238" s="242">
        <f>(E237/E236)</f>
        <v>2.2031473533619454E-2</v>
      </c>
      <c r="F238" s="243"/>
      <c r="G238" s="242">
        <f>(G237/G236)</f>
        <v>2.2031473533619454E-2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'[16]Sch B'!C85</f>
        <v>195</v>
      </c>
      <c r="I241" s="475"/>
    </row>
    <row r="242" spans="2:9">
      <c r="F242" s="142" t="s">
        <v>341</v>
      </c>
      <c r="G242" s="501">
        <f>'[16]Sch B'!E85</f>
        <v>377.14285714285717</v>
      </c>
      <c r="I242" s="475"/>
    </row>
    <row r="243" spans="2:9">
      <c r="F243" s="142" t="s">
        <v>342</v>
      </c>
      <c r="G243" s="501">
        <f>'[16]Sch B'!G85</f>
        <v>518.89473684210532</v>
      </c>
      <c r="I243" s="475"/>
    </row>
    <row r="244" spans="2:9">
      <c r="F244" s="142" t="s">
        <v>343</v>
      </c>
      <c r="G244" s="501">
        <f>'[16]Sch B'!I85</f>
        <v>59.086956521739133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E28CAB"/>
  </sheetPr>
  <dimension ref="A1:L246"/>
  <sheetViews>
    <sheetView showGridLines="0" topLeftCell="A132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33.6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391</v>
      </c>
      <c r="D2" s="244"/>
      <c r="E2" s="144"/>
    </row>
    <row r="3" spans="1:11" ht="15.5">
      <c r="A3" s="145"/>
      <c r="B3" s="140" t="s">
        <v>79</v>
      </c>
      <c r="C3" s="441">
        <v>42552</v>
      </c>
      <c r="D3" s="144"/>
      <c r="E3" s="368"/>
      <c r="F3" s="368"/>
    </row>
    <row r="4" spans="1:11" ht="15.5">
      <c r="A4" s="145"/>
      <c r="B4" s="148" t="s">
        <v>80</v>
      </c>
      <c r="C4" s="441">
        <v>42916</v>
      </c>
      <c r="D4" s="144"/>
      <c r="E4" s="368"/>
      <c r="F4" s="368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v>6974084.6299999999</v>
      </c>
      <c r="D11" s="501">
        <v>0</v>
      </c>
      <c r="E11" s="171">
        <f>C11+D11</f>
        <v>6974084.6299999999</v>
      </c>
      <c r="F11" s="171"/>
      <c r="G11" s="171">
        <f t="shared" ref="G11:G20" si="0">E11+F11</f>
        <v>6974084.6299999999</v>
      </c>
      <c r="H11" s="172">
        <f t="shared" ref="H11:H21" si="1">IF($G$21=0,0,G11/$G$21)</f>
        <v>0.71307110475645974</v>
      </c>
      <c r="I11" s="473"/>
      <c r="J11" s="336" t="s">
        <v>344</v>
      </c>
      <c r="K11" s="337">
        <f>G21</f>
        <v>9780349.5099999998</v>
      </c>
    </row>
    <row r="12" spans="1:11" s="167" customFormat="1">
      <c r="A12" s="169" t="s">
        <v>15</v>
      </c>
      <c r="B12" s="170" t="s">
        <v>212</v>
      </c>
      <c r="C12" s="501">
        <v>209555.9</v>
      </c>
      <c r="D12" s="501">
        <v>0</v>
      </c>
      <c r="E12" s="171">
        <f t="shared" ref="E12:E20" si="2">C12+D12</f>
        <v>209555.9</v>
      </c>
      <c r="F12" s="171"/>
      <c r="G12" s="171">
        <f>E12+F12</f>
        <v>209555.9</v>
      </c>
      <c r="H12" s="172">
        <f t="shared" si="1"/>
        <v>2.1426217926643402E-2</v>
      </c>
      <c r="I12" s="473"/>
      <c r="J12" s="338" t="s">
        <v>345</v>
      </c>
      <c r="K12" s="339">
        <f>G208</f>
        <v>7282831.4900000021</v>
      </c>
    </row>
    <row r="13" spans="1:11" s="167" customFormat="1">
      <c r="A13" s="169" t="s">
        <v>16</v>
      </c>
      <c r="B13" s="170" t="s">
        <v>170</v>
      </c>
      <c r="C13" s="501">
        <v>901234.22</v>
      </c>
      <c r="D13" s="501">
        <v>0</v>
      </c>
      <c r="E13" s="171">
        <f t="shared" si="2"/>
        <v>901234.22</v>
      </c>
      <c r="F13" s="171"/>
      <c r="G13" s="171">
        <f t="shared" si="0"/>
        <v>901234.22</v>
      </c>
      <c r="H13" s="172">
        <f t="shared" si="1"/>
        <v>9.2147445147898396E-2</v>
      </c>
      <c r="I13" s="473"/>
      <c r="J13" s="338" t="s">
        <v>346</v>
      </c>
      <c r="K13" s="339">
        <f>G228</f>
        <v>12653</v>
      </c>
    </row>
    <row r="14" spans="1:11" s="167" customFormat="1">
      <c r="A14" s="173" t="s">
        <v>18</v>
      </c>
      <c r="B14" s="174" t="s">
        <v>306</v>
      </c>
      <c r="C14" s="501">
        <v>236801.95</v>
      </c>
      <c r="D14" s="501">
        <v>0</v>
      </c>
      <c r="E14" s="171">
        <f t="shared" si="2"/>
        <v>236801.95</v>
      </c>
      <c r="F14" s="175"/>
      <c r="G14" s="175">
        <f>E14+F14</f>
        <v>236801.95</v>
      </c>
      <c r="H14" s="176">
        <f t="shared" si="1"/>
        <v>2.4212013053099984E-2</v>
      </c>
      <c r="I14" s="479"/>
      <c r="J14" s="338" t="s">
        <v>347</v>
      </c>
      <c r="K14" s="339">
        <f>G231</f>
        <v>36</v>
      </c>
    </row>
    <row r="15" spans="1:11" s="167" customFormat="1">
      <c r="A15" s="169" t="s">
        <v>19</v>
      </c>
      <c r="B15" s="170" t="s">
        <v>171</v>
      </c>
      <c r="C15" s="501">
        <v>0</v>
      </c>
      <c r="D15" s="501">
        <v>7700</v>
      </c>
      <c r="E15" s="171">
        <f t="shared" si="2"/>
        <v>7700</v>
      </c>
      <c r="F15" s="171"/>
      <c r="G15" s="171">
        <f t="shared" si="0"/>
        <v>7700</v>
      </c>
      <c r="H15" s="172">
        <f t="shared" si="1"/>
        <v>7.8729292773505391E-4</v>
      </c>
      <c r="I15" s="473"/>
      <c r="J15" s="338" t="s">
        <v>348</v>
      </c>
      <c r="K15" s="339">
        <f>G235</f>
        <v>13140</v>
      </c>
    </row>
    <row r="16" spans="1:11" s="167" customFormat="1">
      <c r="A16" s="169" t="s">
        <v>21</v>
      </c>
      <c r="B16" s="170" t="s">
        <v>172</v>
      </c>
      <c r="C16" s="501">
        <v>439867</v>
      </c>
      <c r="D16" s="501">
        <v>0</v>
      </c>
      <c r="E16" s="171">
        <f t="shared" si="2"/>
        <v>439867</v>
      </c>
      <c r="F16" s="171"/>
      <c r="G16" s="171">
        <f t="shared" si="0"/>
        <v>439867</v>
      </c>
      <c r="H16" s="172">
        <f t="shared" si="1"/>
        <v>4.4974568603121427E-2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v>0</v>
      </c>
      <c r="D17" s="501"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140989</v>
      </c>
    </row>
    <row r="18" spans="1:11" s="167" customFormat="1" ht="13.5" thickBot="1">
      <c r="A18" s="169" t="s">
        <v>216</v>
      </c>
      <c r="B18" s="170" t="s">
        <v>229</v>
      </c>
      <c r="C18" s="501">
        <v>8000</v>
      </c>
      <c r="D18" s="501">
        <v>0</v>
      </c>
      <c r="E18" s="171">
        <f t="shared" si="2"/>
        <v>8000</v>
      </c>
      <c r="F18" s="171"/>
      <c r="G18" s="171">
        <f>E18+F18</f>
        <v>8000</v>
      </c>
      <c r="H18" s="172">
        <f t="shared" si="1"/>
        <v>8.1796667816628978E-4</v>
      </c>
      <c r="I18" s="473"/>
      <c r="J18" s="341" t="s">
        <v>252</v>
      </c>
      <c r="K18" s="342">
        <f>K208</f>
        <v>146121</v>
      </c>
    </row>
    <row r="19" spans="1:11" s="167" customFormat="1">
      <c r="A19" s="169" t="s">
        <v>227</v>
      </c>
      <c r="B19" s="177" t="s">
        <v>173</v>
      </c>
      <c r="C19" s="501">
        <v>969303.74</v>
      </c>
      <c r="D19" s="501">
        <v>-7700</v>
      </c>
      <c r="E19" s="171">
        <f t="shared" si="2"/>
        <v>961603.74</v>
      </c>
      <c r="F19" s="171"/>
      <c r="G19" s="171">
        <f t="shared" si="0"/>
        <v>961603.74</v>
      </c>
      <c r="H19" s="172">
        <f t="shared" si="1"/>
        <v>9.8319977115010074E-2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v>9260707.0700000003</v>
      </c>
      <c r="D20" s="501">
        <v>-9219205</v>
      </c>
      <c r="E20" s="171">
        <f t="shared" si="2"/>
        <v>41502.070000000298</v>
      </c>
      <c r="F20" s="171"/>
      <c r="G20" s="171">
        <f t="shared" si="0"/>
        <v>41502.070000000298</v>
      </c>
      <c r="H20" s="172">
        <f t="shared" si="1"/>
        <v>4.2434137918656344E-3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v>18999554.509999998</v>
      </c>
      <c r="D21" s="501">
        <v>-9219205</v>
      </c>
      <c r="E21" s="171">
        <f>SUM(E11:E20)</f>
        <v>9780349.5099999998</v>
      </c>
      <c r="F21" s="171">
        <f>SUM(F11:F20)</f>
        <v>0</v>
      </c>
      <c r="G21" s="171">
        <f>SUM(G11:G20)</f>
        <v>9780349.5099999998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C24" s="421"/>
      <c r="F24" s="369"/>
      <c r="I24" s="475"/>
    </row>
    <row r="25" spans="1:11" s="167" customFormat="1">
      <c r="A25" s="169" t="s">
        <v>83</v>
      </c>
      <c r="B25" s="170" t="s">
        <v>14</v>
      </c>
      <c r="C25" s="501">
        <v>0</v>
      </c>
      <c r="D25" s="501">
        <v>132708</v>
      </c>
      <c r="E25" s="171">
        <f t="shared" ref="E25:E60" si="3">C25+D25</f>
        <v>132708</v>
      </c>
      <c r="F25" s="171"/>
      <c r="G25" s="182">
        <f>E25+F25</f>
        <v>132708</v>
      </c>
      <c r="H25" s="172">
        <f>IF($G$208=0,0,G25/$G$208)</f>
        <v>1.8222033584357995E-2</v>
      </c>
      <c r="I25" s="473"/>
      <c r="J25" s="183">
        <v>2080</v>
      </c>
      <c r="K25" s="183">
        <v>2085</v>
      </c>
    </row>
    <row r="26" spans="1:11" s="167" customFormat="1">
      <c r="A26" s="169" t="s">
        <v>84</v>
      </c>
      <c r="B26" s="170" t="s">
        <v>176</v>
      </c>
      <c r="C26" s="501">
        <v>0</v>
      </c>
      <c r="D26" s="501"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v>4697779.01</v>
      </c>
      <c r="D27" s="501">
        <v>-4236169</v>
      </c>
      <c r="E27" s="171">
        <f t="shared" si="3"/>
        <v>461610.00999999978</v>
      </c>
      <c r="F27" s="171"/>
      <c r="G27" s="171">
        <f t="shared" si="4"/>
        <v>461610.00999999978</v>
      </c>
      <c r="H27" s="172">
        <f t="shared" si="5"/>
        <v>6.338331604044839E-2</v>
      </c>
      <c r="I27" s="473"/>
      <c r="J27" s="183">
        <v>12164</v>
      </c>
      <c r="K27" s="183">
        <v>12682</v>
      </c>
    </row>
    <row r="28" spans="1:11" s="167" customFormat="1">
      <c r="A28" s="169" t="s">
        <v>86</v>
      </c>
      <c r="B28" s="170" t="s">
        <v>45</v>
      </c>
      <c r="C28" s="501">
        <v>21886.52</v>
      </c>
      <c r="D28" s="501">
        <v>94673</v>
      </c>
      <c r="E28" s="171">
        <f t="shared" si="3"/>
        <v>116559.52</v>
      </c>
      <c r="F28" s="171"/>
      <c r="G28" s="171">
        <f t="shared" si="4"/>
        <v>116559.52</v>
      </c>
      <c r="H28" s="172">
        <f t="shared" si="5"/>
        <v>1.6004698194657798E-2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v>0</v>
      </c>
      <c r="D29" s="501">
        <v>144362</v>
      </c>
      <c r="E29" s="171">
        <f t="shared" si="3"/>
        <v>144362</v>
      </c>
      <c r="F29" s="171"/>
      <c r="G29" s="171">
        <f t="shared" si="4"/>
        <v>144362</v>
      </c>
      <c r="H29" s="172">
        <f t="shared" si="5"/>
        <v>1.9822235376202556E-2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v>0</v>
      </c>
      <c r="D30" s="501"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v>0</v>
      </c>
      <c r="D31" s="501"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v>7370.96</v>
      </c>
      <c r="D32" s="501">
        <v>-152008</v>
      </c>
      <c r="E32" s="171">
        <f t="shared" si="3"/>
        <v>-144637.04</v>
      </c>
      <c r="F32" s="171"/>
      <c r="G32" s="171">
        <f t="shared" si="4"/>
        <v>-144637.04</v>
      </c>
      <c r="H32" s="172">
        <f t="shared" si="5"/>
        <v>-1.9860000907421786E-2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v>0</v>
      </c>
      <c r="D33" s="501">
        <v>0</v>
      </c>
      <c r="E33" s="171">
        <f t="shared" si="3"/>
        <v>0</v>
      </c>
      <c r="F33" s="171"/>
      <c r="G33" s="171">
        <f t="shared" si="4"/>
        <v>0</v>
      </c>
      <c r="H33" s="172">
        <f t="shared" si="5"/>
        <v>0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v>10138.780000000001</v>
      </c>
      <c r="D34" s="501">
        <v>0</v>
      </c>
      <c r="E34" s="171">
        <f t="shared" si="3"/>
        <v>10138.780000000001</v>
      </c>
      <c r="F34" s="171"/>
      <c r="G34" s="171">
        <f t="shared" si="4"/>
        <v>10138.780000000001</v>
      </c>
      <c r="H34" s="172">
        <f t="shared" si="5"/>
        <v>1.3921480970583322E-3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v>6157.95</v>
      </c>
      <c r="D35" s="501">
        <v>0</v>
      </c>
      <c r="E35" s="171">
        <f t="shared" si="3"/>
        <v>6157.95</v>
      </c>
      <c r="F35" s="171"/>
      <c r="G35" s="171">
        <f t="shared" si="4"/>
        <v>6157.95</v>
      </c>
      <c r="H35" s="172">
        <f t="shared" si="5"/>
        <v>8.455433863127867E-4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v>66683.649999999994</v>
      </c>
      <c r="D36" s="501">
        <v>0</v>
      </c>
      <c r="E36" s="171">
        <f t="shared" si="3"/>
        <v>66683.649999999994</v>
      </c>
      <c r="F36" s="171"/>
      <c r="G36" s="171">
        <f t="shared" si="4"/>
        <v>66683.649999999994</v>
      </c>
      <c r="H36" s="172">
        <f t="shared" si="5"/>
        <v>9.1562807805676653E-3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v>0</v>
      </c>
      <c r="D37" s="501"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v>17062.689999999999</v>
      </c>
      <c r="D38" s="501">
        <v>0</v>
      </c>
      <c r="E38" s="171">
        <f t="shared" si="3"/>
        <v>17062.689999999999</v>
      </c>
      <c r="F38" s="171"/>
      <c r="G38" s="171">
        <f t="shared" si="4"/>
        <v>17062.689999999999</v>
      </c>
      <c r="H38" s="172">
        <f t="shared" si="5"/>
        <v>2.3428648628529497E-3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v>33072.26</v>
      </c>
      <c r="D39" s="501">
        <v>0</v>
      </c>
      <c r="E39" s="171">
        <f t="shared" si="3"/>
        <v>33072.26</v>
      </c>
      <c r="F39" s="171"/>
      <c r="G39" s="171">
        <f t="shared" si="4"/>
        <v>33072.26</v>
      </c>
      <c r="H39" s="172">
        <f t="shared" si="5"/>
        <v>4.5411266271107959E-3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v>10537</v>
      </c>
      <c r="D40" s="501">
        <v>0</v>
      </c>
      <c r="E40" s="171">
        <f t="shared" si="3"/>
        <v>10537</v>
      </c>
      <c r="F40" s="171"/>
      <c r="G40" s="171">
        <f t="shared" si="4"/>
        <v>10537</v>
      </c>
      <c r="H40" s="172">
        <f t="shared" si="5"/>
        <v>1.4468273794976956E-3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v>201529.96</v>
      </c>
      <c r="D41" s="501">
        <v>0</v>
      </c>
      <c r="E41" s="171">
        <f t="shared" si="3"/>
        <v>201529.96</v>
      </c>
      <c r="F41" s="171"/>
      <c r="G41" s="171">
        <f t="shared" si="4"/>
        <v>201529.96</v>
      </c>
      <c r="H41" s="172">
        <f t="shared" si="5"/>
        <v>2.767192406919193E-2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v>66243.199999999997</v>
      </c>
      <c r="D42" s="501">
        <v>0</v>
      </c>
      <c r="E42" s="171">
        <f t="shared" si="3"/>
        <v>66243.199999999997</v>
      </c>
      <c r="F42" s="171"/>
      <c r="G42" s="171">
        <f t="shared" si="4"/>
        <v>66243.199999999997</v>
      </c>
      <c r="H42" s="172">
        <f t="shared" si="5"/>
        <v>9.0958029292532733E-3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v>-6834</v>
      </c>
      <c r="D43" s="501">
        <v>6834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v>297511</v>
      </c>
      <c r="D44" s="501">
        <v>-297511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v>2000</v>
      </c>
      <c r="D45" s="501">
        <v>-2000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v>49230</v>
      </c>
      <c r="D46" s="501">
        <v>0</v>
      </c>
      <c r="E46" s="171">
        <f t="shared" si="3"/>
        <v>49230</v>
      </c>
      <c r="F46" s="171"/>
      <c r="G46" s="171">
        <f t="shared" si="4"/>
        <v>49230</v>
      </c>
      <c r="H46" s="172">
        <f t="shared" si="5"/>
        <v>6.7597335003009911E-3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v>38539.910000000003</v>
      </c>
      <c r="D47" s="501">
        <v>0</v>
      </c>
      <c r="E47" s="171">
        <f t="shared" si="3"/>
        <v>38539.910000000003</v>
      </c>
      <c r="F47" s="171"/>
      <c r="G47" s="171">
        <f t="shared" si="4"/>
        <v>38539.910000000003</v>
      </c>
      <c r="H47" s="172">
        <f t="shared" si="5"/>
        <v>5.291885450448613E-3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v>0</v>
      </c>
      <c r="D48" s="501"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v>0</v>
      </c>
      <c r="D49" s="501"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v>0</v>
      </c>
      <c r="D50" s="501"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v>0</v>
      </c>
      <c r="D51" s="501"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v>0</v>
      </c>
      <c r="D52" s="501"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v>1133.6600000000001</v>
      </c>
      <c r="D53" s="501">
        <v>0</v>
      </c>
      <c r="E53" s="171">
        <f t="shared" si="3"/>
        <v>1133.6600000000001</v>
      </c>
      <c r="F53" s="171"/>
      <c r="G53" s="171">
        <f t="shared" si="4"/>
        <v>1133.6600000000001</v>
      </c>
      <c r="H53" s="172">
        <f t="shared" si="5"/>
        <v>1.5566198415501163E-4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v>5267.74</v>
      </c>
      <c r="D54" s="501">
        <v>0</v>
      </c>
      <c r="E54" s="171">
        <f t="shared" si="3"/>
        <v>5267.74</v>
      </c>
      <c r="F54" s="171"/>
      <c r="G54" s="171">
        <f t="shared" si="4"/>
        <v>5267.74</v>
      </c>
      <c r="H54" s="172">
        <f t="shared" si="5"/>
        <v>7.233093347323897E-4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v>0</v>
      </c>
      <c r="D55" s="501">
        <v>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v>12793.12</v>
      </c>
      <c r="D56" s="501">
        <v>15830</v>
      </c>
      <c r="E56" s="171">
        <f t="shared" si="3"/>
        <v>28623.120000000003</v>
      </c>
      <c r="F56" s="171"/>
      <c r="G56" s="171">
        <f t="shared" si="4"/>
        <v>28623.120000000003</v>
      </c>
      <c r="H56" s="172">
        <f t="shared" si="5"/>
        <v>3.9302186298422774E-3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v>0</v>
      </c>
      <c r="D57" s="501"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v>0</v>
      </c>
      <c r="D58" s="501"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v>23</v>
      </c>
      <c r="D59" s="501">
        <v>0</v>
      </c>
      <c r="E59" s="171">
        <f t="shared" si="3"/>
        <v>23</v>
      </c>
      <c r="F59" s="171"/>
      <c r="G59" s="171">
        <f t="shared" si="4"/>
        <v>23</v>
      </c>
      <c r="H59" s="172">
        <f t="shared" si="5"/>
        <v>3.1581123401771846E-6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v>1089.43</v>
      </c>
      <c r="D60" s="501">
        <v>0</v>
      </c>
      <c r="E60" s="171">
        <f t="shared" si="3"/>
        <v>1089.43</v>
      </c>
      <c r="F60" s="171"/>
      <c r="G60" s="171">
        <f t="shared" si="4"/>
        <v>1089.43</v>
      </c>
      <c r="H60" s="172">
        <f t="shared" si="5"/>
        <v>1.4958879681561873E-4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v>5539215.8400000008</v>
      </c>
      <c r="D61" s="501">
        <v>-4293281</v>
      </c>
      <c r="E61" s="171">
        <f t="shared" ref="E61:F61" si="6">SUM(E25:E60)</f>
        <v>1245934.8399999996</v>
      </c>
      <c r="F61" s="171">
        <f t="shared" si="6"/>
        <v>0</v>
      </c>
      <c r="G61" s="171">
        <f>SUM(G25:G60)</f>
        <v>1245934.8399999996</v>
      </c>
      <c r="H61" s="186">
        <f t="shared" si="5"/>
        <v>0.17107835622872544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v>524580</v>
      </c>
      <c r="D64" s="501">
        <v>-524580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v>0</v>
      </c>
      <c r="D65" s="501">
        <v>272564</v>
      </c>
      <c r="E65" s="171">
        <f t="shared" si="7"/>
        <v>272564</v>
      </c>
      <c r="F65" s="171"/>
      <c r="G65" s="171">
        <f t="shared" si="8"/>
        <v>272564</v>
      </c>
      <c r="H65" s="172">
        <f t="shared" si="9"/>
        <v>3.7425553560350183E-2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v>0</v>
      </c>
      <c r="D66" s="501">
        <v>208435</v>
      </c>
      <c r="E66" s="171">
        <f t="shared" si="7"/>
        <v>208435</v>
      </c>
      <c r="F66" s="171"/>
      <c r="G66" s="171">
        <f t="shared" si="8"/>
        <v>208435</v>
      </c>
      <c r="H66" s="172">
        <f t="shared" si="9"/>
        <v>2.8620049809775283E-2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v>90400.89</v>
      </c>
      <c r="D67" s="501">
        <v>0</v>
      </c>
      <c r="E67" s="171">
        <f t="shared" si="7"/>
        <v>90400.89</v>
      </c>
      <c r="F67" s="171"/>
      <c r="G67" s="171">
        <f t="shared" si="8"/>
        <v>90400.89</v>
      </c>
      <c r="H67" s="172">
        <f t="shared" si="9"/>
        <v>1.2412876794434794E-2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v>2824</v>
      </c>
      <c r="D68" s="501">
        <v>0</v>
      </c>
      <c r="E68" s="171">
        <f t="shared" si="7"/>
        <v>2824</v>
      </c>
      <c r="F68" s="171"/>
      <c r="G68" s="171">
        <f t="shared" si="8"/>
        <v>2824</v>
      </c>
      <c r="H68" s="172">
        <f t="shared" si="9"/>
        <v>3.8776127168088566E-4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v>0</v>
      </c>
      <c r="D69" s="501"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v>0</v>
      </c>
      <c r="D70" s="501"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v>0</v>
      </c>
      <c r="D71" s="501"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v>2472</v>
      </c>
      <c r="D72" s="501">
        <v>0</v>
      </c>
      <c r="E72" s="171">
        <f t="shared" si="7"/>
        <v>2472</v>
      </c>
      <c r="F72" s="171"/>
      <c r="G72" s="171">
        <f t="shared" si="8"/>
        <v>2472</v>
      </c>
      <c r="H72" s="172">
        <f t="shared" si="9"/>
        <v>3.3942842195295653E-4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v>185273.88</v>
      </c>
      <c r="D73" s="501">
        <v>0</v>
      </c>
      <c r="E73" s="171">
        <f t="shared" si="7"/>
        <v>185273.88</v>
      </c>
      <c r="F73" s="171"/>
      <c r="G73" s="171">
        <f t="shared" si="8"/>
        <v>185273.88</v>
      </c>
      <c r="H73" s="172">
        <f t="shared" si="9"/>
        <v>2.5439814206108996E-2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v>66128</v>
      </c>
      <c r="D74" s="501">
        <v>0</v>
      </c>
      <c r="E74" s="171">
        <f t="shared" si="7"/>
        <v>66128</v>
      </c>
      <c r="F74" s="171"/>
      <c r="G74" s="171">
        <f t="shared" si="8"/>
        <v>66128</v>
      </c>
      <c r="H74" s="172">
        <f t="shared" si="9"/>
        <v>9.0799849057059505E-3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v>0</v>
      </c>
      <c r="D75" s="501"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v>3722.91</v>
      </c>
      <c r="D76" s="501">
        <v>0</v>
      </c>
      <c r="E76" s="171">
        <f t="shared" si="7"/>
        <v>3722.91</v>
      </c>
      <c r="F76" s="171"/>
      <c r="G76" s="171">
        <f t="shared" si="8"/>
        <v>3722.91</v>
      </c>
      <c r="H76" s="172">
        <f t="shared" si="9"/>
        <v>5.1118991358126272E-4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v>0</v>
      </c>
      <c r="D77" s="501"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v>0</v>
      </c>
      <c r="D78" s="501"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v>875401.68</v>
      </c>
      <c r="D79" s="501">
        <v>-43581</v>
      </c>
      <c r="E79" s="171">
        <f t="shared" ref="E79:F79" si="10">SUM(E64:E78)</f>
        <v>831820.68</v>
      </c>
      <c r="F79" s="171">
        <f t="shared" si="10"/>
        <v>0</v>
      </c>
      <c r="G79" s="171">
        <f>SUM(G64:G78)</f>
        <v>831820.68</v>
      </c>
      <c r="H79" s="172">
        <f t="shared" si="9"/>
        <v>0.11421665888359032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v>0</v>
      </c>
      <c r="D82" s="501">
        <v>68869</v>
      </c>
      <c r="E82" s="171">
        <f t="shared" ref="E82:E92" si="11">C82+D82</f>
        <v>68869</v>
      </c>
      <c r="F82" s="171"/>
      <c r="G82" s="171">
        <f t="shared" ref="G82:G92" si="12">E82+F82</f>
        <v>68869</v>
      </c>
      <c r="H82" s="172">
        <f t="shared" ref="H82:H93" si="13">IF($G$208=0,0,G82/$G$208)</f>
        <v>9.4563495111157619E-3</v>
      </c>
      <c r="I82" s="473"/>
      <c r="J82" s="183">
        <v>3142</v>
      </c>
      <c r="K82" s="183">
        <v>3502</v>
      </c>
    </row>
    <row r="83" spans="1:11" s="167" customFormat="1">
      <c r="A83" s="169" t="s">
        <v>86</v>
      </c>
      <c r="B83" s="199" t="s">
        <v>45</v>
      </c>
      <c r="C83" s="501">
        <v>0</v>
      </c>
      <c r="D83" s="501">
        <v>8485</v>
      </c>
      <c r="E83" s="171">
        <f t="shared" si="11"/>
        <v>8485</v>
      </c>
      <c r="F83" s="171"/>
      <c r="G83" s="171">
        <f t="shared" si="12"/>
        <v>8485</v>
      </c>
      <c r="H83" s="172">
        <f t="shared" si="13"/>
        <v>1.165068835061018E-3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v>0</v>
      </c>
      <c r="D84" s="501">
        <v>0</v>
      </c>
      <c r="E84" s="171">
        <f t="shared" si="11"/>
        <v>0</v>
      </c>
      <c r="F84" s="171"/>
      <c r="G84" s="171">
        <f t="shared" si="12"/>
        <v>0</v>
      </c>
      <c r="H84" s="172">
        <f t="shared" si="13"/>
        <v>0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v>0</v>
      </c>
      <c r="D85" s="501"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v>22756.32</v>
      </c>
      <c r="D86" s="501">
        <v>0</v>
      </c>
      <c r="E86" s="171">
        <f t="shared" si="11"/>
        <v>22756.32</v>
      </c>
      <c r="F86" s="171"/>
      <c r="G86" s="171">
        <f>E86+F86</f>
        <v>22756.32</v>
      </c>
      <c r="H86" s="172">
        <f t="shared" si="13"/>
        <v>3.1246528264791684E-3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v>19310.3</v>
      </c>
      <c r="D87" s="501">
        <v>0</v>
      </c>
      <c r="E87" s="171">
        <f t="shared" si="11"/>
        <v>19310.3</v>
      </c>
      <c r="F87" s="171"/>
      <c r="G87" s="171">
        <f t="shared" si="12"/>
        <v>19310.3</v>
      </c>
      <c r="H87" s="172">
        <f t="shared" si="13"/>
        <v>2.6514824661966734E-3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v>0</v>
      </c>
      <c r="D88" s="501">
        <v>0</v>
      </c>
      <c r="E88" s="171">
        <f t="shared" si="11"/>
        <v>0</v>
      </c>
      <c r="F88" s="171"/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v>62890.94</v>
      </c>
      <c r="D89" s="501">
        <v>0</v>
      </c>
      <c r="E89" s="171">
        <f t="shared" si="11"/>
        <v>62890.94</v>
      </c>
      <c r="F89" s="171"/>
      <c r="G89" s="171">
        <f t="shared" si="12"/>
        <v>62890.94</v>
      </c>
      <c r="H89" s="172">
        <f t="shared" si="13"/>
        <v>8.6355066825801272E-3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v>9338.73</v>
      </c>
      <c r="D90" s="501">
        <v>0</v>
      </c>
      <c r="E90" s="171">
        <f t="shared" si="11"/>
        <v>9338.73</v>
      </c>
      <c r="F90" s="171"/>
      <c r="G90" s="171">
        <f t="shared" si="12"/>
        <v>9338.73</v>
      </c>
      <c r="H90" s="172">
        <f t="shared" si="13"/>
        <v>1.2822938458514296E-3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v>129659.03</v>
      </c>
      <c r="D91" s="501">
        <v>0</v>
      </c>
      <c r="E91" s="171">
        <f t="shared" si="11"/>
        <v>129659.03</v>
      </c>
      <c r="F91" s="171"/>
      <c r="G91" s="171">
        <f t="shared" si="12"/>
        <v>129659.03</v>
      </c>
      <c r="H91" s="172">
        <f t="shared" si="13"/>
        <v>1.780338185471321E-2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v>0</v>
      </c>
      <c r="D92" s="501"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v>243955.32</v>
      </c>
      <c r="D93" s="501">
        <v>77354</v>
      </c>
      <c r="E93" s="171">
        <f t="shared" ref="E93:F93" si="14">SUM(E82:E92)</f>
        <v>321309.32</v>
      </c>
      <c r="F93" s="171">
        <f t="shared" si="14"/>
        <v>0</v>
      </c>
      <c r="G93" s="171">
        <f>SUM(G82:G92)</f>
        <v>321309.32</v>
      </c>
      <c r="H93" s="172">
        <f t="shared" si="13"/>
        <v>4.4118736021997389E-2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v>0</v>
      </c>
      <c r="D96" s="501">
        <v>104172</v>
      </c>
      <c r="E96" s="171">
        <f t="shared" ref="E96:E101" si="15">C96+D96</f>
        <v>104172</v>
      </c>
      <c r="F96" s="171"/>
      <c r="G96" s="171">
        <f t="shared" ref="G96:G101" si="16">E96+F96</f>
        <v>104172</v>
      </c>
      <c r="H96" s="172">
        <f t="shared" ref="H96:H102" si="17">IF($G$208=0,0,G96/$G$208)</f>
        <v>1.4303777334823378E-2</v>
      </c>
      <c r="I96" s="473"/>
      <c r="J96" s="183">
        <v>6876</v>
      </c>
      <c r="K96" s="183">
        <v>7077</v>
      </c>
    </row>
    <row r="97" spans="1:11" s="167" customFormat="1">
      <c r="A97" s="169" t="s">
        <v>86</v>
      </c>
      <c r="B97" s="170" t="s">
        <v>45</v>
      </c>
      <c r="C97" s="501">
        <v>0</v>
      </c>
      <c r="D97" s="501">
        <v>12003</v>
      </c>
      <c r="E97" s="171">
        <f t="shared" si="15"/>
        <v>12003</v>
      </c>
      <c r="F97" s="171"/>
      <c r="G97" s="171">
        <f t="shared" si="16"/>
        <v>12003</v>
      </c>
      <c r="H97" s="172">
        <f t="shared" si="17"/>
        <v>1.6481227138759457E-3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v>16400</v>
      </c>
      <c r="D98" s="501">
        <v>0</v>
      </c>
      <c r="E98" s="171">
        <f t="shared" si="15"/>
        <v>16400</v>
      </c>
      <c r="F98" s="171"/>
      <c r="G98" s="171">
        <f t="shared" si="16"/>
        <v>16400</v>
      </c>
      <c r="H98" s="172">
        <f t="shared" si="17"/>
        <v>2.2518714077785144E-3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v>136751.07999999999</v>
      </c>
      <c r="D99" s="501">
        <v>0</v>
      </c>
      <c r="E99" s="171">
        <f t="shared" si="15"/>
        <v>136751.07999999999</v>
      </c>
      <c r="F99" s="171"/>
      <c r="G99" s="171">
        <f t="shared" si="16"/>
        <v>136751.07999999999</v>
      </c>
      <c r="H99" s="172">
        <f t="shared" si="17"/>
        <v>1.8777185794806844E-2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v>7427.95</v>
      </c>
      <c r="D100" s="501">
        <v>0</v>
      </c>
      <c r="E100" s="171">
        <f t="shared" si="15"/>
        <v>7427.95</v>
      </c>
      <c r="F100" s="171"/>
      <c r="G100" s="171">
        <f t="shared" si="16"/>
        <v>7427.95</v>
      </c>
      <c r="H100" s="172">
        <f t="shared" si="17"/>
        <v>1.0199261111834401E-3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v>0</v>
      </c>
      <c r="D101" s="501"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v>160579.03</v>
      </c>
      <c r="D102" s="501">
        <v>116175</v>
      </c>
      <c r="E102" s="171">
        <f t="shared" ref="E102:F102" si="18">SUM(E96:E101)</f>
        <v>276754.02999999997</v>
      </c>
      <c r="F102" s="171">
        <f t="shared" si="18"/>
        <v>0</v>
      </c>
      <c r="G102" s="171">
        <f>SUM(G96:G101)</f>
        <v>276754.02999999997</v>
      </c>
      <c r="H102" s="172">
        <f t="shared" si="17"/>
        <v>3.8000883362468117E-2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v>0</v>
      </c>
      <c r="D105" s="501"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v>0</v>
      </c>
      <c r="D106" s="501"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v>4079.93</v>
      </c>
      <c r="D107" s="501">
        <v>0</v>
      </c>
      <c r="E107" s="171">
        <f t="shared" si="19"/>
        <v>4079.93</v>
      </c>
      <c r="F107" s="171"/>
      <c r="G107" s="171">
        <f t="shared" si="20"/>
        <v>4079.93</v>
      </c>
      <c r="H107" s="172">
        <f t="shared" si="21"/>
        <v>5.6021205565474355E-4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v>0</v>
      </c>
      <c r="D108" s="501"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v>0</v>
      </c>
      <c r="D109" s="501">
        <v>0</v>
      </c>
      <c r="E109" s="171">
        <f t="shared" si="19"/>
        <v>0</v>
      </c>
      <c r="F109" s="171"/>
      <c r="G109" s="171">
        <f t="shared" si="20"/>
        <v>0</v>
      </c>
      <c r="H109" s="172">
        <f t="shared" si="21"/>
        <v>0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v>0</v>
      </c>
      <c r="D110" s="501"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v>4079.93</v>
      </c>
      <c r="D111" s="501">
        <v>0</v>
      </c>
      <c r="E111" s="171">
        <f t="shared" ref="E111:F111" si="22">SUM(E105:E110)</f>
        <v>4079.93</v>
      </c>
      <c r="F111" s="171">
        <f t="shared" si="22"/>
        <v>0</v>
      </c>
      <c r="G111" s="171">
        <f>SUM(G105:G110)</f>
        <v>4079.93</v>
      </c>
      <c r="H111" s="172">
        <f t="shared" si="21"/>
        <v>5.6021205565474355E-4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v>0</v>
      </c>
      <c r="D114" s="501">
        <v>90529</v>
      </c>
      <c r="E114" s="171">
        <f t="shared" ref="E114:E118" si="23">C114+D114</f>
        <v>90529</v>
      </c>
      <c r="F114" s="171"/>
      <c r="G114" s="171">
        <f>E114+F114</f>
        <v>90529</v>
      </c>
      <c r="H114" s="172">
        <f t="shared" ref="H114:H119" si="24">IF($G$208=0,0,G114/$G$208)</f>
        <v>1.243046748016958E-2</v>
      </c>
      <c r="I114" s="473"/>
      <c r="J114" s="183">
        <v>7185</v>
      </c>
      <c r="K114" s="183">
        <v>7636</v>
      </c>
    </row>
    <row r="115" spans="1:11" s="167" customFormat="1">
      <c r="A115" s="169" t="s">
        <v>86</v>
      </c>
      <c r="B115" s="170" t="s">
        <v>151</v>
      </c>
      <c r="C115" s="501">
        <v>0</v>
      </c>
      <c r="D115" s="501">
        <v>9252</v>
      </c>
      <c r="E115" s="171">
        <f t="shared" si="23"/>
        <v>9252</v>
      </c>
      <c r="F115" s="171"/>
      <c r="G115" s="171">
        <f>E115+F115</f>
        <v>9252</v>
      </c>
      <c r="H115" s="172">
        <f t="shared" si="24"/>
        <v>1.270385016144318E-3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v>33430.400000000001</v>
      </c>
      <c r="D116" s="501">
        <v>0</v>
      </c>
      <c r="E116" s="171">
        <f t="shared" si="23"/>
        <v>33430.400000000001</v>
      </c>
      <c r="F116" s="171"/>
      <c r="G116" s="171">
        <f>E116+F116</f>
        <v>33430.400000000001</v>
      </c>
      <c r="H116" s="172">
        <f t="shared" si="24"/>
        <v>4.5903025555243202E-3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v>0</v>
      </c>
      <c r="D117" s="501"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v>0</v>
      </c>
      <c r="D118" s="501"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v>33430.400000000001</v>
      </c>
      <c r="D119" s="501">
        <v>99781</v>
      </c>
      <c r="E119" s="171">
        <f t="shared" ref="E119:F119" si="25">SUM(E114:E118)</f>
        <v>133211.4</v>
      </c>
      <c r="F119" s="171">
        <f t="shared" si="25"/>
        <v>0</v>
      </c>
      <c r="G119" s="171">
        <f>SUM(G114:G118)</f>
        <v>133211.4</v>
      </c>
      <c r="H119" s="172">
        <f t="shared" si="24"/>
        <v>1.8291155051838218E-2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v>0</v>
      </c>
      <c r="D123" s="501"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v>0</v>
      </c>
      <c r="D124" s="501">
        <v>147916</v>
      </c>
      <c r="E124" s="171">
        <f t="shared" si="26"/>
        <v>147916</v>
      </c>
      <c r="F124" s="171"/>
      <c r="G124" s="171">
        <f>E124+F124</f>
        <v>147916</v>
      </c>
      <c r="H124" s="172">
        <f>IF($G$208=0,0,G124/$G$208)</f>
        <v>2.0310232387376021E-2</v>
      </c>
      <c r="I124" s="473"/>
      <c r="J124" s="183">
        <v>4012</v>
      </c>
      <c r="K124" s="183">
        <v>4102</v>
      </c>
    </row>
    <row r="125" spans="1:11" s="167" customFormat="1">
      <c r="A125" s="163" t="s">
        <v>198</v>
      </c>
      <c r="B125" s="163" t="s">
        <v>195</v>
      </c>
      <c r="C125" s="501">
        <v>0</v>
      </c>
      <c r="D125" s="501"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v>0</v>
      </c>
      <c r="D126" s="501"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v>0</v>
      </c>
      <c r="D127" s="501">
        <v>31476</v>
      </c>
      <c r="E127" s="171">
        <f t="shared" si="26"/>
        <v>31476</v>
      </c>
      <c r="F127" s="171"/>
      <c r="G127" s="171">
        <f>E127+F127</f>
        <v>31476</v>
      </c>
      <c r="H127" s="172">
        <f>IF($G$208=0,0,G127/$G$208)</f>
        <v>4.3219453921485677E-3</v>
      </c>
      <c r="I127" s="473"/>
      <c r="J127" s="183">
        <v>1714</v>
      </c>
      <c r="K127" s="183">
        <v>1816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v>0</v>
      </c>
      <c r="D129" s="501"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v>0</v>
      </c>
      <c r="D130" s="501">
        <v>15281</v>
      </c>
      <c r="E130" s="171">
        <f t="shared" si="27"/>
        <v>15281</v>
      </c>
      <c r="F130" s="171"/>
      <c r="G130" s="171">
        <f>E130+F130</f>
        <v>15281</v>
      </c>
      <c r="H130" s="172">
        <f>IF($G$208=0,0,G130/$G$208)</f>
        <v>2.0982223769672854E-3</v>
      </c>
      <c r="I130" s="473"/>
      <c r="J130" s="204"/>
      <c r="K130" s="204"/>
    </row>
    <row r="131" spans="1:11" s="167" customFormat="1">
      <c r="B131" s="163" t="s">
        <v>195</v>
      </c>
      <c r="C131" s="501">
        <v>0</v>
      </c>
      <c r="D131" s="501"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v>0</v>
      </c>
      <c r="D132" s="501"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v>0</v>
      </c>
      <c r="D133" s="501">
        <v>3741</v>
      </c>
      <c r="E133" s="171">
        <f t="shared" si="27"/>
        <v>3741</v>
      </c>
      <c r="F133" s="171"/>
      <c r="G133" s="171">
        <f>E133+F133</f>
        <v>3741</v>
      </c>
      <c r="H133" s="172">
        <f>IF($G$208=0,0,G133/$G$208)</f>
        <v>5.1367383759142815E-4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v>0</v>
      </c>
      <c r="D135" s="501">
        <v>776198</v>
      </c>
      <c r="E135" s="171">
        <f t="shared" ref="E135:E138" si="28">C135+D135</f>
        <v>776198</v>
      </c>
      <c r="F135" s="171"/>
      <c r="G135" s="171">
        <f>E135+F135</f>
        <v>776198</v>
      </c>
      <c r="H135" s="172">
        <f>IF($G$208=0,0,G135/$G$208)</f>
        <v>0.10657915140090654</v>
      </c>
      <c r="I135" s="473"/>
      <c r="J135" s="183">
        <v>26174</v>
      </c>
      <c r="K135" s="183">
        <v>27225</v>
      </c>
    </row>
    <row r="136" spans="1:11" s="167" customFormat="1">
      <c r="A136" s="169"/>
      <c r="B136" s="163" t="s">
        <v>195</v>
      </c>
      <c r="C136" s="501">
        <v>0</v>
      </c>
      <c r="D136" s="501">
        <v>192005</v>
      </c>
      <c r="E136" s="171">
        <f t="shared" si="28"/>
        <v>192005</v>
      </c>
      <c r="F136" s="171"/>
      <c r="G136" s="171">
        <f>E136+F136</f>
        <v>192005</v>
      </c>
      <c r="H136" s="172">
        <f>IF($G$208=0,0,G136/$G$208)</f>
        <v>2.6364059125031321E-2</v>
      </c>
      <c r="I136" s="473"/>
      <c r="J136" s="183">
        <v>8746</v>
      </c>
      <c r="K136" s="183">
        <v>8921</v>
      </c>
    </row>
    <row r="137" spans="1:11" s="167" customFormat="1">
      <c r="A137" s="169"/>
      <c r="B137" s="163" t="s">
        <v>196</v>
      </c>
      <c r="C137" s="501">
        <v>0</v>
      </c>
      <c r="D137" s="501">
        <v>715758</v>
      </c>
      <c r="E137" s="171">
        <f t="shared" si="28"/>
        <v>715758</v>
      </c>
      <c r="F137" s="171"/>
      <c r="G137" s="171">
        <f>E137+F137</f>
        <v>715758</v>
      </c>
      <c r="H137" s="172">
        <f>IF($G$208=0,0,G137/$G$208)</f>
        <v>9.8280181407849623E-2</v>
      </c>
      <c r="I137" s="473"/>
      <c r="J137" s="183">
        <v>52160</v>
      </c>
      <c r="K137" s="183">
        <v>53692</v>
      </c>
    </row>
    <row r="138" spans="1:11" s="167" customFormat="1">
      <c r="A138" s="169"/>
      <c r="B138" s="163" t="s">
        <v>197</v>
      </c>
      <c r="C138" s="501">
        <v>0</v>
      </c>
      <c r="D138" s="501"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v>0</v>
      </c>
      <c r="D140" s="501">
        <v>83185</v>
      </c>
      <c r="E140" s="171">
        <f t="shared" ref="E140:E143" si="29">C140+D140</f>
        <v>83185</v>
      </c>
      <c r="F140" s="171"/>
      <c r="G140" s="171">
        <f>E140+F140</f>
        <v>83185</v>
      </c>
      <c r="H140" s="172">
        <f>IF($G$208=0,0,G140/$G$208)</f>
        <v>1.1422068479027788E-2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v>0</v>
      </c>
      <c r="D141" s="501">
        <v>23883</v>
      </c>
      <c r="E141" s="171">
        <f t="shared" si="29"/>
        <v>23883</v>
      </c>
      <c r="F141" s="171"/>
      <c r="G141" s="171">
        <f>E141+F141</f>
        <v>23883</v>
      </c>
      <c r="H141" s="172">
        <f>IF($G$208=0,0,G141/$G$208)</f>
        <v>3.2793563921935521E-3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v>0</v>
      </c>
      <c r="D142" s="501">
        <v>66598</v>
      </c>
      <c r="E142" s="171">
        <f t="shared" si="29"/>
        <v>66598</v>
      </c>
      <c r="F142" s="171"/>
      <c r="G142" s="171">
        <f>E142+F142</f>
        <v>66598</v>
      </c>
      <c r="H142" s="172">
        <f>IF($G$208=0,0,G142/$G$208)</f>
        <v>9.1445202448313112E-3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v>0</v>
      </c>
      <c r="D143" s="501"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v>71250</v>
      </c>
      <c r="D145" s="501">
        <v>0</v>
      </c>
      <c r="E145" s="171">
        <f t="shared" ref="E145:E153" si="30">C145+D145</f>
        <v>71250</v>
      </c>
      <c r="F145" s="171"/>
      <c r="G145" s="171">
        <f t="shared" ref="G145:G153" si="31">E145+F145</f>
        <v>71250</v>
      </c>
      <c r="H145" s="172">
        <f t="shared" ref="H145:H153" si="32">IF($G$208=0,0,G145/$G$208)</f>
        <v>9.7832827929401917E-3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v>9606</v>
      </c>
      <c r="D146" s="501">
        <v>0</v>
      </c>
      <c r="E146" s="171">
        <f t="shared" si="30"/>
        <v>9606</v>
      </c>
      <c r="F146" s="171"/>
      <c r="G146" s="171">
        <f t="shared" si="31"/>
        <v>9606</v>
      </c>
      <c r="H146" s="172">
        <f t="shared" si="32"/>
        <v>1.3189924843366103E-3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v>0</v>
      </c>
      <c r="D147" s="501"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v>-108.76</v>
      </c>
      <c r="D148" s="501">
        <v>0</v>
      </c>
      <c r="E148" s="171">
        <f t="shared" si="30"/>
        <v>-108.76</v>
      </c>
      <c r="F148" s="171"/>
      <c r="G148" s="171">
        <f t="shared" si="31"/>
        <v>-108.76</v>
      </c>
      <c r="H148" s="172">
        <f t="shared" si="32"/>
        <v>-1.4933752092072637E-5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v>282156.99</v>
      </c>
      <c r="D149" s="501">
        <v>0</v>
      </c>
      <c r="E149" s="171">
        <f t="shared" si="30"/>
        <v>282156.99</v>
      </c>
      <c r="F149" s="660">
        <v>-5802</v>
      </c>
      <c r="G149" s="171">
        <f t="shared" si="31"/>
        <v>276354.99</v>
      </c>
      <c r="H149" s="172">
        <f t="shared" si="32"/>
        <v>3.7946091486458368E-2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v>7270.25</v>
      </c>
      <c r="D150" s="501">
        <v>0</v>
      </c>
      <c r="E150" s="171">
        <f t="shared" si="30"/>
        <v>7270.25</v>
      </c>
      <c r="F150" s="660">
        <v>5802</v>
      </c>
      <c r="G150" s="171">
        <f t="shared" si="31"/>
        <v>13072.25</v>
      </c>
      <c r="H150" s="172">
        <f t="shared" si="32"/>
        <v>1.7949406103861393E-3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v>343.36</v>
      </c>
      <c r="D151" s="501">
        <v>0</v>
      </c>
      <c r="E151" s="171">
        <f t="shared" si="30"/>
        <v>343.36</v>
      </c>
      <c r="F151" s="660"/>
      <c r="G151" s="171">
        <f t="shared" si="31"/>
        <v>343.36</v>
      </c>
      <c r="H151" s="172">
        <f t="shared" si="32"/>
        <v>4.714649796187992E-5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v>0</v>
      </c>
      <c r="D152" s="501">
        <v>0</v>
      </c>
      <c r="E152" s="171">
        <f t="shared" si="30"/>
        <v>0</v>
      </c>
      <c r="F152" s="660">
        <v>14584</v>
      </c>
      <c r="G152" s="171">
        <f t="shared" si="31"/>
        <v>14584</v>
      </c>
      <c r="H152" s="172">
        <f t="shared" si="32"/>
        <v>2.0025178421366986E-3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v>0</v>
      </c>
      <c r="D153" s="501">
        <v>947191</v>
      </c>
      <c r="E153" s="171">
        <f t="shared" si="30"/>
        <v>947191</v>
      </c>
      <c r="F153" s="171"/>
      <c r="G153" s="171">
        <f t="shared" si="31"/>
        <v>947191</v>
      </c>
      <c r="H153" s="172">
        <f t="shared" si="32"/>
        <v>0.13005806893933772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v>0</v>
      </c>
      <c r="D155" s="501"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v>0</v>
      </c>
      <c r="D156" s="501"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v>0</v>
      </c>
      <c r="D157" s="501"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v>0</v>
      </c>
      <c r="D158" s="501"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v>0</v>
      </c>
      <c r="D159" s="501"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v>0</v>
      </c>
      <c r="D160" s="501"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2" s="167" customFormat="1">
      <c r="A161" s="169"/>
      <c r="B161" s="170" t="s">
        <v>233</v>
      </c>
      <c r="C161" s="501">
        <v>370517.83999999997</v>
      </c>
      <c r="D161" s="501">
        <v>3003232</v>
      </c>
      <c r="E161" s="171">
        <f t="shared" ref="E161:F161" si="36">SUM(E123:E160)</f>
        <v>3373749.8400000003</v>
      </c>
      <c r="F161" s="171">
        <f t="shared" si="36"/>
        <v>14584</v>
      </c>
      <c r="G161" s="171">
        <f>SUM(G123:G160)</f>
        <v>3388333.8400000003</v>
      </c>
      <c r="H161" s="172">
        <f t="shared" si="35"/>
        <v>0.46524951794538905</v>
      </c>
      <c r="I161" s="473"/>
      <c r="J161" s="168"/>
      <c r="K161" s="168"/>
    </row>
    <row r="162" spans="1:12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2" s="167" customFormat="1" ht="26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2" s="221" customFormat="1">
      <c r="A164" s="215" t="s">
        <v>95</v>
      </c>
      <c r="B164" s="148" t="s">
        <v>102</v>
      </c>
      <c r="C164" s="501">
        <v>0</v>
      </c>
      <c r="D164" s="501">
        <v>0</v>
      </c>
      <c r="E164" s="171">
        <f t="shared" ref="E164:E196" si="37">C164+D164</f>
        <v>0</v>
      </c>
      <c r="F164" s="655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9"/>
    </row>
    <row r="165" spans="1:12" s="221" customFormat="1">
      <c r="A165" s="215" t="s">
        <v>123</v>
      </c>
      <c r="B165" s="148" t="s">
        <v>103</v>
      </c>
      <c r="C165" s="501">
        <v>0</v>
      </c>
      <c r="D165" s="501">
        <v>0</v>
      </c>
      <c r="E165" s="171">
        <f t="shared" si="37"/>
        <v>0</v>
      </c>
      <c r="F165" s="655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9"/>
    </row>
    <row r="166" spans="1:12" s="221" customFormat="1">
      <c r="A166" s="215" t="s">
        <v>124</v>
      </c>
      <c r="B166" s="148" t="s">
        <v>104</v>
      </c>
      <c r="C166" s="501">
        <v>0</v>
      </c>
      <c r="D166" s="501">
        <v>225962</v>
      </c>
      <c r="E166" s="171">
        <f t="shared" si="37"/>
        <v>225962</v>
      </c>
      <c r="F166" s="655"/>
      <c r="G166" s="171">
        <f t="shared" si="38"/>
        <v>225962</v>
      </c>
      <c r="H166" s="172">
        <f t="shared" si="39"/>
        <v>3.102666872222248E-2</v>
      </c>
      <c r="I166" s="483"/>
      <c r="J166" s="183">
        <v>6906</v>
      </c>
      <c r="K166" s="183">
        <v>7033</v>
      </c>
      <c r="L166" s="219"/>
    </row>
    <row r="167" spans="1:12" s="221" customFormat="1">
      <c r="A167" s="215" t="s">
        <v>157</v>
      </c>
      <c r="B167" s="148" t="s">
        <v>105</v>
      </c>
      <c r="C167" s="501">
        <v>0</v>
      </c>
      <c r="D167" s="501">
        <v>28476</v>
      </c>
      <c r="E167" s="171">
        <f t="shared" si="37"/>
        <v>28476</v>
      </c>
      <c r="F167" s="655"/>
      <c r="G167" s="171">
        <f t="shared" si="38"/>
        <v>28476</v>
      </c>
      <c r="H167" s="172">
        <f t="shared" si="39"/>
        <v>3.9100176956037179E-3</v>
      </c>
      <c r="I167" s="484"/>
      <c r="J167" s="222"/>
      <c r="K167" s="222"/>
      <c r="L167" s="219"/>
    </row>
    <row r="168" spans="1:12" s="221" customFormat="1">
      <c r="A168" s="215" t="s">
        <v>158</v>
      </c>
      <c r="B168" s="148" t="s">
        <v>316</v>
      </c>
      <c r="C168" s="501">
        <v>0</v>
      </c>
      <c r="D168" s="501">
        <v>50632</v>
      </c>
      <c r="E168" s="171">
        <f t="shared" si="37"/>
        <v>50632</v>
      </c>
      <c r="F168" s="655"/>
      <c r="G168" s="171">
        <f t="shared" si="38"/>
        <v>50632</v>
      </c>
      <c r="H168" s="172">
        <f t="shared" si="39"/>
        <v>6.9522410438196186E-3</v>
      </c>
      <c r="I168" s="483"/>
      <c r="J168" s="183">
        <v>1389</v>
      </c>
      <c r="K168" s="183">
        <v>1389</v>
      </c>
      <c r="L168" s="219"/>
    </row>
    <row r="169" spans="1:12" s="221" customFormat="1">
      <c r="A169" s="215" t="s">
        <v>86</v>
      </c>
      <c r="B169" s="148" t="s">
        <v>317</v>
      </c>
      <c r="C169" s="501">
        <v>0</v>
      </c>
      <c r="D169" s="501">
        <v>5122</v>
      </c>
      <c r="E169" s="171">
        <f t="shared" si="37"/>
        <v>5122</v>
      </c>
      <c r="F169" s="655"/>
      <c r="G169" s="171">
        <f t="shared" si="38"/>
        <v>5122</v>
      </c>
      <c r="H169" s="172">
        <f t="shared" si="39"/>
        <v>7.0329788723424091E-4</v>
      </c>
      <c r="I169" s="484"/>
      <c r="J169" s="222"/>
      <c r="K169" s="222"/>
      <c r="L169" s="219"/>
    </row>
    <row r="170" spans="1:12" s="221" customFormat="1">
      <c r="A170" s="215" t="s">
        <v>96</v>
      </c>
      <c r="B170" s="148" t="s">
        <v>318</v>
      </c>
      <c r="C170" s="501">
        <v>0</v>
      </c>
      <c r="D170" s="501">
        <v>0</v>
      </c>
      <c r="E170" s="171">
        <f t="shared" si="37"/>
        <v>0</v>
      </c>
      <c r="F170" s="655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9"/>
    </row>
    <row r="171" spans="1:12" s="221" customFormat="1">
      <c r="A171" s="215" t="s">
        <v>125</v>
      </c>
      <c r="B171" s="148" t="s">
        <v>109</v>
      </c>
      <c r="C171" s="501">
        <v>0</v>
      </c>
      <c r="D171" s="501">
        <v>0</v>
      </c>
      <c r="E171" s="171">
        <f t="shared" si="37"/>
        <v>0</v>
      </c>
      <c r="F171" s="655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9"/>
    </row>
    <row r="172" spans="1:12" s="221" customFormat="1">
      <c r="A172" s="215" t="s">
        <v>126</v>
      </c>
      <c r="B172" s="148" t="s">
        <v>319</v>
      </c>
      <c r="C172" s="501">
        <v>0</v>
      </c>
      <c r="D172" s="501">
        <v>109662</v>
      </c>
      <c r="E172" s="171">
        <f t="shared" si="37"/>
        <v>109662</v>
      </c>
      <c r="F172" s="655"/>
      <c r="G172" s="171">
        <f t="shared" si="38"/>
        <v>109662</v>
      </c>
      <c r="H172" s="172">
        <f t="shared" si="39"/>
        <v>1.5057605019500453E-2</v>
      </c>
      <c r="I172" s="483"/>
      <c r="J172" s="183">
        <v>2837</v>
      </c>
      <c r="K172" s="183">
        <v>2980</v>
      </c>
      <c r="L172" s="219"/>
    </row>
    <row r="173" spans="1:12" s="221" customFormat="1">
      <c r="A173" s="215" t="s">
        <v>127</v>
      </c>
      <c r="B173" s="148" t="s">
        <v>111</v>
      </c>
      <c r="C173" s="501">
        <v>0</v>
      </c>
      <c r="D173" s="501">
        <v>11705</v>
      </c>
      <c r="E173" s="171">
        <f t="shared" si="37"/>
        <v>11705</v>
      </c>
      <c r="F173" s="655"/>
      <c r="G173" s="171">
        <f t="shared" si="38"/>
        <v>11705</v>
      </c>
      <c r="H173" s="172">
        <f t="shared" si="39"/>
        <v>1.6072045626858238E-3</v>
      </c>
      <c r="I173" s="484"/>
      <c r="J173" s="222"/>
      <c r="K173" s="222"/>
      <c r="L173" s="219"/>
    </row>
    <row r="174" spans="1:12" s="221" customFormat="1">
      <c r="A174" s="215" t="s">
        <v>128</v>
      </c>
      <c r="B174" s="148" t="s">
        <v>320</v>
      </c>
      <c r="C174" s="501">
        <v>0</v>
      </c>
      <c r="D174" s="501">
        <v>0</v>
      </c>
      <c r="E174" s="171">
        <f t="shared" si="37"/>
        <v>0</v>
      </c>
      <c r="F174" s="655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9"/>
    </row>
    <row r="175" spans="1:12" s="221" customFormat="1">
      <c r="A175" s="215" t="s">
        <v>129</v>
      </c>
      <c r="B175" s="148" t="s">
        <v>321</v>
      </c>
      <c r="C175" s="501">
        <v>0</v>
      </c>
      <c r="D175" s="501">
        <v>0</v>
      </c>
      <c r="E175" s="171">
        <f t="shared" si="37"/>
        <v>0</v>
      </c>
      <c r="F175" s="655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</row>
    <row r="176" spans="1:12" s="221" customFormat="1">
      <c r="A176" s="224" t="s">
        <v>293</v>
      </c>
      <c r="B176" s="148" t="s">
        <v>154</v>
      </c>
      <c r="C176" s="501">
        <v>0</v>
      </c>
      <c r="D176" s="501">
        <v>0</v>
      </c>
      <c r="E176" s="171">
        <f t="shared" si="37"/>
        <v>0</v>
      </c>
      <c r="F176" s="655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</row>
    <row r="177" spans="1:12" s="221" customFormat="1">
      <c r="A177" s="224" t="s">
        <v>294</v>
      </c>
      <c r="B177" s="148" t="s">
        <v>322</v>
      </c>
      <c r="C177" s="501">
        <v>0</v>
      </c>
      <c r="D177" s="501">
        <v>0</v>
      </c>
      <c r="E177" s="171">
        <f t="shared" si="37"/>
        <v>0</v>
      </c>
      <c r="F177" s="655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</row>
    <row r="178" spans="1:12" s="221" customFormat="1">
      <c r="A178" s="224" t="s">
        <v>295</v>
      </c>
      <c r="B178" s="148" t="s">
        <v>323</v>
      </c>
      <c r="C178" s="501">
        <v>0</v>
      </c>
      <c r="D178" s="501">
        <v>0</v>
      </c>
      <c r="E178" s="171">
        <f t="shared" si="37"/>
        <v>0</v>
      </c>
      <c r="F178" s="655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</row>
    <row r="179" spans="1:12" s="221" customFormat="1">
      <c r="A179" s="224" t="s">
        <v>296</v>
      </c>
      <c r="B179" s="148" t="s">
        <v>324</v>
      </c>
      <c r="C179" s="501">
        <v>0</v>
      </c>
      <c r="D179" s="501">
        <v>0</v>
      </c>
      <c r="E179" s="171">
        <f t="shared" si="37"/>
        <v>0</v>
      </c>
      <c r="F179" s="655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</row>
    <row r="180" spans="1:12" s="221" customFormat="1">
      <c r="A180" s="224" t="s">
        <v>297</v>
      </c>
      <c r="B180" s="148" t="s">
        <v>325</v>
      </c>
      <c r="C180" s="501">
        <v>0</v>
      </c>
      <c r="D180" s="501">
        <v>0</v>
      </c>
      <c r="E180" s="171">
        <f t="shared" si="37"/>
        <v>0</v>
      </c>
      <c r="F180" s="655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</row>
    <row r="181" spans="1:12" s="221" customFormat="1">
      <c r="A181" s="224" t="s">
        <v>298</v>
      </c>
      <c r="B181" s="148" t="s">
        <v>117</v>
      </c>
      <c r="C181" s="501">
        <v>2076.5700000000002</v>
      </c>
      <c r="D181" s="501">
        <v>0</v>
      </c>
      <c r="E181" s="171">
        <f t="shared" si="37"/>
        <v>2076.5700000000002</v>
      </c>
      <c r="F181" s="655"/>
      <c r="G181" s="171">
        <f t="shared" si="38"/>
        <v>2076.5700000000002</v>
      </c>
      <c r="H181" s="172">
        <f t="shared" si="39"/>
        <v>2.8513223227137987E-4</v>
      </c>
      <c r="I181" s="473"/>
      <c r="J181" s="223"/>
      <c r="K181" s="218"/>
      <c r="L181" s="220"/>
    </row>
    <row r="182" spans="1:12" s="221" customFormat="1">
      <c r="A182" s="224" t="s">
        <v>132</v>
      </c>
      <c r="B182" s="148" t="s">
        <v>118</v>
      </c>
      <c r="C182" s="501">
        <v>6000</v>
      </c>
      <c r="D182" s="501">
        <v>0</v>
      </c>
      <c r="E182" s="171">
        <f t="shared" si="37"/>
        <v>6000</v>
      </c>
      <c r="F182" s="655"/>
      <c r="G182" s="171">
        <f t="shared" si="38"/>
        <v>6000</v>
      </c>
      <c r="H182" s="172">
        <f t="shared" si="39"/>
        <v>8.238553930897004E-4</v>
      </c>
      <c r="I182" s="473"/>
      <c r="J182" s="223"/>
      <c r="K182" s="218"/>
      <c r="L182" s="220"/>
    </row>
    <row r="183" spans="1:12" s="221" customFormat="1">
      <c r="A183" s="224" t="s">
        <v>133</v>
      </c>
      <c r="B183" s="148" t="s">
        <v>119</v>
      </c>
      <c r="C183" s="501">
        <v>0</v>
      </c>
      <c r="D183" s="501">
        <v>0</v>
      </c>
      <c r="E183" s="171">
        <f t="shared" si="37"/>
        <v>0</v>
      </c>
      <c r="F183" s="655"/>
      <c r="G183" s="171">
        <f t="shared" si="38"/>
        <v>0</v>
      </c>
      <c r="H183" s="172">
        <f t="shared" si="39"/>
        <v>0</v>
      </c>
      <c r="I183" s="473"/>
      <c r="J183" s="223"/>
      <c r="K183" s="218"/>
      <c r="L183" s="220"/>
    </row>
    <row r="184" spans="1:12" s="221" customFormat="1">
      <c r="A184" s="224" t="s">
        <v>134</v>
      </c>
      <c r="B184" s="148" t="s">
        <v>326</v>
      </c>
      <c r="C184" s="501">
        <v>0</v>
      </c>
      <c r="D184" s="501">
        <v>0</v>
      </c>
      <c r="E184" s="171">
        <f t="shared" si="37"/>
        <v>0</v>
      </c>
      <c r="F184" s="655"/>
      <c r="G184" s="171">
        <f t="shared" si="38"/>
        <v>0</v>
      </c>
      <c r="H184" s="172">
        <f t="shared" si="39"/>
        <v>0</v>
      </c>
      <c r="I184" s="473"/>
      <c r="J184" s="223"/>
      <c r="K184" s="218"/>
      <c r="L184" s="220"/>
    </row>
    <row r="185" spans="1:12" s="221" customFormat="1">
      <c r="A185" s="224" t="s">
        <v>135</v>
      </c>
      <c r="B185" s="148" t="s">
        <v>327</v>
      </c>
      <c r="C185" s="501">
        <v>0</v>
      </c>
      <c r="D185" s="501">
        <v>0</v>
      </c>
      <c r="E185" s="171">
        <f t="shared" si="37"/>
        <v>0</v>
      </c>
      <c r="F185" s="655"/>
      <c r="G185" s="171">
        <f t="shared" si="38"/>
        <v>0</v>
      </c>
      <c r="H185" s="172">
        <f t="shared" si="39"/>
        <v>0</v>
      </c>
      <c r="I185" s="473"/>
      <c r="J185" s="223"/>
      <c r="K185" s="218"/>
      <c r="L185" s="220"/>
    </row>
    <row r="186" spans="1:12" s="221" customFormat="1">
      <c r="A186" s="224" t="s">
        <v>136</v>
      </c>
      <c r="B186" s="148" t="s">
        <v>328</v>
      </c>
      <c r="C186" s="501">
        <v>0</v>
      </c>
      <c r="D186" s="501">
        <v>0</v>
      </c>
      <c r="E186" s="171">
        <f t="shared" si="37"/>
        <v>0</v>
      </c>
      <c r="F186" s="655"/>
      <c r="G186" s="171">
        <f t="shared" si="38"/>
        <v>0</v>
      </c>
      <c r="H186" s="172">
        <f t="shared" si="39"/>
        <v>0</v>
      </c>
      <c r="I186" s="473"/>
      <c r="J186" s="223"/>
      <c r="K186" s="218"/>
      <c r="L186" s="220"/>
    </row>
    <row r="187" spans="1:12" s="221" customFormat="1">
      <c r="A187" s="224" t="s">
        <v>137</v>
      </c>
      <c r="B187" s="148" t="s">
        <v>122</v>
      </c>
      <c r="C187" s="501">
        <v>31111.94</v>
      </c>
      <c r="D187" s="501">
        <v>0</v>
      </c>
      <c r="E187" s="171">
        <f t="shared" si="37"/>
        <v>31111.94</v>
      </c>
      <c r="F187" s="655"/>
      <c r="G187" s="171">
        <f t="shared" si="38"/>
        <v>31111.94</v>
      </c>
      <c r="H187" s="172">
        <f t="shared" si="39"/>
        <v>4.2719565930805286E-3</v>
      </c>
      <c r="I187" s="473"/>
      <c r="J187" s="223"/>
      <c r="K187" s="218"/>
      <c r="L187" s="220"/>
    </row>
    <row r="188" spans="1:12" s="221" customFormat="1">
      <c r="A188" s="224" t="s">
        <v>275</v>
      </c>
      <c r="B188" s="148" t="s">
        <v>329</v>
      </c>
      <c r="C188" s="501">
        <v>0</v>
      </c>
      <c r="D188" s="501">
        <v>0</v>
      </c>
      <c r="E188" s="171">
        <f t="shared" si="37"/>
        <v>0</v>
      </c>
      <c r="F188" s="655"/>
      <c r="G188" s="171">
        <f t="shared" si="38"/>
        <v>0</v>
      </c>
      <c r="H188" s="172">
        <f t="shared" si="39"/>
        <v>0</v>
      </c>
      <c r="I188" s="473"/>
      <c r="J188" s="223"/>
      <c r="K188" s="218"/>
      <c r="L188" s="220"/>
    </row>
    <row r="189" spans="1:12" s="221" customFormat="1">
      <c r="A189" s="224" t="s">
        <v>277</v>
      </c>
      <c r="B189" s="148" t="s">
        <v>278</v>
      </c>
      <c r="C189" s="501">
        <v>712</v>
      </c>
      <c r="D189" s="501">
        <v>0</v>
      </c>
      <c r="E189" s="171">
        <f t="shared" si="37"/>
        <v>712</v>
      </c>
      <c r="F189" s="655"/>
      <c r="G189" s="171">
        <f t="shared" si="38"/>
        <v>712</v>
      </c>
      <c r="H189" s="172">
        <f t="shared" si="39"/>
        <v>9.7764173313311112E-5</v>
      </c>
      <c r="I189" s="473"/>
      <c r="J189" s="223"/>
      <c r="K189" s="218"/>
      <c r="L189" s="220"/>
    </row>
    <row r="190" spans="1:12" s="221" customFormat="1">
      <c r="A190" s="225" t="s">
        <v>279</v>
      </c>
      <c r="B190" s="226" t="s">
        <v>280</v>
      </c>
      <c r="C190" s="501">
        <v>0</v>
      </c>
      <c r="D190" s="501">
        <v>0</v>
      </c>
      <c r="E190" s="171">
        <f t="shared" si="37"/>
        <v>0</v>
      </c>
      <c r="F190" s="655"/>
      <c r="G190" s="171">
        <f t="shared" si="38"/>
        <v>0</v>
      </c>
      <c r="H190" s="172">
        <f t="shared" si="39"/>
        <v>0</v>
      </c>
      <c r="I190" s="473"/>
      <c r="J190" s="223"/>
      <c r="K190" s="218"/>
      <c r="L190" s="220"/>
    </row>
    <row r="191" spans="1:12" s="221" customFormat="1">
      <c r="A191" s="225" t="s">
        <v>281</v>
      </c>
      <c r="B191" s="226" t="s">
        <v>282</v>
      </c>
      <c r="C191" s="501">
        <v>0</v>
      </c>
      <c r="D191" s="501">
        <v>0</v>
      </c>
      <c r="E191" s="171">
        <f t="shared" si="37"/>
        <v>0</v>
      </c>
      <c r="F191" s="655"/>
      <c r="G191" s="171">
        <f t="shared" si="38"/>
        <v>0</v>
      </c>
      <c r="H191" s="172">
        <f t="shared" si="39"/>
        <v>0</v>
      </c>
      <c r="I191" s="473"/>
      <c r="J191" s="223"/>
      <c r="K191" s="218"/>
      <c r="L191" s="220"/>
    </row>
    <row r="192" spans="1:12" s="221" customFormat="1">
      <c r="A192" s="225" t="s">
        <v>283</v>
      </c>
      <c r="B192" s="226" t="s">
        <v>330</v>
      </c>
      <c r="C192" s="501">
        <v>0</v>
      </c>
      <c r="D192" s="501">
        <v>0</v>
      </c>
      <c r="E192" s="171">
        <f t="shared" si="37"/>
        <v>0</v>
      </c>
      <c r="F192" s="655"/>
      <c r="G192" s="171">
        <f t="shared" si="38"/>
        <v>0</v>
      </c>
      <c r="H192" s="172">
        <f t="shared" si="39"/>
        <v>0</v>
      </c>
      <c r="I192" s="473"/>
      <c r="J192" s="223"/>
      <c r="K192" s="218"/>
      <c r="L192" s="220"/>
    </row>
    <row r="193" spans="1:12" s="221" customFormat="1">
      <c r="A193" s="225" t="s">
        <v>285</v>
      </c>
      <c r="B193" s="226" t="s">
        <v>331</v>
      </c>
      <c r="C193" s="501">
        <v>0</v>
      </c>
      <c r="D193" s="501">
        <v>0</v>
      </c>
      <c r="E193" s="171">
        <f t="shared" si="37"/>
        <v>0</v>
      </c>
      <c r="F193" s="655"/>
      <c r="G193" s="171">
        <f t="shared" si="38"/>
        <v>0</v>
      </c>
      <c r="H193" s="172">
        <f t="shared" si="39"/>
        <v>0</v>
      </c>
      <c r="I193" s="473"/>
      <c r="J193" s="223"/>
      <c r="K193" s="218"/>
      <c r="L193" s="220"/>
    </row>
    <row r="194" spans="1:12" s="221" customFormat="1">
      <c r="A194" s="224" t="s">
        <v>138</v>
      </c>
      <c r="B194" s="148" t="s">
        <v>332</v>
      </c>
      <c r="C194" s="501">
        <v>212110.33</v>
      </c>
      <c r="D194" s="501">
        <v>0</v>
      </c>
      <c r="E194" s="171">
        <f t="shared" si="37"/>
        <v>212110.33</v>
      </c>
      <c r="F194" s="655"/>
      <c r="G194" s="171">
        <f t="shared" si="38"/>
        <v>212110.33</v>
      </c>
      <c r="H194" s="172">
        <f t="shared" si="39"/>
        <v>2.9124706550089342E-2</v>
      </c>
      <c r="I194" s="473"/>
      <c r="J194" s="223"/>
      <c r="K194" s="218"/>
      <c r="L194" s="220"/>
    </row>
    <row r="195" spans="1:12" s="221" customFormat="1">
      <c r="A195" s="224" t="s">
        <v>139</v>
      </c>
      <c r="B195" s="148" t="s">
        <v>67</v>
      </c>
      <c r="C195" s="501">
        <v>252801.22</v>
      </c>
      <c r="D195" s="501">
        <v>0</v>
      </c>
      <c r="E195" s="171">
        <f t="shared" si="37"/>
        <v>252801.22</v>
      </c>
      <c r="F195" s="662">
        <v>-14584</v>
      </c>
      <c r="G195" s="171">
        <f t="shared" si="38"/>
        <v>238217.22</v>
      </c>
      <c r="H195" s="172">
        <f t="shared" si="39"/>
        <v>3.2709423570639273E-2</v>
      </c>
      <c r="I195" s="473"/>
      <c r="J195" s="223"/>
      <c r="K195" s="218"/>
      <c r="L195" s="220"/>
    </row>
    <row r="196" spans="1:12" s="221" customFormat="1">
      <c r="A196" s="225" t="s">
        <v>143</v>
      </c>
      <c r="B196" s="194" t="s">
        <v>333</v>
      </c>
      <c r="C196" s="501">
        <v>600</v>
      </c>
      <c r="D196" s="501">
        <v>0</v>
      </c>
      <c r="E196" s="171">
        <f t="shared" si="37"/>
        <v>600</v>
      </c>
      <c r="F196" s="655"/>
      <c r="G196" s="171">
        <f t="shared" si="38"/>
        <v>600</v>
      </c>
      <c r="H196" s="172">
        <f t="shared" si="39"/>
        <v>8.2385539308970032E-5</v>
      </c>
      <c r="I196" s="473"/>
      <c r="J196" s="223"/>
      <c r="K196" s="218"/>
      <c r="L196" s="220"/>
    </row>
    <row r="197" spans="1:12" s="167" customFormat="1" ht="26">
      <c r="A197" s="163"/>
      <c r="B197" s="212" t="s">
        <v>130</v>
      </c>
      <c r="C197" s="501">
        <v>505412.05999999994</v>
      </c>
      <c r="D197" s="501">
        <v>431559</v>
      </c>
      <c r="E197" s="171">
        <f t="shared" ref="E197:F197" si="40">SUM(E164:E196)</f>
        <v>936971.05999999994</v>
      </c>
      <c r="F197" s="171">
        <f t="shared" si="40"/>
        <v>-14584</v>
      </c>
      <c r="G197" s="171">
        <f>SUM(G164:G196)</f>
        <v>922387.05999999994</v>
      </c>
      <c r="H197" s="172">
        <f>IF($G$208=0,0,G197/$G$208)</f>
        <v>0.12665225898285884</v>
      </c>
      <c r="I197" s="473"/>
      <c r="J197" s="168"/>
      <c r="K197" s="168"/>
    </row>
    <row r="198" spans="1:12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2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2" s="167" customFormat="1">
      <c r="A200" s="169" t="s">
        <v>85</v>
      </c>
      <c r="B200" s="170" t="s">
        <v>69</v>
      </c>
      <c r="C200" s="501">
        <v>0</v>
      </c>
      <c r="D200" s="501">
        <v>122768</v>
      </c>
      <c r="E200" s="171">
        <f t="shared" ref="E200:E205" si="41">C200+D200</f>
        <v>122768</v>
      </c>
      <c r="F200" s="171"/>
      <c r="G200" s="171">
        <f t="shared" ref="G200:G205" si="42">E200+F200</f>
        <v>122768</v>
      </c>
      <c r="H200" s="172">
        <f t="shared" ref="H200:H206" si="43">IF($G$208=0,0,G200/$G$208)</f>
        <v>1.6857179816472723E-2</v>
      </c>
      <c r="I200" s="473"/>
      <c r="J200" s="183">
        <v>5604</v>
      </c>
      <c r="K200" s="183">
        <v>5981</v>
      </c>
    </row>
    <row r="201" spans="1:12" s="167" customFormat="1">
      <c r="A201" s="169" t="s">
        <v>86</v>
      </c>
      <c r="B201" s="170" t="s">
        <v>45</v>
      </c>
      <c r="C201" s="501">
        <v>0</v>
      </c>
      <c r="D201" s="501">
        <v>13557</v>
      </c>
      <c r="E201" s="171">
        <f t="shared" si="41"/>
        <v>13557</v>
      </c>
      <c r="F201" s="171"/>
      <c r="G201" s="171">
        <f t="shared" si="42"/>
        <v>13557</v>
      </c>
      <c r="H201" s="172">
        <f t="shared" si="43"/>
        <v>1.8615012606861779E-3</v>
      </c>
      <c r="I201" s="473"/>
      <c r="J201" s="168"/>
      <c r="K201" s="168"/>
    </row>
    <row r="202" spans="1:12" s="167" customFormat="1">
      <c r="A202" s="169" t="s">
        <v>140</v>
      </c>
      <c r="B202" s="170" t="s">
        <v>54</v>
      </c>
      <c r="C202" s="501">
        <v>22675.39</v>
      </c>
      <c r="D202" s="501">
        <v>0</v>
      </c>
      <c r="E202" s="171">
        <f t="shared" si="41"/>
        <v>22675.39</v>
      </c>
      <c r="F202" s="171"/>
      <c r="G202" s="171">
        <f t="shared" si="42"/>
        <v>22675.39</v>
      </c>
      <c r="H202" s="172">
        <f t="shared" si="43"/>
        <v>3.1135403903187102E-3</v>
      </c>
      <c r="I202" s="473"/>
      <c r="J202" s="168"/>
      <c r="K202" s="168"/>
    </row>
    <row r="203" spans="1:12" s="167" customFormat="1">
      <c r="A203" s="169" t="s">
        <v>141</v>
      </c>
      <c r="B203" s="170" t="s">
        <v>70</v>
      </c>
      <c r="C203" s="501">
        <v>0</v>
      </c>
      <c r="D203" s="501"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2" s="167" customFormat="1">
      <c r="A204" s="169" t="s">
        <v>142</v>
      </c>
      <c r="B204" s="202" t="s">
        <v>71</v>
      </c>
      <c r="C204" s="501">
        <v>0</v>
      </c>
      <c r="D204" s="501"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2" s="167" customFormat="1">
      <c r="A205" s="169" t="s">
        <v>143</v>
      </c>
      <c r="B205" s="170" t="s">
        <v>312</v>
      </c>
      <c r="C205" s="501">
        <v>0</v>
      </c>
      <c r="D205" s="501">
        <v>0</v>
      </c>
      <c r="E205" s="171">
        <f t="shared" si="41"/>
        <v>0</v>
      </c>
      <c r="F205" s="171"/>
      <c r="G205" s="171">
        <f t="shared" si="42"/>
        <v>0</v>
      </c>
      <c r="H205" s="172">
        <f t="shared" si="43"/>
        <v>0</v>
      </c>
      <c r="I205" s="473"/>
      <c r="J205" s="168"/>
      <c r="K205" s="168"/>
    </row>
    <row r="206" spans="1:12" s="167" customFormat="1">
      <c r="A206" s="163"/>
      <c r="B206" s="170" t="s">
        <v>144</v>
      </c>
      <c r="C206" s="501">
        <v>22675.39</v>
      </c>
      <c r="D206" s="501">
        <v>136325</v>
      </c>
      <c r="E206" s="171">
        <f t="shared" ref="E206:F206" si="44">SUM(E200:E205)</f>
        <v>159000.39000000001</v>
      </c>
      <c r="F206" s="171">
        <f t="shared" si="44"/>
        <v>0</v>
      </c>
      <c r="G206" s="171">
        <f>SUM(G200:G205)</f>
        <v>159000.39000000001</v>
      </c>
      <c r="H206" s="172">
        <f t="shared" si="43"/>
        <v>2.1832221467477611E-2</v>
      </c>
      <c r="I206" s="473"/>
      <c r="J206" s="168"/>
      <c r="K206" s="168"/>
    </row>
    <row r="207" spans="1:12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2" s="167" customFormat="1">
      <c r="A208" s="227"/>
      <c r="B208" s="228" t="s">
        <v>145</v>
      </c>
      <c r="C208" s="501">
        <v>7755267.4900000021</v>
      </c>
      <c r="D208" s="501">
        <v>-472436</v>
      </c>
      <c r="E208" s="171">
        <f t="shared" ref="E208:F208" si="45">SUM(E25:E206)/2</f>
        <v>7282831.4900000021</v>
      </c>
      <c r="F208" s="171">
        <f t="shared" si="45"/>
        <v>0</v>
      </c>
      <c r="G208" s="171">
        <f>SUM(G25:G206)/2</f>
        <v>7282831.4900000021</v>
      </c>
      <c r="H208" s="172">
        <f>IF($G$208=0,0,G208/$G$208)</f>
        <v>1</v>
      </c>
      <c r="I208" s="473"/>
      <c r="J208" s="183">
        <f>SUM(J25:J200)</f>
        <v>140989</v>
      </c>
      <c r="K208" s="183">
        <f>SUM(K25:K200)</f>
        <v>146121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v>7755267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v>0.49000000208616257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15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v>11244287.019999996</v>
      </c>
      <c r="D215" s="501">
        <v>-8746769</v>
      </c>
      <c r="E215" s="171">
        <f t="shared" ref="E215:F215" si="46">E21-E208</f>
        <v>2497518.0199999977</v>
      </c>
      <c r="F215" s="171">
        <f t="shared" si="46"/>
        <v>0</v>
      </c>
      <c r="G215" s="171">
        <f>G21-G208</f>
        <v>2497518.0199999977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v>8264</v>
      </c>
      <c r="D219" s="530"/>
      <c r="E219" s="234">
        <f t="shared" ref="E219:G227" si="47">C219+D219</f>
        <v>8264</v>
      </c>
      <c r="F219" s="233"/>
      <c r="G219" s="234">
        <f t="shared" si="47"/>
        <v>8264</v>
      </c>
      <c r="H219" s="172">
        <f t="shared" ref="H219:H228" si="48">IF($G$228=0,0,G219/$G$228)</f>
        <v>0.65312574093100451</v>
      </c>
      <c r="I219" s="473"/>
      <c r="J219" s="168"/>
      <c r="K219" s="168"/>
    </row>
    <row r="220" spans="1:11">
      <c r="A220" s="163"/>
      <c r="B220" s="170" t="s">
        <v>217</v>
      </c>
      <c r="C220" s="530">
        <v>357</v>
      </c>
      <c r="D220" s="530"/>
      <c r="E220" s="171">
        <f t="shared" ref="E220:E227" si="49">C220+D220</f>
        <v>357</v>
      </c>
      <c r="F220" s="233"/>
      <c r="G220" s="234">
        <f t="shared" si="47"/>
        <v>357</v>
      </c>
      <c r="H220" s="172">
        <f t="shared" si="48"/>
        <v>2.8214652651545089E-2</v>
      </c>
      <c r="I220" s="473"/>
      <c r="J220" s="168"/>
      <c r="K220" s="168"/>
    </row>
    <row r="221" spans="1:11">
      <c r="A221" s="163"/>
      <c r="B221" s="170" t="s">
        <v>72</v>
      </c>
      <c r="C221" s="530">
        <v>1515</v>
      </c>
      <c r="D221" s="530"/>
      <c r="E221" s="171">
        <f t="shared" si="49"/>
        <v>1515</v>
      </c>
      <c r="F221" s="233"/>
      <c r="G221" s="234">
        <f t="shared" si="47"/>
        <v>1515</v>
      </c>
      <c r="H221" s="172">
        <f t="shared" si="48"/>
        <v>0.11973445032798546</v>
      </c>
      <c r="I221" s="473"/>
      <c r="J221" s="168"/>
      <c r="K221" s="168"/>
    </row>
    <row r="222" spans="1:11">
      <c r="A222" s="163"/>
      <c r="B222" s="202" t="s">
        <v>334</v>
      </c>
      <c r="C222" s="530">
        <v>429</v>
      </c>
      <c r="D222" s="530"/>
      <c r="E222" s="171">
        <f t="shared" si="49"/>
        <v>429</v>
      </c>
      <c r="F222" s="233"/>
      <c r="G222" s="234">
        <f>E222+F222</f>
        <v>429</v>
      </c>
      <c r="H222" s="172">
        <f t="shared" si="48"/>
        <v>3.3905002766142417E-2</v>
      </c>
      <c r="I222" s="473"/>
      <c r="J222" s="168"/>
      <c r="K222" s="168"/>
    </row>
    <row r="223" spans="1:11">
      <c r="A223" s="163"/>
      <c r="B223" s="170" t="s">
        <v>73</v>
      </c>
      <c r="C223" s="530">
        <v>14</v>
      </c>
      <c r="D223" s="530"/>
      <c r="E223" s="171">
        <f t="shared" si="49"/>
        <v>14</v>
      </c>
      <c r="F223" s="233"/>
      <c r="G223" s="234">
        <f t="shared" si="47"/>
        <v>14</v>
      </c>
      <c r="H223" s="172">
        <f t="shared" si="48"/>
        <v>1.1064569667272584E-3</v>
      </c>
      <c r="I223" s="473"/>
      <c r="J223" s="168"/>
      <c r="K223" s="168"/>
    </row>
    <row r="224" spans="1:11">
      <c r="A224" s="163"/>
      <c r="B224" s="170" t="s">
        <v>74</v>
      </c>
      <c r="C224" s="530">
        <v>854</v>
      </c>
      <c r="D224" s="530"/>
      <c r="E224" s="171">
        <f t="shared" si="49"/>
        <v>854</v>
      </c>
      <c r="F224" s="233"/>
      <c r="G224" s="234">
        <f t="shared" si="47"/>
        <v>854</v>
      </c>
      <c r="H224" s="172">
        <f t="shared" si="48"/>
        <v>6.7493874970362758E-2</v>
      </c>
      <c r="I224" s="473"/>
      <c r="J224" s="168"/>
      <c r="K224" s="168"/>
    </row>
    <row r="225" spans="1:11">
      <c r="A225" s="163"/>
      <c r="B225" s="170" t="s">
        <v>236</v>
      </c>
      <c r="C225" s="530">
        <v>0</v>
      </c>
      <c r="D225" s="530"/>
      <c r="E225" s="171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v>15</v>
      </c>
      <c r="D226" s="530"/>
      <c r="E226" s="171">
        <f t="shared" si="49"/>
        <v>15</v>
      </c>
      <c r="F226" s="233"/>
      <c r="G226" s="234">
        <f>E226+F226</f>
        <v>15</v>
      </c>
      <c r="H226" s="172">
        <f t="shared" si="48"/>
        <v>1.1854896072077768E-3</v>
      </c>
      <c r="I226" s="473"/>
      <c r="J226" s="168"/>
      <c r="K226" s="168"/>
    </row>
    <row r="227" spans="1:11">
      <c r="A227" s="163"/>
      <c r="B227" s="170" t="s">
        <v>179</v>
      </c>
      <c r="C227" s="530">
        <v>1205</v>
      </c>
      <c r="D227" s="530"/>
      <c r="E227" s="171">
        <f t="shared" si="49"/>
        <v>1205</v>
      </c>
      <c r="F227" s="233"/>
      <c r="G227" s="234">
        <f t="shared" si="47"/>
        <v>1205</v>
      </c>
      <c r="H227" s="172">
        <f t="shared" si="48"/>
        <v>9.5234331779024739E-2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v>12653</v>
      </c>
      <c r="D228" s="530">
        <v>0</v>
      </c>
      <c r="E228" s="236">
        <f>SUM(E219:E227)</f>
        <v>12653</v>
      </c>
      <c r="F228" s="236">
        <f>SUM(F219:F227)</f>
        <v>0</v>
      </c>
      <c r="G228" s="236">
        <f>SUM(G219:G227)</f>
        <v>12653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16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15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v>36</v>
      </c>
      <c r="D231" s="502"/>
      <c r="E231" s="234">
        <f>C231+D231</f>
        <v>36</v>
      </c>
      <c r="F231" s="234"/>
      <c r="G231" s="234">
        <f>E231+F231</f>
        <v>36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v>24</v>
      </c>
      <c r="D232" s="502"/>
      <c r="E232" s="234">
        <f>C232+D232</f>
        <v>24</v>
      </c>
      <c r="F232" s="234"/>
      <c r="G232" s="234">
        <f>E232+F232</f>
        <v>24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17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v>13140</v>
      </c>
      <c r="D235" s="438"/>
      <c r="E235" s="233">
        <f>E231*E233</f>
        <v>13140</v>
      </c>
      <c r="F235" s="238"/>
      <c r="G235" s="233">
        <f>G231*G233</f>
        <v>13140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v>0.96293759512937593</v>
      </c>
      <c r="D236" s="238"/>
      <c r="E236" s="242">
        <f>E228/E235</f>
        <v>0.96293759512937593</v>
      </c>
      <c r="F236" s="243"/>
      <c r="G236" s="242">
        <f>G228/G235</f>
        <v>0.96293759512937593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v>0.65608828006088282</v>
      </c>
      <c r="D237" s="238"/>
      <c r="E237" s="242">
        <f>(E219+E220)/E235</f>
        <v>0.65608828006088282</v>
      </c>
      <c r="F237" s="243"/>
      <c r="G237" s="242">
        <f>(G219+G220)/G235</f>
        <v>0.65608828006088282</v>
      </c>
      <c r="H237" s="167"/>
      <c r="I237" s="475"/>
      <c r="J237" s="168"/>
      <c r="K237" s="168"/>
    </row>
    <row r="238" spans="1:11" ht="39">
      <c r="A238" s="163"/>
      <c r="B238" s="241" t="s">
        <v>338</v>
      </c>
      <c r="C238" s="532">
        <v>0.68134039358254961</v>
      </c>
      <c r="D238" s="238"/>
      <c r="E238" s="242">
        <f>(E237/E236)</f>
        <v>0.68134039358254961</v>
      </c>
      <c r="F238" s="243"/>
      <c r="G238" s="242">
        <f>(G237/G236)</f>
        <v>0.68134039358254961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v>516.64112903225805</v>
      </c>
      <c r="I241" s="475"/>
    </row>
    <row r="242" spans="2:9">
      <c r="F242" s="142" t="s">
        <v>341</v>
      </c>
      <c r="G242" s="501">
        <v>516.64285714285711</v>
      </c>
      <c r="I242" s="475"/>
    </row>
    <row r="243" spans="2:9">
      <c r="F243" s="142" t="s">
        <v>342</v>
      </c>
      <c r="G243" s="501">
        <v>510.61883408071748</v>
      </c>
      <c r="I243" s="475"/>
    </row>
    <row r="244" spans="2:9">
      <c r="F244" s="142" t="s">
        <v>343</v>
      </c>
      <c r="G244" s="501">
        <v>516.63468634686342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E28CAB"/>
  </sheetPr>
  <dimension ref="A1:K246"/>
  <sheetViews>
    <sheetView showGridLines="0" zoomScaleNormal="100" workbookViewId="0">
      <pane xSplit="2" ySplit="10" topLeftCell="C11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082031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99" t="s">
        <v>576</v>
      </c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248</v>
      </c>
      <c r="F2" s="368" t="s">
        <v>582</v>
      </c>
    </row>
    <row r="3" spans="1:11" ht="15.5">
      <c r="A3" s="145"/>
      <c r="B3" s="140" t="s">
        <v>79</v>
      </c>
      <c r="C3" s="441">
        <v>42552</v>
      </c>
      <c r="E3" s="368"/>
      <c r="F3" s="368" t="s">
        <v>583</v>
      </c>
    </row>
    <row r="4" spans="1:11" ht="15.5">
      <c r="A4" s="145"/>
      <c r="B4" s="148" t="s">
        <v>80</v>
      </c>
      <c r="C4" s="441">
        <v>42582</v>
      </c>
      <c r="D4" s="144" t="s">
        <v>581</v>
      </c>
      <c r="E4" s="368"/>
      <c r="F4" s="368" t="s">
        <v>584</v>
      </c>
      <c r="G4" s="150"/>
    </row>
    <row r="5" spans="1:11">
      <c r="A5" s="145"/>
      <c r="B5" s="148"/>
      <c r="C5" s="151" t="s">
        <v>577</v>
      </c>
      <c r="D5" s="144" t="s">
        <v>579</v>
      </c>
      <c r="F5" s="420" t="s">
        <v>534</v>
      </c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 t="s">
        <v>587</v>
      </c>
      <c r="D9" s="144" t="s">
        <v>588</v>
      </c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51" t="s">
        <v>578</v>
      </c>
      <c r="D10" s="165" t="s">
        <v>580</v>
      </c>
      <c r="E10" s="165"/>
      <c r="F10" s="649" t="s">
        <v>707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v>197404</v>
      </c>
      <c r="D11" s="501">
        <v>912805</v>
      </c>
      <c r="E11" s="171">
        <f>C11+D11</f>
        <v>1110209</v>
      </c>
      <c r="F11" s="649">
        <f>2434597-752049</f>
        <v>1682548</v>
      </c>
      <c r="G11" s="171">
        <f t="shared" ref="G11:G20" si="0">E11+F11</f>
        <v>2792757</v>
      </c>
      <c r="H11" s="172">
        <f t="shared" ref="H11:H21" si="1">IF($G$21=0,0,G11/$G$21)</f>
        <v>0.53275782342720712</v>
      </c>
      <c r="I11" s="473"/>
      <c r="J11" s="336" t="s">
        <v>344</v>
      </c>
      <c r="K11" s="337">
        <f>G21</f>
        <v>5242076</v>
      </c>
    </row>
    <row r="12" spans="1:11" s="167" customFormat="1">
      <c r="A12" s="169" t="s">
        <v>15</v>
      </c>
      <c r="B12" s="170" t="s">
        <v>212</v>
      </c>
      <c r="C12" s="501">
        <v>0</v>
      </c>
      <c r="D12" s="501"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4858841.6999999993</v>
      </c>
    </row>
    <row r="13" spans="1:11" s="167" customFormat="1">
      <c r="A13" s="169" t="s">
        <v>16</v>
      </c>
      <c r="B13" s="170" t="s">
        <v>170</v>
      </c>
      <c r="C13" s="501">
        <v>69459</v>
      </c>
      <c r="D13" s="501">
        <v>245647</v>
      </c>
      <c r="E13" s="171">
        <f t="shared" si="2"/>
        <v>315106</v>
      </c>
      <c r="F13" s="171">
        <v>576319</v>
      </c>
      <c r="G13" s="171">
        <f t="shared" si="0"/>
        <v>891425</v>
      </c>
      <c r="H13" s="172">
        <f t="shared" si="1"/>
        <v>0.17005190310098517</v>
      </c>
      <c r="I13" s="473"/>
      <c r="J13" s="338" t="s">
        <v>346</v>
      </c>
      <c r="K13" s="339">
        <f>G228</f>
        <v>21254</v>
      </c>
    </row>
    <row r="14" spans="1:11" s="167" customFormat="1">
      <c r="A14" s="173" t="s">
        <v>18</v>
      </c>
      <c r="B14" s="174" t="s">
        <v>306</v>
      </c>
      <c r="C14" s="501">
        <v>48706</v>
      </c>
      <c r="D14" s="501">
        <v>236223</v>
      </c>
      <c r="E14" s="171">
        <f t="shared" si="2"/>
        <v>284929</v>
      </c>
      <c r="F14" s="175">
        <v>437013</v>
      </c>
      <c r="G14" s="175">
        <f>E14+F14</f>
        <v>721942</v>
      </c>
      <c r="H14" s="176">
        <f t="shared" si="1"/>
        <v>0.13772062823965162</v>
      </c>
      <c r="I14" s="479"/>
      <c r="J14" s="338" t="s">
        <v>347</v>
      </c>
      <c r="K14" s="339">
        <f>G231</f>
        <v>88</v>
      </c>
    </row>
    <row r="15" spans="1:11" s="167" customFormat="1">
      <c r="A15" s="169" t="s">
        <v>19</v>
      </c>
      <c r="B15" s="170" t="s">
        <v>171</v>
      </c>
      <c r="C15" s="501">
        <v>0</v>
      </c>
      <c r="D15" s="501"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32120</v>
      </c>
    </row>
    <row r="16" spans="1:11" s="167" customFormat="1">
      <c r="A16" s="169" t="s">
        <v>21</v>
      </c>
      <c r="B16" s="170" t="s">
        <v>172</v>
      </c>
      <c r="C16" s="501">
        <v>82194</v>
      </c>
      <c r="D16" s="501">
        <v>144294</v>
      </c>
      <c r="E16" s="171">
        <f t="shared" si="2"/>
        <v>226488</v>
      </c>
      <c r="F16" s="171">
        <v>237515</v>
      </c>
      <c r="G16" s="171">
        <f t="shared" si="0"/>
        <v>464003</v>
      </c>
      <c r="H16" s="172">
        <f t="shared" si="1"/>
        <v>8.851512263462033E-2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v>36262</v>
      </c>
      <c r="D17" s="501">
        <v>124385</v>
      </c>
      <c r="E17" s="171">
        <f t="shared" si="2"/>
        <v>160647</v>
      </c>
      <c r="F17" s="171">
        <v>186359</v>
      </c>
      <c r="G17" s="171">
        <f>E17+F17</f>
        <v>347006</v>
      </c>
      <c r="H17" s="172">
        <f t="shared" si="1"/>
        <v>6.6196293224287481E-2</v>
      </c>
      <c r="I17" s="473"/>
      <c r="J17" s="338" t="s">
        <v>156</v>
      </c>
      <c r="K17" s="339">
        <f>J208</f>
        <v>120303</v>
      </c>
    </row>
    <row r="18" spans="1:11" s="167" customFormat="1" ht="13.5" thickBot="1">
      <c r="A18" s="169" t="s">
        <v>216</v>
      </c>
      <c r="B18" s="170" t="s">
        <v>229</v>
      </c>
      <c r="C18" s="501">
        <v>4050</v>
      </c>
      <c r="D18" s="501">
        <v>0</v>
      </c>
      <c r="E18" s="171">
        <f t="shared" si="2"/>
        <v>4050</v>
      </c>
      <c r="F18" s="171">
        <v>0</v>
      </c>
      <c r="G18" s="171">
        <f>E18+F18</f>
        <v>4050</v>
      </c>
      <c r="H18" s="172">
        <f t="shared" si="1"/>
        <v>7.7259467432368395E-4</v>
      </c>
      <c r="I18" s="473"/>
      <c r="J18" s="341" t="s">
        <v>252</v>
      </c>
      <c r="K18" s="342">
        <f>K208</f>
        <v>123917</v>
      </c>
    </row>
    <row r="19" spans="1:11" s="167" customFormat="1">
      <c r="A19" s="169" t="s">
        <v>227</v>
      </c>
      <c r="B19" s="177" t="s">
        <v>173</v>
      </c>
      <c r="C19" s="501">
        <v>0</v>
      </c>
      <c r="D19" s="501"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v>20</v>
      </c>
      <c r="D20" s="501">
        <v>107</v>
      </c>
      <c r="E20" s="171">
        <f t="shared" si="2"/>
        <v>127</v>
      </c>
      <c r="F20" s="171">
        <v>20766</v>
      </c>
      <c r="G20" s="171">
        <f t="shared" si="0"/>
        <v>20893</v>
      </c>
      <c r="H20" s="172">
        <f t="shared" si="1"/>
        <v>3.9856346989246248E-3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438095</v>
      </c>
      <c r="D21" s="501">
        <f>SUM(D11:D20)</f>
        <v>1663461</v>
      </c>
      <c r="E21" s="171">
        <f>SUM(E11:E20)</f>
        <v>2101556</v>
      </c>
      <c r="F21" s="171">
        <f>SUM(F11:F20)</f>
        <v>3140520</v>
      </c>
      <c r="G21" s="171">
        <f>SUM(G11:G20)</f>
        <v>5242076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F23" s="650" t="s">
        <v>625</v>
      </c>
      <c r="G23" s="144"/>
      <c r="H23" s="144"/>
      <c r="I23" s="475"/>
      <c r="J23" s="602" t="s">
        <v>585</v>
      </c>
    </row>
    <row r="24" spans="1:11">
      <c r="A24" s="181" t="s">
        <v>161</v>
      </c>
      <c r="B24" s="148" t="s">
        <v>12</v>
      </c>
      <c r="I24" s="475"/>
      <c r="J24" s="602" t="s">
        <v>586</v>
      </c>
    </row>
    <row r="25" spans="1:11" s="167" customFormat="1">
      <c r="A25" s="169" t="s">
        <v>83</v>
      </c>
      <c r="B25" s="170" t="s">
        <v>14</v>
      </c>
      <c r="C25" s="501">
        <v>8333</v>
      </c>
      <c r="D25" s="501">
        <v>35454</v>
      </c>
      <c r="E25" s="171">
        <f t="shared" ref="E25:E60" si="3">C25+D25</f>
        <v>43787</v>
      </c>
      <c r="F25" s="171">
        <v>84150</v>
      </c>
      <c r="G25" s="182">
        <f>E25+F25</f>
        <v>127937</v>
      </c>
      <c r="H25" s="172">
        <f>IF($G$208=0,0,G25/$G$208)</f>
        <v>2.6330761094768743E-2</v>
      </c>
      <c r="I25" s="473"/>
      <c r="J25" s="183">
        <f>173+616+1216</f>
        <v>2005</v>
      </c>
      <c r="K25" s="183">
        <f>173+616+1216</f>
        <v>2005</v>
      </c>
    </row>
    <row r="26" spans="1:11" s="167" customFormat="1">
      <c r="A26" s="169" t="s">
        <v>84</v>
      </c>
      <c r="B26" s="170" t="s">
        <v>176</v>
      </c>
      <c r="C26" s="501">
        <v>0</v>
      </c>
      <c r="D26" s="501">
        <v>0</v>
      </c>
      <c r="E26" s="171">
        <f t="shared" si="3"/>
        <v>0</v>
      </c>
      <c r="F26" s="171">
        <v>0</v>
      </c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v>20288</v>
      </c>
      <c r="D27" s="501">
        <v>40124</v>
      </c>
      <c r="E27" s="171">
        <f t="shared" si="3"/>
        <v>60412</v>
      </c>
      <c r="F27" s="171">
        <v>45306</v>
      </c>
      <c r="G27" s="171">
        <f t="shared" si="4"/>
        <v>105718</v>
      </c>
      <c r="H27" s="172">
        <f t="shared" si="5"/>
        <v>2.1757860520543407E-2</v>
      </c>
      <c r="I27" s="473"/>
      <c r="J27" s="183">
        <f>1160+1811+3666</f>
        <v>6637</v>
      </c>
      <c r="K27" s="183">
        <f>1379+1811+3853</f>
        <v>7043</v>
      </c>
    </row>
    <row r="28" spans="1:11" s="167" customFormat="1">
      <c r="A28" s="169" t="s">
        <v>86</v>
      </c>
      <c r="B28" s="170" t="s">
        <v>45</v>
      </c>
      <c r="C28" s="501">
        <v>6015</v>
      </c>
      <c r="D28" s="501">
        <v>8624</v>
      </c>
      <c r="E28" s="171">
        <f t="shared" si="3"/>
        <v>14639</v>
      </c>
      <c r="F28" s="171">
        <v>14400</v>
      </c>
      <c r="G28" s="171">
        <f t="shared" si="4"/>
        <v>29039</v>
      </c>
      <c r="H28" s="172">
        <f t="shared" si="5"/>
        <v>5.9765272863283453E-3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v>0</v>
      </c>
      <c r="D29" s="501">
        <v>0</v>
      </c>
      <c r="E29" s="171">
        <f t="shared" si="3"/>
        <v>0</v>
      </c>
      <c r="F29" s="171">
        <v>0</v>
      </c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v>0</v>
      </c>
      <c r="D30" s="501">
        <v>0</v>
      </c>
      <c r="E30" s="171">
        <f t="shared" si="3"/>
        <v>0</v>
      </c>
      <c r="F30" s="171">
        <v>0</v>
      </c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v>41376</v>
      </c>
      <c r="D31" s="608">
        <f>42480+3380.22</f>
        <v>45860.22</v>
      </c>
      <c r="E31" s="171">
        <f t="shared" si="3"/>
        <v>87236.22</v>
      </c>
      <c r="F31" s="171">
        <v>75882</v>
      </c>
      <c r="G31" s="171">
        <f t="shared" si="4"/>
        <v>163118.22</v>
      </c>
      <c r="H31" s="172">
        <f t="shared" si="5"/>
        <v>3.3571420941744208E-2</v>
      </c>
      <c r="I31" s="472" t="s">
        <v>627</v>
      </c>
      <c r="J31" s="168"/>
      <c r="K31" s="168"/>
    </row>
    <row r="32" spans="1:11" s="167" customFormat="1">
      <c r="A32" s="169" t="s">
        <v>90</v>
      </c>
      <c r="B32" s="170" t="s">
        <v>23</v>
      </c>
      <c r="C32" s="501">
        <v>1107</v>
      </c>
      <c r="D32" s="501">
        <v>0</v>
      </c>
      <c r="E32" s="171">
        <f t="shared" si="3"/>
        <v>1107</v>
      </c>
      <c r="F32" s="171">
        <v>0</v>
      </c>
      <c r="G32" s="171">
        <f t="shared" si="4"/>
        <v>1107</v>
      </c>
      <c r="H32" s="172">
        <f t="shared" si="5"/>
        <v>2.2783207775630974E-4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v>670</v>
      </c>
      <c r="D33" s="501">
        <v>4827</v>
      </c>
      <c r="E33" s="171">
        <f t="shared" si="3"/>
        <v>5497</v>
      </c>
      <c r="F33" s="171">
        <v>8793</v>
      </c>
      <c r="G33" s="171">
        <f t="shared" si="4"/>
        <v>14290</v>
      </c>
      <c r="H33" s="172">
        <f t="shared" si="5"/>
        <v>2.9410301636293278E-3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v>324</v>
      </c>
      <c r="D34" s="501">
        <v>13557</v>
      </c>
      <c r="E34" s="171">
        <f t="shared" si="3"/>
        <v>13881</v>
      </c>
      <c r="F34" s="171">
        <v>23133</v>
      </c>
      <c r="G34" s="171">
        <f t="shared" si="4"/>
        <v>37014</v>
      </c>
      <c r="H34" s="172">
        <f t="shared" si="5"/>
        <v>7.6178649738681556E-3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v>3057</v>
      </c>
      <c r="D35" s="501">
        <v>8123</v>
      </c>
      <c r="E35" s="171">
        <f t="shared" si="3"/>
        <v>11180</v>
      </c>
      <c r="F35" s="640">
        <v>11177</v>
      </c>
      <c r="G35" s="171">
        <f t="shared" si="4"/>
        <v>22357</v>
      </c>
      <c r="H35" s="172">
        <f t="shared" si="5"/>
        <v>4.6013024050567449E-3</v>
      </c>
      <c r="I35" s="472" t="s">
        <v>663</v>
      </c>
      <c r="J35" s="168"/>
      <c r="K35" s="168"/>
    </row>
    <row r="36" spans="1:11" s="167" customFormat="1">
      <c r="A36" s="169" t="s">
        <v>94</v>
      </c>
      <c r="B36" s="170" t="s">
        <v>27</v>
      </c>
      <c r="C36" s="501">
        <v>14422</v>
      </c>
      <c r="D36" s="501">
        <v>24036</v>
      </c>
      <c r="E36" s="171">
        <f t="shared" si="3"/>
        <v>38458</v>
      </c>
      <c r="F36" s="171">
        <v>22008</v>
      </c>
      <c r="G36" s="171">
        <f t="shared" si="4"/>
        <v>60466</v>
      </c>
      <c r="H36" s="172">
        <f t="shared" si="5"/>
        <v>1.2444529732261088E-2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v>0</v>
      </c>
      <c r="D37" s="501">
        <v>0</v>
      </c>
      <c r="E37" s="171">
        <f t="shared" si="3"/>
        <v>0</v>
      </c>
      <c r="F37" s="171">
        <v>0</v>
      </c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v>404</v>
      </c>
      <c r="D38" s="501">
        <v>6205</v>
      </c>
      <c r="E38" s="171">
        <f t="shared" si="3"/>
        <v>6609</v>
      </c>
      <c r="F38" s="171">
        <v>6152</v>
      </c>
      <c r="G38" s="171">
        <f t="shared" si="4"/>
        <v>12761</v>
      </c>
      <c r="H38" s="172">
        <f t="shared" si="5"/>
        <v>2.6263461104320401E-3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v>0</v>
      </c>
      <c r="D39" s="501">
        <v>0</v>
      </c>
      <c r="E39" s="171">
        <f t="shared" si="3"/>
        <v>0</v>
      </c>
      <c r="F39" s="171">
        <v>0</v>
      </c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v>0</v>
      </c>
      <c r="D40" s="501">
        <v>0</v>
      </c>
      <c r="E40" s="171">
        <f t="shared" si="3"/>
        <v>0</v>
      </c>
      <c r="F40" s="171">
        <v>0</v>
      </c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v>29347</v>
      </c>
      <c r="D41" s="501">
        <v>111428</v>
      </c>
      <c r="E41" s="171">
        <f t="shared" si="3"/>
        <v>140775</v>
      </c>
      <c r="F41" s="171">
        <v>189361</v>
      </c>
      <c r="G41" s="171">
        <f t="shared" si="4"/>
        <v>330136</v>
      </c>
      <c r="H41" s="172">
        <f t="shared" si="5"/>
        <v>6.794541176346619E-2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v>11851</v>
      </c>
      <c r="D42" s="501">
        <v>0</v>
      </c>
      <c r="E42" s="171">
        <f t="shared" si="3"/>
        <v>11851</v>
      </c>
      <c r="F42" s="171">
        <v>0</v>
      </c>
      <c r="G42" s="171">
        <f t="shared" si="4"/>
        <v>11851</v>
      </c>
      <c r="H42" s="172">
        <f t="shared" si="5"/>
        <v>2.43905867523941E-3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v>0</v>
      </c>
      <c r="D43" s="501">
        <v>0</v>
      </c>
      <c r="E43" s="171">
        <f t="shared" si="3"/>
        <v>0</v>
      </c>
      <c r="F43" s="171">
        <v>0</v>
      </c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v>0</v>
      </c>
      <c r="D44" s="501">
        <v>0</v>
      </c>
      <c r="E44" s="171">
        <f t="shared" si="3"/>
        <v>0</v>
      </c>
      <c r="F44" s="171">
        <v>0</v>
      </c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v>0</v>
      </c>
      <c r="D45" s="501">
        <v>0</v>
      </c>
      <c r="E45" s="171">
        <f t="shared" si="3"/>
        <v>0</v>
      </c>
      <c r="F45" s="171">
        <v>0</v>
      </c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v>9520</v>
      </c>
      <c r="D46" s="501">
        <v>9611</v>
      </c>
      <c r="E46" s="171">
        <f t="shared" si="3"/>
        <v>19131</v>
      </c>
      <c r="F46" s="171">
        <v>16819</v>
      </c>
      <c r="G46" s="171">
        <f t="shared" si="4"/>
        <v>35950</v>
      </c>
      <c r="H46" s="172">
        <f t="shared" si="5"/>
        <v>7.3988827419506189E-3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v>2115</v>
      </c>
      <c r="D47" s="501">
        <v>14001</v>
      </c>
      <c r="E47" s="171">
        <f t="shared" si="3"/>
        <v>16116</v>
      </c>
      <c r="F47" s="171">
        <v>24502</v>
      </c>
      <c r="G47" s="171">
        <f t="shared" si="4"/>
        <v>40618</v>
      </c>
      <c r="H47" s="172">
        <f t="shared" si="5"/>
        <v>8.3596055413783094E-3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v>0</v>
      </c>
      <c r="D48" s="501">
        <v>0</v>
      </c>
      <c r="E48" s="171">
        <f t="shared" si="3"/>
        <v>0</v>
      </c>
      <c r="F48" s="171">
        <v>0</v>
      </c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v>0</v>
      </c>
      <c r="D49" s="501">
        <v>0</v>
      </c>
      <c r="E49" s="171">
        <f t="shared" si="3"/>
        <v>0</v>
      </c>
      <c r="F49" s="171">
        <v>0</v>
      </c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v>0</v>
      </c>
      <c r="D50" s="501">
        <v>0</v>
      </c>
      <c r="E50" s="171">
        <f t="shared" si="3"/>
        <v>0</v>
      </c>
      <c r="F50" s="171">
        <v>0</v>
      </c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v>4315</v>
      </c>
      <c r="D51" s="501">
        <v>16046</v>
      </c>
      <c r="E51" s="171">
        <f t="shared" si="3"/>
        <v>20361</v>
      </c>
      <c r="F51" s="171">
        <v>27683</v>
      </c>
      <c r="G51" s="171">
        <f t="shared" si="4"/>
        <v>48044</v>
      </c>
      <c r="H51" s="172">
        <f t="shared" si="5"/>
        <v>9.8879533366975116E-3</v>
      </c>
      <c r="I51" s="473"/>
      <c r="J51" s="183">
        <f>286+1062+1884</f>
        <v>3232</v>
      </c>
      <c r="K51" s="183">
        <f>340+1062+1958</f>
        <v>3360</v>
      </c>
    </row>
    <row r="52" spans="1:11" s="167" customFormat="1">
      <c r="A52" s="163">
        <v>290</v>
      </c>
      <c r="B52" s="170" t="s">
        <v>205</v>
      </c>
      <c r="C52" s="501">
        <v>907</v>
      </c>
      <c r="D52" s="501">
        <v>2064</v>
      </c>
      <c r="E52" s="171">
        <f t="shared" si="3"/>
        <v>2971</v>
      </c>
      <c r="F52" s="171">
        <v>3258</v>
      </c>
      <c r="G52" s="171">
        <f t="shared" si="4"/>
        <v>6229</v>
      </c>
      <c r="H52" s="172">
        <f t="shared" si="5"/>
        <v>1.2819927844119723E-3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v>0</v>
      </c>
      <c r="D53" s="501">
        <v>0</v>
      </c>
      <c r="E53" s="171">
        <f t="shared" si="3"/>
        <v>0</v>
      </c>
      <c r="F53" s="171">
        <v>0</v>
      </c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v>721</v>
      </c>
      <c r="D54" s="501">
        <v>825</v>
      </c>
      <c r="E54" s="171">
        <f t="shared" si="3"/>
        <v>1546</v>
      </c>
      <c r="F54" s="171">
        <v>751</v>
      </c>
      <c r="G54" s="171">
        <f t="shared" si="4"/>
        <v>2297</v>
      </c>
      <c r="H54" s="172">
        <f t="shared" si="5"/>
        <v>4.7274641608513408E-4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v>0</v>
      </c>
      <c r="D55" s="501">
        <v>0</v>
      </c>
      <c r="E55" s="171">
        <f t="shared" si="3"/>
        <v>0</v>
      </c>
      <c r="F55" s="171">
        <v>0</v>
      </c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v>3556</v>
      </c>
      <c r="D56" s="501">
        <v>8818</v>
      </c>
      <c r="E56" s="171">
        <f t="shared" si="3"/>
        <v>12374</v>
      </c>
      <c r="F56" s="171">
        <v>11582</v>
      </c>
      <c r="G56" s="171">
        <f t="shared" si="4"/>
        <v>23956</v>
      </c>
      <c r="H56" s="172">
        <f t="shared" si="5"/>
        <v>4.9303931840380816E-3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v>489</v>
      </c>
      <c r="D57" s="501">
        <v>150</v>
      </c>
      <c r="E57" s="171">
        <f t="shared" si="3"/>
        <v>639</v>
      </c>
      <c r="F57" s="171">
        <v>1523</v>
      </c>
      <c r="G57" s="171">
        <f t="shared" si="4"/>
        <v>2162</v>
      </c>
      <c r="H57" s="172">
        <f t="shared" si="5"/>
        <v>4.4496201635875487E-4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v>988</v>
      </c>
      <c r="D58" s="501">
        <v>0</v>
      </c>
      <c r="E58" s="171">
        <f t="shared" si="3"/>
        <v>988</v>
      </c>
      <c r="F58" s="171">
        <v>0</v>
      </c>
      <c r="G58" s="171">
        <f t="shared" si="4"/>
        <v>988</v>
      </c>
      <c r="H58" s="172">
        <f t="shared" si="5"/>
        <v>2.0334064392342729E-4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v>0</v>
      </c>
      <c r="D59" s="501">
        <v>0</v>
      </c>
      <c r="E59" s="171">
        <f t="shared" si="3"/>
        <v>0</v>
      </c>
      <c r="F59" s="171">
        <v>0</v>
      </c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v>1499</v>
      </c>
      <c r="D60" s="501">
        <v>2798</v>
      </c>
      <c r="E60" s="171">
        <f t="shared" si="3"/>
        <v>4297</v>
      </c>
      <c r="F60" s="640">
        <f>12631-27.62-520.68</f>
        <v>12082.699999999999</v>
      </c>
      <c r="G60" s="171">
        <f t="shared" si="4"/>
        <v>16379.699999999999</v>
      </c>
      <c r="H60" s="172">
        <f t="shared" si="5"/>
        <v>3.3711120903568439E-3</v>
      </c>
      <c r="I60" s="641" t="s">
        <v>664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161304</v>
      </c>
      <c r="D61" s="501">
        <f>SUM(D25:D60)</f>
        <v>352551.22</v>
      </c>
      <c r="E61" s="171">
        <f t="shared" ref="E61:F61" si="6">SUM(E25:E60)</f>
        <v>513855.22</v>
      </c>
      <c r="F61" s="171">
        <f t="shared" si="6"/>
        <v>578562.69999999995</v>
      </c>
      <c r="G61" s="171">
        <f>SUM(G25:G60)</f>
        <v>1092417.92</v>
      </c>
      <c r="H61" s="186">
        <f t="shared" si="5"/>
        <v>0.22483093450029459</v>
      </c>
      <c r="I61" s="642" t="s">
        <v>662</v>
      </c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609" t="s">
        <v>625</v>
      </c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v>0</v>
      </c>
      <c r="D64" s="608">
        <f>4780-3380.22</f>
        <v>1399.7800000000002</v>
      </c>
      <c r="E64" s="171">
        <f t="shared" ref="E64:E78" si="7">C64+D64</f>
        <v>1399.7800000000002</v>
      </c>
      <c r="F64" s="171">
        <v>8138</v>
      </c>
      <c r="G64" s="171">
        <f t="shared" ref="G64:G78" si="8">E64+F64</f>
        <v>9537.7800000000007</v>
      </c>
      <c r="H64" s="172">
        <f t="shared" ref="H64:H79" si="9">IF($G$208=0,0,G64/$G$208)</f>
        <v>1.9629740149797433E-3</v>
      </c>
      <c r="I64" s="472" t="s">
        <v>626</v>
      </c>
      <c r="J64" s="190"/>
      <c r="K64" s="168"/>
    </row>
    <row r="65" spans="1:11" s="167" customFormat="1">
      <c r="A65" s="191">
        <v>240</v>
      </c>
      <c r="B65" s="189" t="s">
        <v>254</v>
      </c>
      <c r="C65" s="501">
        <v>15782</v>
      </c>
      <c r="D65" s="501">
        <v>3942</v>
      </c>
      <c r="E65" s="171">
        <f t="shared" si="7"/>
        <v>19724</v>
      </c>
      <c r="F65" s="171">
        <v>2620</v>
      </c>
      <c r="G65" s="171">
        <f t="shared" si="8"/>
        <v>22344</v>
      </c>
      <c r="H65" s="172">
        <f t="shared" si="9"/>
        <v>4.5986268702682791E-3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v>3990</v>
      </c>
      <c r="D66" s="501">
        <v>95287</v>
      </c>
      <c r="E66" s="171">
        <f t="shared" si="7"/>
        <v>99277</v>
      </c>
      <c r="F66" s="171">
        <v>115602</v>
      </c>
      <c r="G66" s="171">
        <f t="shared" si="8"/>
        <v>214879</v>
      </c>
      <c r="H66" s="172">
        <f t="shared" si="9"/>
        <v>4.4224326139293661E-2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v>1170</v>
      </c>
      <c r="D67" s="501">
        <v>5144</v>
      </c>
      <c r="E67" s="171">
        <f t="shared" si="7"/>
        <v>6314</v>
      </c>
      <c r="F67" s="171">
        <v>8203</v>
      </c>
      <c r="G67" s="171">
        <f t="shared" si="8"/>
        <v>14517</v>
      </c>
      <c r="H67" s="172">
        <f t="shared" si="9"/>
        <v>2.9877491172433136E-3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v>1342</v>
      </c>
      <c r="D68" s="501">
        <v>3402</v>
      </c>
      <c r="E68" s="171">
        <f t="shared" si="7"/>
        <v>4744</v>
      </c>
      <c r="F68" s="171">
        <v>5953</v>
      </c>
      <c r="G68" s="171">
        <f t="shared" si="8"/>
        <v>10697</v>
      </c>
      <c r="H68" s="172">
        <f t="shared" si="9"/>
        <v>2.2015535101709534E-3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v>1038</v>
      </c>
      <c r="D69" s="501">
        <v>0</v>
      </c>
      <c r="E69" s="171">
        <f t="shared" si="7"/>
        <v>1038</v>
      </c>
      <c r="F69" s="171">
        <v>0</v>
      </c>
      <c r="G69" s="171">
        <f t="shared" si="8"/>
        <v>1038</v>
      </c>
      <c r="H69" s="172">
        <f t="shared" si="9"/>
        <v>2.1363116234060479E-4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v>0</v>
      </c>
      <c r="D70" s="501">
        <v>0</v>
      </c>
      <c r="E70" s="171">
        <f t="shared" si="7"/>
        <v>0</v>
      </c>
      <c r="F70" s="171">
        <v>0</v>
      </c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v>0</v>
      </c>
      <c r="D71" s="501">
        <v>0</v>
      </c>
      <c r="E71" s="171">
        <f t="shared" si="7"/>
        <v>0</v>
      </c>
      <c r="F71" s="171">
        <v>0</v>
      </c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v>764</v>
      </c>
      <c r="D72" s="501">
        <v>2879</v>
      </c>
      <c r="E72" s="171">
        <f t="shared" si="7"/>
        <v>3643</v>
      </c>
      <c r="F72" s="171">
        <v>5038</v>
      </c>
      <c r="G72" s="171">
        <f t="shared" si="8"/>
        <v>8681</v>
      </c>
      <c r="H72" s="172">
        <f t="shared" si="9"/>
        <v>1.7866398075903566E-3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v>0</v>
      </c>
      <c r="D73" s="501">
        <v>0</v>
      </c>
      <c r="E73" s="171">
        <f t="shared" si="7"/>
        <v>0</v>
      </c>
      <c r="F73" s="171">
        <v>0</v>
      </c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v>3999</v>
      </c>
      <c r="D74" s="501">
        <v>1257</v>
      </c>
      <c r="E74" s="171">
        <f t="shared" si="7"/>
        <v>5256</v>
      </c>
      <c r="F74" s="171">
        <v>2993</v>
      </c>
      <c r="G74" s="171">
        <f t="shared" si="8"/>
        <v>8249</v>
      </c>
      <c r="H74" s="172">
        <f t="shared" si="9"/>
        <v>1.697729728465943E-3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v>0</v>
      </c>
      <c r="D75" s="501">
        <v>0</v>
      </c>
      <c r="E75" s="171">
        <f t="shared" si="7"/>
        <v>0</v>
      </c>
      <c r="F75" s="171">
        <v>0</v>
      </c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v>0</v>
      </c>
      <c r="D76" s="501">
        <v>0</v>
      </c>
      <c r="E76" s="171">
        <f t="shared" si="7"/>
        <v>0</v>
      </c>
      <c r="F76" s="171">
        <v>0</v>
      </c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v>0</v>
      </c>
      <c r="D77" s="501">
        <v>0</v>
      </c>
      <c r="E77" s="171">
        <f t="shared" si="7"/>
        <v>0</v>
      </c>
      <c r="F77" s="171">
        <v>0</v>
      </c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v>17980</v>
      </c>
      <c r="D78" s="501">
        <v>0</v>
      </c>
      <c r="E78" s="171">
        <f t="shared" si="7"/>
        <v>17980</v>
      </c>
      <c r="F78" s="171">
        <v>0</v>
      </c>
      <c r="G78" s="171">
        <f t="shared" si="8"/>
        <v>17980</v>
      </c>
      <c r="H78" s="172">
        <f t="shared" si="9"/>
        <v>3.700470422817027E-3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46065</v>
      </c>
      <c r="D79" s="501">
        <f>SUM(D64:D78)</f>
        <v>113310.78</v>
      </c>
      <c r="E79" s="171">
        <f t="shared" ref="E79:F79" si="10">SUM(E64:E78)</f>
        <v>159375.78</v>
      </c>
      <c r="F79" s="171">
        <f t="shared" si="10"/>
        <v>148547</v>
      </c>
      <c r="G79" s="171">
        <f>SUM(G64:G78)</f>
        <v>307922.78000000003</v>
      </c>
      <c r="H79" s="172">
        <f t="shared" si="9"/>
        <v>6.337370077316988E-2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v>4053</v>
      </c>
      <c r="D82" s="501">
        <v>19160</v>
      </c>
      <c r="E82" s="171">
        <f t="shared" ref="E82:E92" si="11">C82+D82</f>
        <v>23213</v>
      </c>
      <c r="F82" s="171">
        <v>52658</v>
      </c>
      <c r="G82" s="171">
        <f t="shared" ref="G82:G92" si="12">E82+F82</f>
        <v>75871</v>
      </c>
      <c r="H82" s="172">
        <f t="shared" ref="H82:H93" si="13">IF($G$208=0,0,G82/$G$208)</f>
        <v>1.5615038456593474E-2</v>
      </c>
      <c r="I82" s="473"/>
      <c r="J82" s="183">
        <f>262+1026+1528</f>
        <v>2816</v>
      </c>
      <c r="K82" s="183">
        <f>310+1026+1619</f>
        <v>2955</v>
      </c>
    </row>
    <row r="83" spans="1:11" s="167" customFormat="1">
      <c r="A83" s="169" t="s">
        <v>86</v>
      </c>
      <c r="B83" s="199" t="s">
        <v>45</v>
      </c>
      <c r="C83" s="501">
        <v>852</v>
      </c>
      <c r="D83" s="501">
        <v>2500</v>
      </c>
      <c r="E83" s="171">
        <f t="shared" si="11"/>
        <v>3352</v>
      </c>
      <c r="F83" s="171">
        <v>10761</v>
      </c>
      <c r="G83" s="171">
        <f t="shared" si="12"/>
        <v>14113</v>
      </c>
      <c r="H83" s="172">
        <f t="shared" si="13"/>
        <v>2.9046017284325197E-3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v>1179</v>
      </c>
      <c r="D84" s="501">
        <v>3554</v>
      </c>
      <c r="E84" s="171">
        <f t="shared" si="11"/>
        <v>4733</v>
      </c>
      <c r="F84" s="171">
        <v>6053</v>
      </c>
      <c r="G84" s="171">
        <f t="shared" si="12"/>
        <v>10786</v>
      </c>
      <c r="H84" s="172">
        <f t="shared" si="13"/>
        <v>2.2198706329535291E-3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v>6697</v>
      </c>
      <c r="D85" s="501">
        <v>567</v>
      </c>
      <c r="E85" s="171">
        <f t="shared" si="11"/>
        <v>7264</v>
      </c>
      <c r="F85" s="171">
        <v>256</v>
      </c>
      <c r="G85" s="171">
        <f t="shared" si="12"/>
        <v>7520</v>
      </c>
      <c r="H85" s="172">
        <f t="shared" si="13"/>
        <v>1.5476939699434953E-3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v>24</v>
      </c>
      <c r="D86" s="501">
        <v>485</v>
      </c>
      <c r="E86" s="171">
        <f t="shared" si="11"/>
        <v>509</v>
      </c>
      <c r="F86" s="171">
        <v>3830</v>
      </c>
      <c r="G86" s="171">
        <f>E86+F86</f>
        <v>4339</v>
      </c>
      <c r="H86" s="172">
        <f t="shared" si="13"/>
        <v>8.9301118824266297E-4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v>4453</v>
      </c>
      <c r="D87" s="501">
        <v>6247</v>
      </c>
      <c r="E87" s="171">
        <f t="shared" si="11"/>
        <v>10700</v>
      </c>
      <c r="F87" s="171">
        <v>10582</v>
      </c>
      <c r="G87" s="171">
        <f t="shared" si="12"/>
        <v>21282</v>
      </c>
      <c r="H87" s="172">
        <f t="shared" si="13"/>
        <v>4.3800562590874288E-3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v>0</v>
      </c>
      <c r="D88" s="501">
        <v>0</v>
      </c>
      <c r="E88" s="171">
        <f t="shared" si="11"/>
        <v>0</v>
      </c>
      <c r="F88" s="171">
        <v>0</v>
      </c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v>0</v>
      </c>
      <c r="D89" s="501">
        <v>0</v>
      </c>
      <c r="E89" s="171">
        <f t="shared" si="11"/>
        <v>0</v>
      </c>
      <c r="F89" s="171">
        <v>0</v>
      </c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v>379</v>
      </c>
      <c r="D90" s="501">
        <v>0</v>
      </c>
      <c r="E90" s="171">
        <f t="shared" si="11"/>
        <v>379</v>
      </c>
      <c r="F90" s="171">
        <v>0</v>
      </c>
      <c r="G90" s="171">
        <f t="shared" si="12"/>
        <v>379</v>
      </c>
      <c r="H90" s="172">
        <f t="shared" si="13"/>
        <v>7.8002129602205408E-5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v>6556</v>
      </c>
      <c r="D91" s="501">
        <v>32521</v>
      </c>
      <c r="E91" s="171">
        <f t="shared" si="11"/>
        <v>39077</v>
      </c>
      <c r="F91" s="171">
        <v>42650</v>
      </c>
      <c r="G91" s="171">
        <f t="shared" si="12"/>
        <v>81727</v>
      </c>
      <c r="H91" s="172">
        <f t="shared" si="13"/>
        <v>1.6820263973613303E-2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v>124</v>
      </c>
      <c r="D92" s="501">
        <v>3016</v>
      </c>
      <c r="E92" s="171">
        <f t="shared" si="11"/>
        <v>3140</v>
      </c>
      <c r="F92" s="171">
        <v>6424</v>
      </c>
      <c r="G92" s="171">
        <f t="shared" si="12"/>
        <v>9564</v>
      </c>
      <c r="H92" s="172">
        <f t="shared" si="13"/>
        <v>1.9683703628377114E-3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24317</v>
      </c>
      <c r="D93" s="501">
        <f>SUM(D82:D92)</f>
        <v>68050</v>
      </c>
      <c r="E93" s="171">
        <f t="shared" ref="E93:F93" si="14">SUM(E82:E92)</f>
        <v>92367</v>
      </c>
      <c r="F93" s="171">
        <f t="shared" si="14"/>
        <v>133214</v>
      </c>
      <c r="G93" s="171">
        <f>SUM(G82:G92)</f>
        <v>225581</v>
      </c>
      <c r="H93" s="172">
        <f t="shared" si="13"/>
        <v>4.6426908701306328E-2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v>20286</v>
      </c>
      <c r="D96" s="501">
        <v>64933</v>
      </c>
      <c r="E96" s="171">
        <f t="shared" ref="E96:E101" si="15">C96+D96</f>
        <v>85219</v>
      </c>
      <c r="F96" s="171">
        <v>96846</v>
      </c>
      <c r="G96" s="171">
        <f t="shared" ref="G96:G101" si="16">E96+F96</f>
        <v>182065</v>
      </c>
      <c r="H96" s="172">
        <f t="shared" ref="H96:H102" si="17">IF($G$208=0,0,G96/$G$208)</f>
        <v>3.747086471246841E-2</v>
      </c>
      <c r="I96" s="473"/>
      <c r="J96" s="183">
        <f>1516+4443+7241</f>
        <v>13200</v>
      </c>
      <c r="K96" s="183">
        <f>1682+4457+7309</f>
        <v>13448</v>
      </c>
    </row>
    <row r="97" spans="1:11" s="167" customFormat="1">
      <c r="A97" s="169" t="s">
        <v>86</v>
      </c>
      <c r="B97" s="170" t="s">
        <v>45</v>
      </c>
      <c r="C97" s="501">
        <v>4263</v>
      </c>
      <c r="D97" s="501">
        <v>8227</v>
      </c>
      <c r="E97" s="171">
        <f t="shared" si="15"/>
        <v>12490</v>
      </c>
      <c r="F97" s="171">
        <v>12720</v>
      </c>
      <c r="G97" s="171">
        <f t="shared" si="16"/>
        <v>25210</v>
      </c>
      <c r="H97" s="172">
        <f t="shared" si="17"/>
        <v>5.1884793859408931E-3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v>1440</v>
      </c>
      <c r="D98" s="501">
        <v>7298</v>
      </c>
      <c r="E98" s="171">
        <f t="shared" si="15"/>
        <v>8738</v>
      </c>
      <c r="F98" s="171">
        <v>10436</v>
      </c>
      <c r="G98" s="171">
        <f t="shared" si="16"/>
        <v>19174</v>
      </c>
      <c r="H98" s="172">
        <f t="shared" si="17"/>
        <v>3.9462080026192257E-3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v>14462</v>
      </c>
      <c r="D99" s="501">
        <v>48828</v>
      </c>
      <c r="E99" s="171">
        <f t="shared" si="15"/>
        <v>63290</v>
      </c>
      <c r="F99" s="171">
        <v>71426</v>
      </c>
      <c r="G99" s="171">
        <f t="shared" si="16"/>
        <v>134716</v>
      </c>
      <c r="H99" s="172">
        <f t="shared" si="17"/>
        <v>2.7725949581769667E-2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v>2010</v>
      </c>
      <c r="D100" s="501">
        <v>7354</v>
      </c>
      <c r="E100" s="171">
        <f t="shared" si="15"/>
        <v>9364</v>
      </c>
      <c r="F100" s="171">
        <v>8898</v>
      </c>
      <c r="G100" s="171">
        <f t="shared" si="16"/>
        <v>18262</v>
      </c>
      <c r="H100" s="172">
        <f t="shared" si="17"/>
        <v>3.7585089466899081E-3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v>0</v>
      </c>
      <c r="D101" s="501">
        <v>0</v>
      </c>
      <c r="E101" s="171">
        <f t="shared" si="15"/>
        <v>0</v>
      </c>
      <c r="F101" s="171">
        <v>0</v>
      </c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42461</v>
      </c>
      <c r="D102" s="501">
        <f>SUM(D96:D101)</f>
        <v>136640</v>
      </c>
      <c r="E102" s="171">
        <f t="shared" ref="E102:F102" si="18">SUM(E96:E101)</f>
        <v>179101</v>
      </c>
      <c r="F102" s="171">
        <f t="shared" si="18"/>
        <v>200326</v>
      </c>
      <c r="G102" s="171">
        <f>SUM(G96:G101)</f>
        <v>379427</v>
      </c>
      <c r="H102" s="172">
        <f t="shared" si="17"/>
        <v>7.8090010629488102E-2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v>0</v>
      </c>
      <c r="D105" s="501">
        <v>0</v>
      </c>
      <c r="E105" s="171">
        <f t="shared" ref="E105:E110" si="19">C105+D105</f>
        <v>0</v>
      </c>
      <c r="F105" s="171">
        <v>0</v>
      </c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v>0</v>
      </c>
      <c r="D106" s="501">
        <v>0</v>
      </c>
      <c r="E106" s="171">
        <f t="shared" si="19"/>
        <v>0</v>
      </c>
      <c r="F106" s="171">
        <v>0</v>
      </c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v>15</v>
      </c>
      <c r="D107" s="501">
        <v>1173</v>
      </c>
      <c r="E107" s="171">
        <f t="shared" si="19"/>
        <v>1188</v>
      </c>
      <c r="F107" s="171">
        <v>221</v>
      </c>
      <c r="G107" s="171">
        <f t="shared" si="20"/>
        <v>1409</v>
      </c>
      <c r="H107" s="172">
        <f t="shared" si="21"/>
        <v>2.8998680899606182E-4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v>5800</v>
      </c>
      <c r="D108" s="501">
        <v>0</v>
      </c>
      <c r="E108" s="171">
        <f t="shared" si="19"/>
        <v>5800</v>
      </c>
      <c r="F108" s="171">
        <v>0</v>
      </c>
      <c r="G108" s="171">
        <f t="shared" si="20"/>
        <v>5800</v>
      </c>
      <c r="H108" s="172">
        <f t="shared" si="21"/>
        <v>1.1937001363925893E-3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v>0</v>
      </c>
      <c r="D109" s="501">
        <v>0</v>
      </c>
      <c r="E109" s="171">
        <f t="shared" si="19"/>
        <v>0</v>
      </c>
      <c r="F109" s="171">
        <v>97</v>
      </c>
      <c r="G109" s="171">
        <f t="shared" si="20"/>
        <v>97</v>
      </c>
      <c r="H109" s="172">
        <f t="shared" si="21"/>
        <v>1.996360572932434E-5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v>0</v>
      </c>
      <c r="D110" s="501">
        <v>0</v>
      </c>
      <c r="E110" s="171">
        <f t="shared" si="19"/>
        <v>0</v>
      </c>
      <c r="F110" s="171">
        <v>0</v>
      </c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5815</v>
      </c>
      <c r="D111" s="501">
        <f>SUM(D105:D110)</f>
        <v>1173</v>
      </c>
      <c r="E111" s="171">
        <f t="shared" ref="E111:F111" si="22">SUM(E105:E110)</f>
        <v>6988</v>
      </c>
      <c r="F111" s="171">
        <f t="shared" si="22"/>
        <v>318</v>
      </c>
      <c r="G111" s="171">
        <f>SUM(G105:G110)</f>
        <v>7306</v>
      </c>
      <c r="H111" s="172">
        <f t="shared" si="21"/>
        <v>1.5036505511179755E-3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v>0</v>
      </c>
      <c r="D114" s="501">
        <v>31961</v>
      </c>
      <c r="E114" s="171">
        <f t="shared" ref="E114:E118" si="23">C114+D114</f>
        <v>31961</v>
      </c>
      <c r="F114" s="171">
        <v>59587</v>
      </c>
      <c r="G114" s="171">
        <f>E114+F114</f>
        <v>91548</v>
      </c>
      <c r="H114" s="172">
        <f t="shared" ref="H114:H119" si="24">IF($G$208=0,0,G114/$G$208)</f>
        <v>1.8841527601115307E-2</v>
      </c>
      <c r="I114" s="473"/>
      <c r="J114" s="183">
        <f>0+2430+5495</f>
        <v>7925</v>
      </c>
      <c r="K114" s="183">
        <f>0+2430+5527</f>
        <v>7957</v>
      </c>
    </row>
    <row r="115" spans="1:11" s="167" customFormat="1">
      <c r="A115" s="169" t="s">
        <v>86</v>
      </c>
      <c r="B115" s="170" t="s">
        <v>151</v>
      </c>
      <c r="C115" s="501">
        <v>0</v>
      </c>
      <c r="D115" s="501">
        <v>4211</v>
      </c>
      <c r="E115" s="171">
        <f t="shared" si="23"/>
        <v>4211</v>
      </c>
      <c r="F115" s="171">
        <v>7839</v>
      </c>
      <c r="G115" s="171">
        <f>E115+F115</f>
        <v>12050</v>
      </c>
      <c r="H115" s="172">
        <f t="shared" si="24"/>
        <v>2.4800149385397763E-3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v>15</v>
      </c>
      <c r="D116" s="501">
        <v>4947</v>
      </c>
      <c r="E116" s="171">
        <f t="shared" si="23"/>
        <v>4962</v>
      </c>
      <c r="F116" s="171">
        <v>8899</v>
      </c>
      <c r="G116" s="171">
        <f>E116+F116</f>
        <v>13861</v>
      </c>
      <c r="H116" s="172">
        <f t="shared" si="24"/>
        <v>2.8527375156099451E-3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v>8700</v>
      </c>
      <c r="D117" s="501">
        <v>0</v>
      </c>
      <c r="E117" s="171">
        <f t="shared" si="23"/>
        <v>8700</v>
      </c>
      <c r="F117" s="171">
        <v>0</v>
      </c>
      <c r="G117" s="171">
        <f>E117+F117</f>
        <v>8700</v>
      </c>
      <c r="H117" s="172">
        <f t="shared" si="24"/>
        <v>1.7905502045888842E-3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v>0</v>
      </c>
      <c r="D118" s="501">
        <v>0</v>
      </c>
      <c r="E118" s="171">
        <f t="shared" si="23"/>
        <v>0</v>
      </c>
      <c r="F118" s="171">
        <v>0</v>
      </c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8715</v>
      </c>
      <c r="D119" s="501">
        <f>SUM(D114:D118)</f>
        <v>41119</v>
      </c>
      <c r="E119" s="171">
        <f t="shared" ref="E119:F119" si="25">SUM(E114:E118)</f>
        <v>49834</v>
      </c>
      <c r="F119" s="171">
        <f t="shared" si="25"/>
        <v>76325</v>
      </c>
      <c r="G119" s="171">
        <f>SUM(G114:G118)</f>
        <v>126159</v>
      </c>
      <c r="H119" s="172">
        <f t="shared" si="24"/>
        <v>2.596483025985391E-2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v>0</v>
      </c>
      <c r="D123" s="501">
        <v>31804</v>
      </c>
      <c r="E123" s="171">
        <f t="shared" ref="E123:E127" si="26">C123+D123</f>
        <v>31804</v>
      </c>
      <c r="F123" s="171">
        <v>60417</v>
      </c>
      <c r="G123" s="171">
        <f>E123+F123</f>
        <v>92221</v>
      </c>
      <c r="H123" s="172">
        <f>IF($G$208=0,0,G123/$G$208)</f>
        <v>1.8980037979010513E-2</v>
      </c>
      <c r="I123" s="473"/>
      <c r="J123" s="183">
        <f>0+616+1156</f>
        <v>1772</v>
      </c>
      <c r="K123" s="183">
        <f>0+616+1216</f>
        <v>1832</v>
      </c>
    </row>
    <row r="124" spans="1:11" s="167" customFormat="1">
      <c r="B124" s="163" t="s">
        <v>194</v>
      </c>
      <c r="C124" s="501">
        <v>19796</v>
      </c>
      <c r="D124" s="501">
        <v>19831</v>
      </c>
      <c r="E124" s="171">
        <f t="shared" si="26"/>
        <v>39627</v>
      </c>
      <c r="F124" s="171">
        <v>35394</v>
      </c>
      <c r="G124" s="171">
        <f>E124+F124</f>
        <v>75021</v>
      </c>
      <c r="H124" s="172">
        <f>IF($G$208=0,0,G124/$G$208)</f>
        <v>1.5440099643501456E-2</v>
      </c>
      <c r="I124" s="473"/>
      <c r="J124" s="183">
        <f>432+616+1216</f>
        <v>2264</v>
      </c>
      <c r="K124" s="183">
        <f>520+616+1216</f>
        <v>2352</v>
      </c>
    </row>
    <row r="125" spans="1:11" s="167" customFormat="1">
      <c r="A125" s="163" t="s">
        <v>198</v>
      </c>
      <c r="B125" s="163" t="s">
        <v>195</v>
      </c>
      <c r="C125" s="501">
        <v>0</v>
      </c>
      <c r="D125" s="501">
        <v>0</v>
      </c>
      <c r="E125" s="171">
        <f t="shared" si="26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v>0</v>
      </c>
      <c r="D126" s="501">
        <v>0</v>
      </c>
      <c r="E126" s="171">
        <f t="shared" si="26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v>6881</v>
      </c>
      <c r="D127" s="501">
        <v>6437</v>
      </c>
      <c r="E127" s="171">
        <f t="shared" si="26"/>
        <v>13318</v>
      </c>
      <c r="F127" s="171">
        <v>2075</v>
      </c>
      <c r="G127" s="171">
        <f>E127+F127</f>
        <v>15393</v>
      </c>
      <c r="H127" s="172">
        <f>IF($G$208=0,0,G127/$G$208)</f>
        <v>3.1680389999122634E-3</v>
      </c>
      <c r="I127" s="473"/>
      <c r="J127" s="183">
        <f>234+528+25</f>
        <v>787</v>
      </c>
      <c r="K127" s="183">
        <f>264+528+25</f>
        <v>817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v>0</v>
      </c>
      <c r="D129" s="501">
        <v>4092</v>
      </c>
      <c r="E129" s="171">
        <f t="shared" ref="E129:E133" si="27">C129+D129</f>
        <v>4092</v>
      </c>
      <c r="F129" s="171">
        <v>7241</v>
      </c>
      <c r="G129" s="171">
        <f>E129+F129</f>
        <v>11333</v>
      </c>
      <c r="H129" s="172">
        <f>IF($G$208=0,0,G129/$G$208)</f>
        <v>2.3324489044374511E-3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v>4160</v>
      </c>
      <c r="D130" s="501">
        <v>2433</v>
      </c>
      <c r="E130" s="171">
        <f t="shared" si="27"/>
        <v>6593</v>
      </c>
      <c r="F130" s="171">
        <v>4165</v>
      </c>
      <c r="G130" s="171">
        <f>E130+F130</f>
        <v>10758</v>
      </c>
      <c r="H130" s="172">
        <f>IF($G$208=0,0,G130/$G$208)</f>
        <v>2.2141079426399096E-3</v>
      </c>
      <c r="I130" s="473"/>
      <c r="J130" s="204"/>
      <c r="K130" s="204"/>
    </row>
    <row r="131" spans="1:11" s="167" customFormat="1">
      <c r="B131" s="163" t="s">
        <v>195</v>
      </c>
      <c r="C131" s="501">
        <v>0</v>
      </c>
      <c r="D131" s="501">
        <v>0</v>
      </c>
      <c r="E131" s="171">
        <f t="shared" si="27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v>0</v>
      </c>
      <c r="D132" s="501">
        <v>0</v>
      </c>
      <c r="E132" s="171">
        <f t="shared" si="27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v>1446</v>
      </c>
      <c r="D133" s="501">
        <v>790</v>
      </c>
      <c r="E133" s="171">
        <f t="shared" si="27"/>
        <v>2236</v>
      </c>
      <c r="F133" s="171">
        <v>244</v>
      </c>
      <c r="G133" s="171">
        <f>E133+F133</f>
        <v>2480</v>
      </c>
      <c r="H133" s="172">
        <f>IF($G$208=0,0,G133/$G$208)</f>
        <v>5.1040971349200373E-4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v>16941</v>
      </c>
      <c r="D135" s="501">
        <v>77632</v>
      </c>
      <c r="E135" s="171">
        <f t="shared" ref="E135:E138" si="28">C135+D135</f>
        <v>94573</v>
      </c>
      <c r="F135" s="171">
        <v>142951</v>
      </c>
      <c r="G135" s="171">
        <f>E135+F135</f>
        <v>237524</v>
      </c>
      <c r="H135" s="172">
        <f>IF($G$208=0,0,G135/$G$208)</f>
        <v>4.8884901930433343E-2</v>
      </c>
      <c r="I135" s="473"/>
      <c r="J135" s="183">
        <f>584+2864+5912</f>
        <v>9360</v>
      </c>
      <c r="K135" s="183">
        <f>860+2870+5998</f>
        <v>9728</v>
      </c>
    </row>
    <row r="136" spans="1:11" s="167" customFormat="1">
      <c r="A136" s="169"/>
      <c r="B136" s="163" t="s">
        <v>195</v>
      </c>
      <c r="C136" s="501">
        <v>31360</v>
      </c>
      <c r="D136" s="501">
        <v>153341</v>
      </c>
      <c r="E136" s="171">
        <f t="shared" si="28"/>
        <v>184701</v>
      </c>
      <c r="F136" s="171">
        <v>241890</v>
      </c>
      <c r="G136" s="171">
        <f>E136+F136</f>
        <v>426591</v>
      </c>
      <c r="H136" s="172">
        <f>IF($G$208=0,0,G136/$G$208)</f>
        <v>8.7796850842043292E-2</v>
      </c>
      <c r="I136" s="473"/>
      <c r="J136" s="183">
        <f>1488+5425+10007</f>
        <v>16920</v>
      </c>
      <c r="K136" s="183">
        <f>1700+5432+10207</f>
        <v>17339</v>
      </c>
    </row>
    <row r="137" spans="1:11" s="167" customFormat="1">
      <c r="A137" s="169"/>
      <c r="B137" s="163" t="s">
        <v>196</v>
      </c>
      <c r="C137" s="501">
        <v>54780</v>
      </c>
      <c r="D137" s="501">
        <v>218059</v>
      </c>
      <c r="E137" s="171">
        <f t="shared" si="28"/>
        <v>272839</v>
      </c>
      <c r="F137" s="171">
        <v>366709</v>
      </c>
      <c r="G137" s="171">
        <f>E137+F137</f>
        <v>639548</v>
      </c>
      <c r="H137" s="172">
        <f>IF($G$208=0,0,G137/$G$208)</f>
        <v>0.13162560945338064</v>
      </c>
      <c r="I137" s="473"/>
      <c r="J137" s="183">
        <f>4457+14246+28408</f>
        <v>47111</v>
      </c>
      <c r="K137" s="183">
        <f>5093+14246+29027</f>
        <v>48366</v>
      </c>
    </row>
    <row r="138" spans="1:11" s="167" customFormat="1">
      <c r="A138" s="169"/>
      <c r="B138" s="163" t="s">
        <v>197</v>
      </c>
      <c r="C138" s="501">
        <v>0</v>
      </c>
      <c r="D138" s="501">
        <v>0</v>
      </c>
      <c r="E138" s="171">
        <f t="shared" si="28"/>
        <v>0</v>
      </c>
      <c r="F138" s="171">
        <v>0</v>
      </c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v>3560</v>
      </c>
      <c r="D140" s="501">
        <v>9988</v>
      </c>
      <c r="E140" s="171">
        <f t="shared" ref="E140:E143" si="29">C140+D140</f>
        <v>13548</v>
      </c>
      <c r="F140" s="171">
        <v>17797</v>
      </c>
      <c r="G140" s="171">
        <f>E140+F140</f>
        <v>31345</v>
      </c>
      <c r="H140" s="172">
        <f>IF($G$208=0,0,G140/$G$208)</f>
        <v>6.451125995728571E-3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v>6590</v>
      </c>
      <c r="D141" s="501">
        <v>19728</v>
      </c>
      <c r="E141" s="171">
        <f t="shared" si="29"/>
        <v>26318</v>
      </c>
      <c r="F141" s="171">
        <v>28467</v>
      </c>
      <c r="G141" s="171">
        <f>E141+F141</f>
        <v>54785</v>
      </c>
      <c r="H141" s="172">
        <f>IF($G$208=0,0,G141/$G$208)</f>
        <v>1.1275321029701382E-2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v>11511</v>
      </c>
      <c r="D142" s="501">
        <v>27662</v>
      </c>
      <c r="E142" s="171">
        <f t="shared" si="29"/>
        <v>39173</v>
      </c>
      <c r="F142" s="171">
        <v>47291</v>
      </c>
      <c r="G142" s="171">
        <f>E142+F142</f>
        <v>86464</v>
      </c>
      <c r="H142" s="172">
        <f>IF($G$208=0,0,G142/$G$208)</f>
        <v>1.7795187688456698E-2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v>0</v>
      </c>
      <c r="D143" s="501">
        <v>0</v>
      </c>
      <c r="E143" s="171">
        <f t="shared" si="29"/>
        <v>0</v>
      </c>
      <c r="F143" s="171">
        <v>0</v>
      </c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v>3500</v>
      </c>
      <c r="D145" s="501">
        <v>18000</v>
      </c>
      <c r="E145" s="171">
        <f t="shared" ref="E145:E153" si="30">C145+D145</f>
        <v>21500</v>
      </c>
      <c r="F145" s="171">
        <v>31500</v>
      </c>
      <c r="G145" s="171">
        <f t="shared" ref="G145:G153" si="31">E145+F145</f>
        <v>53000</v>
      </c>
      <c r="H145" s="172">
        <f t="shared" ref="H145:H153" si="32">IF($G$208=0,0,G145/$G$208)</f>
        <v>1.0907949522208145E-2</v>
      </c>
      <c r="I145" s="473"/>
      <c r="J145" s="183">
        <f>0+312+120</f>
        <v>432</v>
      </c>
      <c r="K145" s="183">
        <f>0+312+120</f>
        <v>432</v>
      </c>
    </row>
    <row r="146" spans="1:11" s="167" customFormat="1">
      <c r="A146" s="169"/>
      <c r="B146" s="163" t="s">
        <v>194</v>
      </c>
      <c r="C146" s="501">
        <v>0</v>
      </c>
      <c r="D146" s="501">
        <v>0</v>
      </c>
      <c r="E146" s="171">
        <f t="shared" si="30"/>
        <v>0</v>
      </c>
      <c r="F146" s="171">
        <v>0</v>
      </c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v>0</v>
      </c>
      <c r="D147" s="501">
        <v>0</v>
      </c>
      <c r="E147" s="171">
        <f t="shared" si="30"/>
        <v>0</v>
      </c>
      <c r="F147" s="171">
        <v>0</v>
      </c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v>0</v>
      </c>
      <c r="D148" s="501">
        <v>0</v>
      </c>
      <c r="E148" s="171">
        <f t="shared" si="30"/>
        <v>0</v>
      </c>
      <c r="F148" s="171">
        <v>0</v>
      </c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v>2365</v>
      </c>
      <c r="D149" s="501">
        <v>6521</v>
      </c>
      <c r="E149" s="171">
        <f t="shared" si="30"/>
        <v>8886</v>
      </c>
      <c r="F149" s="171">
        <v>6050</v>
      </c>
      <c r="G149" s="171">
        <f t="shared" si="31"/>
        <v>14936</v>
      </c>
      <c r="H149" s="172">
        <f t="shared" si="32"/>
        <v>3.0739836615792612E-3</v>
      </c>
      <c r="I149" s="473"/>
      <c r="J149" s="183">
        <f>0+36+64</f>
        <v>100</v>
      </c>
      <c r="K149" s="183">
        <f>0+36+64</f>
        <v>100</v>
      </c>
    </row>
    <row r="150" spans="1:11" s="167" customFormat="1">
      <c r="A150" s="169">
        <v>110</v>
      </c>
      <c r="B150" s="167" t="s">
        <v>65</v>
      </c>
      <c r="C150" s="501">
        <v>10961</v>
      </c>
      <c r="D150" s="501">
        <v>35175</v>
      </c>
      <c r="E150" s="171">
        <f t="shared" si="30"/>
        <v>46136</v>
      </c>
      <c r="F150" s="171">
        <v>65163</v>
      </c>
      <c r="G150" s="171">
        <f t="shared" si="31"/>
        <v>111299</v>
      </c>
      <c r="H150" s="172">
        <f t="shared" si="32"/>
        <v>2.290648818626876E-2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v>79</v>
      </c>
      <c r="D151" s="501">
        <v>7258</v>
      </c>
      <c r="E151" s="171">
        <f t="shared" si="30"/>
        <v>7337</v>
      </c>
      <c r="F151" s="171">
        <v>14366</v>
      </c>
      <c r="G151" s="171">
        <f t="shared" si="31"/>
        <v>21703</v>
      </c>
      <c r="H151" s="172">
        <f t="shared" si="32"/>
        <v>4.4667024241600633E-3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v>0</v>
      </c>
      <c r="D152" s="501">
        <v>0</v>
      </c>
      <c r="E152" s="171">
        <f t="shared" si="30"/>
        <v>0</v>
      </c>
      <c r="F152" s="171">
        <v>0</v>
      </c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v>0</v>
      </c>
      <c r="D153" s="501">
        <v>0</v>
      </c>
      <c r="E153" s="171">
        <f t="shared" si="30"/>
        <v>0</v>
      </c>
      <c r="F153" s="171">
        <v>0</v>
      </c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v>0</v>
      </c>
      <c r="D155" s="501">
        <v>0</v>
      </c>
      <c r="E155" s="171">
        <f t="shared" ref="E155:E160" si="33">C155+D155</f>
        <v>0</v>
      </c>
      <c r="F155" s="171">
        <v>0</v>
      </c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v>0</v>
      </c>
      <c r="D156" s="501">
        <v>0</v>
      </c>
      <c r="E156" s="171">
        <f t="shared" si="33"/>
        <v>0</v>
      </c>
      <c r="F156" s="171">
        <v>0</v>
      </c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v>0</v>
      </c>
      <c r="D157" s="501">
        <v>0</v>
      </c>
      <c r="E157" s="171">
        <f t="shared" si="33"/>
        <v>0</v>
      </c>
      <c r="F157" s="171">
        <v>0</v>
      </c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v>0</v>
      </c>
      <c r="D158" s="501">
        <v>0</v>
      </c>
      <c r="E158" s="171">
        <f t="shared" si="33"/>
        <v>0</v>
      </c>
      <c r="F158" s="171">
        <v>0</v>
      </c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v>0</v>
      </c>
      <c r="D159" s="501">
        <v>0</v>
      </c>
      <c r="E159" s="171">
        <f t="shared" si="33"/>
        <v>0</v>
      </c>
      <c r="F159" s="171">
        <v>916</v>
      </c>
      <c r="G159" s="171">
        <f t="shared" si="34"/>
        <v>916</v>
      </c>
      <c r="H159" s="172">
        <f>IF($G$208=0,0,G159/$G$208)</f>
        <v>1.8852229740269172E-4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v>0</v>
      </c>
      <c r="D160" s="501">
        <v>0</v>
      </c>
      <c r="E160" s="171">
        <f t="shared" si="33"/>
        <v>0</v>
      </c>
      <c r="F160" s="171">
        <v>0</v>
      </c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1" s="167" customFormat="1">
      <c r="A161" s="169"/>
      <c r="B161" s="170" t="s">
        <v>233</v>
      </c>
      <c r="C161" s="501">
        <f>SUM(C123:C160)</f>
        <v>173930</v>
      </c>
      <c r="D161" s="501">
        <f>SUM(D123:D160)</f>
        <v>638751</v>
      </c>
      <c r="E161" s="171">
        <f t="shared" ref="E161:F161" si="36">SUM(E123:E160)</f>
        <v>812681</v>
      </c>
      <c r="F161" s="171">
        <f t="shared" si="36"/>
        <v>1072636</v>
      </c>
      <c r="G161" s="171">
        <f>SUM(G123:G160)</f>
        <v>1885317</v>
      </c>
      <c r="H161" s="172">
        <f t="shared" si="35"/>
        <v>0.38801778621435645</v>
      </c>
      <c r="I161" s="473"/>
      <c r="J161" s="168"/>
      <c r="K161" s="168"/>
    </row>
    <row r="162" spans="1:11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1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1" s="221" customFormat="1">
      <c r="A164" s="215" t="s">
        <v>95</v>
      </c>
      <c r="B164" s="148" t="s">
        <v>102</v>
      </c>
      <c r="C164" s="501">
        <v>0</v>
      </c>
      <c r="D164" s="501">
        <v>0</v>
      </c>
      <c r="E164" s="171">
        <f t="shared" ref="E164:E196" si="37">C164+D164</f>
        <v>0</v>
      </c>
      <c r="F164" s="216">
        <v>0</v>
      </c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</row>
    <row r="165" spans="1:11" s="221" customFormat="1">
      <c r="A165" s="215" t="s">
        <v>123</v>
      </c>
      <c r="B165" s="148" t="s">
        <v>103</v>
      </c>
      <c r="C165" s="501">
        <v>0</v>
      </c>
      <c r="D165" s="501">
        <v>0</v>
      </c>
      <c r="E165" s="171">
        <f t="shared" si="37"/>
        <v>0</v>
      </c>
      <c r="F165" s="216">
        <v>0</v>
      </c>
      <c r="G165" s="171">
        <f t="shared" si="38"/>
        <v>0</v>
      </c>
      <c r="H165" s="172">
        <f t="shared" si="39"/>
        <v>0</v>
      </c>
      <c r="I165" s="484"/>
      <c r="J165" s="222"/>
      <c r="K165" s="222"/>
    </row>
    <row r="166" spans="1:11" s="221" customFormat="1">
      <c r="A166" s="215" t="s">
        <v>124</v>
      </c>
      <c r="B166" s="148" t="s">
        <v>104</v>
      </c>
      <c r="C166" s="501">
        <v>14662</v>
      </c>
      <c r="D166" s="501">
        <v>0</v>
      </c>
      <c r="E166" s="171">
        <f t="shared" si="37"/>
        <v>14662</v>
      </c>
      <c r="F166" s="216">
        <v>0</v>
      </c>
      <c r="G166" s="171">
        <f t="shared" si="38"/>
        <v>14662</v>
      </c>
      <c r="H166" s="172">
        <f t="shared" si="39"/>
        <v>3.0175916206531287E-3</v>
      </c>
      <c r="I166" s="483"/>
      <c r="J166" s="183">
        <v>423</v>
      </c>
      <c r="K166" s="183">
        <v>513</v>
      </c>
    </row>
    <row r="167" spans="1:11" s="221" customFormat="1">
      <c r="A167" s="215" t="s">
        <v>157</v>
      </c>
      <c r="B167" s="148" t="s">
        <v>105</v>
      </c>
      <c r="C167" s="501">
        <v>3081</v>
      </c>
      <c r="D167" s="501">
        <v>0</v>
      </c>
      <c r="E167" s="171">
        <f t="shared" si="37"/>
        <v>3081</v>
      </c>
      <c r="F167" s="216">
        <v>0</v>
      </c>
      <c r="G167" s="171">
        <f t="shared" si="38"/>
        <v>3081</v>
      </c>
      <c r="H167" s="172">
        <f t="shared" si="39"/>
        <v>6.3410174486647718E-4</v>
      </c>
      <c r="I167" s="484"/>
      <c r="J167" s="222"/>
      <c r="K167" s="222"/>
    </row>
    <row r="168" spans="1:11" s="221" customFormat="1">
      <c r="A168" s="215" t="s">
        <v>158</v>
      </c>
      <c r="B168" s="148" t="s">
        <v>316</v>
      </c>
      <c r="C168" s="501">
        <v>1524</v>
      </c>
      <c r="D168" s="501">
        <v>0</v>
      </c>
      <c r="E168" s="171">
        <f t="shared" si="37"/>
        <v>1524</v>
      </c>
      <c r="F168" s="216">
        <v>0</v>
      </c>
      <c r="G168" s="171">
        <f t="shared" si="38"/>
        <v>1524</v>
      </c>
      <c r="H168" s="172">
        <f t="shared" si="39"/>
        <v>3.1365500135557004E-4</v>
      </c>
      <c r="I168" s="483"/>
      <c r="J168" s="183">
        <v>27</v>
      </c>
      <c r="K168" s="183">
        <v>30</v>
      </c>
    </row>
    <row r="169" spans="1:11" s="221" customFormat="1">
      <c r="A169" s="215" t="s">
        <v>86</v>
      </c>
      <c r="B169" s="148" t="s">
        <v>317</v>
      </c>
      <c r="C169" s="501">
        <v>320</v>
      </c>
      <c r="D169" s="501">
        <v>0</v>
      </c>
      <c r="E169" s="171">
        <f t="shared" si="37"/>
        <v>320</v>
      </c>
      <c r="F169" s="216">
        <v>0</v>
      </c>
      <c r="G169" s="171">
        <f t="shared" si="38"/>
        <v>320</v>
      </c>
      <c r="H169" s="172">
        <f t="shared" si="39"/>
        <v>6.5859317869935961E-5</v>
      </c>
      <c r="I169" s="484"/>
      <c r="J169" s="222"/>
      <c r="K169" s="222"/>
    </row>
    <row r="170" spans="1:11" s="221" customFormat="1">
      <c r="A170" s="215" t="s">
        <v>96</v>
      </c>
      <c r="B170" s="148" t="s">
        <v>318</v>
      </c>
      <c r="C170" s="501">
        <v>0</v>
      </c>
      <c r="D170" s="501">
        <v>0</v>
      </c>
      <c r="E170" s="171">
        <f t="shared" si="37"/>
        <v>0</v>
      </c>
      <c r="F170" s="216">
        <v>0</v>
      </c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</row>
    <row r="171" spans="1:11" s="221" customFormat="1">
      <c r="A171" s="215" t="s">
        <v>125</v>
      </c>
      <c r="B171" s="148" t="s">
        <v>109</v>
      </c>
      <c r="C171" s="501">
        <v>0</v>
      </c>
      <c r="D171" s="501">
        <v>0</v>
      </c>
      <c r="E171" s="171">
        <f t="shared" si="37"/>
        <v>0</v>
      </c>
      <c r="F171" s="216">
        <v>0</v>
      </c>
      <c r="G171" s="171">
        <f t="shared" si="38"/>
        <v>0</v>
      </c>
      <c r="H171" s="172">
        <f t="shared" si="39"/>
        <v>0</v>
      </c>
      <c r="I171" s="484"/>
      <c r="J171" s="222"/>
      <c r="K171" s="222"/>
    </row>
    <row r="172" spans="1:11" s="221" customFormat="1">
      <c r="A172" s="215" t="s">
        <v>126</v>
      </c>
      <c r="B172" s="148" t="s">
        <v>319</v>
      </c>
      <c r="C172" s="501">
        <v>14211</v>
      </c>
      <c r="D172" s="501">
        <v>0</v>
      </c>
      <c r="E172" s="171">
        <f t="shared" si="37"/>
        <v>14211</v>
      </c>
      <c r="F172" s="216">
        <v>0</v>
      </c>
      <c r="G172" s="171">
        <f t="shared" si="38"/>
        <v>14211</v>
      </c>
      <c r="H172" s="172">
        <f t="shared" si="39"/>
        <v>2.9247711445301874E-3</v>
      </c>
      <c r="I172" s="483"/>
      <c r="J172" s="183">
        <v>276</v>
      </c>
      <c r="K172" s="183">
        <v>371</v>
      </c>
    </row>
    <row r="173" spans="1:11" s="221" customFormat="1">
      <c r="A173" s="215" t="s">
        <v>127</v>
      </c>
      <c r="B173" s="148" t="s">
        <v>111</v>
      </c>
      <c r="C173" s="501">
        <v>2986</v>
      </c>
      <c r="D173" s="501">
        <v>0</v>
      </c>
      <c r="E173" s="171">
        <f t="shared" si="37"/>
        <v>2986</v>
      </c>
      <c r="F173" s="216">
        <v>0</v>
      </c>
      <c r="G173" s="171">
        <f t="shared" si="38"/>
        <v>2986</v>
      </c>
      <c r="H173" s="172">
        <f t="shared" si="39"/>
        <v>6.1454975987384E-4</v>
      </c>
      <c r="I173" s="484"/>
      <c r="J173" s="222"/>
      <c r="K173" s="222"/>
    </row>
    <row r="174" spans="1:11" s="221" customFormat="1">
      <c r="A174" s="215" t="s">
        <v>128</v>
      </c>
      <c r="B174" s="148" t="s">
        <v>320</v>
      </c>
      <c r="C174" s="501">
        <v>0</v>
      </c>
      <c r="D174" s="501">
        <v>0</v>
      </c>
      <c r="E174" s="171">
        <f t="shared" si="37"/>
        <v>0</v>
      </c>
      <c r="F174" s="216">
        <v>0</v>
      </c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</row>
    <row r="175" spans="1:11" s="221" customFormat="1">
      <c r="A175" s="215" t="s">
        <v>129</v>
      </c>
      <c r="B175" s="148" t="s">
        <v>321</v>
      </c>
      <c r="C175" s="501">
        <v>0</v>
      </c>
      <c r="D175" s="501">
        <v>0</v>
      </c>
      <c r="E175" s="171">
        <f t="shared" si="37"/>
        <v>0</v>
      </c>
      <c r="F175" s="216">
        <v>0</v>
      </c>
      <c r="G175" s="171">
        <f t="shared" si="38"/>
        <v>0</v>
      </c>
      <c r="H175" s="172">
        <f t="shared" si="39"/>
        <v>0</v>
      </c>
      <c r="I175" s="473"/>
      <c r="J175" s="223"/>
      <c r="K175" s="218"/>
    </row>
    <row r="176" spans="1:11" s="221" customFormat="1">
      <c r="A176" s="224" t="s">
        <v>293</v>
      </c>
      <c r="B176" s="148" t="s">
        <v>154</v>
      </c>
      <c r="C176" s="501">
        <v>0</v>
      </c>
      <c r="D176" s="501">
        <v>0</v>
      </c>
      <c r="E176" s="171">
        <f t="shared" si="37"/>
        <v>0</v>
      </c>
      <c r="F176" s="216">
        <v>0</v>
      </c>
      <c r="G176" s="171">
        <f t="shared" si="38"/>
        <v>0</v>
      </c>
      <c r="H176" s="172">
        <f t="shared" si="39"/>
        <v>0</v>
      </c>
      <c r="I176" s="473"/>
      <c r="J176" s="223"/>
      <c r="K176" s="218"/>
    </row>
    <row r="177" spans="1:11" s="221" customFormat="1">
      <c r="A177" s="224" t="s">
        <v>294</v>
      </c>
      <c r="B177" s="148" t="s">
        <v>322</v>
      </c>
      <c r="C177" s="501">
        <v>842</v>
      </c>
      <c r="D177" s="501">
        <v>0</v>
      </c>
      <c r="E177" s="171">
        <f t="shared" si="37"/>
        <v>842</v>
      </c>
      <c r="F177" s="216">
        <v>0</v>
      </c>
      <c r="G177" s="171">
        <f t="shared" si="38"/>
        <v>842</v>
      </c>
      <c r="H177" s="172">
        <f t="shared" si="39"/>
        <v>1.73292330145269E-4</v>
      </c>
      <c r="I177" s="473"/>
      <c r="J177" s="223"/>
      <c r="K177" s="218"/>
    </row>
    <row r="178" spans="1:11" s="221" customFormat="1">
      <c r="A178" s="224" t="s">
        <v>295</v>
      </c>
      <c r="B178" s="148" t="s">
        <v>323</v>
      </c>
      <c r="C178" s="501">
        <v>0</v>
      </c>
      <c r="D178" s="501">
        <v>0</v>
      </c>
      <c r="E178" s="171">
        <f t="shared" si="37"/>
        <v>0</v>
      </c>
      <c r="F178" s="216">
        <v>0</v>
      </c>
      <c r="G178" s="171">
        <f t="shared" si="38"/>
        <v>0</v>
      </c>
      <c r="H178" s="172">
        <f t="shared" si="39"/>
        <v>0</v>
      </c>
      <c r="I178" s="473"/>
      <c r="J178" s="223"/>
      <c r="K178" s="218"/>
    </row>
    <row r="179" spans="1:11" s="221" customFormat="1">
      <c r="A179" s="224" t="s">
        <v>296</v>
      </c>
      <c r="B179" s="148" t="s">
        <v>324</v>
      </c>
      <c r="C179" s="501">
        <v>0</v>
      </c>
      <c r="D179" s="501">
        <v>0</v>
      </c>
      <c r="E179" s="171">
        <f t="shared" si="37"/>
        <v>0</v>
      </c>
      <c r="F179" s="216">
        <v>0</v>
      </c>
      <c r="G179" s="171">
        <f t="shared" si="38"/>
        <v>0</v>
      </c>
      <c r="H179" s="172">
        <f t="shared" si="39"/>
        <v>0</v>
      </c>
      <c r="I179" s="473"/>
      <c r="J179" s="223"/>
      <c r="K179" s="218"/>
    </row>
    <row r="180" spans="1:11" s="221" customFormat="1">
      <c r="A180" s="224" t="s">
        <v>297</v>
      </c>
      <c r="B180" s="148" t="s">
        <v>325</v>
      </c>
      <c r="C180" s="501">
        <v>0</v>
      </c>
      <c r="D180" s="501">
        <v>0</v>
      </c>
      <c r="E180" s="171">
        <f t="shared" si="37"/>
        <v>0</v>
      </c>
      <c r="F180" s="216">
        <v>0</v>
      </c>
      <c r="G180" s="171">
        <f t="shared" si="38"/>
        <v>0</v>
      </c>
      <c r="H180" s="172">
        <f t="shared" si="39"/>
        <v>0</v>
      </c>
      <c r="I180" s="473"/>
      <c r="J180" s="223"/>
      <c r="K180" s="218"/>
    </row>
    <row r="181" spans="1:11" s="221" customFormat="1">
      <c r="A181" s="224" t="s">
        <v>298</v>
      </c>
      <c r="B181" s="148" t="s">
        <v>117</v>
      </c>
      <c r="C181" s="501">
        <v>1949</v>
      </c>
      <c r="D181" s="501">
        <v>0</v>
      </c>
      <c r="E181" s="171">
        <f t="shared" si="37"/>
        <v>1949</v>
      </c>
      <c r="F181" s="216">
        <v>0</v>
      </c>
      <c r="G181" s="171">
        <f t="shared" si="38"/>
        <v>1949</v>
      </c>
      <c r="H181" s="172">
        <f t="shared" si="39"/>
        <v>4.0112440790157877E-4</v>
      </c>
      <c r="I181" s="473"/>
      <c r="J181" s="223"/>
      <c r="K181" s="218"/>
    </row>
    <row r="182" spans="1:11" s="221" customFormat="1">
      <c r="A182" s="224" t="s">
        <v>132</v>
      </c>
      <c r="B182" s="148" t="s">
        <v>118</v>
      </c>
      <c r="C182" s="501">
        <v>0</v>
      </c>
      <c r="D182" s="501">
        <v>0</v>
      </c>
      <c r="E182" s="171">
        <f t="shared" si="37"/>
        <v>0</v>
      </c>
      <c r="F182" s="216">
        <v>0</v>
      </c>
      <c r="G182" s="171">
        <f t="shared" si="38"/>
        <v>0</v>
      </c>
      <c r="H182" s="172">
        <f t="shared" si="39"/>
        <v>0</v>
      </c>
      <c r="I182" s="473"/>
      <c r="J182" s="223"/>
      <c r="K182" s="218"/>
    </row>
    <row r="183" spans="1:11" s="221" customFormat="1">
      <c r="A183" s="224" t="s">
        <v>133</v>
      </c>
      <c r="B183" s="148" t="s">
        <v>119</v>
      </c>
      <c r="C183" s="501">
        <v>0</v>
      </c>
      <c r="D183" s="501">
        <v>58741</v>
      </c>
      <c r="E183" s="171">
        <f t="shared" si="37"/>
        <v>58741</v>
      </c>
      <c r="F183" s="216">
        <v>126325</v>
      </c>
      <c r="G183" s="171">
        <f t="shared" si="38"/>
        <v>185066</v>
      </c>
      <c r="H183" s="172">
        <f t="shared" si="39"/>
        <v>3.8088501627867408E-2</v>
      </c>
      <c r="I183" s="473"/>
      <c r="J183" s="223"/>
      <c r="K183" s="218"/>
    </row>
    <row r="184" spans="1:11" s="221" customFormat="1">
      <c r="A184" s="224" t="s">
        <v>134</v>
      </c>
      <c r="B184" s="148" t="s">
        <v>326</v>
      </c>
      <c r="C184" s="501">
        <v>0</v>
      </c>
      <c r="D184" s="501">
        <v>4865</v>
      </c>
      <c r="E184" s="171">
        <f t="shared" si="37"/>
        <v>4865</v>
      </c>
      <c r="F184" s="216">
        <v>16944</v>
      </c>
      <c r="G184" s="171">
        <f t="shared" si="38"/>
        <v>21809</v>
      </c>
      <c r="H184" s="172">
        <f t="shared" si="39"/>
        <v>4.48851832320448E-3</v>
      </c>
      <c r="I184" s="473"/>
      <c r="J184" s="223"/>
      <c r="K184" s="218"/>
    </row>
    <row r="185" spans="1:11" s="221" customFormat="1">
      <c r="A185" s="224" t="s">
        <v>135</v>
      </c>
      <c r="B185" s="148" t="s">
        <v>327</v>
      </c>
      <c r="C185" s="501">
        <v>0</v>
      </c>
      <c r="D185" s="501">
        <v>0</v>
      </c>
      <c r="E185" s="171">
        <f t="shared" si="37"/>
        <v>0</v>
      </c>
      <c r="F185" s="216">
        <v>0</v>
      </c>
      <c r="G185" s="171">
        <f t="shared" si="38"/>
        <v>0</v>
      </c>
      <c r="H185" s="172">
        <f t="shared" si="39"/>
        <v>0</v>
      </c>
      <c r="I185" s="473"/>
      <c r="J185" s="223"/>
      <c r="K185" s="218"/>
    </row>
    <row r="186" spans="1:11" s="221" customFormat="1">
      <c r="A186" s="224" t="s">
        <v>136</v>
      </c>
      <c r="B186" s="148" t="s">
        <v>328</v>
      </c>
      <c r="C186" s="501">
        <v>0</v>
      </c>
      <c r="D186" s="501">
        <v>72102</v>
      </c>
      <c r="E186" s="171">
        <f t="shared" si="37"/>
        <v>72102</v>
      </c>
      <c r="F186" s="216">
        <v>132930</v>
      </c>
      <c r="G186" s="171">
        <f t="shared" si="38"/>
        <v>205032</v>
      </c>
      <c r="H186" s="172">
        <f t="shared" si="39"/>
        <v>4.2197711442214722E-2</v>
      </c>
      <c r="I186" s="473"/>
      <c r="J186" s="223"/>
      <c r="K186" s="218"/>
    </row>
    <row r="187" spans="1:11" s="221" customFormat="1">
      <c r="A187" s="224" t="s">
        <v>137</v>
      </c>
      <c r="B187" s="148" t="s">
        <v>122</v>
      </c>
      <c r="C187" s="501">
        <v>0</v>
      </c>
      <c r="D187" s="501">
        <v>3339</v>
      </c>
      <c r="E187" s="171">
        <f t="shared" si="37"/>
        <v>3339</v>
      </c>
      <c r="F187" s="216">
        <v>13143</v>
      </c>
      <c r="G187" s="171">
        <f t="shared" si="38"/>
        <v>16482</v>
      </c>
      <c r="H187" s="172">
        <f t="shared" si="39"/>
        <v>3.3921664910383895E-3</v>
      </c>
      <c r="I187" s="473"/>
      <c r="J187" s="223"/>
      <c r="K187" s="218"/>
    </row>
    <row r="188" spans="1:11" s="221" customFormat="1">
      <c r="A188" s="224" t="s">
        <v>275</v>
      </c>
      <c r="B188" s="148" t="s">
        <v>329</v>
      </c>
      <c r="C188" s="501">
        <v>0</v>
      </c>
      <c r="D188" s="501">
        <v>0</v>
      </c>
      <c r="E188" s="171">
        <f t="shared" si="37"/>
        <v>0</v>
      </c>
      <c r="F188" s="216">
        <v>0</v>
      </c>
      <c r="G188" s="171">
        <f t="shared" si="38"/>
        <v>0</v>
      </c>
      <c r="H188" s="172">
        <f t="shared" si="39"/>
        <v>0</v>
      </c>
      <c r="I188" s="473"/>
      <c r="J188" s="223"/>
      <c r="K188" s="218"/>
    </row>
    <row r="189" spans="1:11" s="221" customFormat="1">
      <c r="A189" s="224" t="s">
        <v>277</v>
      </c>
      <c r="B189" s="148" t="s">
        <v>278</v>
      </c>
      <c r="C189" s="501">
        <v>0</v>
      </c>
      <c r="D189" s="501">
        <v>0</v>
      </c>
      <c r="E189" s="171">
        <f t="shared" si="37"/>
        <v>0</v>
      </c>
      <c r="F189" s="216">
        <v>0</v>
      </c>
      <c r="G189" s="171">
        <f t="shared" si="38"/>
        <v>0</v>
      </c>
      <c r="H189" s="172">
        <f t="shared" si="39"/>
        <v>0</v>
      </c>
      <c r="I189" s="473"/>
      <c r="J189" s="223"/>
      <c r="K189" s="218"/>
    </row>
    <row r="190" spans="1:11" s="221" customFormat="1">
      <c r="A190" s="225" t="s">
        <v>279</v>
      </c>
      <c r="B190" s="226" t="s">
        <v>280</v>
      </c>
      <c r="C190" s="501">
        <v>0</v>
      </c>
      <c r="D190" s="501">
        <v>0</v>
      </c>
      <c r="E190" s="171">
        <f t="shared" si="37"/>
        <v>0</v>
      </c>
      <c r="F190" s="216">
        <v>0</v>
      </c>
      <c r="G190" s="171">
        <f t="shared" si="38"/>
        <v>0</v>
      </c>
      <c r="H190" s="172">
        <f t="shared" si="39"/>
        <v>0</v>
      </c>
      <c r="I190" s="473"/>
      <c r="J190" s="223"/>
      <c r="K190" s="218"/>
    </row>
    <row r="191" spans="1:11" s="221" customFormat="1">
      <c r="A191" s="225" t="s">
        <v>281</v>
      </c>
      <c r="B191" s="226" t="s">
        <v>282</v>
      </c>
      <c r="C191" s="501">
        <v>0</v>
      </c>
      <c r="D191" s="501">
        <v>0</v>
      </c>
      <c r="E191" s="171">
        <f t="shared" si="37"/>
        <v>0</v>
      </c>
      <c r="F191" s="216">
        <v>0</v>
      </c>
      <c r="G191" s="171">
        <f t="shared" si="38"/>
        <v>0</v>
      </c>
      <c r="H191" s="172">
        <f t="shared" si="39"/>
        <v>0</v>
      </c>
      <c r="I191" s="473"/>
      <c r="J191" s="223"/>
      <c r="K191" s="218"/>
    </row>
    <row r="192" spans="1:11" s="221" customFormat="1">
      <c r="A192" s="225" t="s">
        <v>283</v>
      </c>
      <c r="B192" s="226" t="s">
        <v>330</v>
      </c>
      <c r="C192" s="501">
        <v>0</v>
      </c>
      <c r="D192" s="501">
        <v>0</v>
      </c>
      <c r="E192" s="171">
        <f t="shared" si="37"/>
        <v>0</v>
      </c>
      <c r="F192" s="216">
        <v>0</v>
      </c>
      <c r="G192" s="171">
        <f t="shared" si="38"/>
        <v>0</v>
      </c>
      <c r="H192" s="172">
        <f t="shared" si="39"/>
        <v>0</v>
      </c>
      <c r="I192" s="473"/>
      <c r="J192" s="223"/>
      <c r="K192" s="218"/>
    </row>
    <row r="193" spans="1:11" s="221" customFormat="1">
      <c r="A193" s="225" t="s">
        <v>285</v>
      </c>
      <c r="B193" s="226" t="s">
        <v>331</v>
      </c>
      <c r="C193" s="501">
        <v>0</v>
      </c>
      <c r="D193" s="501">
        <v>0</v>
      </c>
      <c r="E193" s="171">
        <f t="shared" si="37"/>
        <v>0</v>
      </c>
      <c r="F193" s="216">
        <v>0</v>
      </c>
      <c r="G193" s="171">
        <f t="shared" si="38"/>
        <v>0</v>
      </c>
      <c r="H193" s="172">
        <f t="shared" si="39"/>
        <v>0</v>
      </c>
      <c r="I193" s="473"/>
      <c r="J193" s="223"/>
      <c r="K193" s="218"/>
    </row>
    <row r="194" spans="1:11" s="221" customFormat="1">
      <c r="A194" s="224" t="s">
        <v>138</v>
      </c>
      <c r="B194" s="148" t="s">
        <v>332</v>
      </c>
      <c r="C194" s="501">
        <v>9623</v>
      </c>
      <c r="D194" s="501">
        <v>57188</v>
      </c>
      <c r="E194" s="171">
        <f t="shared" si="37"/>
        <v>66811</v>
      </c>
      <c r="F194" s="216">
        <v>156231</v>
      </c>
      <c r="G194" s="171">
        <f t="shared" si="38"/>
        <v>223042</v>
      </c>
      <c r="H194" s="172">
        <f t="shared" si="39"/>
        <v>4.5904356176082059E-2</v>
      </c>
      <c r="I194" s="473"/>
      <c r="J194" s="223"/>
      <c r="K194" s="218"/>
    </row>
    <row r="195" spans="1:11" s="221" customFormat="1">
      <c r="A195" s="224" t="s">
        <v>139</v>
      </c>
      <c r="B195" s="148" t="s">
        <v>67</v>
      </c>
      <c r="C195" s="501">
        <v>90</v>
      </c>
      <c r="D195" s="501">
        <v>0</v>
      </c>
      <c r="E195" s="171">
        <f t="shared" si="37"/>
        <v>90</v>
      </c>
      <c r="F195" s="216">
        <v>0</v>
      </c>
      <c r="G195" s="171">
        <f t="shared" si="38"/>
        <v>90</v>
      </c>
      <c r="H195" s="172">
        <f t="shared" si="39"/>
        <v>1.8522933150919491E-5</v>
      </c>
      <c r="I195" s="473"/>
      <c r="J195" s="223"/>
      <c r="K195" s="218"/>
    </row>
    <row r="196" spans="1:11" s="221" customFormat="1">
      <c r="A196" s="225" t="s">
        <v>143</v>
      </c>
      <c r="B196" s="194" t="s">
        <v>333</v>
      </c>
      <c r="C196" s="501">
        <v>35</v>
      </c>
      <c r="D196" s="501">
        <v>0</v>
      </c>
      <c r="E196" s="171">
        <f t="shared" si="37"/>
        <v>35</v>
      </c>
      <c r="F196" s="216">
        <v>0</v>
      </c>
      <c r="G196" s="171">
        <f t="shared" si="38"/>
        <v>35</v>
      </c>
      <c r="H196" s="172">
        <f t="shared" si="39"/>
        <v>7.2033628920242463E-6</v>
      </c>
      <c r="I196" s="473"/>
      <c r="J196" s="223"/>
      <c r="K196" s="218"/>
    </row>
    <row r="197" spans="1:11" s="167" customFormat="1">
      <c r="A197" s="163"/>
      <c r="B197" s="212" t="s">
        <v>130</v>
      </c>
      <c r="C197" s="501">
        <f>SUM(C164:C196)</f>
        <v>49323</v>
      </c>
      <c r="D197" s="501">
        <f>SUM(D164:D196)</f>
        <v>196235</v>
      </c>
      <c r="E197" s="171">
        <f t="shared" ref="E197:F197" si="40">SUM(E164:E196)</f>
        <v>245558</v>
      </c>
      <c r="F197" s="171">
        <f t="shared" si="40"/>
        <v>445573</v>
      </c>
      <c r="G197" s="171">
        <f>SUM(G164:G196)</f>
        <v>691131</v>
      </c>
      <c r="H197" s="172">
        <f>IF($G$208=0,0,G197/$G$208)</f>
        <v>0.14224192568364599</v>
      </c>
      <c r="I197" s="473"/>
      <c r="J197" s="168"/>
      <c r="K197" s="168"/>
    </row>
    <row r="198" spans="1:11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1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1" s="167" customFormat="1">
      <c r="A200" s="169" t="s">
        <v>85</v>
      </c>
      <c r="B200" s="170" t="s">
        <v>69</v>
      </c>
      <c r="C200" s="501">
        <v>7906</v>
      </c>
      <c r="D200" s="501">
        <v>37775</v>
      </c>
      <c r="E200" s="171">
        <f t="shared" ref="E200:E205" si="41">C200+D200</f>
        <v>45681</v>
      </c>
      <c r="F200" s="171">
        <v>66672</v>
      </c>
      <c r="G200" s="171">
        <f t="shared" ref="G200:G205" si="42">E200+F200</f>
        <v>112353</v>
      </c>
      <c r="H200" s="172">
        <f t="shared" ref="H200:H206" si="43">IF($G$208=0,0,G200/$G$208)</f>
        <v>2.3123412314502861E-2</v>
      </c>
      <c r="I200" s="473"/>
      <c r="J200" s="183">
        <f>409+1394+3213</f>
        <v>5016</v>
      </c>
      <c r="K200" s="183">
        <f>498+1440+3331</f>
        <v>5269</v>
      </c>
    </row>
    <row r="201" spans="1:11" s="167" customFormat="1">
      <c r="A201" s="169" t="s">
        <v>86</v>
      </c>
      <c r="B201" s="170" t="s">
        <v>45</v>
      </c>
      <c r="C201" s="501">
        <v>1661</v>
      </c>
      <c r="D201" s="501">
        <v>4815</v>
      </c>
      <c r="E201" s="171">
        <f t="shared" si="41"/>
        <v>6476</v>
      </c>
      <c r="F201" s="171">
        <v>8540</v>
      </c>
      <c r="G201" s="171">
        <f t="shared" si="42"/>
        <v>15016</v>
      </c>
      <c r="H201" s="172">
        <f t="shared" si="43"/>
        <v>3.0904484910467453E-3</v>
      </c>
      <c r="I201" s="473"/>
      <c r="J201" s="168"/>
      <c r="K201" s="168"/>
    </row>
    <row r="202" spans="1:11" s="167" customFormat="1">
      <c r="A202" s="169" t="s">
        <v>140</v>
      </c>
      <c r="B202" s="170" t="s">
        <v>54</v>
      </c>
      <c r="C202" s="501">
        <v>367</v>
      </c>
      <c r="D202" s="501">
        <v>8010</v>
      </c>
      <c r="E202" s="171">
        <f t="shared" si="41"/>
        <v>8377</v>
      </c>
      <c r="F202" s="171">
        <v>4370</v>
      </c>
      <c r="G202" s="171">
        <f t="shared" si="42"/>
        <v>12747</v>
      </c>
      <c r="H202" s="172">
        <f t="shared" si="43"/>
        <v>2.6234647652752306E-3</v>
      </c>
      <c r="I202" s="473"/>
      <c r="J202" s="168"/>
      <c r="K202" s="168"/>
    </row>
    <row r="203" spans="1:11" s="167" customFormat="1">
      <c r="A203" s="169" t="s">
        <v>141</v>
      </c>
      <c r="B203" s="170" t="s">
        <v>70</v>
      </c>
      <c r="C203" s="501">
        <v>0</v>
      </c>
      <c r="D203" s="501">
        <v>0</v>
      </c>
      <c r="E203" s="171">
        <f t="shared" si="41"/>
        <v>0</v>
      </c>
      <c r="F203" s="171">
        <v>0</v>
      </c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1" s="167" customFormat="1">
      <c r="A204" s="169" t="s">
        <v>142</v>
      </c>
      <c r="B204" s="202" t="s">
        <v>71</v>
      </c>
      <c r="C204" s="501">
        <v>0</v>
      </c>
      <c r="D204" s="501">
        <v>0</v>
      </c>
      <c r="E204" s="171">
        <f t="shared" si="41"/>
        <v>0</v>
      </c>
      <c r="F204" s="171">
        <v>0</v>
      </c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1" s="167" customFormat="1">
      <c r="A205" s="169" t="s">
        <v>143</v>
      </c>
      <c r="B205" s="170" t="s">
        <v>312</v>
      </c>
      <c r="C205" s="501">
        <v>0</v>
      </c>
      <c r="D205" s="501">
        <v>1101</v>
      </c>
      <c r="E205" s="171">
        <f t="shared" si="41"/>
        <v>1101</v>
      </c>
      <c r="F205" s="171">
        <v>2363</v>
      </c>
      <c r="G205" s="171">
        <f t="shared" si="42"/>
        <v>3464</v>
      </c>
      <c r="H205" s="172">
        <f t="shared" si="43"/>
        <v>7.1292711594205687E-4</v>
      </c>
      <c r="I205" s="473"/>
      <c r="J205" s="168"/>
      <c r="K205" s="168"/>
    </row>
    <row r="206" spans="1:11" s="167" customFormat="1">
      <c r="A206" s="163"/>
      <c r="B206" s="170" t="s">
        <v>144</v>
      </c>
      <c r="C206" s="501">
        <f>SUM(C200:C205)</f>
        <v>9934</v>
      </c>
      <c r="D206" s="501">
        <f>SUM(D200:D205)</f>
        <v>51701</v>
      </c>
      <c r="E206" s="171">
        <f t="shared" ref="E206:F206" si="44">SUM(E200:E205)</f>
        <v>61635</v>
      </c>
      <c r="F206" s="171">
        <f t="shared" si="44"/>
        <v>81945</v>
      </c>
      <c r="G206" s="171">
        <f>SUM(G200:G205)</f>
        <v>143580</v>
      </c>
      <c r="H206" s="172">
        <f t="shared" si="43"/>
        <v>2.9550252686766892E-2</v>
      </c>
      <c r="I206" s="473"/>
      <c r="J206" s="168"/>
      <c r="K206" s="168"/>
    </row>
    <row r="207" spans="1:11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1" s="167" customFormat="1">
      <c r="A208" s="227"/>
      <c r="B208" s="228" t="s">
        <v>145</v>
      </c>
      <c r="C208" s="501">
        <f>SUM(C25:C206)/2</f>
        <v>521864</v>
      </c>
      <c r="D208" s="501">
        <f>SUM(D25:D206)/2</f>
        <v>1599531</v>
      </c>
      <c r="E208" s="171">
        <f t="shared" ref="E208:F208" si="45">SUM(E25:E206)/2</f>
        <v>2121395</v>
      </c>
      <c r="F208" s="171">
        <f t="shared" si="45"/>
        <v>2737446.7</v>
      </c>
      <c r="G208" s="171">
        <f>SUM(G25:G206)/2</f>
        <v>4858841.6999999993</v>
      </c>
      <c r="H208" s="172">
        <f>IF($G$208=0,0,G208/$G$208)</f>
        <v>1</v>
      </c>
      <c r="I208" s="473"/>
      <c r="J208" s="183">
        <f>SUM(J25:J200)</f>
        <v>120303</v>
      </c>
      <c r="K208" s="183">
        <f>SUM(K25:K200)</f>
        <v>123917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v>521864</v>
      </c>
      <c r="D211" s="196" t="s">
        <v>589</v>
      </c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 t="s">
        <v>590</v>
      </c>
      <c r="E212" s="165"/>
      <c r="F212"/>
      <c r="G212"/>
      <c r="I212" s="632" t="s">
        <v>595</v>
      </c>
      <c r="J212" s="168">
        <v>11727</v>
      </c>
      <c r="K212" s="168">
        <v>13733</v>
      </c>
    </row>
    <row r="213" spans="1:11" s="167" customFormat="1">
      <c r="A213" s="163"/>
      <c r="B213" s="230"/>
      <c r="C213" s="515"/>
      <c r="D213" s="231"/>
      <c r="E213" s="231"/>
      <c r="F213" s="231"/>
      <c r="G213" s="231"/>
      <c r="H213" s="166"/>
      <c r="I213" s="478"/>
      <c r="J213" s="168">
        <v>37425</v>
      </c>
      <c r="K213" s="168">
        <v>37498</v>
      </c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>
        <v>71151</v>
      </c>
      <c r="K214" s="168">
        <v>72686</v>
      </c>
    </row>
    <row r="215" spans="1:11" s="167" customFormat="1">
      <c r="A215" s="163"/>
      <c r="B215" s="228" t="s">
        <v>78</v>
      </c>
      <c r="C215" s="501">
        <f>C21-C208</f>
        <v>-83769</v>
      </c>
      <c r="D215" s="501">
        <f>D21-D208</f>
        <v>63930</v>
      </c>
      <c r="E215" s="171">
        <f t="shared" ref="E215:F215" si="46">E21-E208</f>
        <v>-19839</v>
      </c>
      <c r="F215" s="171">
        <f t="shared" si="46"/>
        <v>403073.29999999981</v>
      </c>
      <c r="G215" s="171">
        <f>G21-G208</f>
        <v>383234.30000000075</v>
      </c>
      <c r="I215" s="475"/>
      <c r="J215" s="168">
        <f>SUM(J212:J214)</f>
        <v>120303</v>
      </c>
      <c r="K215" s="168">
        <f>SUM(K212:K214)</f>
        <v>123917</v>
      </c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v>1061</v>
      </c>
      <c r="D219" s="530">
        <v>4586</v>
      </c>
      <c r="E219" s="234">
        <f t="shared" ref="E219:G227" si="47">C219+D219</f>
        <v>5647</v>
      </c>
      <c r="F219" s="233">
        <v>8086</v>
      </c>
      <c r="G219" s="234">
        <f t="shared" si="47"/>
        <v>13733</v>
      </c>
      <c r="H219" s="172">
        <f t="shared" ref="H219:H228" si="48">IF($G$228=0,0,G219/$G$228)</f>
        <v>0.64613719770396161</v>
      </c>
      <c r="I219" s="473"/>
      <c r="J219" s="168"/>
      <c r="K219" s="168"/>
    </row>
    <row r="220" spans="1:11">
      <c r="A220" s="163"/>
      <c r="B220" s="170" t="s">
        <v>217</v>
      </c>
      <c r="C220" s="530">
        <v>0</v>
      </c>
      <c r="D220" s="530">
        <v>0</v>
      </c>
      <c r="E220" s="234">
        <f t="shared" ref="E220:E227" si="49">C220+D220</f>
        <v>0</v>
      </c>
      <c r="F220" s="233">
        <v>0</v>
      </c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v>146</v>
      </c>
      <c r="D221" s="530">
        <v>496</v>
      </c>
      <c r="E221" s="234">
        <f t="shared" si="49"/>
        <v>642</v>
      </c>
      <c r="F221" s="233">
        <v>1322</v>
      </c>
      <c r="G221" s="234">
        <f t="shared" si="47"/>
        <v>1964</v>
      </c>
      <c r="H221" s="172">
        <f t="shared" si="48"/>
        <v>9.2406135315705282E-2</v>
      </c>
      <c r="I221" s="473"/>
      <c r="J221" s="168"/>
      <c r="K221" s="168"/>
    </row>
    <row r="222" spans="1:11">
      <c r="A222" s="163"/>
      <c r="B222" s="202" t="s">
        <v>334</v>
      </c>
      <c r="C222" s="530">
        <v>157</v>
      </c>
      <c r="D222" s="530">
        <v>524</v>
      </c>
      <c r="E222" s="234">
        <f>C222+D222</f>
        <v>681</v>
      </c>
      <c r="F222" s="233">
        <v>1055</v>
      </c>
      <c r="G222" s="234">
        <f>E222+F222</f>
        <v>1736</v>
      </c>
      <c r="H222" s="172">
        <f t="shared" si="48"/>
        <v>8.1678742824880024E-2</v>
      </c>
      <c r="I222" s="473"/>
      <c r="J222" s="168"/>
      <c r="K222" s="168"/>
    </row>
    <row r="223" spans="1:11">
      <c r="A223" s="163"/>
      <c r="B223" s="170" t="s">
        <v>73</v>
      </c>
      <c r="C223" s="530">
        <v>0</v>
      </c>
      <c r="D223" s="530">
        <v>0</v>
      </c>
      <c r="E223" s="234">
        <f t="shared" si="49"/>
        <v>0</v>
      </c>
      <c r="F223" s="233">
        <v>0</v>
      </c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v>274</v>
      </c>
      <c r="D224" s="530">
        <v>764</v>
      </c>
      <c r="E224" s="234">
        <f t="shared" si="49"/>
        <v>1038</v>
      </c>
      <c r="F224" s="233">
        <v>1088</v>
      </c>
      <c r="G224" s="234">
        <f t="shared" si="47"/>
        <v>2126</v>
      </c>
      <c r="H224" s="172">
        <f t="shared" si="48"/>
        <v>0.10002822998023901</v>
      </c>
      <c r="I224" s="473"/>
      <c r="J224" s="168"/>
      <c r="K224" s="168"/>
    </row>
    <row r="225" spans="1:11">
      <c r="A225" s="163"/>
      <c r="B225" s="170" t="s">
        <v>236</v>
      </c>
      <c r="C225" s="530">
        <v>171</v>
      </c>
      <c r="D225" s="530">
        <v>600</v>
      </c>
      <c r="E225" s="234">
        <f t="shared" si="49"/>
        <v>771</v>
      </c>
      <c r="F225" s="233">
        <v>908</v>
      </c>
      <c r="G225" s="234">
        <f t="shared" si="47"/>
        <v>1679</v>
      </c>
      <c r="H225" s="172">
        <f t="shared" si="48"/>
        <v>7.8996894702173706E-2</v>
      </c>
      <c r="I225" s="473"/>
      <c r="J225" s="168"/>
      <c r="K225" s="168"/>
    </row>
    <row r="226" spans="1:11">
      <c r="A226" s="163"/>
      <c r="B226" s="170" t="s">
        <v>235</v>
      </c>
      <c r="C226" s="530">
        <v>16</v>
      </c>
      <c r="D226" s="530">
        <v>0</v>
      </c>
      <c r="E226" s="234">
        <f>C226+D226</f>
        <v>16</v>
      </c>
      <c r="F226" s="233">
        <v>0</v>
      </c>
      <c r="G226" s="234">
        <f>E226+F226</f>
        <v>16</v>
      </c>
      <c r="H226" s="172">
        <f t="shared" si="48"/>
        <v>7.5279947304036888E-4</v>
      </c>
      <c r="I226" s="473"/>
      <c r="J226" s="168"/>
      <c r="K226" s="168"/>
    </row>
    <row r="227" spans="1:11">
      <c r="A227" s="163"/>
      <c r="B227" s="170" t="s">
        <v>179</v>
      </c>
      <c r="C227" s="530">
        <v>0</v>
      </c>
      <c r="D227" s="530">
        <v>0</v>
      </c>
      <c r="E227" s="234">
        <f t="shared" si="49"/>
        <v>0</v>
      </c>
      <c r="F227" s="233">
        <v>0</v>
      </c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1825</v>
      </c>
      <c r="D228" s="530">
        <f>SUM(D219:D227)</f>
        <v>6970</v>
      </c>
      <c r="E228" s="236">
        <f>SUM(E219:E227)</f>
        <v>8795</v>
      </c>
      <c r="F228" s="236">
        <f>SUM(F219:F227)</f>
        <v>12459</v>
      </c>
      <c r="G228" s="236">
        <f>SUM(G219:G227)</f>
        <v>21254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16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15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v>88</v>
      </c>
      <c r="D231" s="502"/>
      <c r="E231" s="234">
        <f>C231+D231</f>
        <v>88</v>
      </c>
      <c r="F231" s="234"/>
      <c r="G231" s="234">
        <f>E231+F231</f>
        <v>88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v>88</v>
      </c>
      <c r="D232" s="502"/>
      <c r="E232" s="234">
        <f>C232+D232</f>
        <v>88</v>
      </c>
      <c r="F232" s="234"/>
      <c r="G232" s="234">
        <f>E232+F232</f>
        <v>88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31</v>
      </c>
      <c r="D233" s="438">
        <v>122</v>
      </c>
      <c r="E233" s="234">
        <f>C233+D233</f>
        <v>153</v>
      </c>
      <c r="F233" s="238">
        <v>212</v>
      </c>
      <c r="G233" s="234">
        <f>E233+F233</f>
        <v>365</v>
      </c>
      <c r="H233" s="167" t="s">
        <v>597</v>
      </c>
      <c r="I233" s="475"/>
      <c r="J233" s="168"/>
      <c r="K233" s="168"/>
    </row>
    <row r="234" spans="1:11">
      <c r="A234" s="163"/>
      <c r="B234" s="239"/>
      <c r="C234" s="517"/>
      <c r="D234" s="238" t="s">
        <v>592</v>
      </c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v>2728</v>
      </c>
      <c r="D235" s="603" t="s">
        <v>593</v>
      </c>
      <c r="E235" s="233">
        <f>E231*E233</f>
        <v>13464</v>
      </c>
      <c r="F235" s="238"/>
      <c r="G235" s="233">
        <f>G231*G233</f>
        <v>32120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v>0.66898826979472137</v>
      </c>
      <c r="D236" s="238"/>
      <c r="E236" s="242">
        <f>IFERROR(E228/E235,"0")</f>
        <v>0.6532234105763518</v>
      </c>
      <c r="F236" s="243"/>
      <c r="G236" s="242">
        <f>IFERROR(G228/G235,"0")</f>
        <v>0.66170610211706105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v>0.38892961876832843</v>
      </c>
      <c r="D237" s="238"/>
      <c r="E237" s="242">
        <f>IFERROR((E219+E220)/E235,"0")</f>
        <v>0.41941473559120618</v>
      </c>
      <c r="F237" s="243"/>
      <c r="G237" s="242">
        <f>IFERROR((G219+G220)/G235,"0")</f>
        <v>0.42755292652552929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v>0.58136986301369864</v>
      </c>
      <c r="D238" s="238"/>
      <c r="E238" s="242">
        <f>IFERROR((E237/E236),"0")</f>
        <v>0.64206935758953942</v>
      </c>
      <c r="F238" s="243"/>
      <c r="G238" s="242">
        <f>IFERROR((G237/G236),"0")</f>
        <v>0.64613719770396161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(299.978102189781+(188*2))/3</f>
        <v>225.32603406326032</v>
      </c>
      <c r="H241" s="140" t="s">
        <v>594</v>
      </c>
      <c r="I241" s="475"/>
    </row>
    <row r="242" spans="2:9">
      <c r="F242" s="142" t="s">
        <v>341</v>
      </c>
      <c r="G242" s="501">
        <f>((192.25786163522* 2)+217)/3</f>
        <v>200.50524109014668</v>
      </c>
      <c r="H242" s="140" t="s">
        <v>596</v>
      </c>
      <c r="I242" s="475"/>
    </row>
    <row r="243" spans="2:9">
      <c r="F243" s="142" t="s">
        <v>342</v>
      </c>
      <c r="G243" s="501">
        <v>238.96296296296296</v>
      </c>
      <c r="I243" s="475"/>
    </row>
    <row r="244" spans="2:9">
      <c r="F244" s="142" t="s">
        <v>343</v>
      </c>
      <c r="G244" s="501">
        <v>202.93207547169811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rgb="FFE28CAB"/>
  </sheetPr>
  <dimension ref="A1:O246"/>
  <sheetViews>
    <sheetView showGridLines="0" topLeftCell="A197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512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  <c r="F3" s="420"/>
    </row>
    <row r="4" spans="1:11">
      <c r="A4" s="145"/>
      <c r="B4" s="148" t="s">
        <v>80</v>
      </c>
      <c r="C4" s="441">
        <v>42916</v>
      </c>
      <c r="D4" s="144"/>
      <c r="E4" s="149"/>
      <c r="F4" s="420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">
      <c r="A9" s="145"/>
      <c r="C9" s="151"/>
      <c r="D9" s="144"/>
      <c r="F9" s="416" t="s">
        <v>699</v>
      </c>
      <c r="G9" s="144"/>
      <c r="I9" s="475"/>
    </row>
    <row r="10" spans="1:11" s="167" customFormat="1" ht="15.5" thickBot="1">
      <c r="A10" s="163" t="s">
        <v>245</v>
      </c>
      <c r="B10" s="164" t="s">
        <v>246</v>
      </c>
      <c r="C10" s="165"/>
      <c r="D10" s="165"/>
      <c r="E10" s="165"/>
      <c r="F10" s="416" t="s">
        <v>644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'[17]Sch B'!E10</f>
        <v>2993746</v>
      </c>
      <c r="D11" s="501">
        <f>'[17]Sch B'!G10</f>
        <v>0</v>
      </c>
      <c r="E11" s="171">
        <f>C11+D11</f>
        <v>2993746</v>
      </c>
      <c r="F11" s="171">
        <f>629990+76965</f>
        <v>706955</v>
      </c>
      <c r="G11" s="171">
        <f t="shared" ref="G11:G20" si="0">E11+F11</f>
        <v>3700701</v>
      </c>
      <c r="H11" s="172">
        <f t="shared" ref="H11:H21" si="1">IF($G$21=0,0,G11/$G$21)</f>
        <v>0.62219702894988327</v>
      </c>
      <c r="I11" s="472" t="s">
        <v>697</v>
      </c>
      <c r="J11" s="336" t="s">
        <v>344</v>
      </c>
      <c r="K11" s="337">
        <f>G21</f>
        <v>5947796</v>
      </c>
    </row>
    <row r="12" spans="1:11" s="167" customFormat="1">
      <c r="A12" s="169" t="s">
        <v>15</v>
      </c>
      <c r="B12" s="170" t="s">
        <v>212</v>
      </c>
      <c r="C12" s="501">
        <f>'[17]Sch B'!E15</f>
        <v>0</v>
      </c>
      <c r="D12" s="501">
        <f>'[17]Sch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4918619.0000000009</v>
      </c>
    </row>
    <row r="13" spans="1:11" s="167" customFormat="1">
      <c r="A13" s="169" t="s">
        <v>16</v>
      </c>
      <c r="B13" s="170" t="s">
        <v>170</v>
      </c>
      <c r="C13" s="501">
        <f>'[17]Sch B'!E21</f>
        <v>663842</v>
      </c>
      <c r="D13" s="501">
        <f>'[17]Sch B'!G21</f>
        <v>0</v>
      </c>
      <c r="E13" s="171">
        <f t="shared" si="2"/>
        <v>663842</v>
      </c>
      <c r="F13" s="171"/>
      <c r="G13" s="171">
        <f t="shared" si="0"/>
        <v>663842</v>
      </c>
      <c r="H13" s="172">
        <f t="shared" si="1"/>
        <v>0.11161142715721925</v>
      </c>
      <c r="I13" s="473"/>
      <c r="J13" s="338" t="s">
        <v>346</v>
      </c>
      <c r="K13" s="339">
        <f>G228</f>
        <v>19178</v>
      </c>
    </row>
    <row r="14" spans="1:11" s="167" customFormat="1">
      <c r="A14" s="173" t="s">
        <v>18</v>
      </c>
      <c r="B14" s="174" t="s">
        <v>306</v>
      </c>
      <c r="C14" s="501">
        <f>'[17]Sch B'!E27</f>
        <v>827784</v>
      </c>
      <c r="D14" s="501">
        <f>'[17]Sch B'!G27</f>
        <v>0</v>
      </c>
      <c r="E14" s="171">
        <f t="shared" si="2"/>
        <v>827784</v>
      </c>
      <c r="F14" s="175"/>
      <c r="G14" s="175">
        <f>E14+F14</f>
        <v>827784</v>
      </c>
      <c r="H14" s="176">
        <f t="shared" si="1"/>
        <v>0.13917491453977238</v>
      </c>
      <c r="I14" s="479"/>
      <c r="J14" s="338" t="s">
        <v>347</v>
      </c>
      <c r="K14" s="339">
        <f>G231</f>
        <v>93</v>
      </c>
    </row>
    <row r="15" spans="1:11" s="167" customFormat="1">
      <c r="A15" s="169" t="s">
        <v>19</v>
      </c>
      <c r="B15" s="170" t="s">
        <v>171</v>
      </c>
      <c r="C15" s="501">
        <f>'[17]Sch B'!E32</f>
        <v>0</v>
      </c>
      <c r="D15" s="501">
        <f>'[17]Sch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39618</v>
      </c>
    </row>
    <row r="16" spans="1:11" s="167" customFormat="1">
      <c r="A16" s="169" t="s">
        <v>21</v>
      </c>
      <c r="B16" s="170" t="s">
        <v>172</v>
      </c>
      <c r="C16" s="501">
        <f>'[17]Sch B'!E37</f>
        <v>307836</v>
      </c>
      <c r="D16" s="501">
        <f>'[17]Sch B'!G37</f>
        <v>0</v>
      </c>
      <c r="E16" s="171">
        <f t="shared" si="2"/>
        <v>307836</v>
      </c>
      <c r="F16" s="171"/>
      <c r="G16" s="171">
        <f t="shared" si="0"/>
        <v>307836</v>
      </c>
      <c r="H16" s="172">
        <f t="shared" si="1"/>
        <v>5.17563144398362E-2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'[17]Sch B'!E42</f>
        <v>0</v>
      </c>
      <c r="D17" s="501">
        <f>'[17]Sch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119036</v>
      </c>
    </row>
    <row r="18" spans="1:11" s="167" customFormat="1" ht="13.5" thickBot="1">
      <c r="A18" s="169" t="s">
        <v>216</v>
      </c>
      <c r="B18" s="170" t="s">
        <v>229</v>
      </c>
      <c r="C18" s="501">
        <f>'[17]Sch B'!E47</f>
        <v>447437</v>
      </c>
      <c r="D18" s="501">
        <f>'[17]Sch B'!G47</f>
        <v>0</v>
      </c>
      <c r="E18" s="171">
        <f t="shared" si="2"/>
        <v>447437</v>
      </c>
      <c r="F18" s="171"/>
      <c r="G18" s="171">
        <f>E18+F18</f>
        <v>447437</v>
      </c>
      <c r="H18" s="172">
        <f t="shared" si="1"/>
        <v>7.522736153022061E-2</v>
      </c>
      <c r="I18" s="473"/>
      <c r="J18" s="341" t="s">
        <v>252</v>
      </c>
      <c r="K18" s="342">
        <f>K208</f>
        <v>126047</v>
      </c>
    </row>
    <row r="19" spans="1:11" s="167" customFormat="1">
      <c r="A19" s="169" t="s">
        <v>227</v>
      </c>
      <c r="B19" s="177" t="s">
        <v>173</v>
      </c>
      <c r="C19" s="501">
        <f>'[17]Sch B'!E52</f>
        <v>0</v>
      </c>
      <c r="D19" s="501">
        <f>'[17]Sch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'[17]Sch B'!E67</f>
        <v>196</v>
      </c>
      <c r="D20" s="501">
        <f>'[17]Sch B'!G67</f>
        <v>0</v>
      </c>
      <c r="E20" s="171">
        <f t="shared" si="2"/>
        <v>196</v>
      </c>
      <c r="F20" s="171"/>
      <c r="G20" s="171">
        <f t="shared" si="0"/>
        <v>196</v>
      </c>
      <c r="H20" s="172">
        <f t="shared" si="1"/>
        <v>3.295338306828277E-5</v>
      </c>
      <c r="I20" s="472"/>
      <c r="J20" s="168"/>
      <c r="K20" s="168"/>
    </row>
    <row r="21" spans="1:11" s="167" customFormat="1">
      <c r="A21" s="169"/>
      <c r="B21" s="178" t="s">
        <v>77</v>
      </c>
      <c r="C21" s="501">
        <f>SUM(C11:C20)</f>
        <v>5240841</v>
      </c>
      <c r="D21" s="501">
        <f>SUM(D11:D20)</f>
        <v>0</v>
      </c>
      <c r="E21" s="171">
        <f>SUM(E11:E20)</f>
        <v>5240841</v>
      </c>
      <c r="F21" s="171">
        <f>SUM(F11:F20)</f>
        <v>706955</v>
      </c>
      <c r="G21" s="171">
        <f>SUM(G11:G20)</f>
        <v>5947796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376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638" t="s">
        <v>645</v>
      </c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'[17]Sch C'!D10</f>
        <v>171310</v>
      </c>
      <c r="D25" s="501">
        <f>'[17]Sch C'!F10</f>
        <v>11061</v>
      </c>
      <c r="E25" s="171">
        <f t="shared" ref="E25:E60" si="3">C25+D25</f>
        <v>182371</v>
      </c>
      <c r="F25" s="171"/>
      <c r="G25" s="182">
        <f>E25+F25</f>
        <v>182371</v>
      </c>
      <c r="H25" s="172">
        <f>IF($G$208=0,0,G25/$G$208)</f>
        <v>3.7077683797017001E-2</v>
      </c>
      <c r="I25" s="473"/>
      <c r="J25" s="183">
        <v>2334</v>
      </c>
      <c r="K25" s="183">
        <v>2485</v>
      </c>
    </row>
    <row r="26" spans="1:11" s="167" customFormat="1">
      <c r="A26" s="169" t="s">
        <v>84</v>
      </c>
      <c r="B26" s="170" t="s">
        <v>176</v>
      </c>
      <c r="C26" s="501">
        <f>'[17]Sch C'!D11</f>
        <v>0</v>
      </c>
      <c r="D26" s="501">
        <f>'[17]Sch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'[17]Sch C'!D12</f>
        <v>172898</v>
      </c>
      <c r="D27" s="501">
        <f>'[17]Sch C'!F12</f>
        <v>11161</v>
      </c>
      <c r="E27" s="171">
        <f t="shared" si="3"/>
        <v>184059</v>
      </c>
      <c r="F27" s="171"/>
      <c r="G27" s="171">
        <f t="shared" si="4"/>
        <v>184059</v>
      </c>
      <c r="H27" s="172">
        <f t="shared" si="5"/>
        <v>3.7420869557085019E-2</v>
      </c>
      <c r="I27" s="473"/>
      <c r="J27" s="183">
        <v>6818</v>
      </c>
      <c r="K27" s="183">
        <v>7258</v>
      </c>
    </row>
    <row r="28" spans="1:11" s="167" customFormat="1">
      <c r="A28" s="169" t="s">
        <v>86</v>
      </c>
      <c r="B28" s="170" t="s">
        <v>45</v>
      </c>
      <c r="C28" s="501">
        <f>'[17]Sch C'!D13</f>
        <v>488411</v>
      </c>
      <c r="D28" s="501">
        <f>'[17]Sch C'!F13</f>
        <v>-442564</v>
      </c>
      <c r="E28" s="171">
        <f t="shared" si="3"/>
        <v>45847</v>
      </c>
      <c r="F28" s="171"/>
      <c r="G28" s="171">
        <f t="shared" si="4"/>
        <v>45847</v>
      </c>
      <c r="H28" s="172">
        <f t="shared" si="5"/>
        <v>9.3211122878189973E-3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'[17]Sch C'!D14</f>
        <v>0</v>
      </c>
      <c r="D29" s="501">
        <f>'[17]Sch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'[17]Sch C'!D15</f>
        <v>0</v>
      </c>
      <c r="D30" s="501">
        <f>'[17]Sch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'[17]Sch C'!D16</f>
        <v>261396</v>
      </c>
      <c r="D31" s="501">
        <f>'[17]Sch C'!F16</f>
        <v>125492</v>
      </c>
      <c r="E31" s="171">
        <f t="shared" si="3"/>
        <v>386888</v>
      </c>
      <c r="F31" s="171">
        <v>-32312.249031791001</v>
      </c>
      <c r="G31" s="171">
        <f t="shared" si="4"/>
        <v>354575.750968209</v>
      </c>
      <c r="H31" s="172">
        <f t="shared" si="5"/>
        <v>7.2088476657413178E-2</v>
      </c>
      <c r="I31" s="473" t="s">
        <v>405</v>
      </c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'[17]Sch C'!D17</f>
        <v>0</v>
      </c>
      <c r="D32" s="501">
        <f>'[17]Sch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'[17]Sch C'!D18</f>
        <v>10377</v>
      </c>
      <c r="D33" s="501">
        <f>'[17]Sch C'!F18</f>
        <v>0</v>
      </c>
      <c r="E33" s="171">
        <f t="shared" si="3"/>
        <v>10377</v>
      </c>
      <c r="F33" s="171"/>
      <c r="G33" s="171">
        <f t="shared" si="4"/>
        <v>10377</v>
      </c>
      <c r="H33" s="172">
        <f t="shared" si="5"/>
        <v>2.1097385262001385E-3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'[17]Sch C'!D19</f>
        <v>16652</v>
      </c>
      <c r="D34" s="501">
        <f>'[17]Sch C'!F19</f>
        <v>-707</v>
      </c>
      <c r="E34" s="171">
        <f t="shared" si="3"/>
        <v>15945</v>
      </c>
      <c r="F34" s="171">
        <v>-264</v>
      </c>
      <c r="G34" s="171">
        <f t="shared" si="4"/>
        <v>15681</v>
      </c>
      <c r="H34" s="172">
        <f t="shared" si="5"/>
        <v>3.1880899903001221E-3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'[17]Sch C'!D20</f>
        <v>14378</v>
      </c>
      <c r="D35" s="501">
        <f>'[17]Sch C'!F20</f>
        <v>0</v>
      </c>
      <c r="E35" s="171">
        <f t="shared" si="3"/>
        <v>14378</v>
      </c>
      <c r="F35" s="171"/>
      <c r="G35" s="171">
        <f t="shared" si="4"/>
        <v>14378</v>
      </c>
      <c r="H35" s="172">
        <f t="shared" si="5"/>
        <v>2.9231782335651527E-3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'[17]Sch C'!D21</f>
        <v>14984</v>
      </c>
      <c r="D36" s="501">
        <f>'[17]Sch C'!F21</f>
        <v>0</v>
      </c>
      <c r="E36" s="171">
        <f t="shared" si="3"/>
        <v>14984</v>
      </c>
      <c r="F36" s="171">
        <v>-13267</v>
      </c>
      <c r="G36" s="171">
        <f t="shared" si="4"/>
        <v>1717</v>
      </c>
      <c r="H36" s="172">
        <f t="shared" si="5"/>
        <v>3.490817239554435E-4</v>
      </c>
      <c r="I36" s="473" t="s">
        <v>693</v>
      </c>
      <c r="J36" s="168"/>
      <c r="K36" s="168"/>
    </row>
    <row r="37" spans="1:11" s="167" customFormat="1">
      <c r="A37" s="163">
        <v>130</v>
      </c>
      <c r="B37" s="170" t="s">
        <v>28</v>
      </c>
      <c r="C37" s="501">
        <f>'[17]Sch C'!D22</f>
        <v>0</v>
      </c>
      <c r="D37" s="501">
        <f>'[17]Sch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'[17]Sch C'!D23</f>
        <v>1819</v>
      </c>
      <c r="D38" s="501">
        <f>'[17]Sch C'!F23</f>
        <v>0</v>
      </c>
      <c r="E38" s="171">
        <f t="shared" si="3"/>
        <v>1819</v>
      </c>
      <c r="F38" s="171"/>
      <c r="G38" s="171">
        <f t="shared" si="4"/>
        <v>1819</v>
      </c>
      <c r="H38" s="172">
        <f t="shared" si="5"/>
        <v>3.6981925211121246E-4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'[17]Sch C'!D24</f>
        <v>44417</v>
      </c>
      <c r="D39" s="501">
        <f>'[17]Sch C'!F24</f>
        <v>-10200</v>
      </c>
      <c r="E39" s="171">
        <f t="shared" si="3"/>
        <v>34217</v>
      </c>
      <c r="F39" s="171"/>
      <c r="G39" s="171">
        <f t="shared" si="4"/>
        <v>34217</v>
      </c>
      <c r="H39" s="172">
        <f t="shared" si="5"/>
        <v>6.9566274598622082E-3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'[17]Sch C'!D25</f>
        <v>0</v>
      </c>
      <c r="D40" s="501">
        <f>'[17]Sch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'[17]Sch C'!D26</f>
        <v>301252</v>
      </c>
      <c r="D41" s="501">
        <f>'[17]Sch C'!F26</f>
        <v>0</v>
      </c>
      <c r="E41" s="171">
        <f t="shared" si="3"/>
        <v>301252</v>
      </c>
      <c r="F41" s="171"/>
      <c r="G41" s="171">
        <f t="shared" si="4"/>
        <v>301252</v>
      </c>
      <c r="H41" s="172">
        <f t="shared" si="5"/>
        <v>6.1247272862565677E-2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'[17]Sch C'!D27</f>
        <v>0</v>
      </c>
      <c r="D42" s="501">
        <f>'[17]Sch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'[17]Sch C'!D28</f>
        <v>0</v>
      </c>
      <c r="D43" s="501">
        <f>'[17]Sch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'[17]Sch C'!D29</f>
        <v>71310</v>
      </c>
      <c r="D44" s="501">
        <f>'[17]Sch C'!F29</f>
        <v>-71310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'[17]Sch C'!D30</f>
        <v>0</v>
      </c>
      <c r="D45" s="501">
        <f>'[17]Sch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'[17]Sch C'!D31</f>
        <v>57506</v>
      </c>
      <c r="D46" s="501">
        <f>'[17]Sch C'!F31</f>
        <v>0</v>
      </c>
      <c r="E46" s="171">
        <f t="shared" si="3"/>
        <v>57506</v>
      </c>
      <c r="F46" s="171"/>
      <c r="G46" s="171">
        <f t="shared" si="4"/>
        <v>57506</v>
      </c>
      <c r="H46" s="172">
        <f t="shared" si="5"/>
        <v>1.1691493079663213E-2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'[17]Sch C'!D32</f>
        <v>81600</v>
      </c>
      <c r="D47" s="501">
        <f>'[17]Sch C'!F32</f>
        <v>-27890</v>
      </c>
      <c r="E47" s="171">
        <f t="shared" si="3"/>
        <v>53710</v>
      </c>
      <c r="F47" s="171"/>
      <c r="G47" s="171">
        <f t="shared" si="4"/>
        <v>53710</v>
      </c>
      <c r="H47" s="172">
        <f t="shared" si="5"/>
        <v>1.0919731737709302E-2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'[17]Sch C'!D33</f>
        <v>0</v>
      </c>
      <c r="D48" s="501">
        <f>'[17]Sch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'[17]Sch C'!D34</f>
        <v>0</v>
      </c>
      <c r="D49" s="501">
        <f>'[17]Sch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'[17]Sch C'!D35</f>
        <v>0</v>
      </c>
      <c r="D50" s="501">
        <f>'[17]Sch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'[17]Sch C'!D36</f>
        <v>0</v>
      </c>
      <c r="D51" s="501">
        <f>'[17]Sch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'[17]Sch C'!D37</f>
        <v>0</v>
      </c>
      <c r="D52" s="501">
        <f>'[17]Sch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'[17]Sch C'!D38</f>
        <v>0</v>
      </c>
      <c r="D53" s="501">
        <f>'[17]Sch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'[17]Sch C'!D39</f>
        <v>12066</v>
      </c>
      <c r="D54" s="501">
        <f>'[17]Sch C'!F39</f>
        <v>0</v>
      </c>
      <c r="E54" s="171">
        <f t="shared" si="3"/>
        <v>12066</v>
      </c>
      <c r="F54" s="171"/>
      <c r="G54" s="171">
        <f t="shared" si="4"/>
        <v>12066</v>
      </c>
      <c r="H54" s="172">
        <f t="shared" si="5"/>
        <v>2.4531275953677237E-3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'[17]Sch C'!D40</f>
        <v>4481</v>
      </c>
      <c r="D55" s="501">
        <f>'[17]Sch C'!F40</f>
        <v>0</v>
      </c>
      <c r="E55" s="171">
        <f t="shared" si="3"/>
        <v>4481</v>
      </c>
      <c r="F55" s="171"/>
      <c r="G55" s="171">
        <f t="shared" si="4"/>
        <v>4481</v>
      </c>
      <c r="H55" s="172">
        <f t="shared" si="5"/>
        <v>9.1102807515686807E-4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'[17]Sch C'!D41</f>
        <v>25747</v>
      </c>
      <c r="D56" s="501">
        <f>'[17]Sch C'!F41</f>
        <v>0</v>
      </c>
      <c r="E56" s="171">
        <f t="shared" si="3"/>
        <v>25747</v>
      </c>
      <c r="F56" s="171"/>
      <c r="G56" s="171">
        <f t="shared" si="4"/>
        <v>25747</v>
      </c>
      <c r="H56" s="172">
        <f t="shared" si="5"/>
        <v>5.234599386535122E-3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'[17]Sch C'!D42</f>
        <v>3949</v>
      </c>
      <c r="D57" s="501">
        <f>'[17]Sch C'!F42</f>
        <v>0</v>
      </c>
      <c r="E57" s="171">
        <f t="shared" si="3"/>
        <v>3949</v>
      </c>
      <c r="F57" s="171"/>
      <c r="G57" s="171">
        <f t="shared" si="4"/>
        <v>3949</v>
      </c>
      <c r="H57" s="172">
        <f t="shared" si="5"/>
        <v>8.0286763418756344E-4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'[17]Sch C'!D43</f>
        <v>10530</v>
      </c>
      <c r="D58" s="501">
        <f>'[17]Sch C'!F43</f>
        <v>0</v>
      </c>
      <c r="E58" s="171">
        <f t="shared" si="3"/>
        <v>10530</v>
      </c>
      <c r="F58" s="171"/>
      <c r="G58" s="171">
        <f t="shared" si="4"/>
        <v>10530</v>
      </c>
      <c r="H58" s="172">
        <f t="shared" si="5"/>
        <v>2.1408448184337915E-3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'[17]Sch C'!D44</f>
        <v>0</v>
      </c>
      <c r="D59" s="501">
        <f>'[17]Sch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'[17]Sch C'!D45</f>
        <v>27480</v>
      </c>
      <c r="D60" s="501">
        <f>'[17]Sch C'!F45</f>
        <v>-170</v>
      </c>
      <c r="E60" s="171">
        <f t="shared" si="3"/>
        <v>27310</v>
      </c>
      <c r="F60" s="171">
        <f>-50.89-674</f>
        <v>-724.89</v>
      </c>
      <c r="G60" s="171">
        <f t="shared" si="4"/>
        <v>26585.11</v>
      </c>
      <c r="H60" s="172">
        <f t="shared" si="5"/>
        <v>5.4049947759726861E-3</v>
      </c>
      <c r="I60" s="473" t="s">
        <v>694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1792563</v>
      </c>
      <c r="D61" s="501">
        <f>SUM(D25:D60)</f>
        <v>-405127</v>
      </c>
      <c r="E61" s="171">
        <f t="shared" ref="E61" si="6">SUM(E25:E60)</f>
        <v>1387436</v>
      </c>
      <c r="F61" s="171">
        <f>SUM(F25:F60)</f>
        <v>-46568.139031790997</v>
      </c>
      <c r="G61" s="171">
        <f>SUM(G25:G60)</f>
        <v>1340867.8609682091</v>
      </c>
      <c r="H61" s="186">
        <f t="shared" si="5"/>
        <v>0.27261063745092046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'[17]Sch C'!D57</f>
        <v>424235</v>
      </c>
      <c r="D64" s="501">
        <f>'[17]Sch C'!F57</f>
        <v>0</v>
      </c>
      <c r="E64" s="171">
        <f t="shared" ref="E64:E78" si="7">C64+D64</f>
        <v>424235</v>
      </c>
      <c r="F64" s="171">
        <v>-424235</v>
      </c>
      <c r="G64" s="171">
        <f t="shared" ref="G64:G78" si="8">E64+F64</f>
        <v>0</v>
      </c>
      <c r="H64" s="172">
        <f t="shared" ref="H64:H79" si="9">IF($G$208=0,0,G64/$G$208)</f>
        <v>0</v>
      </c>
      <c r="I64" s="473" t="s">
        <v>693</v>
      </c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'[17]Sch C'!D58</f>
        <v>163171</v>
      </c>
      <c r="D65" s="501">
        <f>'[17]Sch C'!F58</f>
        <v>0</v>
      </c>
      <c r="E65" s="171">
        <f t="shared" si="7"/>
        <v>163171</v>
      </c>
      <c r="F65" s="171">
        <v>98107</v>
      </c>
      <c r="G65" s="171">
        <f t="shared" si="8"/>
        <v>261278</v>
      </c>
      <c r="H65" s="172">
        <f t="shared" si="9"/>
        <v>5.3120194916499927E-2</v>
      </c>
      <c r="I65" s="473" t="s">
        <v>693</v>
      </c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'[17]Sch C'!D59</f>
        <v>0</v>
      </c>
      <c r="D66" s="501">
        <f>'[17]Sch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'[17]Sch C'!D60</f>
        <v>28108</v>
      </c>
      <c r="D67" s="501">
        <f>'[17]Sch C'!F60</f>
        <v>0</v>
      </c>
      <c r="E67" s="171">
        <f t="shared" si="7"/>
        <v>28108</v>
      </c>
      <c r="F67" s="171"/>
      <c r="G67" s="171">
        <f t="shared" si="8"/>
        <v>28108</v>
      </c>
      <c r="H67" s="172">
        <f t="shared" si="9"/>
        <v>5.7146121706113029E-3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'[17]Sch C'!D61</f>
        <v>8869</v>
      </c>
      <c r="D68" s="501">
        <f>'[17]Sch C'!F61</f>
        <v>0</v>
      </c>
      <c r="E68" s="171">
        <f t="shared" si="7"/>
        <v>8869</v>
      </c>
      <c r="F68" s="171"/>
      <c r="G68" s="171">
        <f t="shared" si="8"/>
        <v>8869</v>
      </c>
      <c r="H68" s="172">
        <f t="shared" si="9"/>
        <v>1.8031484040540644E-3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'[17]Sch C'!D62</f>
        <v>10353</v>
      </c>
      <c r="D69" s="501">
        <f>'[17]Sch C'!F62</f>
        <v>0</v>
      </c>
      <c r="E69" s="171">
        <f t="shared" si="7"/>
        <v>10353</v>
      </c>
      <c r="F69" s="171"/>
      <c r="G69" s="171">
        <f t="shared" si="8"/>
        <v>10353</v>
      </c>
      <c r="H69" s="172">
        <f t="shared" si="9"/>
        <v>2.1048591078105458E-3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'[17]Sch C'!D63</f>
        <v>0</v>
      </c>
      <c r="D70" s="501">
        <f>'[17]Sch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'[17]Sch C'!D64</f>
        <v>0</v>
      </c>
      <c r="D71" s="501">
        <f>'[17]Sch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'[17]Sch C'!D65</f>
        <v>6514</v>
      </c>
      <c r="D72" s="501">
        <f>'[17]Sch C'!F65</f>
        <v>0</v>
      </c>
      <c r="E72" s="171">
        <f t="shared" si="7"/>
        <v>6514</v>
      </c>
      <c r="F72" s="171"/>
      <c r="G72" s="171">
        <f t="shared" si="8"/>
        <v>6514</v>
      </c>
      <c r="H72" s="172">
        <f t="shared" si="9"/>
        <v>1.324355474575282E-3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'[17]Sch C'!D66</f>
        <v>498</v>
      </c>
      <c r="D73" s="501">
        <f>'[17]Sch C'!F66</f>
        <v>0</v>
      </c>
      <c r="E73" s="171">
        <f t="shared" si="7"/>
        <v>498</v>
      </c>
      <c r="F73" s="171"/>
      <c r="G73" s="171">
        <f t="shared" si="8"/>
        <v>498</v>
      </c>
      <c r="H73" s="172">
        <f t="shared" si="9"/>
        <v>1.0124793158404827E-4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'[17]Sch C'!D67</f>
        <v>82534</v>
      </c>
      <c r="D74" s="501">
        <f>'[17]Sch C'!F67</f>
        <v>0</v>
      </c>
      <c r="E74" s="171">
        <f t="shared" si="7"/>
        <v>82534</v>
      </c>
      <c r="F74" s="171"/>
      <c r="G74" s="171">
        <f t="shared" si="8"/>
        <v>82534</v>
      </c>
      <c r="H74" s="172">
        <f t="shared" si="9"/>
        <v>1.677991322361012E-2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'[17]Sch C'!D68</f>
        <v>0</v>
      </c>
      <c r="D75" s="501">
        <f>'[17]Sch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'[17]Sch C'!D69</f>
        <v>5698</v>
      </c>
      <c r="D76" s="501">
        <f>'[17]Sch C'!F69</f>
        <v>0</v>
      </c>
      <c r="E76" s="171">
        <f t="shared" si="7"/>
        <v>5698</v>
      </c>
      <c r="F76" s="171"/>
      <c r="G76" s="171">
        <f t="shared" si="8"/>
        <v>5698</v>
      </c>
      <c r="H76" s="172">
        <f t="shared" si="9"/>
        <v>1.1584552493291306E-3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'[17]Sch C'!D70</f>
        <v>0</v>
      </c>
      <c r="D77" s="501">
        <f>'[17]Sch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'[17]Sch C'!D71</f>
        <v>0</v>
      </c>
      <c r="D78" s="501">
        <f>'[17]Sch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729980</v>
      </c>
      <c r="D79" s="501">
        <f>SUM(D64:D78)</f>
        <v>0</v>
      </c>
      <c r="E79" s="171">
        <f t="shared" ref="E79" si="10">SUM(E64:E78)</f>
        <v>729980</v>
      </c>
      <c r="F79" s="171">
        <f>SUM(F64:F78)</f>
        <v>-326128</v>
      </c>
      <c r="G79" s="171">
        <f>SUM(G64:G78)</f>
        <v>403852</v>
      </c>
      <c r="H79" s="172">
        <f t="shared" si="9"/>
        <v>8.2106786478074414E-2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'[17]Sch C'!D75</f>
        <v>42610</v>
      </c>
      <c r="D82" s="501">
        <f>'[17]Sch C'!F75</f>
        <v>2751</v>
      </c>
      <c r="E82" s="171">
        <f t="shared" ref="E82:E92" si="11">C82+D82</f>
        <v>45361</v>
      </c>
      <c r="F82" s="171"/>
      <c r="G82" s="171">
        <f t="shared" ref="G82:G92" si="12">E82+F82</f>
        <v>45361</v>
      </c>
      <c r="H82" s="172">
        <f t="shared" ref="H82:H93" si="13">IF($G$208=0,0,G82/$G$208)</f>
        <v>9.2223040654297456E-3</v>
      </c>
      <c r="I82" s="473"/>
      <c r="J82" s="183">
        <v>1890</v>
      </c>
      <c r="K82" s="183">
        <v>2012</v>
      </c>
    </row>
    <row r="83" spans="1:11" s="167" customFormat="1">
      <c r="A83" s="169" t="s">
        <v>86</v>
      </c>
      <c r="B83" s="199" t="s">
        <v>45</v>
      </c>
      <c r="C83" s="501">
        <f>'[17]Sch C'!D76</f>
        <v>0</v>
      </c>
      <c r="D83" s="501">
        <f>'[17]Sch C'!F76</f>
        <v>5583</v>
      </c>
      <c r="E83" s="171">
        <f t="shared" si="11"/>
        <v>5583</v>
      </c>
      <c r="F83" s="171"/>
      <c r="G83" s="171">
        <f t="shared" si="12"/>
        <v>5583</v>
      </c>
      <c r="H83" s="172">
        <f t="shared" si="13"/>
        <v>1.1350747028789989E-3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'[17]Sch C'!D77</f>
        <v>12990</v>
      </c>
      <c r="D84" s="501">
        <f>'[17]Sch C'!F77</f>
        <v>0</v>
      </c>
      <c r="E84" s="171">
        <f t="shared" si="11"/>
        <v>12990</v>
      </c>
      <c r="F84" s="171"/>
      <c r="G84" s="171">
        <f t="shared" si="12"/>
        <v>12990</v>
      </c>
      <c r="H84" s="172">
        <f t="shared" si="13"/>
        <v>2.6409852033670422E-3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'[17]Sch C'!D78</f>
        <v>0</v>
      </c>
      <c r="D85" s="501">
        <f>'[17]Sch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'[17]Sch C'!D79</f>
        <v>5987</v>
      </c>
      <c r="D86" s="501">
        <f>'[17]Sch C'!F79</f>
        <v>0</v>
      </c>
      <c r="E86" s="171">
        <f t="shared" si="11"/>
        <v>5987</v>
      </c>
      <c r="F86" s="171"/>
      <c r="G86" s="171">
        <f>E86+F86</f>
        <v>5987</v>
      </c>
      <c r="H86" s="172">
        <f t="shared" si="13"/>
        <v>1.2172115791038091E-3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'[17]Sch C'!D80</f>
        <v>22792</v>
      </c>
      <c r="D87" s="501">
        <f>'[17]Sch C'!F80</f>
        <v>0</v>
      </c>
      <c r="E87" s="171">
        <f t="shared" si="11"/>
        <v>22792</v>
      </c>
      <c r="F87" s="171"/>
      <c r="G87" s="171">
        <f t="shared" si="12"/>
        <v>22792</v>
      </c>
      <c r="H87" s="172">
        <f t="shared" si="13"/>
        <v>4.6338209973165222E-3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'[17]Sch C'!D81</f>
        <v>13183</v>
      </c>
      <c r="D88" s="501">
        <f>'[17]Sch C'!F81</f>
        <v>0</v>
      </c>
      <c r="E88" s="171">
        <f t="shared" si="11"/>
        <v>13183</v>
      </c>
      <c r="F88" s="171"/>
      <c r="G88" s="171">
        <f t="shared" si="12"/>
        <v>13183</v>
      </c>
      <c r="H88" s="172">
        <f t="shared" si="13"/>
        <v>2.6802238595833501E-3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'[17]Sch C'!D82</f>
        <v>3676</v>
      </c>
      <c r="D89" s="501">
        <f>'[17]Sch C'!F82</f>
        <v>0</v>
      </c>
      <c r="E89" s="171">
        <f t="shared" si="11"/>
        <v>3676</v>
      </c>
      <c r="F89" s="171"/>
      <c r="G89" s="171">
        <f t="shared" si="12"/>
        <v>3676</v>
      </c>
      <c r="H89" s="172">
        <f t="shared" si="13"/>
        <v>7.4736425000594665E-4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'[17]Sch C'!D83</f>
        <v>0</v>
      </c>
      <c r="D90" s="501">
        <f>'[17]Sch C'!F83</f>
        <v>0</v>
      </c>
      <c r="E90" s="171">
        <f t="shared" si="11"/>
        <v>0</v>
      </c>
      <c r="F90" s="171">
        <v>674</v>
      </c>
      <c r="G90" s="171">
        <f t="shared" si="12"/>
        <v>674</v>
      </c>
      <c r="H90" s="172">
        <f t="shared" si="13"/>
        <v>1.3703033310772799E-4</v>
      </c>
      <c r="I90" s="473" t="s">
        <v>693</v>
      </c>
      <c r="J90" s="168"/>
      <c r="K90" s="168"/>
    </row>
    <row r="91" spans="1:11" s="167" customFormat="1">
      <c r="A91" s="163">
        <v>350</v>
      </c>
      <c r="B91" s="199" t="s">
        <v>49</v>
      </c>
      <c r="C91" s="501">
        <f>'[17]Sch C'!D84</f>
        <v>73963</v>
      </c>
      <c r="D91" s="501">
        <f>'[17]Sch C'!F84</f>
        <v>0</v>
      </c>
      <c r="E91" s="171">
        <f t="shared" si="11"/>
        <v>73963</v>
      </c>
      <c r="F91" s="171"/>
      <c r="G91" s="171">
        <f t="shared" si="12"/>
        <v>73963</v>
      </c>
      <c r="H91" s="172">
        <f t="shared" si="13"/>
        <v>1.5037350931226831E-2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'[17]Sch C'!D85</f>
        <v>0</v>
      </c>
      <c r="D92" s="501">
        <f>'[17]Sch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175201</v>
      </c>
      <c r="D93" s="501">
        <f>SUM(D82:D92)</f>
        <v>8334</v>
      </c>
      <c r="E93" s="171">
        <f t="shared" ref="E93" si="14">SUM(E82:E92)</f>
        <v>183535</v>
      </c>
      <c r="F93" s="171">
        <f>SUM(F82:F92)</f>
        <v>674</v>
      </c>
      <c r="G93" s="171">
        <f>SUM(G82:G92)</f>
        <v>184209</v>
      </c>
      <c r="H93" s="172">
        <f t="shared" si="13"/>
        <v>3.7451365922019975E-2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'[17]Sch C'!D89</f>
        <v>145559</v>
      </c>
      <c r="D96" s="501">
        <f>'[17]Sch C'!F89</f>
        <v>9398</v>
      </c>
      <c r="E96" s="171">
        <f t="shared" ref="E96:E101" si="15">C96+D96</f>
        <v>154957</v>
      </c>
      <c r="F96" s="171"/>
      <c r="G96" s="171">
        <f t="shared" ref="G96:G101" si="16">E96+F96</f>
        <v>154957</v>
      </c>
      <c r="H96" s="172">
        <f t="shared" ref="H96:H102" si="17">IF($G$208=0,0,G96/$G$208)</f>
        <v>3.1504168141504751E-2</v>
      </c>
      <c r="I96" s="473"/>
      <c r="J96" s="183">
        <v>10578</v>
      </c>
      <c r="K96" s="183">
        <v>11261</v>
      </c>
    </row>
    <row r="97" spans="1:11" s="167" customFormat="1">
      <c r="A97" s="169" t="s">
        <v>86</v>
      </c>
      <c r="B97" s="170" t="s">
        <v>45</v>
      </c>
      <c r="C97" s="501">
        <f>'[17]Sch C'!D90</f>
        <v>0</v>
      </c>
      <c r="D97" s="501">
        <f>'[17]Sch C'!F90</f>
        <v>19073</v>
      </c>
      <c r="E97" s="171">
        <f t="shared" si="15"/>
        <v>19073</v>
      </c>
      <c r="F97" s="171"/>
      <c r="G97" s="171">
        <f t="shared" si="16"/>
        <v>19073</v>
      </c>
      <c r="H97" s="172">
        <f t="shared" si="17"/>
        <v>3.8777144560292222E-3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'[17]Sch C'!D91</f>
        <v>15651</v>
      </c>
      <c r="D98" s="501">
        <f>'[17]Sch C'!F91</f>
        <v>0</v>
      </c>
      <c r="E98" s="171">
        <f t="shared" si="15"/>
        <v>15651</v>
      </c>
      <c r="F98" s="171"/>
      <c r="G98" s="171">
        <f t="shared" si="16"/>
        <v>15651</v>
      </c>
      <c r="H98" s="172">
        <f t="shared" si="17"/>
        <v>3.1819907173131312E-3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'[17]Sch C'!D92</f>
        <v>135798</v>
      </c>
      <c r="D99" s="501">
        <f>'[17]Sch C'!F92</f>
        <v>0</v>
      </c>
      <c r="E99" s="171">
        <f t="shared" si="15"/>
        <v>135798</v>
      </c>
      <c r="F99" s="171"/>
      <c r="G99" s="171">
        <f t="shared" si="16"/>
        <v>135798</v>
      </c>
      <c r="H99" s="172">
        <f t="shared" si="17"/>
        <v>2.7608969102912825E-2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'[17]Sch C'!D93</f>
        <v>17328</v>
      </c>
      <c r="D100" s="501">
        <f>'[17]Sch C'!F93</f>
        <v>0</v>
      </c>
      <c r="E100" s="171">
        <f t="shared" si="15"/>
        <v>17328</v>
      </c>
      <c r="F100" s="171"/>
      <c r="G100" s="171">
        <f t="shared" si="16"/>
        <v>17328</v>
      </c>
      <c r="H100" s="172">
        <f t="shared" si="17"/>
        <v>3.5229400772859203E-3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'[17]Sch C'!D94</f>
        <v>0</v>
      </c>
      <c r="D101" s="501">
        <f>'[17]Sch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314336</v>
      </c>
      <c r="D102" s="501">
        <f>SUM(D96:D101)</f>
        <v>28471</v>
      </c>
      <c r="E102" s="171">
        <f t="shared" ref="E102" si="18">SUM(E96:E101)</f>
        <v>342807</v>
      </c>
      <c r="F102" s="171">
        <f>SUM(F96:F101)</f>
        <v>0</v>
      </c>
      <c r="G102" s="171">
        <f>SUM(G96:G101)</f>
        <v>342807</v>
      </c>
      <c r="H102" s="172">
        <f t="shared" si="17"/>
        <v>6.9695782495045849E-2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'[17]Sch C'!D98</f>
        <v>28789</v>
      </c>
      <c r="D105" s="501">
        <f>'[17]Sch C'!F98</f>
        <v>1859</v>
      </c>
      <c r="E105" s="171">
        <f t="shared" ref="E105:E110" si="19">C105+D105</f>
        <v>30648</v>
      </c>
      <c r="F105" s="171"/>
      <c r="G105" s="171">
        <f t="shared" ref="G105:G110" si="20">E105+F105</f>
        <v>30648</v>
      </c>
      <c r="H105" s="172">
        <f t="shared" ref="H105:H111" si="21">IF($G$208=0,0,G105/$G$208)</f>
        <v>6.2310172835098624E-3</v>
      </c>
      <c r="I105" s="473"/>
      <c r="J105" s="183">
        <v>2803</v>
      </c>
      <c r="K105" s="183">
        <v>2984</v>
      </c>
    </row>
    <row r="106" spans="1:11" s="167" customFormat="1">
      <c r="A106" s="169" t="s">
        <v>86</v>
      </c>
      <c r="B106" s="170" t="s">
        <v>45</v>
      </c>
      <c r="C106" s="501">
        <f>'[17]Sch C'!D99</f>
        <v>0</v>
      </c>
      <c r="D106" s="501">
        <f>'[17]Sch C'!F99</f>
        <v>3773</v>
      </c>
      <c r="E106" s="171">
        <f t="shared" si="19"/>
        <v>3773</v>
      </c>
      <c r="F106" s="171"/>
      <c r="G106" s="171">
        <f t="shared" si="20"/>
        <v>3773</v>
      </c>
      <c r="H106" s="172">
        <f t="shared" si="21"/>
        <v>7.6708523266388374E-4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'[17]Sch C'!D100</f>
        <v>5248</v>
      </c>
      <c r="D107" s="501">
        <f>'[17]Sch C'!F100</f>
        <v>0</v>
      </c>
      <c r="E107" s="171">
        <f t="shared" si="19"/>
        <v>5248</v>
      </c>
      <c r="F107" s="171"/>
      <c r="G107" s="171">
        <f t="shared" si="20"/>
        <v>5248</v>
      </c>
      <c r="H107" s="172">
        <f t="shared" si="21"/>
        <v>1.0669661545242677E-3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'[17]Sch C'!D101</f>
        <v>0</v>
      </c>
      <c r="D108" s="501">
        <f>'[17]Sch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'[17]Sch C'!D102</f>
        <v>2339</v>
      </c>
      <c r="D109" s="501">
        <f>'[17]Sch C'!F102</f>
        <v>0</v>
      </c>
      <c r="E109" s="171">
        <f t="shared" si="19"/>
        <v>2339</v>
      </c>
      <c r="F109" s="171"/>
      <c r="G109" s="171">
        <f t="shared" si="20"/>
        <v>2339</v>
      </c>
      <c r="H109" s="172">
        <f t="shared" si="21"/>
        <v>4.755399838857207E-4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'[17]Sch C'!D103</f>
        <v>0</v>
      </c>
      <c r="D110" s="501">
        <f>'[17]Sch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36376</v>
      </c>
      <c r="D111" s="501">
        <f>SUM(D105:D110)</f>
        <v>5632</v>
      </c>
      <c r="E111" s="171">
        <f t="shared" ref="E111" si="22">SUM(E105:E110)</f>
        <v>42008</v>
      </c>
      <c r="F111" s="171">
        <f>SUM(F105:F110)</f>
        <v>0</v>
      </c>
      <c r="G111" s="171">
        <f>SUM(G105:G110)</f>
        <v>42008</v>
      </c>
      <c r="H111" s="172">
        <f t="shared" si="21"/>
        <v>8.5406086545837343E-3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'[17]Sch C'!D115</f>
        <v>79788</v>
      </c>
      <c r="D114" s="501">
        <f>'[17]Sch C'!F115</f>
        <v>5152</v>
      </c>
      <c r="E114" s="171">
        <f t="shared" ref="E114:E118" si="23">C114+D114</f>
        <v>84940</v>
      </c>
      <c r="F114" s="171"/>
      <c r="G114" s="171">
        <f>E114+F114</f>
        <v>84940</v>
      </c>
      <c r="H114" s="172">
        <f t="shared" ref="H114:H119" si="24">IF($G$208=0,0,G114/$G$208)</f>
        <v>1.7269074917166786E-2</v>
      </c>
      <c r="I114" s="473"/>
      <c r="J114" s="183">
        <v>6932</v>
      </c>
      <c r="K114" s="183">
        <v>7380</v>
      </c>
    </row>
    <row r="115" spans="1:11" s="167" customFormat="1">
      <c r="A115" s="169" t="s">
        <v>86</v>
      </c>
      <c r="B115" s="170" t="s">
        <v>151</v>
      </c>
      <c r="C115" s="501">
        <f>'[17]Sch C'!D116</f>
        <v>0</v>
      </c>
      <c r="D115" s="501">
        <f>'[17]Sch C'!F116</f>
        <v>10455</v>
      </c>
      <c r="E115" s="171">
        <f t="shared" si="23"/>
        <v>10455</v>
      </c>
      <c r="F115" s="171"/>
      <c r="G115" s="171">
        <f>E115+F115</f>
        <v>10455</v>
      </c>
      <c r="H115" s="172">
        <f t="shared" si="24"/>
        <v>2.1255966359663143E-3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'[17]Sch C'!D117</f>
        <v>19775</v>
      </c>
      <c r="D116" s="501">
        <f>'[17]Sch C'!F117</f>
        <v>0</v>
      </c>
      <c r="E116" s="171">
        <f t="shared" si="23"/>
        <v>19775</v>
      </c>
      <c r="F116" s="171"/>
      <c r="G116" s="171">
        <f>E116+F116</f>
        <v>19775</v>
      </c>
      <c r="H116" s="172">
        <f t="shared" si="24"/>
        <v>4.0204374439248083E-3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'[17]Sch C'!D118</f>
        <v>305</v>
      </c>
      <c r="D117" s="501">
        <f>'[17]Sch C'!F118</f>
        <v>0</v>
      </c>
      <c r="E117" s="171">
        <f t="shared" si="23"/>
        <v>305</v>
      </c>
      <c r="F117" s="171"/>
      <c r="G117" s="171">
        <f>E117+F117</f>
        <v>305</v>
      </c>
      <c r="H117" s="172">
        <f t="shared" si="24"/>
        <v>6.2009275367740405E-5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'[17]Sch C'!D119</f>
        <v>0</v>
      </c>
      <c r="D118" s="501">
        <f>'[17]Sch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99868</v>
      </c>
      <c r="D119" s="501">
        <f>SUM(D114:D118)</f>
        <v>15607</v>
      </c>
      <c r="E119" s="171">
        <f t="shared" ref="E119" si="25">SUM(E114:E118)</f>
        <v>115475</v>
      </c>
      <c r="F119" s="171">
        <f>SUM(F114:F118)</f>
        <v>0</v>
      </c>
      <c r="G119" s="171">
        <f>SUM(G114:G118)</f>
        <v>115475</v>
      </c>
      <c r="H119" s="172">
        <f t="shared" si="24"/>
        <v>2.347711827242565E-2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'[17]Sch C'!D124</f>
        <v>0</v>
      </c>
      <c r="D123" s="501">
        <f>'[17]Sch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'[17]Sch C'!D125</f>
        <v>84388</v>
      </c>
      <c r="D124" s="501">
        <f>'[17]Sch C'!F125</f>
        <v>5449</v>
      </c>
      <c r="E124" s="171">
        <f t="shared" si="26"/>
        <v>89837</v>
      </c>
      <c r="F124" s="171">
        <v>28700.596399026876</v>
      </c>
      <c r="G124" s="171">
        <f>E124+F124</f>
        <v>118537.59639902688</v>
      </c>
      <c r="H124" s="172">
        <f>IF($G$208=0,0,G124/$G$208)</f>
        <v>2.4099771988646986E-2</v>
      </c>
      <c r="I124" s="473" t="s">
        <v>405</v>
      </c>
      <c r="J124" s="183">
        <v>1984</v>
      </c>
      <c r="K124" s="183">
        <v>2112</v>
      </c>
    </row>
    <row r="125" spans="1:11" s="167" customFormat="1">
      <c r="A125" s="163" t="s">
        <v>198</v>
      </c>
      <c r="B125" s="163" t="s">
        <v>195</v>
      </c>
      <c r="C125" s="501">
        <f>'[17]Sch C'!D126</f>
        <v>49114</v>
      </c>
      <c r="D125" s="501">
        <f>'[17]Sch C'!F126</f>
        <v>3171</v>
      </c>
      <c r="E125" s="171">
        <f t="shared" si="26"/>
        <v>52285</v>
      </c>
      <c r="F125" s="171"/>
      <c r="G125" s="171">
        <f>E125+F125</f>
        <v>52285</v>
      </c>
      <c r="H125" s="172">
        <f>IF($G$208=0,0,G125/$G$208)</f>
        <v>1.0630016270827236E-2</v>
      </c>
      <c r="I125" s="473"/>
      <c r="J125" s="183">
        <v>1380</v>
      </c>
      <c r="K125" s="183">
        <v>1469</v>
      </c>
    </row>
    <row r="126" spans="1:11" s="167" customFormat="1">
      <c r="A126" s="169"/>
      <c r="B126" s="163" t="s">
        <v>196</v>
      </c>
      <c r="C126" s="501">
        <f>'[17]Sch C'!D127</f>
        <v>0</v>
      </c>
      <c r="D126" s="501">
        <f>'[17]Sch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'[17]Sch C'!D128</f>
        <v>17989</v>
      </c>
      <c r="D127" s="501">
        <f>'[17]Sch C'!F128</f>
        <v>1162</v>
      </c>
      <c r="E127" s="171">
        <f t="shared" si="26"/>
        <v>19151</v>
      </c>
      <c r="F127" s="171"/>
      <c r="G127" s="171">
        <f>E127+F127</f>
        <v>19151</v>
      </c>
      <c r="H127" s="172">
        <f>IF($G$208=0,0,G127/$G$208)</f>
        <v>3.8935725657953985E-3</v>
      </c>
      <c r="I127" s="473"/>
      <c r="J127" s="183">
        <v>1367</v>
      </c>
      <c r="K127" s="183">
        <v>1455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584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'[17]Sch C'!D130</f>
        <v>0</v>
      </c>
      <c r="D129" s="501">
        <f>'[17]Sch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'[17]Sch C'!D131</f>
        <v>0</v>
      </c>
      <c r="D130" s="501">
        <f>'[17]Sch C'!F131</f>
        <v>11058</v>
      </c>
      <c r="E130" s="171">
        <f t="shared" si="27"/>
        <v>11058</v>
      </c>
      <c r="F130" s="171">
        <v>3611.6526327641159</v>
      </c>
      <c r="G130" s="171">
        <f>E130+F130</f>
        <v>14669.652632764115</v>
      </c>
      <c r="H130" s="172">
        <f>IF($G$208=0,0,G130/$G$208)</f>
        <v>2.9824738677185839E-3</v>
      </c>
      <c r="I130" s="473" t="s">
        <v>405</v>
      </c>
      <c r="J130" s="204"/>
      <c r="K130" s="204"/>
    </row>
    <row r="131" spans="1:11" s="167" customFormat="1">
      <c r="B131" s="163" t="s">
        <v>195</v>
      </c>
      <c r="C131" s="501">
        <f>'[17]Sch C'!D132</f>
        <v>0</v>
      </c>
      <c r="D131" s="501">
        <f>'[17]Sch C'!F132</f>
        <v>6436</v>
      </c>
      <c r="E131" s="171">
        <f t="shared" si="27"/>
        <v>6436</v>
      </c>
      <c r="F131" s="171"/>
      <c r="G131" s="171">
        <f>E131+F131</f>
        <v>6436</v>
      </c>
      <c r="H131" s="172">
        <f>IF($G$208=0,0,G131/$G$208)</f>
        <v>1.3084973648091057E-3</v>
      </c>
      <c r="I131" s="473"/>
      <c r="J131" s="168"/>
      <c r="K131" s="168"/>
    </row>
    <row r="132" spans="1:11" s="167" customFormat="1">
      <c r="B132" s="163" t="s">
        <v>196</v>
      </c>
      <c r="C132" s="501">
        <f>'[17]Sch C'!D133</f>
        <v>0</v>
      </c>
      <c r="D132" s="501">
        <f>'[17]Sch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'[17]Sch C'!D134</f>
        <v>0</v>
      </c>
      <c r="D133" s="501">
        <f>'[17]Sch C'!F134</f>
        <v>2357</v>
      </c>
      <c r="E133" s="171">
        <f t="shared" si="27"/>
        <v>2357</v>
      </c>
      <c r="F133" s="171"/>
      <c r="G133" s="171">
        <f>E133+F133</f>
        <v>2357</v>
      </c>
      <c r="H133" s="172">
        <f>IF($G$208=0,0,G133/$G$208)</f>
        <v>4.791995476779152E-4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'[17]Sch C'!D136</f>
        <v>453433</v>
      </c>
      <c r="D135" s="501">
        <f>'[17]Sch C'!F136</f>
        <v>29277</v>
      </c>
      <c r="E135" s="171">
        <f t="shared" ref="E135:E138" si="28">C135+D135</f>
        <v>482710</v>
      </c>
      <c r="F135" s="171"/>
      <c r="G135" s="171">
        <f>E135+F135</f>
        <v>482710</v>
      </c>
      <c r="H135" s="172">
        <f>IF($G$208=0,0,G135/$G$208)</f>
        <v>9.8139335451678592E-2</v>
      </c>
      <c r="I135" s="473"/>
      <c r="J135" s="183">
        <v>13969</v>
      </c>
      <c r="K135" s="183">
        <v>14871</v>
      </c>
    </row>
    <row r="136" spans="1:11" s="167" customFormat="1">
      <c r="A136" s="169"/>
      <c r="B136" s="163" t="s">
        <v>195</v>
      </c>
      <c r="C136" s="501">
        <f>'[17]Sch C'!D137</f>
        <v>134946</v>
      </c>
      <c r="D136" s="501">
        <f>'[17]Sch C'!F137</f>
        <v>8713</v>
      </c>
      <c r="E136" s="171">
        <f t="shared" si="28"/>
        <v>143659</v>
      </c>
      <c r="F136" s="171"/>
      <c r="G136" s="171">
        <f>E136+F136</f>
        <v>143659</v>
      </c>
      <c r="H136" s="172">
        <f>IF($G$208=0,0,G136/$G$208)</f>
        <v>2.9207181934603997E-2</v>
      </c>
      <c r="I136" s="473"/>
      <c r="J136" s="183">
        <v>5381</v>
      </c>
      <c r="K136" s="183">
        <v>5728</v>
      </c>
    </row>
    <row r="137" spans="1:11" s="167" customFormat="1">
      <c r="A137" s="169"/>
      <c r="B137" s="163" t="s">
        <v>196</v>
      </c>
      <c r="C137" s="501">
        <f>'[17]Sch C'!D138</f>
        <v>394860</v>
      </c>
      <c r="D137" s="501">
        <f>'[17]Sch C'!F138</f>
        <v>25495</v>
      </c>
      <c r="E137" s="171">
        <f t="shared" si="28"/>
        <v>420355</v>
      </c>
      <c r="F137" s="171"/>
      <c r="G137" s="171">
        <f>E137+F137</f>
        <v>420355</v>
      </c>
      <c r="H137" s="172">
        <f>IF($G$208=0,0,G137/$G$208)</f>
        <v>8.5461996548218094E-2</v>
      </c>
      <c r="I137" s="473"/>
      <c r="J137" s="183">
        <v>27651</v>
      </c>
      <c r="K137" s="183">
        <v>29436</v>
      </c>
    </row>
    <row r="138" spans="1:11" s="167" customFormat="1">
      <c r="A138" s="169"/>
      <c r="B138" s="163" t="s">
        <v>197</v>
      </c>
      <c r="C138" s="501">
        <f>'[17]Sch C'!D139</f>
        <v>137988</v>
      </c>
      <c r="D138" s="501">
        <f>'[17]Sch C'!F139</f>
        <v>8910</v>
      </c>
      <c r="E138" s="171">
        <f t="shared" si="28"/>
        <v>146898</v>
      </c>
      <c r="F138" s="171"/>
      <c r="G138" s="171">
        <f>E138+F138</f>
        <v>146898</v>
      </c>
      <c r="H138" s="172">
        <f>IF($G$208=0,0,G138/$G$208)</f>
        <v>2.9865700108099441E-2</v>
      </c>
      <c r="I138" s="473"/>
      <c r="J138" s="183">
        <v>12431</v>
      </c>
      <c r="K138" s="183">
        <v>13234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'[17]Sch C'!D141</f>
        <v>0</v>
      </c>
      <c r="D140" s="501">
        <f>'[17]Sch C'!F141</f>
        <v>59415</v>
      </c>
      <c r="E140" s="171">
        <f t="shared" ref="E140:E143" si="29">C140+D140</f>
        <v>59415</v>
      </c>
      <c r="F140" s="171"/>
      <c r="G140" s="171">
        <f>E140+F140</f>
        <v>59415</v>
      </c>
      <c r="H140" s="172">
        <f>IF($G$208=0,0,G140/$G$208)</f>
        <v>1.2079610150735397E-2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'[17]Sch C'!D142</f>
        <v>0</v>
      </c>
      <c r="D141" s="501">
        <f>'[17]Sch C'!F142</f>
        <v>17683</v>
      </c>
      <c r="E141" s="171">
        <f t="shared" si="29"/>
        <v>17683</v>
      </c>
      <c r="F141" s="171"/>
      <c r="G141" s="171">
        <f>E141+F141</f>
        <v>17683</v>
      </c>
      <c r="H141" s="172">
        <f>IF($G$208=0,0,G141/$G$208)</f>
        <v>3.595114807631979E-3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'[17]Sch C'!D143</f>
        <v>0</v>
      </c>
      <c r="D142" s="501">
        <f>'[17]Sch C'!F143</f>
        <v>51740</v>
      </c>
      <c r="E142" s="171">
        <f t="shared" si="29"/>
        <v>51740</v>
      </c>
      <c r="F142" s="171"/>
      <c r="G142" s="171">
        <f>E142+F142</f>
        <v>51740</v>
      </c>
      <c r="H142" s="172">
        <f>IF($G$208=0,0,G142/$G$208)</f>
        <v>1.051921281156357E-2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'[17]Sch C'!D144</f>
        <v>0</v>
      </c>
      <c r="D143" s="501">
        <f>'[17]Sch C'!F144</f>
        <v>18081</v>
      </c>
      <c r="E143" s="171">
        <f t="shared" si="29"/>
        <v>18081</v>
      </c>
      <c r="F143" s="171"/>
      <c r="G143" s="171">
        <f>E143+F143</f>
        <v>18081</v>
      </c>
      <c r="H143" s="172">
        <f>IF($G$208=0,0,G143/$G$208)</f>
        <v>3.6760318292593909E-3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'[17]Sch C'!D146</f>
        <v>25575</v>
      </c>
      <c r="D145" s="501">
        <f>'[17]Sch C'!F146</f>
        <v>0</v>
      </c>
      <c r="E145" s="171">
        <f t="shared" ref="E145:E153" si="30">C145+D145</f>
        <v>25575</v>
      </c>
      <c r="F145" s="171"/>
      <c r="G145" s="171">
        <f t="shared" ref="G145:G153" si="31">E145+F145</f>
        <v>25575</v>
      </c>
      <c r="H145" s="172">
        <f t="shared" ref="H145:H153" si="32">IF($G$208=0,0,G145/$G$208)</f>
        <v>5.1996302214097076E-3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'[17]Sch C'!D147</f>
        <v>0</v>
      </c>
      <c r="D146" s="501">
        <f>'[17]Sch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'[17]Sch C'!D148</f>
        <v>0</v>
      </c>
      <c r="D147" s="501">
        <f>'[17]Sch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'[17]Sch C'!D149</f>
        <v>207894</v>
      </c>
      <c r="D148" s="501">
        <f>'[17]Sch C'!F149</f>
        <v>0</v>
      </c>
      <c r="E148" s="171">
        <f t="shared" si="30"/>
        <v>207894</v>
      </c>
      <c r="F148" s="171"/>
      <c r="G148" s="171">
        <f t="shared" si="31"/>
        <v>207894</v>
      </c>
      <c r="H148" s="172">
        <f t="shared" si="32"/>
        <v>4.2266741945249257E-2</v>
      </c>
      <c r="I148" s="473"/>
      <c r="J148" s="183">
        <v>9669</v>
      </c>
      <c r="K148" s="183">
        <v>9669</v>
      </c>
    </row>
    <row r="149" spans="1:11" s="167" customFormat="1">
      <c r="A149" s="169"/>
      <c r="B149" s="163" t="s">
        <v>197</v>
      </c>
      <c r="C149" s="501">
        <f>'[17]Sch C'!D150</f>
        <v>11617</v>
      </c>
      <c r="D149" s="501">
        <f>'[17]Sch C'!F150</f>
        <v>0</v>
      </c>
      <c r="E149" s="171">
        <f t="shared" si="30"/>
        <v>11617</v>
      </c>
      <c r="F149" s="171"/>
      <c r="G149" s="171">
        <f t="shared" si="31"/>
        <v>11617</v>
      </c>
      <c r="H149" s="172">
        <f t="shared" si="32"/>
        <v>2.3618418096624273E-3</v>
      </c>
      <c r="I149" s="473"/>
      <c r="J149" s="183">
        <v>774</v>
      </c>
      <c r="K149" s="183">
        <v>774</v>
      </c>
    </row>
    <row r="150" spans="1:11" s="167" customFormat="1">
      <c r="A150" s="169">
        <v>110</v>
      </c>
      <c r="B150" s="167" t="s">
        <v>65</v>
      </c>
      <c r="C150" s="501">
        <f>'[17]Sch C'!D151</f>
        <v>73302</v>
      </c>
      <c r="D150" s="501">
        <f>'[17]Sch C'!F151</f>
        <v>0</v>
      </c>
      <c r="E150" s="171">
        <f t="shared" si="30"/>
        <v>73302</v>
      </c>
      <c r="F150" s="171"/>
      <c r="G150" s="171">
        <f t="shared" si="31"/>
        <v>73302</v>
      </c>
      <c r="H150" s="172">
        <f t="shared" si="32"/>
        <v>1.4902963616413465E-2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'[17]Sch C'!D152</f>
        <v>1053</v>
      </c>
      <c r="D151" s="501">
        <f>'[17]Sch C'!F152</f>
        <v>0</v>
      </c>
      <c r="E151" s="171">
        <f t="shared" si="30"/>
        <v>1053</v>
      </c>
      <c r="F151" s="171"/>
      <c r="G151" s="171">
        <f t="shared" si="31"/>
        <v>1053</v>
      </c>
      <c r="H151" s="172">
        <f t="shared" si="32"/>
        <v>2.1408448184337918E-4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'[17]Sch C'!D153</f>
        <v>0</v>
      </c>
      <c r="D152" s="501">
        <f>'[17]Sch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'[17]Sch C'!D154</f>
        <v>0</v>
      </c>
      <c r="D153" s="501">
        <f>'[17]Sch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50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'[17]Sch C'!D156</f>
        <v>0</v>
      </c>
      <c r="D155" s="501">
        <f>'[17]Sch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'[17]Sch C'!D157</f>
        <v>0</v>
      </c>
      <c r="D156" s="501">
        <f>'[17]Sch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'[17]Sch C'!D158</f>
        <v>0</v>
      </c>
      <c r="D157" s="501">
        <f>'[17]Sch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'[17]Sch C'!D159</f>
        <v>0</v>
      </c>
      <c r="D158" s="501">
        <f>'[17]Sch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'[17]Sch C'!D160</f>
        <v>0</v>
      </c>
      <c r="D159" s="501">
        <f>'[17]Sch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'[17]Sch C'!D161</f>
        <v>11287</v>
      </c>
      <c r="D160" s="501">
        <f>'[17]Sch C'!F161</f>
        <v>0</v>
      </c>
      <c r="E160" s="171">
        <f t="shared" si="33"/>
        <v>11287</v>
      </c>
      <c r="F160" s="171"/>
      <c r="G160" s="171">
        <f t="shared" si="34"/>
        <v>11287</v>
      </c>
      <c r="H160" s="172">
        <f t="shared" si="35"/>
        <v>2.2947498068055278E-3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1603446</v>
      </c>
      <c r="D161" s="501">
        <f>SUM(D123:D160)</f>
        <v>248947</v>
      </c>
      <c r="E161" s="171">
        <f t="shared" ref="E161" si="36">SUM(E123:E160)</f>
        <v>1852393</v>
      </c>
      <c r="F161" s="171">
        <f>SUM(F123:F160)</f>
        <v>32312.249031790991</v>
      </c>
      <c r="G161" s="171">
        <f>SUM(G123:G160)</f>
        <v>1884705.249031791</v>
      </c>
      <c r="H161" s="172">
        <f t="shared" si="35"/>
        <v>0.38317772712864945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'[17]Sch C'!D175</f>
        <v>0</v>
      </c>
      <c r="D164" s="501">
        <f>'[17]Sch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'[17]Sch C'!D176</f>
        <v>0</v>
      </c>
      <c r="D165" s="501">
        <f>'[17]Sch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'[17]Sch C'!D177</f>
        <v>121720</v>
      </c>
      <c r="D166" s="501">
        <f>'[17]Sch C'!F177</f>
        <v>7859</v>
      </c>
      <c r="E166" s="171">
        <f t="shared" si="37"/>
        <v>129579</v>
      </c>
      <c r="F166" s="171"/>
      <c r="G166" s="171">
        <f t="shared" si="38"/>
        <v>129579</v>
      </c>
      <c r="H166" s="172">
        <f t="shared" si="39"/>
        <v>2.634458981270962E-2</v>
      </c>
      <c r="I166" s="483"/>
      <c r="J166" s="183">
        <v>3814</v>
      </c>
      <c r="K166" s="183">
        <v>4060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'[17]Sch C'!D178</f>
        <v>0</v>
      </c>
      <c r="D167" s="501">
        <f>'[17]Sch C'!F178</f>
        <v>15950</v>
      </c>
      <c r="E167" s="171">
        <f t="shared" si="37"/>
        <v>15950</v>
      </c>
      <c r="F167" s="171"/>
      <c r="G167" s="171">
        <f t="shared" si="38"/>
        <v>15950</v>
      </c>
      <c r="H167" s="172">
        <f t="shared" si="39"/>
        <v>3.2427801380834737E-3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'[17]Sch C'!D179</f>
        <v>47654</v>
      </c>
      <c r="D168" s="501">
        <f>'[17]Sch C'!F179</f>
        <v>3077</v>
      </c>
      <c r="E168" s="171">
        <f t="shared" si="37"/>
        <v>50731</v>
      </c>
      <c r="F168" s="171"/>
      <c r="G168" s="171">
        <f t="shared" si="38"/>
        <v>50731</v>
      </c>
      <c r="H168" s="172">
        <f t="shared" si="39"/>
        <v>1.0314073930101109E-2</v>
      </c>
      <c r="I168" s="483"/>
      <c r="J168" s="183">
        <v>1206</v>
      </c>
      <c r="K168" s="183">
        <v>1284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'[17]Sch C'!D180</f>
        <v>0</v>
      </c>
      <c r="D169" s="501">
        <f>'[17]Sch C'!F180</f>
        <v>6244</v>
      </c>
      <c r="E169" s="171">
        <f t="shared" si="37"/>
        <v>6244</v>
      </c>
      <c r="F169" s="171"/>
      <c r="G169" s="171">
        <f t="shared" si="38"/>
        <v>6244</v>
      </c>
      <c r="H169" s="172">
        <f t="shared" si="39"/>
        <v>1.2694620176923641E-3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'[17]Sch C'!D181</f>
        <v>0</v>
      </c>
      <c r="D170" s="501">
        <f>'[17]Sch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'[17]Sch C'!D182</f>
        <v>0</v>
      </c>
      <c r="D171" s="501">
        <f>'[17]Sch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'[17]Sch C'!D183</f>
        <v>124967</v>
      </c>
      <c r="D172" s="501">
        <f>'[17]Sch C'!F183</f>
        <v>8069</v>
      </c>
      <c r="E172" s="171">
        <f t="shared" si="37"/>
        <v>133036</v>
      </c>
      <c r="F172" s="171"/>
      <c r="G172" s="171">
        <f t="shared" si="38"/>
        <v>133036</v>
      </c>
      <c r="H172" s="172">
        <f t="shared" si="39"/>
        <v>2.7047429369910534E-2</v>
      </c>
      <c r="I172" s="483"/>
      <c r="J172" s="183">
        <v>3685</v>
      </c>
      <c r="K172" s="183">
        <v>3923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'[17]Sch C'!D184</f>
        <v>0</v>
      </c>
      <c r="D173" s="501">
        <f>'[17]Sch C'!F184</f>
        <v>16375</v>
      </c>
      <c r="E173" s="171">
        <f t="shared" si="37"/>
        <v>16375</v>
      </c>
      <c r="F173" s="171"/>
      <c r="G173" s="171">
        <f t="shared" si="38"/>
        <v>16375</v>
      </c>
      <c r="H173" s="172">
        <f t="shared" si="39"/>
        <v>3.3291865053991774E-3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'[17]Sch C'!D185</f>
        <v>0</v>
      </c>
      <c r="D174" s="501">
        <f>'[17]Sch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'[17]Sch C'!D186</f>
        <v>0</v>
      </c>
      <c r="D175" s="501">
        <f>'[17]Sch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'[17]Sch C'!D187</f>
        <v>0</v>
      </c>
      <c r="D176" s="501">
        <f>'[17]Sch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'[17]Sch C'!D188</f>
        <v>679</v>
      </c>
      <c r="D177" s="501">
        <f>'[17]Sch C'!F188</f>
        <v>0</v>
      </c>
      <c r="E177" s="171">
        <f t="shared" si="37"/>
        <v>679</v>
      </c>
      <c r="F177" s="171"/>
      <c r="G177" s="171">
        <f t="shared" si="38"/>
        <v>679</v>
      </c>
      <c r="H177" s="172">
        <f t="shared" si="39"/>
        <v>1.3804687860555979E-4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'[17]Sch C'!D189</f>
        <v>0</v>
      </c>
      <c r="D178" s="501">
        <f>'[17]Sch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'[17]Sch C'!D190</f>
        <v>0</v>
      </c>
      <c r="D179" s="501">
        <f>'[17]Sch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'[17]Sch C'!D191</f>
        <v>234</v>
      </c>
      <c r="D180" s="501">
        <f>'[17]Sch C'!F191</f>
        <v>0</v>
      </c>
      <c r="E180" s="171">
        <f t="shared" si="37"/>
        <v>234</v>
      </c>
      <c r="F180" s="171"/>
      <c r="G180" s="171">
        <f t="shared" si="38"/>
        <v>234</v>
      </c>
      <c r="H180" s="172">
        <f t="shared" si="39"/>
        <v>4.7574329298528701E-5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'[17]Sch C'!D192</f>
        <v>0</v>
      </c>
      <c r="D181" s="501">
        <f>'[17]Sch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'[17]Sch C'!D193</f>
        <v>0</v>
      </c>
      <c r="D182" s="501">
        <f>'[17]Sch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'[17]Sch C'!D194</f>
        <v>0</v>
      </c>
      <c r="D183" s="501">
        <f>'[17]Sch C'!F194</f>
        <v>0</v>
      </c>
      <c r="E183" s="171">
        <f t="shared" si="37"/>
        <v>0</v>
      </c>
      <c r="F183" s="171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'[17]Sch C'!D195</f>
        <v>1929</v>
      </c>
      <c r="D184" s="501">
        <f>'[17]Sch C'!F195</f>
        <v>0</v>
      </c>
      <c r="E184" s="171">
        <f t="shared" si="37"/>
        <v>1929</v>
      </c>
      <c r="F184" s="171"/>
      <c r="G184" s="171">
        <f t="shared" si="38"/>
        <v>1929</v>
      </c>
      <c r="H184" s="172">
        <f t="shared" si="39"/>
        <v>3.9218325306351225E-4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'[17]Sch C'!D196</f>
        <v>0</v>
      </c>
      <c r="D185" s="501">
        <f>'[17]Sch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'[17]Sch C'!D197</f>
        <v>0</v>
      </c>
      <c r="D186" s="501">
        <f>'[17]Sch C'!F197</f>
        <v>0</v>
      </c>
      <c r="E186" s="171">
        <f t="shared" si="37"/>
        <v>0</v>
      </c>
      <c r="F186" s="171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'[17]Sch C'!D198</f>
        <v>23723</v>
      </c>
      <c r="D187" s="501">
        <f>'[17]Sch C'!F198</f>
        <v>-3369</v>
      </c>
      <c r="E187" s="171">
        <f t="shared" si="37"/>
        <v>20354</v>
      </c>
      <c r="F187" s="171"/>
      <c r="G187" s="171">
        <f t="shared" si="38"/>
        <v>20354</v>
      </c>
      <c r="H187" s="172">
        <f t="shared" si="39"/>
        <v>4.1381534125737316E-3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'[17]Sch C'!D199</f>
        <v>0</v>
      </c>
      <c r="D188" s="501">
        <f>'[17]Sch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'[17]Sch C'!D200</f>
        <v>0</v>
      </c>
      <c r="D189" s="501">
        <f>'[17]Sch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'[17]Sch C'!D201</f>
        <v>0</v>
      </c>
      <c r="D190" s="501">
        <f>'[17]Sch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'[17]Sch C'!D202</f>
        <v>0</v>
      </c>
      <c r="D191" s="501">
        <f>'[17]Sch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'[17]Sch C'!D203</f>
        <v>0</v>
      </c>
      <c r="D192" s="501">
        <f>'[17]Sch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'[17]Sch C'!D204</f>
        <v>0</v>
      </c>
      <c r="D193" s="501">
        <f>'[17]Sch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'[17]Sch C'!D205</f>
        <v>101855</v>
      </c>
      <c r="D194" s="501">
        <f>'[17]Sch C'!F205</f>
        <v>-8</v>
      </c>
      <c r="E194" s="171">
        <f t="shared" si="37"/>
        <v>101847</v>
      </c>
      <c r="F194" s="171"/>
      <c r="G194" s="171">
        <f t="shared" si="38"/>
        <v>101847</v>
      </c>
      <c r="H194" s="172">
        <f t="shared" si="39"/>
        <v>2.070642186353527E-2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'[17]Sch C'!D206</f>
        <v>1204</v>
      </c>
      <c r="D195" s="501">
        <f>'[17]Sch C'!F206</f>
        <v>0</v>
      </c>
      <c r="E195" s="171">
        <f t="shared" si="37"/>
        <v>1204</v>
      </c>
      <c r="F195" s="171"/>
      <c r="G195" s="171">
        <f t="shared" si="38"/>
        <v>1204</v>
      </c>
      <c r="H195" s="172">
        <f t="shared" si="39"/>
        <v>2.4478415587789984E-4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'[17]Sch C'!D207</f>
        <v>16854</v>
      </c>
      <c r="D196" s="501">
        <f>'[17]Sch C'!F207</f>
        <v>-833</v>
      </c>
      <c r="E196" s="171">
        <f t="shared" si="37"/>
        <v>16021</v>
      </c>
      <c r="F196" s="171"/>
      <c r="G196" s="171">
        <f t="shared" si="38"/>
        <v>16021</v>
      </c>
      <c r="H196" s="172">
        <f t="shared" si="39"/>
        <v>3.2572150841526852E-3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440819</v>
      </c>
      <c r="D197" s="501">
        <f>SUM(D164:D196)</f>
        <v>53364</v>
      </c>
      <c r="E197" s="171">
        <f t="shared" ref="E197" si="40">SUM(E164:E196)</f>
        <v>494183</v>
      </c>
      <c r="F197" s="171">
        <f>SUM(F164:F196)</f>
        <v>0</v>
      </c>
      <c r="G197" s="171">
        <f>SUM(G164:G196)</f>
        <v>494183</v>
      </c>
      <c r="H197" s="172">
        <f>IF($G$208=0,0,G197/$G$208)</f>
        <v>0.10047190075100347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'[17]Sch C'!D211</f>
        <v>82895</v>
      </c>
      <c r="D200" s="501">
        <f>'[17]Sch C'!F211</f>
        <v>5352</v>
      </c>
      <c r="E200" s="171">
        <f t="shared" ref="E200:E205" si="41">C200+D200</f>
        <v>88247</v>
      </c>
      <c r="F200" s="171"/>
      <c r="G200" s="171">
        <f t="shared" ref="G200:G205" si="42">E200+F200</f>
        <v>88247</v>
      </c>
      <c r="H200" s="172">
        <f t="shared" ref="H200:H206" si="43">IF($G$208=0,0,G200/$G$208)</f>
        <v>1.7941418109432745E-2</v>
      </c>
      <c r="I200" s="473"/>
      <c r="J200" s="183">
        <v>4370</v>
      </c>
      <c r="K200" s="183">
        <v>4652</v>
      </c>
    </row>
    <row r="201" spans="1:14" s="167" customFormat="1">
      <c r="A201" s="169" t="s">
        <v>86</v>
      </c>
      <c r="B201" s="170" t="s">
        <v>45</v>
      </c>
      <c r="C201" s="501">
        <f>'[17]Sch C'!D212</f>
        <v>0</v>
      </c>
      <c r="D201" s="501">
        <f>'[17]Sch C'!F212</f>
        <v>10862</v>
      </c>
      <c r="E201" s="171">
        <f t="shared" si="41"/>
        <v>10862</v>
      </c>
      <c r="F201" s="171"/>
      <c r="G201" s="171">
        <f t="shared" si="42"/>
        <v>10862</v>
      </c>
      <c r="H201" s="172">
        <f t="shared" si="43"/>
        <v>2.2083434394898241E-3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'[17]Sch C'!D213</f>
        <v>4451</v>
      </c>
      <c r="D202" s="501">
        <f>'[17]Sch C'!F213</f>
        <v>0</v>
      </c>
      <c r="E202" s="171">
        <f t="shared" si="41"/>
        <v>4451</v>
      </c>
      <c r="F202" s="171"/>
      <c r="G202" s="171">
        <f t="shared" si="42"/>
        <v>4451</v>
      </c>
      <c r="H202" s="172">
        <f t="shared" si="43"/>
        <v>9.0492880216987723E-4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'[17]Sch C'!D214</f>
        <v>0</v>
      </c>
      <c r="D203" s="501">
        <f>'[17]Sch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'[17]Sch C'!D215</f>
        <v>0</v>
      </c>
      <c r="D204" s="501">
        <f>'[17]Sch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'[17]Sch C'!D216</f>
        <v>6901</v>
      </c>
      <c r="D205" s="501">
        <f>'[17]Sch C'!F216</f>
        <v>0</v>
      </c>
      <c r="E205" s="171">
        <f t="shared" si="41"/>
        <v>6901</v>
      </c>
      <c r="F205" s="171">
        <v>50.89</v>
      </c>
      <c r="G205" s="171">
        <f t="shared" si="42"/>
        <v>6951.89</v>
      </c>
      <c r="H205" s="172">
        <f t="shared" si="43"/>
        <v>1.4133824961843962E-3</v>
      </c>
      <c r="I205" s="473" t="s">
        <v>635</v>
      </c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94247</v>
      </c>
      <c r="D206" s="501">
        <f>SUM(D200:D205)</f>
        <v>16214</v>
      </c>
      <c r="E206" s="171">
        <f t="shared" ref="E206" si="44">SUM(E200:E205)</f>
        <v>110461</v>
      </c>
      <c r="F206" s="171">
        <f>SUM(F200:F205)</f>
        <v>50.89</v>
      </c>
      <c r="G206" s="171">
        <f>SUM(G200:G205)</f>
        <v>110511.89</v>
      </c>
      <c r="H206" s="172">
        <f t="shared" si="43"/>
        <v>2.2468072847276845E-2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5286836</v>
      </c>
      <c r="D208" s="501">
        <f>SUM(D25:D206)/2</f>
        <v>-28558</v>
      </c>
      <c r="E208" s="171">
        <f t="shared" ref="E208:F208" si="45">SUM(E25:E206)/2</f>
        <v>5258278</v>
      </c>
      <c r="F208" s="171">
        <f t="shared" si="45"/>
        <v>-339659</v>
      </c>
      <c r="G208" s="171">
        <f>SUM(G25:G206)/2</f>
        <v>4918619.0000000009</v>
      </c>
      <c r="H208" s="172">
        <f>IF($G$208=0,0,G208/$G$208)</f>
        <v>1</v>
      </c>
      <c r="I208" s="473"/>
      <c r="J208" s="183">
        <f>SUM(J25:J200)</f>
        <v>119036</v>
      </c>
      <c r="K208" s="183">
        <f>SUM(K25:K200)</f>
        <v>126047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 s="14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'[17]Sch C'!D221</f>
        <v>5286836</v>
      </c>
      <c r="D211" s="196"/>
      <c r="E211" s="165"/>
      <c r="F211" s="420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20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-45995</v>
      </c>
      <c r="D215" s="501">
        <f>D21-D208</f>
        <v>28558</v>
      </c>
      <c r="E215" s="171">
        <f t="shared" ref="E215:F215" si="46">E21-E208</f>
        <v>-17437</v>
      </c>
      <c r="F215" s="171">
        <f t="shared" si="46"/>
        <v>1046614</v>
      </c>
      <c r="G215" s="171">
        <f>G21-G208</f>
        <v>1029176.9999999991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'[17]Sch D'!C9</f>
        <v>12247</v>
      </c>
      <c r="D219" s="530"/>
      <c r="E219" s="234">
        <f t="shared" ref="E219:G227" si="47">C219+D219</f>
        <v>12247</v>
      </c>
      <c r="F219" s="234"/>
      <c r="G219" s="234">
        <f t="shared" si="47"/>
        <v>12247</v>
      </c>
      <c r="H219" s="172">
        <f t="shared" ref="H219:H228" si="48">IF($G$228=0,0,G219/$G$228)</f>
        <v>0.63859630826989255</v>
      </c>
      <c r="I219" s="473"/>
      <c r="J219" s="168"/>
      <c r="K219" s="168"/>
    </row>
    <row r="220" spans="1:11">
      <c r="A220" s="163"/>
      <c r="B220" s="170" t="s">
        <v>217</v>
      </c>
      <c r="C220" s="530">
        <f>'[17]Sch D'!D9</f>
        <v>0</v>
      </c>
      <c r="D220" s="530"/>
      <c r="E220" s="234">
        <f t="shared" ref="E220:E227" si="49">C220+D220</f>
        <v>0</v>
      </c>
      <c r="F220" s="234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'[17]Sch D'!E9</f>
        <v>1181</v>
      </c>
      <c r="D221" s="530"/>
      <c r="E221" s="234">
        <f t="shared" si="49"/>
        <v>1181</v>
      </c>
      <c r="F221" s="234"/>
      <c r="G221" s="234">
        <f t="shared" si="47"/>
        <v>1181</v>
      </c>
      <c r="H221" s="172">
        <f t="shared" si="48"/>
        <v>6.1580978204192303E-2</v>
      </c>
      <c r="I221" s="473"/>
      <c r="J221" s="168"/>
      <c r="K221" s="168"/>
    </row>
    <row r="222" spans="1:11">
      <c r="A222" s="163"/>
      <c r="B222" s="202" t="s">
        <v>334</v>
      </c>
      <c r="C222" s="530">
        <f>'[17]Sch D'!F9</f>
        <v>1900</v>
      </c>
      <c r="D222" s="530"/>
      <c r="E222" s="234">
        <f>C222+D222</f>
        <v>1900</v>
      </c>
      <c r="F222" s="234"/>
      <c r="G222" s="234">
        <f>E222+F222</f>
        <v>1900</v>
      </c>
      <c r="H222" s="172">
        <f t="shared" si="48"/>
        <v>9.9071853165084989E-2</v>
      </c>
      <c r="I222" s="473"/>
      <c r="J222" s="168"/>
      <c r="K222" s="168"/>
    </row>
    <row r="223" spans="1:11">
      <c r="A223" s="163"/>
      <c r="B223" s="170" t="s">
        <v>73</v>
      </c>
      <c r="C223" s="530">
        <f>'[17]Sch D'!G9</f>
        <v>0</v>
      </c>
      <c r="D223" s="530"/>
      <c r="E223" s="234">
        <f t="shared" si="49"/>
        <v>0</v>
      </c>
      <c r="F223" s="234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'[17]Sch D'!H9</f>
        <v>1379</v>
      </c>
      <c r="D224" s="530"/>
      <c r="E224" s="234">
        <f t="shared" si="49"/>
        <v>1379</v>
      </c>
      <c r="F224" s="234"/>
      <c r="G224" s="234">
        <f t="shared" si="47"/>
        <v>1379</v>
      </c>
      <c r="H224" s="172">
        <f t="shared" si="48"/>
        <v>7.1905308165606419E-2</v>
      </c>
      <c r="I224" s="473"/>
      <c r="J224" s="168"/>
      <c r="K224" s="168"/>
    </row>
    <row r="225" spans="1:11">
      <c r="A225" s="163"/>
      <c r="B225" s="170" t="s">
        <v>236</v>
      </c>
      <c r="C225" s="530">
        <f>'[17]Sch D'!I9</f>
        <v>0</v>
      </c>
      <c r="D225" s="530"/>
      <c r="E225" s="234">
        <f t="shared" si="49"/>
        <v>0</v>
      </c>
      <c r="F225" s="234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'[17]Sch D'!J9</f>
        <v>2471</v>
      </c>
      <c r="D226" s="530"/>
      <c r="E226" s="234">
        <f>C226+D226</f>
        <v>2471</v>
      </c>
      <c r="F226" s="234"/>
      <c r="G226" s="234">
        <f>E226+F226</f>
        <v>2471</v>
      </c>
      <c r="H226" s="172">
        <f t="shared" si="48"/>
        <v>0.1288455521952237</v>
      </c>
      <c r="I226" s="473"/>
      <c r="J226" s="168"/>
      <c r="K226" s="168"/>
    </row>
    <row r="227" spans="1:11">
      <c r="A227" s="163"/>
      <c r="B227" s="170" t="s">
        <v>179</v>
      </c>
      <c r="C227" s="530">
        <f>'[17]Sch D'!K9</f>
        <v>0</v>
      </c>
      <c r="D227" s="530"/>
      <c r="E227" s="234">
        <f t="shared" si="49"/>
        <v>0</v>
      </c>
      <c r="F227" s="234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19178</v>
      </c>
      <c r="D228" s="530">
        <f>SUM(D219:D227)</f>
        <v>0</v>
      </c>
      <c r="E228" s="236">
        <f>SUM(E219:E227)</f>
        <v>19178</v>
      </c>
      <c r="F228" s="236">
        <f>SUM(F219:F227)</f>
        <v>0</v>
      </c>
      <c r="G228" s="236">
        <f>SUM(G219:G227)</f>
        <v>19178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'[17]Sch D'!N22</f>
        <v>93</v>
      </c>
      <c r="D231" s="502"/>
      <c r="E231" s="234">
        <f>C231+D231</f>
        <v>93</v>
      </c>
      <c r="F231" s="234"/>
      <c r="G231" s="234">
        <f>E231+F231</f>
        <v>93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'[17]Sch D'!N24</f>
        <v>93</v>
      </c>
      <c r="D232" s="502"/>
      <c r="E232" s="234">
        <f>C232+D232</f>
        <v>93</v>
      </c>
      <c r="F232" s="234"/>
      <c r="G232" s="234">
        <f>E232+F232</f>
        <v>93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>
        <v>61</v>
      </c>
      <c r="G233" s="234">
        <f>E233+F233</f>
        <v>426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'[17]Sch D'!N28</f>
        <v>33945</v>
      </c>
      <c r="D235" s="438"/>
      <c r="E235" s="233">
        <f>E231*E233</f>
        <v>33945</v>
      </c>
      <c r="F235" s="238"/>
      <c r="G235" s="233">
        <f>G231*G233</f>
        <v>39618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'[17]Sch D'!N30</f>
        <v>0.56497275003682423</v>
      </c>
      <c r="D236" s="238"/>
      <c r="E236" s="242">
        <f>E228/E235</f>
        <v>0.56497275003682423</v>
      </c>
      <c r="F236" s="243"/>
      <c r="G236" s="242">
        <f>G228/G235</f>
        <v>0.48407289615831189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'[17]Sch D'!N32</f>
        <v>0.36078951244660479</v>
      </c>
      <c r="D237" s="238"/>
      <c r="E237" s="242">
        <f>(E219+E220)/E235</f>
        <v>0.36078951244660479</v>
      </c>
      <c r="F237" s="243"/>
      <c r="G237" s="242">
        <f>(G219+G220)/G235</f>
        <v>0.30912716442021304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'[17]Sch D'!N34</f>
        <v>0.63859630826989255</v>
      </c>
      <c r="D238" s="238"/>
      <c r="E238" s="242">
        <f>(E237/E236)</f>
        <v>0.63859630826989255</v>
      </c>
      <c r="F238" s="243"/>
      <c r="G238" s="242">
        <f>(G237/G236)</f>
        <v>0.63859630826989255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'[17]Sch B'!C85</f>
        <v>204.31236897274633</v>
      </c>
      <c r="I241" s="475"/>
    </row>
    <row r="242" spans="2:9">
      <c r="F242" s="142" t="s">
        <v>341</v>
      </c>
      <c r="G242" s="501">
        <f>'[17]Sch B'!E85</f>
        <v>232.60704697986574</v>
      </c>
      <c r="I242" s="475"/>
    </row>
    <row r="243" spans="2:9">
      <c r="F243" s="142" t="s">
        <v>342</v>
      </c>
      <c r="G243" s="501">
        <f>'[17]Sch B'!G85</f>
        <v>255.37147540983605</v>
      </c>
      <c r="I243" s="475"/>
    </row>
    <row r="244" spans="2:9">
      <c r="F244" s="142" t="s">
        <v>343</v>
      </c>
      <c r="G244" s="501">
        <f>'[17]Sch B'!I85</f>
        <v>218.75541666666666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fitToHeight="4" orientation="portrait" horizontalDpi="300" verticalDpi="300" r:id="rId3"/>
  <headerFooter alignWithMargins="0">
    <oddFooter>&amp;R&amp;D
&amp;T
&amp;F</oddFooter>
  </headerFooter>
  <ignoredErrors>
    <ignoredError sqref="F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E28CAB"/>
    <pageSetUpPr fitToPage="1"/>
  </sheetPr>
  <dimension ref="A1:O246"/>
  <sheetViews>
    <sheetView showGridLines="0" zoomScaleNormal="100" workbookViewId="0">
      <pane xSplit="2" topLeftCell="F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399" t="s">
        <v>468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436" t="s">
        <v>703</v>
      </c>
      <c r="D2" s="144"/>
    </row>
    <row r="3" spans="1:11">
      <c r="A3" s="145"/>
      <c r="B3" s="140" t="s">
        <v>79</v>
      </c>
      <c r="C3" s="441">
        <v>42552</v>
      </c>
      <c r="D3" s="144"/>
      <c r="E3" s="147"/>
      <c r="F3" s="420" t="s">
        <v>542</v>
      </c>
    </row>
    <row r="4" spans="1:11">
      <c r="A4" s="145"/>
      <c r="B4" s="148" t="s">
        <v>80</v>
      </c>
      <c r="C4" s="441">
        <v>42825</v>
      </c>
      <c r="D4" s="144"/>
      <c r="E4" s="149"/>
      <c r="F4" s="420" t="s">
        <v>617</v>
      </c>
      <c r="G4" s="150"/>
    </row>
    <row r="5" spans="1:11">
      <c r="A5" s="145"/>
      <c r="B5" s="148"/>
      <c r="C5" s="151"/>
      <c r="D5" s="144"/>
      <c r="F5" s="420" t="s">
        <v>555</v>
      </c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648" t="s">
        <v>704</v>
      </c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649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'[2]Sch B'!E10</f>
        <v>1464924</v>
      </c>
      <c r="D11" s="501">
        <f>'[2]Sch B'!G10</f>
        <v>0</v>
      </c>
      <c r="E11" s="171">
        <f>C11+D11</f>
        <v>1464924</v>
      </c>
      <c r="F11" s="171">
        <v>463516.72</v>
      </c>
      <c r="G11" s="171">
        <f t="shared" ref="G11:G20" si="0">E11+F11</f>
        <v>1928440.72</v>
      </c>
      <c r="H11" s="172">
        <f t="shared" ref="H11:H21" si="1">IF($G$21=0,0,G11/$G$21)</f>
        <v>0.72617334504846165</v>
      </c>
      <c r="I11" s="473"/>
      <c r="J11" s="336" t="s">
        <v>344</v>
      </c>
      <c r="K11" s="337">
        <f>G21</f>
        <v>2655620.36</v>
      </c>
    </row>
    <row r="12" spans="1:11" s="167" customFormat="1">
      <c r="A12" s="169" t="s">
        <v>15</v>
      </c>
      <c r="B12" s="170" t="s">
        <v>212</v>
      </c>
      <c r="C12" s="501">
        <f>'[2]Sch B'!E15</f>
        <v>0</v>
      </c>
      <c r="D12" s="501">
        <f>'[2]Sch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2441216.27</v>
      </c>
    </row>
    <row r="13" spans="1:11" s="167" customFormat="1">
      <c r="A13" s="169" t="s">
        <v>16</v>
      </c>
      <c r="B13" s="170" t="s">
        <v>170</v>
      </c>
      <c r="C13" s="501">
        <f>'[2]Sch B'!E21</f>
        <v>119796</v>
      </c>
      <c r="D13" s="501">
        <f>'[2]Sch B'!G21</f>
        <v>0</v>
      </c>
      <c r="E13" s="171">
        <f t="shared" si="2"/>
        <v>119796</v>
      </c>
      <c r="F13" s="171">
        <v>58643.659999999996</v>
      </c>
      <c r="G13" s="171">
        <f t="shared" si="0"/>
        <v>178439.66</v>
      </c>
      <c r="H13" s="172">
        <f t="shared" si="1"/>
        <v>6.7193211306754708E-2</v>
      </c>
      <c r="I13" s="473"/>
      <c r="J13" s="338" t="s">
        <v>346</v>
      </c>
      <c r="K13" s="339">
        <f>G228</f>
        <v>13562</v>
      </c>
    </row>
    <row r="14" spans="1:11" s="167" customFormat="1">
      <c r="A14" s="173" t="s">
        <v>18</v>
      </c>
      <c r="B14" s="174" t="s">
        <v>306</v>
      </c>
      <c r="C14" s="501">
        <f>'[2]Sch B'!E27</f>
        <v>178213</v>
      </c>
      <c r="D14" s="501">
        <f>'[2]Sch B'!G27</f>
        <v>0</v>
      </c>
      <c r="E14" s="171">
        <f t="shared" si="2"/>
        <v>178213</v>
      </c>
      <c r="F14" s="175">
        <v>18745.68</v>
      </c>
      <c r="G14" s="175">
        <f>E14+F14</f>
        <v>196958.68</v>
      </c>
      <c r="H14" s="176">
        <f t="shared" si="1"/>
        <v>7.4166730669288888E-2</v>
      </c>
      <c r="I14" s="479"/>
      <c r="J14" s="338" t="s">
        <v>347</v>
      </c>
      <c r="K14" s="339">
        <f>G231</f>
        <v>52</v>
      </c>
    </row>
    <row r="15" spans="1:11" s="167" customFormat="1">
      <c r="A15" s="169" t="s">
        <v>19</v>
      </c>
      <c r="B15" s="170" t="s">
        <v>171</v>
      </c>
      <c r="C15" s="501">
        <f>'[2]Sch B'!E32</f>
        <v>0</v>
      </c>
      <c r="D15" s="501">
        <f>'[2]Sch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18980</v>
      </c>
    </row>
    <row r="16" spans="1:11" s="167" customFormat="1">
      <c r="A16" s="169" t="s">
        <v>21</v>
      </c>
      <c r="B16" s="170" t="s">
        <v>172</v>
      </c>
      <c r="C16" s="501">
        <f>'[2]Sch B'!E37</f>
        <v>148228</v>
      </c>
      <c r="D16" s="501">
        <f>'[2]Sch B'!G37</f>
        <v>0</v>
      </c>
      <c r="E16" s="171">
        <f t="shared" si="2"/>
        <v>148228</v>
      </c>
      <c r="F16" s="171">
        <v>78299</v>
      </c>
      <c r="G16" s="171">
        <f t="shared" si="0"/>
        <v>226527</v>
      </c>
      <c r="H16" s="172">
        <f t="shared" si="1"/>
        <v>8.5300972764043734E-2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'[2]Sch B'!E42</f>
        <v>28017</v>
      </c>
      <c r="D17" s="501">
        <f>'[2]Sch B'!G42</f>
        <v>0</v>
      </c>
      <c r="E17" s="171">
        <f t="shared" si="2"/>
        <v>28017</v>
      </c>
      <c r="F17" s="171">
        <v>36406.800000000003</v>
      </c>
      <c r="G17" s="171">
        <f>E17+F17</f>
        <v>64423.8</v>
      </c>
      <c r="H17" s="172">
        <f t="shared" si="1"/>
        <v>2.4259416357238654E-2</v>
      </c>
      <c r="I17" s="473"/>
      <c r="J17" s="338" t="s">
        <v>156</v>
      </c>
      <c r="K17" s="339">
        <f>J208</f>
        <v>68506.73</v>
      </c>
    </row>
    <row r="18" spans="1:11" s="167" customFormat="1" ht="13.5" thickBot="1">
      <c r="A18" s="169" t="s">
        <v>216</v>
      </c>
      <c r="B18" s="170" t="s">
        <v>229</v>
      </c>
      <c r="C18" s="501">
        <f>'[2]Sch B'!E47</f>
        <v>0</v>
      </c>
      <c r="D18" s="501">
        <f>'[2]Sch B'!G47</f>
        <v>0</v>
      </c>
      <c r="E18" s="171">
        <f t="shared" si="2"/>
        <v>0</v>
      </c>
      <c r="F18" s="171">
        <v>0</v>
      </c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72721.539999999994</v>
      </c>
    </row>
    <row r="19" spans="1:11" s="167" customFormat="1">
      <c r="A19" s="169" t="s">
        <v>227</v>
      </c>
      <c r="B19" s="177" t="s">
        <v>173</v>
      </c>
      <c r="C19" s="501">
        <f>'[2]Sch B'!E52</f>
        <v>0</v>
      </c>
      <c r="D19" s="501">
        <f>'[2]Sch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'[2]Sch B'!E67</f>
        <v>221552</v>
      </c>
      <c r="D20" s="501">
        <f>'[2]Sch B'!G67</f>
        <v>-2629</v>
      </c>
      <c r="E20" s="171">
        <f t="shared" si="2"/>
        <v>218923</v>
      </c>
      <c r="F20" s="506">
        <f>-156.5-157936</f>
        <v>-158092.5</v>
      </c>
      <c r="G20" s="171">
        <f t="shared" si="0"/>
        <v>60830.5</v>
      </c>
      <c r="H20" s="172">
        <f t="shared" si="1"/>
        <v>2.2906323854212356E-2</v>
      </c>
      <c r="I20" s="473" t="s">
        <v>693</v>
      </c>
      <c r="J20" s="168"/>
      <c r="K20" s="168"/>
    </row>
    <row r="21" spans="1:11" s="167" customFormat="1">
      <c r="A21" s="169"/>
      <c r="B21" s="178" t="s">
        <v>77</v>
      </c>
      <c r="C21" s="501">
        <f>SUM(C11:C20)</f>
        <v>2160730</v>
      </c>
      <c r="D21" s="501">
        <f>SUM(D11:D20)</f>
        <v>-2629</v>
      </c>
      <c r="E21" s="171">
        <f>SUM(E11:E20)</f>
        <v>2158101</v>
      </c>
      <c r="F21" s="171">
        <f>SUM(F11:F20)</f>
        <v>497519.35999999999</v>
      </c>
      <c r="G21" s="171">
        <f>SUM(G11:G20)</f>
        <v>2655620.36</v>
      </c>
      <c r="H21" s="172">
        <f t="shared" si="1"/>
        <v>1</v>
      </c>
      <c r="I21" s="473"/>
      <c r="J21" s="168"/>
      <c r="K21" s="168"/>
    </row>
    <row r="22" spans="1:1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'[2]Sch C'!D10</f>
        <v>49129</v>
      </c>
      <c r="D25" s="501">
        <f>'[2]Sch C'!F10</f>
        <v>0</v>
      </c>
      <c r="E25" s="171">
        <f t="shared" ref="E25:E60" si="3">C25+D25</f>
        <v>49129</v>
      </c>
      <c r="F25" s="171">
        <v>16984.259999999998</v>
      </c>
      <c r="G25" s="182">
        <f>E25+F25</f>
        <v>66113.259999999995</v>
      </c>
      <c r="H25" s="172">
        <f>IF($G$208=0,0,G25/$G$208)</f>
        <v>2.7082098711393561E-2</v>
      </c>
      <c r="I25" s="473"/>
      <c r="J25" s="183">
        <f>1400.06+484</f>
        <v>1884.06</v>
      </c>
      <c r="K25" s="183">
        <f>1560.06+520</f>
        <v>2080.06</v>
      </c>
    </row>
    <row r="26" spans="1:11" s="167" customFormat="1">
      <c r="A26" s="169" t="s">
        <v>84</v>
      </c>
      <c r="B26" s="170" t="s">
        <v>176</v>
      </c>
      <c r="C26" s="501">
        <f>'[2]Sch C'!D11</f>
        <v>0</v>
      </c>
      <c r="D26" s="501">
        <f>'[2]Sch C'!F11</f>
        <v>0</v>
      </c>
      <c r="E26" s="171">
        <f t="shared" si="3"/>
        <v>0</v>
      </c>
      <c r="F26" s="171">
        <v>0</v>
      </c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'[2]Sch C'!D12</f>
        <v>25618</v>
      </c>
      <c r="D27" s="501">
        <f>'[2]Sch C'!F12</f>
        <v>0</v>
      </c>
      <c r="E27" s="171">
        <f t="shared" si="3"/>
        <v>25618</v>
      </c>
      <c r="F27" s="171">
        <v>10148.719999999999</v>
      </c>
      <c r="G27" s="171">
        <f t="shared" si="4"/>
        <v>35766.720000000001</v>
      </c>
      <c r="H27" s="172">
        <f t="shared" si="5"/>
        <v>1.4651188606079543E-2</v>
      </c>
      <c r="I27" s="473"/>
      <c r="J27" s="183">
        <f>1353.75+472</f>
        <v>1825.75</v>
      </c>
      <c r="K27" s="183">
        <f>1469.75+494</f>
        <v>1963.75</v>
      </c>
    </row>
    <row r="28" spans="1:11" s="167" customFormat="1">
      <c r="A28" s="169" t="s">
        <v>86</v>
      </c>
      <c r="B28" s="170" t="s">
        <v>45</v>
      </c>
      <c r="C28" s="501">
        <f>'[2]Sch C'!D13</f>
        <v>185556</v>
      </c>
      <c r="D28" s="501">
        <f>'[2]Sch C'!F13</f>
        <v>-167698.20000000001</v>
      </c>
      <c r="E28" s="171">
        <f t="shared" si="3"/>
        <v>17857.799999999988</v>
      </c>
      <c r="F28" s="171">
        <v>6010.5999999999985</v>
      </c>
      <c r="G28" s="171">
        <f t="shared" si="4"/>
        <v>23868.399999999987</v>
      </c>
      <c r="H28" s="172">
        <f t="shared" si="5"/>
        <v>9.7772574651896725E-3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'[2]Sch C'!D14</f>
        <v>0</v>
      </c>
      <c r="D29" s="501">
        <f>'[2]Sch C'!F14</f>
        <v>0</v>
      </c>
      <c r="E29" s="171">
        <f t="shared" si="3"/>
        <v>0</v>
      </c>
      <c r="F29" s="171">
        <v>0</v>
      </c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'[2]Sch C'!D15</f>
        <v>0</v>
      </c>
      <c r="D30" s="501">
        <f>'[2]Sch C'!F15</f>
        <v>0</v>
      </c>
      <c r="E30" s="171">
        <f t="shared" si="3"/>
        <v>0</v>
      </c>
      <c r="F30" s="171">
        <v>2711.4000000000015</v>
      </c>
      <c r="G30" s="171">
        <f t="shared" si="4"/>
        <v>2711.4000000000015</v>
      </c>
      <c r="H30" s="172">
        <f t="shared" si="5"/>
        <v>1.110675868140106E-3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'[2]Sch C'!D16</f>
        <v>176148</v>
      </c>
      <c r="D31" s="501">
        <f>'[2]Sch C'!F16</f>
        <v>25117.27</v>
      </c>
      <c r="E31" s="171">
        <f t="shared" si="3"/>
        <v>201265.27</v>
      </c>
      <c r="F31" s="171">
        <v>0</v>
      </c>
      <c r="G31" s="171">
        <f t="shared" si="4"/>
        <v>201265.27</v>
      </c>
      <c r="H31" s="172">
        <f t="shared" si="5"/>
        <v>8.2444670090618385E-2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'[2]Sch C'!D17</f>
        <v>0</v>
      </c>
      <c r="D32" s="501">
        <f>'[2]Sch C'!F17</f>
        <v>0</v>
      </c>
      <c r="E32" s="171">
        <f t="shared" si="3"/>
        <v>0</v>
      </c>
      <c r="F32" s="171">
        <v>0</v>
      </c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'[2]Sch C'!D18</f>
        <v>5985</v>
      </c>
      <c r="D33" s="501">
        <f>'[2]Sch C'!F18</f>
        <v>0</v>
      </c>
      <c r="E33" s="171">
        <f t="shared" si="3"/>
        <v>5985</v>
      </c>
      <c r="F33" s="171">
        <v>2746</v>
      </c>
      <c r="G33" s="171">
        <f t="shared" si="4"/>
        <v>8731</v>
      </c>
      <c r="H33" s="172">
        <f t="shared" si="5"/>
        <v>3.5764959079188836E-3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'[2]Sch C'!D19</f>
        <v>7388</v>
      </c>
      <c r="D34" s="501">
        <f>'[2]Sch C'!F19</f>
        <v>0</v>
      </c>
      <c r="E34" s="171">
        <f t="shared" si="3"/>
        <v>7388</v>
      </c>
      <c r="F34" s="171">
        <v>1686.64</v>
      </c>
      <c r="G34" s="171">
        <f t="shared" si="4"/>
        <v>9074.64</v>
      </c>
      <c r="H34" s="172">
        <f t="shared" si="5"/>
        <v>3.7172618057309602E-3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'[2]Sch C'!D20</f>
        <v>3317</v>
      </c>
      <c r="D35" s="501">
        <f>'[2]Sch C'!F20</f>
        <v>0</v>
      </c>
      <c r="E35" s="171">
        <f t="shared" si="3"/>
        <v>3317</v>
      </c>
      <c r="F35" s="171">
        <v>850</v>
      </c>
      <c r="G35" s="171">
        <f t="shared" si="4"/>
        <v>4167</v>
      </c>
      <c r="H35" s="172">
        <f t="shared" si="5"/>
        <v>1.7069360266061147E-3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'[2]Sch C'!D21</f>
        <v>648</v>
      </c>
      <c r="D36" s="501">
        <f>'[2]Sch C'!F21</f>
        <v>0</v>
      </c>
      <c r="E36" s="171">
        <f t="shared" si="3"/>
        <v>648</v>
      </c>
      <c r="F36" s="171">
        <v>0</v>
      </c>
      <c r="G36" s="171">
        <f t="shared" si="4"/>
        <v>648</v>
      </c>
      <c r="H36" s="172">
        <f t="shared" si="5"/>
        <v>2.6544145554133962E-4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'[2]Sch C'!D22</f>
        <v>0</v>
      </c>
      <c r="D37" s="501">
        <f>'[2]Sch C'!F22</f>
        <v>0</v>
      </c>
      <c r="E37" s="171">
        <f t="shared" si="3"/>
        <v>0</v>
      </c>
      <c r="F37" s="171">
        <v>0</v>
      </c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'[2]Sch C'!D23</f>
        <v>6080</v>
      </c>
      <c r="D38" s="501">
        <f>'[2]Sch C'!F23</f>
        <v>0</v>
      </c>
      <c r="E38" s="171">
        <f t="shared" si="3"/>
        <v>6080</v>
      </c>
      <c r="F38" s="171">
        <v>2027.6999999999998</v>
      </c>
      <c r="G38" s="171">
        <f t="shared" si="4"/>
        <v>8107.7</v>
      </c>
      <c r="H38" s="172">
        <f t="shared" si="5"/>
        <v>3.3211723597106782E-3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'[2]Sch C'!D24</f>
        <v>0</v>
      </c>
      <c r="D39" s="501">
        <f>'[2]Sch C'!F24</f>
        <v>0</v>
      </c>
      <c r="E39" s="171">
        <f t="shared" si="3"/>
        <v>0</v>
      </c>
      <c r="F39" s="506">
        <v>2386</v>
      </c>
      <c r="G39" s="171">
        <f t="shared" si="4"/>
        <v>2386</v>
      </c>
      <c r="H39" s="172">
        <f t="shared" si="5"/>
        <v>9.7738165574326593E-4</v>
      </c>
      <c r="I39" s="473" t="s">
        <v>693</v>
      </c>
      <c r="J39" s="168"/>
      <c r="K39" s="168"/>
    </row>
    <row r="40" spans="1:11" s="167" customFormat="1">
      <c r="A40" s="163">
        <v>160</v>
      </c>
      <c r="B40" s="170" t="s">
        <v>30</v>
      </c>
      <c r="C40" s="501">
        <f>'[2]Sch C'!D25</f>
        <v>0</v>
      </c>
      <c r="D40" s="501">
        <f>'[2]Sch C'!F25</f>
        <v>0</v>
      </c>
      <c r="E40" s="171">
        <f t="shared" si="3"/>
        <v>0</v>
      </c>
      <c r="F40" s="171">
        <v>0</v>
      </c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'[2]Sch C'!D26</f>
        <v>179510</v>
      </c>
      <c r="D41" s="501">
        <f>'[2]Sch C'!F26</f>
        <v>0</v>
      </c>
      <c r="E41" s="171">
        <f t="shared" si="3"/>
        <v>179510</v>
      </c>
      <c r="F41" s="171">
        <v>63153.8</v>
      </c>
      <c r="G41" s="171">
        <f t="shared" si="4"/>
        <v>242663.8</v>
      </c>
      <c r="H41" s="172">
        <f t="shared" si="5"/>
        <v>9.9402827591346499E-2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'[2]Sch C'!D27</f>
        <v>0</v>
      </c>
      <c r="D42" s="501">
        <f>'[2]Sch C'!F27</f>
        <v>0</v>
      </c>
      <c r="E42" s="171">
        <f t="shared" si="3"/>
        <v>0</v>
      </c>
      <c r="F42" s="171">
        <v>0</v>
      </c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'[2]Sch C'!D28</f>
        <v>0</v>
      </c>
      <c r="D43" s="501">
        <f>'[2]Sch C'!F28</f>
        <v>0</v>
      </c>
      <c r="E43" s="171">
        <f t="shared" si="3"/>
        <v>0</v>
      </c>
      <c r="F43" s="171">
        <v>0</v>
      </c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'[2]Sch C'!D29</f>
        <v>86171</v>
      </c>
      <c r="D44" s="501">
        <f>'[2]Sch C'!F29</f>
        <v>-86171</v>
      </c>
      <c r="E44" s="171">
        <f t="shared" si="3"/>
        <v>0</v>
      </c>
      <c r="F44" s="171">
        <v>0</v>
      </c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'[2]Sch C'!D30</f>
        <v>0</v>
      </c>
      <c r="D45" s="501">
        <f>'[2]Sch C'!F30</f>
        <v>0</v>
      </c>
      <c r="E45" s="171">
        <f t="shared" si="3"/>
        <v>0</v>
      </c>
      <c r="F45" s="171">
        <v>0</v>
      </c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'[2]Sch C'!D31</f>
        <v>28225</v>
      </c>
      <c r="D46" s="501">
        <f>'[2]Sch C'!F31</f>
        <v>0</v>
      </c>
      <c r="E46" s="171">
        <f t="shared" si="3"/>
        <v>28225</v>
      </c>
      <c r="F46" s="171">
        <v>8012</v>
      </c>
      <c r="G46" s="171">
        <f t="shared" si="4"/>
        <v>36237</v>
      </c>
      <c r="H46" s="172">
        <f t="shared" si="5"/>
        <v>1.4843830284647414E-2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'[2]Sch C'!D32</f>
        <v>10361</v>
      </c>
      <c r="D47" s="501">
        <f>'[2]Sch C'!F32</f>
        <v>0</v>
      </c>
      <c r="E47" s="171">
        <f t="shared" si="3"/>
        <v>10361</v>
      </c>
      <c r="F47" s="171">
        <v>3381.51</v>
      </c>
      <c r="G47" s="171">
        <f t="shared" si="4"/>
        <v>13742.51</v>
      </c>
      <c r="H47" s="172">
        <f t="shared" si="5"/>
        <v>5.629370149986752E-3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'[2]Sch C'!D33</f>
        <v>0</v>
      </c>
      <c r="D48" s="501">
        <f>'[2]Sch C'!F33</f>
        <v>0</v>
      </c>
      <c r="E48" s="171">
        <f t="shared" si="3"/>
        <v>0</v>
      </c>
      <c r="F48" s="171">
        <v>0</v>
      </c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'[2]Sch C'!D34</f>
        <v>0</v>
      </c>
      <c r="D49" s="501">
        <f>'[2]Sch C'!F34</f>
        <v>0</v>
      </c>
      <c r="E49" s="171">
        <f t="shared" si="3"/>
        <v>0</v>
      </c>
      <c r="F49" s="171">
        <v>0</v>
      </c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'[2]Sch C'!D35</f>
        <v>0</v>
      </c>
      <c r="D50" s="501">
        <f>'[2]Sch C'!F35</f>
        <v>0</v>
      </c>
      <c r="E50" s="171">
        <f t="shared" si="3"/>
        <v>0</v>
      </c>
      <c r="F50" s="171">
        <v>0</v>
      </c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'[2]Sch C'!D36</f>
        <v>0</v>
      </c>
      <c r="D51" s="501">
        <f>'[2]Sch C'!F36</f>
        <v>0</v>
      </c>
      <c r="E51" s="171">
        <f t="shared" si="3"/>
        <v>0</v>
      </c>
      <c r="F51" s="171">
        <v>0</v>
      </c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'[2]Sch C'!D37</f>
        <v>0</v>
      </c>
      <c r="D52" s="501">
        <f>'[2]Sch C'!F37</f>
        <v>0</v>
      </c>
      <c r="E52" s="171">
        <f t="shared" si="3"/>
        <v>0</v>
      </c>
      <c r="F52" s="171">
        <v>0</v>
      </c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'[2]Sch C'!D38</f>
        <v>0</v>
      </c>
      <c r="D53" s="501">
        <f>'[2]Sch C'!F38</f>
        <v>0</v>
      </c>
      <c r="E53" s="171">
        <f t="shared" si="3"/>
        <v>0</v>
      </c>
      <c r="F53" s="171">
        <v>266.89</v>
      </c>
      <c r="G53" s="171">
        <f t="shared" si="4"/>
        <v>266.89</v>
      </c>
      <c r="H53" s="172">
        <f t="shared" si="5"/>
        <v>1.0932665134171008E-4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'[2]Sch C'!D39</f>
        <v>1631</v>
      </c>
      <c r="D54" s="501">
        <f>'[2]Sch C'!F39</f>
        <v>0</v>
      </c>
      <c r="E54" s="171">
        <f t="shared" si="3"/>
        <v>1631</v>
      </c>
      <c r="F54" s="171">
        <v>385.64</v>
      </c>
      <c r="G54" s="171">
        <f t="shared" si="4"/>
        <v>2016.6399999999999</v>
      </c>
      <c r="H54" s="172">
        <f t="shared" si="5"/>
        <v>8.2608002608470241E-4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'[2]Sch C'!D40</f>
        <v>7006</v>
      </c>
      <c r="D55" s="501">
        <f>'[2]Sch C'!F40</f>
        <v>-7006</v>
      </c>
      <c r="E55" s="171">
        <f t="shared" si="3"/>
        <v>0</v>
      </c>
      <c r="F55" s="171">
        <v>-0.42000000000007276</v>
      </c>
      <c r="G55" s="171">
        <f t="shared" si="4"/>
        <v>-0.42000000000007276</v>
      </c>
      <c r="H55" s="172">
        <f t="shared" si="5"/>
        <v>-1.7204538785089809E-7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'[2]Sch C'!D41</f>
        <v>0</v>
      </c>
      <c r="D56" s="501">
        <f>'[2]Sch C'!F41</f>
        <v>0</v>
      </c>
      <c r="E56" s="171">
        <f t="shared" si="3"/>
        <v>0</v>
      </c>
      <c r="F56" s="171">
        <v>0</v>
      </c>
      <c r="G56" s="171">
        <f t="shared" si="4"/>
        <v>0</v>
      </c>
      <c r="H56" s="172">
        <f t="shared" si="5"/>
        <v>0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'[2]Sch C'!D42</f>
        <v>805</v>
      </c>
      <c r="D57" s="501">
        <f>'[2]Sch C'!F42</f>
        <v>0</v>
      </c>
      <c r="E57" s="171">
        <f t="shared" si="3"/>
        <v>805</v>
      </c>
      <c r="F57" s="171">
        <v>600.93000000000006</v>
      </c>
      <c r="G57" s="171">
        <f t="shared" si="4"/>
        <v>1405.93</v>
      </c>
      <c r="H57" s="172">
        <f t="shared" si="5"/>
        <v>5.759137431932649E-4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'[2]Sch C'!D43</f>
        <v>4628</v>
      </c>
      <c r="D58" s="501">
        <f>'[2]Sch C'!F43</f>
        <v>0</v>
      </c>
      <c r="E58" s="171">
        <f t="shared" si="3"/>
        <v>4628</v>
      </c>
      <c r="F58" s="171">
        <f>1600.93-1600.93-4628</f>
        <v>-4628</v>
      </c>
      <c r="G58" s="171">
        <f t="shared" si="4"/>
        <v>0</v>
      </c>
      <c r="H58" s="172">
        <f t="shared" si="5"/>
        <v>0</v>
      </c>
      <c r="I58" s="473" t="s">
        <v>618</v>
      </c>
      <c r="J58" s="168"/>
      <c r="K58" s="168"/>
    </row>
    <row r="59" spans="1:11" s="167" customFormat="1">
      <c r="A59" s="163">
        <v>360</v>
      </c>
      <c r="B59" s="170" t="s">
        <v>211</v>
      </c>
      <c r="C59" s="501">
        <f>'[2]Sch C'!D44</f>
        <v>0</v>
      </c>
      <c r="D59" s="501">
        <f>'[2]Sch C'!F44</f>
        <v>0</v>
      </c>
      <c r="E59" s="171">
        <f t="shared" si="3"/>
        <v>0</v>
      </c>
      <c r="F59" s="171">
        <v>0</v>
      </c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'[2]Sch C'!D45</f>
        <v>28936</v>
      </c>
      <c r="D60" s="501">
        <f>'[2]Sch C'!F45</f>
        <v>-2629</v>
      </c>
      <c r="E60" s="171">
        <f t="shared" si="3"/>
        <v>26307</v>
      </c>
      <c r="F60" s="506">
        <f>8968.86-2333-915-2776-2386</f>
        <v>558.86000000000058</v>
      </c>
      <c r="G60" s="171">
        <f t="shared" si="4"/>
        <v>26865.86</v>
      </c>
      <c r="H60" s="172">
        <f t="shared" si="5"/>
        <v>1.1005112627731259E-2</v>
      </c>
      <c r="I60" s="473" t="s">
        <v>696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807142</v>
      </c>
      <c r="D61" s="501">
        <f>SUM(D25:D60)</f>
        <v>-238386.93000000002</v>
      </c>
      <c r="E61" s="171">
        <f t="shared" ref="E61:F61" si="6">SUM(E25:E60)</f>
        <v>568755.06999999995</v>
      </c>
      <c r="F61" s="171">
        <f t="shared" si="6"/>
        <v>117282.52999999998</v>
      </c>
      <c r="G61" s="171">
        <f>SUM(G25:G60)</f>
        <v>686037.6</v>
      </c>
      <c r="H61" s="186">
        <f t="shared" si="5"/>
        <v>0.28102286898161627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'[2]Sch C'!D57</f>
        <v>213293</v>
      </c>
      <c r="D64" s="501">
        <f>'[2]Sch C'!F57</f>
        <v>-213293</v>
      </c>
      <c r="E64" s="171">
        <f t="shared" ref="E64:E78" si="7">C64+D64</f>
        <v>0</v>
      </c>
      <c r="F64" s="171">
        <v>0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'[2]Sch C'!D58</f>
        <v>64378</v>
      </c>
      <c r="D65" s="501">
        <f>'[2]Sch C'!F58</f>
        <v>0</v>
      </c>
      <c r="E65" s="171">
        <f t="shared" si="7"/>
        <v>64378</v>
      </c>
      <c r="F65" s="171">
        <v>0</v>
      </c>
      <c r="G65" s="171">
        <f t="shared" si="8"/>
        <v>64378</v>
      </c>
      <c r="H65" s="172">
        <f t="shared" si="9"/>
        <v>2.6371280902531425E-2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'[2]Sch C'!D59</f>
        <v>0</v>
      </c>
      <c r="D66" s="501">
        <f>'[2]Sch C'!F59</f>
        <v>135148.49</v>
      </c>
      <c r="E66" s="171">
        <f t="shared" si="7"/>
        <v>135148.49</v>
      </c>
      <c r="F66" s="442">
        <f>31399.06-30648</f>
        <v>751.06000000000131</v>
      </c>
      <c r="G66" s="171">
        <f t="shared" si="8"/>
        <v>135899.54999999999</v>
      </c>
      <c r="H66" s="172">
        <f t="shared" si="9"/>
        <v>5.5668787591686822E-2</v>
      </c>
      <c r="I66" s="473" t="s">
        <v>693</v>
      </c>
      <c r="J66" s="190"/>
      <c r="K66" s="168"/>
    </row>
    <row r="67" spans="1:11" s="167" customFormat="1">
      <c r="A67" s="142">
        <v>260</v>
      </c>
      <c r="B67" s="192" t="s">
        <v>308</v>
      </c>
      <c r="C67" s="501">
        <f>'[2]Sch C'!D60</f>
        <v>0</v>
      </c>
      <c r="D67" s="501">
        <f>'[2]Sch C'!F60</f>
        <v>0</v>
      </c>
      <c r="E67" s="171">
        <f t="shared" si="7"/>
        <v>0</v>
      </c>
      <c r="F67" s="171">
        <v>0</v>
      </c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'[2]Sch C'!D61</f>
        <v>3241</v>
      </c>
      <c r="D68" s="501">
        <f>'[2]Sch C'!F61</f>
        <v>0</v>
      </c>
      <c r="E68" s="171">
        <f t="shared" si="7"/>
        <v>3241</v>
      </c>
      <c r="F68" s="171">
        <v>1077.24</v>
      </c>
      <c r="G68" s="171">
        <f t="shared" si="8"/>
        <v>4318.24</v>
      </c>
      <c r="H68" s="172">
        <f t="shared" si="9"/>
        <v>1.7688887515074606E-3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'[2]Sch C'!D62</f>
        <v>0</v>
      </c>
      <c r="D69" s="501">
        <f>'[2]Sch C'!F62</f>
        <v>0</v>
      </c>
      <c r="E69" s="171">
        <f t="shared" si="7"/>
        <v>0</v>
      </c>
      <c r="F69" s="171">
        <v>0</v>
      </c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'[2]Sch C'!D63</f>
        <v>0</v>
      </c>
      <c r="D70" s="501">
        <f>'[2]Sch C'!F63</f>
        <v>0</v>
      </c>
      <c r="E70" s="171">
        <f t="shared" si="7"/>
        <v>0</v>
      </c>
      <c r="F70" s="171">
        <v>0</v>
      </c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'[2]Sch C'!D64</f>
        <v>0</v>
      </c>
      <c r="D71" s="501">
        <f>'[2]Sch C'!F64</f>
        <v>0</v>
      </c>
      <c r="E71" s="171">
        <f t="shared" si="7"/>
        <v>0</v>
      </c>
      <c r="F71" s="171">
        <v>0</v>
      </c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'[2]Sch C'!D65</f>
        <v>2698</v>
      </c>
      <c r="D72" s="501">
        <f>'[2]Sch C'!F65</f>
        <v>0</v>
      </c>
      <c r="E72" s="171">
        <f t="shared" si="7"/>
        <v>2698</v>
      </c>
      <c r="F72" s="171">
        <v>877.23</v>
      </c>
      <c r="G72" s="171">
        <f t="shared" si="8"/>
        <v>3575.23</v>
      </c>
      <c r="H72" s="172">
        <f t="shared" si="9"/>
        <v>1.4645281714429997E-3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'[2]Sch C'!D66</f>
        <v>0</v>
      </c>
      <c r="D73" s="501">
        <f>'[2]Sch C'!F66</f>
        <v>0</v>
      </c>
      <c r="E73" s="171">
        <f t="shared" si="7"/>
        <v>0</v>
      </c>
      <c r="F73" s="171">
        <v>0</v>
      </c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'[2]Sch C'!D67</f>
        <v>0</v>
      </c>
      <c r="D74" s="501">
        <f>'[2]Sch C'!F67</f>
        <v>0</v>
      </c>
      <c r="E74" s="171">
        <f t="shared" si="7"/>
        <v>0</v>
      </c>
      <c r="F74" s="171">
        <v>0</v>
      </c>
      <c r="G74" s="171">
        <f t="shared" si="8"/>
        <v>0</v>
      </c>
      <c r="H74" s="172">
        <f t="shared" si="9"/>
        <v>0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'[2]Sch C'!D68</f>
        <v>0</v>
      </c>
      <c r="D75" s="501">
        <f>'[2]Sch C'!F68</f>
        <v>0</v>
      </c>
      <c r="E75" s="171">
        <f t="shared" si="7"/>
        <v>0</v>
      </c>
      <c r="F75" s="171">
        <v>0</v>
      </c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'[2]Sch C'!D69</f>
        <v>0</v>
      </c>
      <c r="D76" s="501">
        <f>'[2]Sch C'!F69</f>
        <v>0</v>
      </c>
      <c r="E76" s="171">
        <f t="shared" si="7"/>
        <v>0</v>
      </c>
      <c r="F76" s="171">
        <v>0</v>
      </c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'[2]Sch C'!D70</f>
        <v>0</v>
      </c>
      <c r="D77" s="501">
        <f>'[2]Sch C'!F70</f>
        <v>0</v>
      </c>
      <c r="E77" s="171">
        <f t="shared" si="7"/>
        <v>0</v>
      </c>
      <c r="F77" s="171">
        <v>0</v>
      </c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'[2]Sch C'!D71</f>
        <v>0</v>
      </c>
      <c r="D78" s="501">
        <f>'[2]Sch C'!F71</f>
        <v>0</v>
      </c>
      <c r="E78" s="171">
        <f t="shared" si="7"/>
        <v>0</v>
      </c>
      <c r="F78" s="171">
        <v>0</v>
      </c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283610</v>
      </c>
      <c r="D79" s="501">
        <f>SUM(D64:D78)</f>
        <v>-78144.510000000009</v>
      </c>
      <c r="E79" s="171">
        <f t="shared" ref="E79:F79" si="10">SUM(E64:E78)</f>
        <v>205465.49</v>
      </c>
      <c r="F79" s="171">
        <f t="shared" si="10"/>
        <v>2705.5300000000016</v>
      </c>
      <c r="G79" s="171">
        <f>SUM(G64:G78)</f>
        <v>208171.02</v>
      </c>
      <c r="H79" s="172">
        <f t="shared" si="9"/>
        <v>8.5273485417168712E-2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'[2]Sch C'!D75</f>
        <v>23349</v>
      </c>
      <c r="D82" s="501">
        <f>'[2]Sch C'!F75</f>
        <v>0</v>
      </c>
      <c r="E82" s="171">
        <f t="shared" ref="E82:E92" si="11">C82+D82</f>
        <v>23349</v>
      </c>
      <c r="F82" s="171">
        <v>8597.25</v>
      </c>
      <c r="G82" s="171">
        <f t="shared" ref="G82:G92" si="12">E82+F82</f>
        <v>31946.25</v>
      </c>
      <c r="H82" s="172">
        <f t="shared" ref="H82:H93" si="13">IF($G$208=0,0,G82/$G$208)</f>
        <v>1.3086202313406669E-2</v>
      </c>
      <c r="I82" s="473"/>
      <c r="J82" s="183">
        <f>1430.15+477</f>
        <v>1907.15</v>
      </c>
      <c r="K82" s="183">
        <f>1514.26+517</f>
        <v>2031.26</v>
      </c>
    </row>
    <row r="83" spans="1:11" s="167" customFormat="1">
      <c r="A83" s="169" t="s">
        <v>86</v>
      </c>
      <c r="B83" s="199" t="s">
        <v>45</v>
      </c>
      <c r="C83" s="501">
        <f>'[2]Sch C'!D76</f>
        <v>0</v>
      </c>
      <c r="D83" s="501">
        <f>'[2]Sch C'!F76</f>
        <v>5578.3099999999995</v>
      </c>
      <c r="E83" s="171">
        <f t="shared" si="11"/>
        <v>5578.3099999999995</v>
      </c>
      <c r="F83" s="171">
        <v>1904</v>
      </c>
      <c r="G83" s="171">
        <f t="shared" si="12"/>
        <v>7482.3099999999995</v>
      </c>
      <c r="H83" s="172">
        <f t="shared" si="13"/>
        <v>3.0649926808819766E-3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'[2]Sch C'!D77</f>
        <v>9672</v>
      </c>
      <c r="D84" s="501">
        <f>'[2]Sch C'!F77</f>
        <v>0</v>
      </c>
      <c r="E84" s="171">
        <f t="shared" si="11"/>
        <v>9672</v>
      </c>
      <c r="F84" s="171">
        <v>2824.89</v>
      </c>
      <c r="G84" s="171">
        <f t="shared" si="12"/>
        <v>12496.89</v>
      </c>
      <c r="H84" s="172">
        <f t="shared" si="13"/>
        <v>5.1191244928086603E-3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'[2]Sch C'!D78</f>
        <v>0</v>
      </c>
      <c r="D85" s="501">
        <f>'[2]Sch C'!F78</f>
        <v>0</v>
      </c>
      <c r="E85" s="171">
        <f t="shared" si="11"/>
        <v>0</v>
      </c>
      <c r="F85" s="171">
        <v>0</v>
      </c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'[2]Sch C'!D79</f>
        <v>0</v>
      </c>
      <c r="D86" s="501">
        <f>'[2]Sch C'!F79</f>
        <v>0</v>
      </c>
      <c r="E86" s="171">
        <f t="shared" si="11"/>
        <v>0</v>
      </c>
      <c r="F86" s="506">
        <f>52.36+2776</f>
        <v>2828.36</v>
      </c>
      <c r="G86" s="171">
        <f>E86+F86</f>
        <v>2828.36</v>
      </c>
      <c r="H86" s="172">
        <f t="shared" si="13"/>
        <v>1.1585864123378139E-3</v>
      </c>
      <c r="I86" s="473" t="s">
        <v>705</v>
      </c>
      <c r="J86" s="168"/>
      <c r="K86" s="168"/>
    </row>
    <row r="87" spans="1:11" s="167" customFormat="1">
      <c r="A87" s="169">
        <v>310</v>
      </c>
      <c r="B87" s="199" t="s">
        <v>54</v>
      </c>
      <c r="C87" s="501">
        <f>'[2]Sch C'!D80</f>
        <v>28546</v>
      </c>
      <c r="D87" s="501">
        <f>'[2]Sch C'!F80</f>
        <v>0</v>
      </c>
      <c r="E87" s="171">
        <f t="shared" si="11"/>
        <v>28546</v>
      </c>
      <c r="F87" s="171">
        <v>6561.88</v>
      </c>
      <c r="G87" s="171">
        <f t="shared" si="12"/>
        <v>35107.879999999997</v>
      </c>
      <c r="H87" s="172">
        <f t="shared" si="13"/>
        <v>1.4381306741004145E-2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'[2]Sch C'!D81</f>
        <v>0</v>
      </c>
      <c r="D88" s="501">
        <f>'[2]Sch C'!F81</f>
        <v>0</v>
      </c>
      <c r="E88" s="171">
        <f t="shared" si="11"/>
        <v>0</v>
      </c>
      <c r="F88" s="171">
        <v>0</v>
      </c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'[2]Sch C'!D82</f>
        <v>0</v>
      </c>
      <c r="D89" s="501">
        <f>'[2]Sch C'!F82</f>
        <v>0</v>
      </c>
      <c r="E89" s="171">
        <f t="shared" si="11"/>
        <v>0</v>
      </c>
      <c r="F89" s="171">
        <v>0</v>
      </c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'[2]Sch C'!D83</f>
        <v>0</v>
      </c>
      <c r="D90" s="501">
        <f>'[2]Sch C'!F83</f>
        <v>0</v>
      </c>
      <c r="E90" s="171">
        <f t="shared" si="11"/>
        <v>0</v>
      </c>
      <c r="F90" s="506">
        <v>915</v>
      </c>
      <c r="G90" s="171">
        <f t="shared" si="12"/>
        <v>915</v>
      </c>
      <c r="H90" s="172">
        <f t="shared" si="13"/>
        <v>3.7481316638939162E-4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'[2]Sch C'!D84</f>
        <v>27236</v>
      </c>
      <c r="D91" s="501">
        <f>'[2]Sch C'!F84</f>
        <v>0</v>
      </c>
      <c r="E91" s="171">
        <f t="shared" si="11"/>
        <v>27236</v>
      </c>
      <c r="F91" s="171"/>
      <c r="G91" s="171">
        <f t="shared" si="12"/>
        <v>27236</v>
      </c>
      <c r="H91" s="172">
        <f t="shared" si="13"/>
        <v>1.1156733770252973E-2</v>
      </c>
      <c r="I91" s="473" t="s">
        <v>705</v>
      </c>
      <c r="J91" s="168"/>
      <c r="K91" s="168"/>
    </row>
    <row r="92" spans="1:11" s="167" customFormat="1">
      <c r="A92" s="163">
        <v>490</v>
      </c>
      <c r="B92" s="148" t="s">
        <v>312</v>
      </c>
      <c r="C92" s="501">
        <f>'[2]Sch C'!D85</f>
        <v>0</v>
      </c>
      <c r="D92" s="501">
        <f>'[2]Sch C'!F85</f>
        <v>0</v>
      </c>
      <c r="E92" s="171">
        <f t="shared" si="11"/>
        <v>0</v>
      </c>
      <c r="F92" s="171">
        <v>0</v>
      </c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88803</v>
      </c>
      <c r="D93" s="501">
        <f>SUM(D82:D92)</f>
        <v>5578.3099999999995</v>
      </c>
      <c r="E93" s="171">
        <f t="shared" ref="E93:F93" si="14">SUM(E82:E92)</f>
        <v>94381.31</v>
      </c>
      <c r="F93" s="171">
        <f t="shared" si="14"/>
        <v>23631.38</v>
      </c>
      <c r="G93" s="171">
        <f>SUM(G82:G92)</f>
        <v>118012.69</v>
      </c>
      <c r="H93" s="172">
        <f t="shared" si="13"/>
        <v>4.8341759577081631E-2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'[2]Sch C'!D89</f>
        <v>71295</v>
      </c>
      <c r="D96" s="501">
        <f>'[2]Sch C'!F89</f>
        <v>0</v>
      </c>
      <c r="E96" s="171">
        <f t="shared" ref="E96:E101" si="15">C96+D96</f>
        <v>71295</v>
      </c>
      <c r="F96" s="171">
        <v>24992.11</v>
      </c>
      <c r="G96" s="171">
        <f t="shared" ref="G96:G101" si="16">E96+F96</f>
        <v>96287.11</v>
      </c>
      <c r="H96" s="172">
        <f t="shared" ref="H96:H102" si="17">IF($G$208=0,0,G96/$G$208)</f>
        <v>3.9442269488069566E-2</v>
      </c>
      <c r="I96" s="473"/>
      <c r="J96" s="183">
        <f>6093.9+2138</f>
        <v>8231.9</v>
      </c>
      <c r="K96" s="183">
        <f>6542.81+2224</f>
        <v>8766.8100000000013</v>
      </c>
    </row>
    <row r="97" spans="1:11" s="167" customFormat="1">
      <c r="A97" s="169" t="s">
        <v>86</v>
      </c>
      <c r="B97" s="170" t="s">
        <v>45</v>
      </c>
      <c r="C97" s="501">
        <f>'[2]Sch C'!D90</f>
        <v>0</v>
      </c>
      <c r="D97" s="501">
        <f>'[2]Sch C'!F90</f>
        <v>17033.080000000002</v>
      </c>
      <c r="E97" s="171">
        <f t="shared" si="15"/>
        <v>17033.080000000002</v>
      </c>
      <c r="F97" s="171">
        <v>5536</v>
      </c>
      <c r="G97" s="171">
        <f t="shared" si="16"/>
        <v>22569.08</v>
      </c>
      <c r="H97" s="172">
        <f t="shared" si="17"/>
        <v>9.245014576279225E-3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'[2]Sch C'!D91</f>
        <v>0</v>
      </c>
      <c r="D98" s="501">
        <f>'[2]Sch C'!F91</f>
        <v>0</v>
      </c>
      <c r="E98" s="171">
        <f t="shared" si="15"/>
        <v>0</v>
      </c>
      <c r="F98" s="171">
        <v>0</v>
      </c>
      <c r="G98" s="171">
        <f t="shared" si="16"/>
        <v>0</v>
      </c>
      <c r="H98" s="172">
        <f t="shared" si="17"/>
        <v>0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'[2]Sch C'!D92</f>
        <v>57783</v>
      </c>
      <c r="D99" s="501">
        <f>'[2]Sch C'!F92</f>
        <v>0</v>
      </c>
      <c r="E99" s="171">
        <f t="shared" si="15"/>
        <v>57783</v>
      </c>
      <c r="F99" s="171">
        <v>17621.95</v>
      </c>
      <c r="G99" s="171">
        <f t="shared" si="16"/>
        <v>75404.95</v>
      </c>
      <c r="H99" s="172">
        <f t="shared" si="17"/>
        <v>3.0888271115774597E-2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'[2]Sch C'!D93</f>
        <v>6472</v>
      </c>
      <c r="D100" s="501">
        <f>'[2]Sch C'!F93</f>
        <v>0</v>
      </c>
      <c r="E100" s="171">
        <f t="shared" si="15"/>
        <v>6472</v>
      </c>
      <c r="F100" s="171">
        <v>1492.32</v>
      </c>
      <c r="G100" s="171">
        <f t="shared" si="16"/>
        <v>7964.32</v>
      </c>
      <c r="H100" s="172">
        <f t="shared" si="17"/>
        <v>3.2624393413533985E-3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'[2]Sch C'!D94</f>
        <v>0</v>
      </c>
      <c r="D101" s="501">
        <f>'[2]Sch C'!F94</f>
        <v>0</v>
      </c>
      <c r="E101" s="171">
        <f t="shared" si="15"/>
        <v>0</v>
      </c>
      <c r="F101" s="171">
        <v>0</v>
      </c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135550</v>
      </c>
      <c r="D102" s="501">
        <f>SUM(D96:D101)</f>
        <v>17033.080000000002</v>
      </c>
      <c r="E102" s="171">
        <f t="shared" ref="E102:F102" si="18">SUM(E96:E101)</f>
        <v>152583.08000000002</v>
      </c>
      <c r="F102" s="171">
        <f t="shared" si="18"/>
        <v>49642.38</v>
      </c>
      <c r="G102" s="171">
        <f>SUM(G96:G101)</f>
        <v>202225.46000000002</v>
      </c>
      <c r="H102" s="172">
        <f t="shared" si="17"/>
        <v>8.283799452147679E-2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'[2]Sch C'!D98</f>
        <v>18116</v>
      </c>
      <c r="D105" s="501">
        <f>'[2]Sch C'!F98</f>
        <v>0</v>
      </c>
      <c r="E105" s="171">
        <f t="shared" ref="E105:E110" si="19">C105+D105</f>
        <v>18116</v>
      </c>
      <c r="F105" s="171">
        <v>6445.45</v>
      </c>
      <c r="G105" s="171">
        <f t="shared" ref="G105:G110" si="20">E105+F105</f>
        <v>24561.45</v>
      </c>
      <c r="H105" s="172">
        <f t="shared" ref="H105:H111" si="21">IF($G$208=0,0,G105/$G$208)</f>
        <v>1.0061152836737402E-2</v>
      </c>
      <c r="I105" s="473"/>
      <c r="J105" s="183">
        <f>1946.85+668</f>
        <v>2614.85</v>
      </c>
      <c r="K105" s="183">
        <f>2161.85+746</f>
        <v>2907.85</v>
      </c>
    </row>
    <row r="106" spans="1:11" s="167" customFormat="1">
      <c r="A106" s="169" t="s">
        <v>86</v>
      </c>
      <c r="B106" s="170" t="s">
        <v>45</v>
      </c>
      <c r="C106" s="501">
        <f>'[2]Sch C'!D99</f>
        <v>0</v>
      </c>
      <c r="D106" s="501">
        <f>'[2]Sch C'!F99</f>
        <v>4328.09</v>
      </c>
      <c r="E106" s="171">
        <f t="shared" si="19"/>
        <v>4328.09</v>
      </c>
      <c r="F106" s="171">
        <v>1427.61</v>
      </c>
      <c r="G106" s="171">
        <f t="shared" si="20"/>
        <v>5755.7</v>
      </c>
      <c r="H106" s="172">
        <f t="shared" si="21"/>
        <v>2.3577181877458158E-3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'[2]Sch C'!D100</f>
        <v>1962</v>
      </c>
      <c r="D107" s="501">
        <f>'[2]Sch C'!F100</f>
        <v>0</v>
      </c>
      <c r="E107" s="171">
        <f t="shared" si="19"/>
        <v>1962</v>
      </c>
      <c r="F107" s="171">
        <v>701.67</v>
      </c>
      <c r="G107" s="171">
        <f t="shared" si="20"/>
        <v>2663.67</v>
      </c>
      <c r="H107" s="172">
        <f t="shared" si="21"/>
        <v>1.0911241387064818E-3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'[2]Sch C'!D101</f>
        <v>0</v>
      </c>
      <c r="D108" s="501">
        <f>'[2]Sch C'!F101</f>
        <v>0</v>
      </c>
      <c r="E108" s="171">
        <f t="shared" si="19"/>
        <v>0</v>
      </c>
      <c r="F108" s="171">
        <v>0</v>
      </c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'[2]Sch C'!D102</f>
        <v>1133</v>
      </c>
      <c r="D109" s="501">
        <f>'[2]Sch C'!F102</f>
        <v>0</v>
      </c>
      <c r="E109" s="171">
        <f t="shared" si="19"/>
        <v>1133</v>
      </c>
      <c r="F109" s="171">
        <v>231.8</v>
      </c>
      <c r="G109" s="171">
        <f t="shared" si="20"/>
        <v>1364.8</v>
      </c>
      <c r="H109" s="172">
        <f t="shared" si="21"/>
        <v>5.5906558414015484E-4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'[2]Sch C'!D103</f>
        <v>0</v>
      </c>
      <c r="D110" s="501">
        <f>'[2]Sch C'!F103</f>
        <v>0</v>
      </c>
      <c r="E110" s="171">
        <f t="shared" si="19"/>
        <v>0</v>
      </c>
      <c r="F110" s="171">
        <v>0</v>
      </c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21211</v>
      </c>
      <c r="D111" s="501">
        <f>SUM(D105:D110)</f>
        <v>4328.09</v>
      </c>
      <c r="E111" s="171">
        <f t="shared" ref="E111:F111" si="22">SUM(E105:E110)</f>
        <v>25539.09</v>
      </c>
      <c r="F111" s="171">
        <f t="shared" si="22"/>
        <v>8806.5299999999988</v>
      </c>
      <c r="G111" s="171">
        <f>SUM(G105:G110)</f>
        <v>34345.620000000003</v>
      </c>
      <c r="H111" s="172">
        <f t="shared" si="21"/>
        <v>1.4069060747329856E-2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'[2]Sch C'!D115</f>
        <v>27814</v>
      </c>
      <c r="D114" s="501">
        <f>'[2]Sch C'!F115</f>
        <v>0</v>
      </c>
      <c r="E114" s="171">
        <f t="shared" ref="E114:E118" si="23">C114+D114</f>
        <v>27814</v>
      </c>
      <c r="F114" s="171">
        <v>8926.77</v>
      </c>
      <c r="G114" s="171">
        <f>E114+F114</f>
        <v>36740.770000000004</v>
      </c>
      <c r="H114" s="172">
        <f t="shared" ref="H114:H119" si="24">IF($G$208=0,0,G114/$G$208)</f>
        <v>1.5050190534737017E-2</v>
      </c>
      <c r="I114" s="473"/>
      <c r="J114" s="183">
        <f>3046.75+969</f>
        <v>4015.75</v>
      </c>
      <c r="K114" s="183">
        <f>3328.05+1129</f>
        <v>4457.05</v>
      </c>
    </row>
    <row r="115" spans="1:11" s="167" customFormat="1">
      <c r="A115" s="169" t="s">
        <v>86</v>
      </c>
      <c r="B115" s="170" t="s">
        <v>151</v>
      </c>
      <c r="C115" s="501">
        <f>'[2]Sch C'!D116</f>
        <v>0</v>
      </c>
      <c r="D115" s="501">
        <f>'[2]Sch C'!F116</f>
        <v>6645.03</v>
      </c>
      <c r="E115" s="171">
        <f t="shared" si="23"/>
        <v>6645.03</v>
      </c>
      <c r="F115" s="171">
        <v>1977.38</v>
      </c>
      <c r="G115" s="171">
        <f>E115+F115</f>
        <v>8622.41</v>
      </c>
      <c r="H115" s="172">
        <f t="shared" si="24"/>
        <v>3.5320139825219172E-3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'[2]Sch C'!D117</f>
        <v>6791</v>
      </c>
      <c r="D116" s="501">
        <f>'[2]Sch C'!F117</f>
        <v>0</v>
      </c>
      <c r="E116" s="171">
        <f t="shared" si="23"/>
        <v>6791</v>
      </c>
      <c r="F116" s="171">
        <v>2143.56</v>
      </c>
      <c r="G116" s="171">
        <f>E116+F116</f>
        <v>8934.56</v>
      </c>
      <c r="H116" s="172">
        <f t="shared" si="24"/>
        <v>3.6598805725639371E-3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'[2]Sch C'!D118</f>
        <v>0</v>
      </c>
      <c r="D117" s="501">
        <f>'[2]Sch C'!F118</f>
        <v>0</v>
      </c>
      <c r="E117" s="171">
        <f t="shared" si="23"/>
        <v>0</v>
      </c>
      <c r="F117" s="171">
        <v>0</v>
      </c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'[2]Sch C'!D119</f>
        <v>0</v>
      </c>
      <c r="D118" s="501">
        <f>'[2]Sch C'!F119</f>
        <v>0</v>
      </c>
      <c r="E118" s="171">
        <f t="shared" si="23"/>
        <v>0</v>
      </c>
      <c r="F118" s="171">
        <v>0</v>
      </c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34605</v>
      </c>
      <c r="D119" s="501">
        <f>SUM(D114:D118)</f>
        <v>6645.03</v>
      </c>
      <c r="E119" s="171">
        <f t="shared" ref="E119:F119" si="25">SUM(E114:E118)</f>
        <v>41250.03</v>
      </c>
      <c r="F119" s="171">
        <f t="shared" si="25"/>
        <v>13047.710000000001</v>
      </c>
      <c r="G119" s="171">
        <f>SUM(G114:G118)</f>
        <v>54297.740000000005</v>
      </c>
      <c r="H119" s="172">
        <f t="shared" si="24"/>
        <v>2.224208508982287E-2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268" t="s">
        <v>454</v>
      </c>
      <c r="C123" s="501">
        <f>'[2]Sch C'!D124</f>
        <v>0</v>
      </c>
      <c r="D123" s="501">
        <f>'[2]Sch C'!F124</f>
        <v>0</v>
      </c>
      <c r="E123" s="171">
        <f t="shared" ref="E123:E127" si="26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268" t="s">
        <v>455</v>
      </c>
      <c r="C124" s="501">
        <f>'[2]Sch C'!D125</f>
        <v>87638</v>
      </c>
      <c r="D124" s="501">
        <f>'[2]Sch C'!F125</f>
        <v>0</v>
      </c>
      <c r="E124" s="171">
        <f t="shared" si="26"/>
        <v>87638</v>
      </c>
      <c r="F124" s="171">
        <v>31543.29</v>
      </c>
      <c r="G124" s="171">
        <f>E124+F124</f>
        <v>119181.29000000001</v>
      </c>
      <c r="H124" s="172">
        <f>IF($G$208=0,0,G124/$G$208)</f>
        <v>4.8820455387182882E-2</v>
      </c>
      <c r="I124" s="473"/>
      <c r="J124" s="183">
        <f>2862.66+1017</f>
        <v>3879.66</v>
      </c>
      <c r="K124" s="183">
        <f>3085.63+1047</f>
        <v>4132.63</v>
      </c>
    </row>
    <row r="125" spans="1:11" s="167" customFormat="1">
      <c r="A125" s="163" t="s">
        <v>198</v>
      </c>
      <c r="B125" s="268" t="s">
        <v>456</v>
      </c>
      <c r="C125" s="501">
        <f>'[2]Sch C'!D126</f>
        <v>0</v>
      </c>
      <c r="D125" s="501">
        <f>'[2]Sch C'!F126</f>
        <v>0</v>
      </c>
      <c r="E125" s="171">
        <f t="shared" si="26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268" t="s">
        <v>457</v>
      </c>
      <c r="C126" s="501">
        <f>'[2]Sch C'!D127</f>
        <v>0</v>
      </c>
      <c r="D126" s="501">
        <f>'[2]Sch C'!F127</f>
        <v>0</v>
      </c>
      <c r="E126" s="171">
        <f t="shared" si="26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268" t="s">
        <v>458</v>
      </c>
      <c r="C127" s="501">
        <f>'[2]Sch C'!D128</f>
        <v>7639</v>
      </c>
      <c r="D127" s="501">
        <f>'[2]Sch C'!F128</f>
        <v>0</v>
      </c>
      <c r="E127" s="171">
        <f t="shared" si="26"/>
        <v>7639</v>
      </c>
      <c r="F127" s="171">
        <v>2171.96</v>
      </c>
      <c r="G127" s="171">
        <f>E127+F127</f>
        <v>9810.9599999999991</v>
      </c>
      <c r="H127" s="172">
        <f>IF($G$208=0,0,G127/$G$208)</f>
        <v>4.0188819485460821E-3</v>
      </c>
      <c r="I127" s="473"/>
      <c r="J127" s="183">
        <f>588.3+159</f>
        <v>747.3</v>
      </c>
      <c r="K127" s="183">
        <f>598.3+175</f>
        <v>773.3</v>
      </c>
    </row>
    <row r="128" spans="1:11" s="167" customFormat="1" ht="15.5">
      <c r="A128" s="169" t="s">
        <v>95</v>
      </c>
      <c r="B128" s="170" t="s">
        <v>152</v>
      </c>
      <c r="C128" s="505"/>
      <c r="D128" s="505"/>
      <c r="E128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268" t="s">
        <v>454</v>
      </c>
      <c r="C129" s="501">
        <f>'[2]Sch C'!D130</f>
        <v>0</v>
      </c>
      <c r="D129" s="501">
        <f>'[2]Sch C'!F130</f>
        <v>0</v>
      </c>
      <c r="E129" s="171">
        <f t="shared" ref="E129:E133" si="27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268" t="s">
        <v>455</v>
      </c>
      <c r="C130" s="501">
        <f>'[2]Sch C'!D131</f>
        <v>0</v>
      </c>
      <c r="D130" s="501">
        <f>'[2]Sch C'!F131</f>
        <v>20937.580000000002</v>
      </c>
      <c r="E130" s="171">
        <f t="shared" si="27"/>
        <v>20937.580000000002</v>
      </c>
      <c r="F130" s="171">
        <v>6986.96</v>
      </c>
      <c r="G130" s="171">
        <f>E130+F130</f>
        <v>27924.54</v>
      </c>
      <c r="H130" s="172">
        <f>IF($G$208=0,0,G130/$G$208)</f>
        <v>1.1438781702040679E-2</v>
      </c>
      <c r="I130" s="473"/>
      <c r="J130" s="204"/>
      <c r="K130" s="204"/>
    </row>
    <row r="131" spans="1:11" s="167" customFormat="1">
      <c r="B131" s="268" t="s">
        <v>456</v>
      </c>
      <c r="C131" s="501">
        <f>'[2]Sch C'!D132</f>
        <v>0</v>
      </c>
      <c r="D131" s="501">
        <f>'[2]Sch C'!F132</f>
        <v>0</v>
      </c>
      <c r="E131" s="171">
        <f t="shared" si="27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268" t="s">
        <v>457</v>
      </c>
      <c r="C132" s="501">
        <f>'[2]Sch C'!D133</f>
        <v>0</v>
      </c>
      <c r="D132" s="501">
        <f>'[2]Sch C'!F133</f>
        <v>0</v>
      </c>
      <c r="E132" s="171">
        <f t="shared" si="27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268" t="s">
        <v>458</v>
      </c>
      <c r="C133" s="501">
        <f>'[2]Sch C'!D134</f>
        <v>0</v>
      </c>
      <c r="D133" s="501">
        <f>'[2]Sch C'!F134</f>
        <v>1825.0300000000002</v>
      </c>
      <c r="E133" s="171">
        <f t="shared" si="27"/>
        <v>1825.0300000000002</v>
      </c>
      <c r="F133" s="171">
        <v>481.11</v>
      </c>
      <c r="G133" s="171">
        <f>E133+F133</f>
        <v>2306.1400000000003</v>
      </c>
      <c r="H133" s="172">
        <f>IF($G$208=0,0,G133/$G$208)</f>
        <v>9.4466845413905109E-4</v>
      </c>
      <c r="I133" s="473"/>
      <c r="J133" s="168"/>
      <c r="K133" s="168"/>
    </row>
    <row r="134" spans="1:11" s="167" customFormat="1" ht="15.5">
      <c r="A134" s="169" t="s">
        <v>86</v>
      </c>
      <c r="B134" s="170" t="s">
        <v>64</v>
      </c>
      <c r="C134" s="196"/>
      <c r="D134" s="196"/>
      <c r="E134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268" t="s">
        <v>459</v>
      </c>
      <c r="C135" s="501">
        <f>'[2]Sch C'!D136</f>
        <v>46147</v>
      </c>
      <c r="D135" s="501">
        <f>'[2]Sch C'!F136</f>
        <v>0</v>
      </c>
      <c r="E135" s="171">
        <f t="shared" ref="E135:E138" si="28">C135+D135</f>
        <v>46147</v>
      </c>
      <c r="F135" s="171">
        <v>6663.76</v>
      </c>
      <c r="G135" s="171">
        <f>E135+F135</f>
        <v>52810.76</v>
      </c>
      <c r="H135" s="172">
        <f>IF($G$208=0,0,G135/$G$208)</f>
        <v>2.1632970683093146E-2</v>
      </c>
      <c r="I135" s="473"/>
      <c r="J135" s="183">
        <f>1820.95+260</f>
        <v>2080.9499999999998</v>
      </c>
      <c r="K135" s="183">
        <f>1959.31+268</f>
        <v>2227.31</v>
      </c>
    </row>
    <row r="136" spans="1:11" s="167" customFormat="1">
      <c r="A136" s="169"/>
      <c r="B136" s="268" t="s">
        <v>460</v>
      </c>
      <c r="C136" s="501">
        <f>'[2]Sch C'!D137</f>
        <v>136147</v>
      </c>
      <c r="D136" s="501">
        <f>'[2]Sch C'!F137</f>
        <v>0</v>
      </c>
      <c r="E136" s="171">
        <f t="shared" si="28"/>
        <v>136147</v>
      </c>
      <c r="F136" s="171">
        <v>56890.5</v>
      </c>
      <c r="G136" s="171">
        <f>E136+F136</f>
        <v>193037.5</v>
      </c>
      <c r="H136" s="172">
        <f>IF($G$208=0,0,G136/$G$208)</f>
        <v>7.9074313231576154E-2</v>
      </c>
      <c r="I136" s="473"/>
      <c r="J136" s="183">
        <f>5830.6+2355</f>
        <v>8185.6</v>
      </c>
      <c r="K136" s="183">
        <f>5997.95+2449</f>
        <v>8446.9500000000007</v>
      </c>
    </row>
    <row r="137" spans="1:11" s="167" customFormat="1">
      <c r="A137" s="169"/>
      <c r="B137" s="268" t="s">
        <v>461</v>
      </c>
      <c r="C137" s="501">
        <f>'[2]Sch C'!D138</f>
        <v>242025</v>
      </c>
      <c r="D137" s="501">
        <f>'[2]Sch C'!F138</f>
        <v>0</v>
      </c>
      <c r="E137" s="171">
        <f t="shared" si="28"/>
        <v>242025</v>
      </c>
      <c r="F137" s="171">
        <v>85494.49</v>
      </c>
      <c r="G137" s="171">
        <f>E137+F137</f>
        <v>327519.49</v>
      </c>
      <c r="H137" s="172">
        <f>IF($G$208=0,0,G137/$G$208)</f>
        <v>0.13416242306135376</v>
      </c>
      <c r="I137" s="473"/>
      <c r="J137" s="183">
        <f>22022.46+7407</f>
        <v>29429.46</v>
      </c>
      <c r="K137" s="183">
        <f>23266.56+7668</f>
        <v>30934.560000000001</v>
      </c>
    </row>
    <row r="138" spans="1:11" s="167" customFormat="1">
      <c r="A138" s="169"/>
      <c r="B138" s="268" t="s">
        <v>462</v>
      </c>
      <c r="C138" s="501">
        <f>'[2]Sch C'!D139</f>
        <v>0</v>
      </c>
      <c r="D138" s="501">
        <f>'[2]Sch C'!F139</f>
        <v>0</v>
      </c>
      <c r="E138" s="171">
        <f t="shared" si="28"/>
        <v>0</v>
      </c>
      <c r="F138" s="171">
        <v>0</v>
      </c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 ht="15.5">
      <c r="A139" s="169" t="s">
        <v>96</v>
      </c>
      <c r="B139" s="170" t="s">
        <v>153</v>
      </c>
      <c r="C139" s="196"/>
      <c r="D139" s="196"/>
      <c r="E139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268" t="s">
        <v>459</v>
      </c>
      <c r="C140" s="501">
        <f>'[2]Sch C'!D141</f>
        <v>0</v>
      </c>
      <c r="D140" s="501">
        <f>'[2]Sch C'!F141</f>
        <v>11024.98</v>
      </c>
      <c r="E140" s="171">
        <f t="shared" ref="E140:E143" si="29">C140+D140</f>
        <v>11024.98</v>
      </c>
      <c r="F140" s="171">
        <v>1476.61</v>
      </c>
      <c r="G140" s="171">
        <f>E140+F140</f>
        <v>12501.59</v>
      </c>
      <c r="H140" s="172">
        <f>IF($G$208=0,0,G140/$G$208)</f>
        <v>5.1210497626250871E-3</v>
      </c>
      <c r="I140" s="473"/>
      <c r="J140" s="168"/>
      <c r="K140" s="168"/>
    </row>
    <row r="141" spans="1:11" s="167" customFormat="1">
      <c r="A141" s="169"/>
      <c r="B141" s="268" t="s">
        <v>460</v>
      </c>
      <c r="C141" s="501">
        <f>'[2]Sch C'!D142</f>
        <v>0</v>
      </c>
      <c r="D141" s="501">
        <f>'[2]Sch C'!F142</f>
        <v>32526.85</v>
      </c>
      <c r="E141" s="171">
        <f t="shared" si="29"/>
        <v>32526.85</v>
      </c>
      <c r="F141" s="171">
        <v>12601.69</v>
      </c>
      <c r="G141" s="171">
        <f>E141+F141</f>
        <v>45128.54</v>
      </c>
      <c r="H141" s="172">
        <f>IF($G$208=0,0,G141/$G$208)</f>
        <v>1.8486088493912915E-2</v>
      </c>
      <c r="I141" s="473"/>
      <c r="J141" s="168"/>
      <c r="K141" s="168"/>
    </row>
    <row r="142" spans="1:11" s="167" customFormat="1">
      <c r="A142" s="169"/>
      <c r="B142" s="268" t="s">
        <v>461</v>
      </c>
      <c r="C142" s="501">
        <f>'[2]Sch C'!D143</f>
        <v>0</v>
      </c>
      <c r="D142" s="501">
        <f>'[2]Sch C'!F143</f>
        <v>57822.149999999994</v>
      </c>
      <c r="E142" s="171">
        <f t="shared" si="29"/>
        <v>57822.149999999994</v>
      </c>
      <c r="F142" s="171">
        <v>18937.43</v>
      </c>
      <c r="G142" s="171">
        <f>E142+F142</f>
        <v>76759.579999999987</v>
      </c>
      <c r="H142" s="172">
        <f>IF($G$208=0,0,G142/$G$208)</f>
        <v>3.1443170743737502E-2</v>
      </c>
      <c r="I142" s="473"/>
      <c r="J142" s="168"/>
      <c r="K142" s="168"/>
    </row>
    <row r="143" spans="1:11" s="167" customFormat="1">
      <c r="A143" s="169"/>
      <c r="B143" s="268" t="s">
        <v>462</v>
      </c>
      <c r="C143" s="501">
        <f>'[2]Sch C'!D144</f>
        <v>0</v>
      </c>
      <c r="D143" s="501">
        <f>'[2]Sch C'!F144</f>
        <v>0</v>
      </c>
      <c r="E143" s="171">
        <f t="shared" si="29"/>
        <v>0</v>
      </c>
      <c r="F143" s="171">
        <v>0</v>
      </c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 ht="15.5">
      <c r="A144" s="169" t="s">
        <v>87</v>
      </c>
      <c r="B144" s="170" t="s">
        <v>98</v>
      </c>
      <c r="C144" s="196"/>
      <c r="D144" s="196"/>
      <c r="E144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268" t="s">
        <v>454</v>
      </c>
      <c r="C145" s="501">
        <f>'[2]Sch C'!D146</f>
        <v>18000</v>
      </c>
      <c r="D145" s="501">
        <f>'[2]Sch C'!F146</f>
        <v>0</v>
      </c>
      <c r="E145" s="171">
        <f t="shared" ref="E145:E153" si="30">C145+D145</f>
        <v>18000</v>
      </c>
      <c r="F145" s="171">
        <v>6000</v>
      </c>
      <c r="G145" s="171">
        <f t="shared" ref="G145:G153" si="31">E145+F145</f>
        <v>24000</v>
      </c>
      <c r="H145" s="172">
        <f t="shared" ref="H145:H153" si="32">IF($G$208=0,0,G145/$G$208)</f>
        <v>9.8311650200496158E-3</v>
      </c>
      <c r="I145" s="473"/>
      <c r="J145" s="183">
        <v>0</v>
      </c>
      <c r="K145" s="183">
        <v>0</v>
      </c>
    </row>
    <row r="146" spans="1:11" s="167" customFormat="1">
      <c r="A146" s="169"/>
      <c r="B146" s="268" t="s">
        <v>455</v>
      </c>
      <c r="C146" s="501">
        <f>'[2]Sch C'!D147</f>
        <v>0</v>
      </c>
      <c r="D146" s="501">
        <f>'[2]Sch C'!F147</f>
        <v>0</v>
      </c>
      <c r="E146" s="171">
        <f t="shared" si="30"/>
        <v>0</v>
      </c>
      <c r="F146" s="171">
        <v>0</v>
      </c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268" t="s">
        <v>456</v>
      </c>
      <c r="C147" s="501">
        <f>'[2]Sch C'!D148</f>
        <v>0</v>
      </c>
      <c r="D147" s="501">
        <f>'[2]Sch C'!F148</f>
        <v>0</v>
      </c>
      <c r="E147" s="171">
        <f t="shared" si="30"/>
        <v>0</v>
      </c>
      <c r="F147" s="171">
        <v>0</v>
      </c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268" t="s">
        <v>457</v>
      </c>
      <c r="C148" s="501">
        <f>'[2]Sch C'!D149</f>
        <v>0</v>
      </c>
      <c r="D148" s="501">
        <f>'[2]Sch C'!F149</f>
        <v>0</v>
      </c>
      <c r="E148" s="171">
        <f t="shared" si="30"/>
        <v>0</v>
      </c>
      <c r="F148" s="171">
        <v>0</v>
      </c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268" t="s">
        <v>458</v>
      </c>
      <c r="C149" s="501">
        <f>'[2]Sch C'!D150</f>
        <v>3679</v>
      </c>
      <c r="D149" s="501">
        <f>'[2]Sch C'!F150</f>
        <v>0</v>
      </c>
      <c r="E149" s="171">
        <f t="shared" si="30"/>
        <v>3679</v>
      </c>
      <c r="F149" s="171">
        <v>876</v>
      </c>
      <c r="G149" s="171">
        <f t="shared" si="31"/>
        <v>4555</v>
      </c>
      <c r="H149" s="172">
        <f t="shared" si="32"/>
        <v>1.8658731944302502E-3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'[2]Sch C'!D151</f>
        <v>35906</v>
      </c>
      <c r="D150" s="501">
        <f>'[2]Sch C'!F151</f>
        <v>0</v>
      </c>
      <c r="E150" s="171">
        <f t="shared" si="30"/>
        <v>35906</v>
      </c>
      <c r="F150" s="171">
        <v>5420.05</v>
      </c>
      <c r="G150" s="171">
        <f t="shared" si="31"/>
        <v>41326.050000000003</v>
      </c>
      <c r="H150" s="172">
        <f t="shared" si="32"/>
        <v>1.692846738236756E-2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'[2]Sch C'!D152</f>
        <v>0</v>
      </c>
      <c r="D151" s="501">
        <f>'[2]Sch C'!F152</f>
        <v>0</v>
      </c>
      <c r="E151" s="171">
        <f t="shared" si="30"/>
        <v>0</v>
      </c>
      <c r="F151" s="171">
        <v>0</v>
      </c>
      <c r="G151" s="171">
        <f t="shared" si="31"/>
        <v>0</v>
      </c>
      <c r="H151" s="172">
        <f t="shared" si="32"/>
        <v>0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'[2]Sch C'!D153</f>
        <v>0</v>
      </c>
      <c r="D152" s="501">
        <f>'[2]Sch C'!F153</f>
        <v>0</v>
      </c>
      <c r="E152" s="171">
        <f t="shared" si="30"/>
        <v>0</v>
      </c>
      <c r="F152" s="171">
        <v>0</v>
      </c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'[2]Sch C'!D154</f>
        <v>0</v>
      </c>
      <c r="D153" s="501">
        <f>'[2]Sch C'!F154</f>
        <v>0</v>
      </c>
      <c r="E153" s="171">
        <f t="shared" si="30"/>
        <v>0</v>
      </c>
      <c r="F153" s="171">
        <v>0</v>
      </c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 ht="15.5">
      <c r="A154" s="169"/>
      <c r="B154" s="209" t="s">
        <v>101</v>
      </c>
      <c r="C154" s="500"/>
      <c r="D154" s="500"/>
      <c r="E154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'[2]Sch C'!D156</f>
        <v>0</v>
      </c>
      <c r="D155" s="501">
        <f>'[2]Sch C'!F156</f>
        <v>0</v>
      </c>
      <c r="E155" s="171">
        <f t="shared" ref="E155:E160" si="33">C155+D155</f>
        <v>0</v>
      </c>
      <c r="F155" s="171">
        <v>0</v>
      </c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'[2]Sch C'!D157</f>
        <v>0</v>
      </c>
      <c r="D156" s="501">
        <f>'[2]Sch C'!F157</f>
        <v>0</v>
      </c>
      <c r="E156" s="171">
        <f t="shared" si="33"/>
        <v>0</v>
      </c>
      <c r="F156" s="171">
        <v>0</v>
      </c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'[2]Sch C'!D158</f>
        <v>0</v>
      </c>
      <c r="D157" s="501">
        <f>'[2]Sch C'!F158</f>
        <v>0</v>
      </c>
      <c r="E157" s="171">
        <f t="shared" si="33"/>
        <v>0</v>
      </c>
      <c r="F157" s="171">
        <v>0</v>
      </c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'[2]Sch C'!D159</f>
        <v>0</v>
      </c>
      <c r="D158" s="501">
        <f>'[2]Sch C'!F159</f>
        <v>0</v>
      </c>
      <c r="E158" s="171">
        <f t="shared" si="33"/>
        <v>0</v>
      </c>
      <c r="F158" s="171">
        <v>0</v>
      </c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'[2]Sch C'!D160</f>
        <v>0</v>
      </c>
      <c r="D159" s="501">
        <f>'[2]Sch C'!F160</f>
        <v>0</v>
      </c>
      <c r="E159" s="171">
        <f t="shared" si="33"/>
        <v>0</v>
      </c>
      <c r="F159" s="171">
        <v>0</v>
      </c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'[2]Sch C'!D161</f>
        <v>3878</v>
      </c>
      <c r="D160" s="501">
        <f>'[2]Sch C'!F161</f>
        <v>0</v>
      </c>
      <c r="E160" s="171">
        <f t="shared" si="33"/>
        <v>3878</v>
      </c>
      <c r="F160" s="171">
        <v>462.67</v>
      </c>
      <c r="G160" s="171">
        <f t="shared" si="34"/>
        <v>4340.67</v>
      </c>
      <c r="H160" s="172">
        <f t="shared" si="35"/>
        <v>1.7780767944824488E-3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581059</v>
      </c>
      <c r="D161" s="501">
        <f>SUM(D123:D160)</f>
        <v>124136.59</v>
      </c>
      <c r="E161" s="171">
        <f t="shared" ref="E161:F161" si="36">SUM(E123:E160)</f>
        <v>705195.59</v>
      </c>
      <c r="F161" s="171">
        <f t="shared" si="36"/>
        <v>236006.52</v>
      </c>
      <c r="G161" s="171">
        <f>SUM(G123:G160)</f>
        <v>941202.1100000001</v>
      </c>
      <c r="H161" s="172">
        <f t="shared" si="35"/>
        <v>0.38554638585953716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'[2]Sch C'!D175</f>
        <v>0</v>
      </c>
      <c r="D164" s="501">
        <f>'[2]Sch C'!F175</f>
        <v>0</v>
      </c>
      <c r="E164" s="171">
        <f t="shared" ref="E164:E196" si="37">C164+D164</f>
        <v>0</v>
      </c>
      <c r="F164" s="216">
        <v>0</v>
      </c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'[2]Sch C'!D176</f>
        <v>0</v>
      </c>
      <c r="D165" s="501">
        <f>'[2]Sch C'!F176</f>
        <v>0</v>
      </c>
      <c r="E165" s="171">
        <f t="shared" si="37"/>
        <v>0</v>
      </c>
      <c r="F165" s="216">
        <v>0</v>
      </c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'[2]Sch C'!D177</f>
        <v>0</v>
      </c>
      <c r="D166" s="501">
        <f>'[2]Sch C'!F177</f>
        <v>0</v>
      </c>
      <c r="E166" s="171">
        <f t="shared" si="37"/>
        <v>0</v>
      </c>
      <c r="F166" s="216">
        <v>0</v>
      </c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'[2]Sch C'!D178</f>
        <v>0</v>
      </c>
      <c r="D167" s="501">
        <f>'[2]Sch C'!F178</f>
        <v>0</v>
      </c>
      <c r="E167" s="171">
        <f t="shared" si="37"/>
        <v>0</v>
      </c>
      <c r="F167" s="216">
        <v>0</v>
      </c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'[2]Sch C'!D179</f>
        <v>0</v>
      </c>
      <c r="D168" s="501">
        <f>'[2]Sch C'!F179</f>
        <v>0</v>
      </c>
      <c r="E168" s="171">
        <f t="shared" si="37"/>
        <v>0</v>
      </c>
      <c r="F168" s="216">
        <v>0</v>
      </c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'[2]Sch C'!D180</f>
        <v>0</v>
      </c>
      <c r="D169" s="501">
        <f>'[2]Sch C'!F180</f>
        <v>0</v>
      </c>
      <c r="E169" s="171">
        <f t="shared" si="37"/>
        <v>0</v>
      </c>
      <c r="F169" s="216">
        <v>0</v>
      </c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'[2]Sch C'!D181</f>
        <v>0</v>
      </c>
      <c r="D170" s="501">
        <f>'[2]Sch C'!F181</f>
        <v>0</v>
      </c>
      <c r="E170" s="171">
        <f t="shared" si="37"/>
        <v>0</v>
      </c>
      <c r="F170" s="216">
        <v>0</v>
      </c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'[2]Sch C'!D182</f>
        <v>0</v>
      </c>
      <c r="D171" s="501">
        <f>'[2]Sch C'!F182</f>
        <v>0</v>
      </c>
      <c r="E171" s="171">
        <f t="shared" si="37"/>
        <v>0</v>
      </c>
      <c r="F171" s="216">
        <v>0</v>
      </c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'[2]Sch C'!D183</f>
        <v>0</v>
      </c>
      <c r="D172" s="501">
        <f>'[2]Sch C'!F183</f>
        <v>0</v>
      </c>
      <c r="E172" s="171">
        <f t="shared" si="37"/>
        <v>0</v>
      </c>
      <c r="F172" s="216">
        <v>0</v>
      </c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'[2]Sch C'!D184</f>
        <v>0</v>
      </c>
      <c r="D173" s="501">
        <f>'[2]Sch C'!F184</f>
        <v>0</v>
      </c>
      <c r="E173" s="171">
        <f t="shared" si="37"/>
        <v>0</v>
      </c>
      <c r="F173" s="216">
        <v>0</v>
      </c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'[2]Sch C'!D185</f>
        <v>0</v>
      </c>
      <c r="D174" s="501">
        <f>'[2]Sch C'!F185</f>
        <v>0</v>
      </c>
      <c r="E174" s="171">
        <f t="shared" si="37"/>
        <v>0</v>
      </c>
      <c r="F174" s="216">
        <v>0</v>
      </c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'[2]Sch C'!D186</f>
        <v>0</v>
      </c>
      <c r="D175" s="501">
        <f>'[2]Sch C'!F186</f>
        <v>0</v>
      </c>
      <c r="E175" s="171">
        <f t="shared" si="37"/>
        <v>0</v>
      </c>
      <c r="F175" s="216">
        <v>0</v>
      </c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'[2]Sch C'!D187</f>
        <v>0</v>
      </c>
      <c r="D176" s="501">
        <f>'[2]Sch C'!F187</f>
        <v>0</v>
      </c>
      <c r="E176" s="171">
        <f t="shared" si="37"/>
        <v>0</v>
      </c>
      <c r="F176" s="216">
        <v>0</v>
      </c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'[2]Sch C'!D188</f>
        <v>16</v>
      </c>
      <c r="D177" s="501">
        <f>'[2]Sch C'!F188</f>
        <v>0</v>
      </c>
      <c r="E177" s="171">
        <f t="shared" si="37"/>
        <v>16</v>
      </c>
      <c r="F177" s="216">
        <v>0</v>
      </c>
      <c r="G177" s="171">
        <f t="shared" si="38"/>
        <v>16</v>
      </c>
      <c r="H177" s="172">
        <f t="shared" si="39"/>
        <v>6.5541100133664106E-6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'[2]Sch C'!D189</f>
        <v>0</v>
      </c>
      <c r="D178" s="501">
        <f>'[2]Sch C'!F189</f>
        <v>0</v>
      </c>
      <c r="E178" s="171">
        <f t="shared" si="37"/>
        <v>0</v>
      </c>
      <c r="F178" s="216">
        <v>0</v>
      </c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'[2]Sch C'!D190</f>
        <v>0</v>
      </c>
      <c r="D179" s="501">
        <f>'[2]Sch C'!F190</f>
        <v>0</v>
      </c>
      <c r="E179" s="171">
        <f t="shared" si="37"/>
        <v>0</v>
      </c>
      <c r="F179" s="216">
        <v>0</v>
      </c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'[2]Sch C'!D191</f>
        <v>171</v>
      </c>
      <c r="D180" s="501">
        <f>'[2]Sch C'!F191</f>
        <v>0</v>
      </c>
      <c r="E180" s="171">
        <f t="shared" si="37"/>
        <v>171</v>
      </c>
      <c r="F180" s="216">
        <v>0</v>
      </c>
      <c r="G180" s="171">
        <f t="shared" si="38"/>
        <v>171</v>
      </c>
      <c r="H180" s="172">
        <f t="shared" si="39"/>
        <v>7.0047050767853519E-5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'[2]Sch C'!D192</f>
        <v>0</v>
      </c>
      <c r="D181" s="501">
        <f>'[2]Sch C'!F192</f>
        <v>0</v>
      </c>
      <c r="E181" s="171">
        <f t="shared" si="37"/>
        <v>0</v>
      </c>
      <c r="F181" s="216">
        <v>0</v>
      </c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'[2]Sch C'!D193</f>
        <v>0</v>
      </c>
      <c r="D182" s="501">
        <f>'[2]Sch C'!F193</f>
        <v>0</v>
      </c>
      <c r="E182" s="171">
        <f t="shared" si="37"/>
        <v>0</v>
      </c>
      <c r="F182" s="216">
        <v>0</v>
      </c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'[2]Sch C'!D194</f>
        <v>35576</v>
      </c>
      <c r="D183" s="501">
        <f>'[2]Sch C'!F194</f>
        <v>0</v>
      </c>
      <c r="E183" s="171">
        <f t="shared" si="37"/>
        <v>35576</v>
      </c>
      <c r="F183" s="216">
        <v>14994.02</v>
      </c>
      <c r="G183" s="171">
        <f t="shared" si="38"/>
        <v>50570.020000000004</v>
      </c>
      <c r="H183" s="172">
        <f t="shared" si="39"/>
        <v>2.0715092153633732E-2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'[2]Sch C'!D195</f>
        <v>1907</v>
      </c>
      <c r="D184" s="501">
        <f>'[2]Sch C'!F195</f>
        <v>0</v>
      </c>
      <c r="E184" s="171">
        <f t="shared" si="37"/>
        <v>1907</v>
      </c>
      <c r="F184" s="216">
        <v>164.92</v>
      </c>
      <c r="G184" s="171">
        <f t="shared" si="38"/>
        <v>2071.92</v>
      </c>
      <c r="H184" s="172">
        <f t="shared" si="39"/>
        <v>8.4872447618088338E-4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'[2]Sch C'!D196</f>
        <v>0</v>
      </c>
      <c r="D185" s="501">
        <f>'[2]Sch C'!F196</f>
        <v>0</v>
      </c>
      <c r="E185" s="171">
        <f t="shared" si="37"/>
        <v>0</v>
      </c>
      <c r="F185" s="216">
        <v>0</v>
      </c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'[2]Sch C'!D197</f>
        <v>23327</v>
      </c>
      <c r="D186" s="501">
        <f>'[2]Sch C'!F197</f>
        <v>0</v>
      </c>
      <c r="E186" s="171">
        <f t="shared" si="37"/>
        <v>23327</v>
      </c>
      <c r="F186" s="216">
        <v>7648.26</v>
      </c>
      <c r="G186" s="171">
        <f t="shared" si="38"/>
        <v>30975.260000000002</v>
      </c>
      <c r="H186" s="172">
        <f t="shared" si="39"/>
        <v>1.2688453858289254E-2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'[2]Sch C'!D198</f>
        <v>3648</v>
      </c>
      <c r="D187" s="501">
        <f>'[2]Sch C'!F198</f>
        <v>0</v>
      </c>
      <c r="E187" s="171">
        <f t="shared" si="37"/>
        <v>3648</v>
      </c>
      <c r="F187" s="216">
        <v>1549.2</v>
      </c>
      <c r="G187" s="171">
        <f t="shared" si="38"/>
        <v>5197.2</v>
      </c>
      <c r="H187" s="172">
        <f t="shared" si="39"/>
        <v>2.1289387850917446E-3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'[2]Sch C'!D199</f>
        <v>0</v>
      </c>
      <c r="D188" s="501">
        <f>'[2]Sch C'!F199</f>
        <v>0</v>
      </c>
      <c r="E188" s="171">
        <f t="shared" si="37"/>
        <v>0</v>
      </c>
      <c r="F188" s="216">
        <v>0</v>
      </c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'[2]Sch C'!D200</f>
        <v>0</v>
      </c>
      <c r="D189" s="501">
        <f>'[2]Sch C'!F200</f>
        <v>0</v>
      </c>
      <c r="E189" s="171">
        <f t="shared" si="37"/>
        <v>0</v>
      </c>
      <c r="F189" s="216">
        <v>0</v>
      </c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'[2]Sch C'!D201</f>
        <v>0</v>
      </c>
      <c r="D190" s="501">
        <f>'[2]Sch C'!F201</f>
        <v>0</v>
      </c>
      <c r="E190" s="171">
        <f t="shared" si="37"/>
        <v>0</v>
      </c>
      <c r="F190" s="216">
        <v>0</v>
      </c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'[2]Sch C'!D202</f>
        <v>0</v>
      </c>
      <c r="D191" s="501">
        <f>'[2]Sch C'!F202</f>
        <v>0</v>
      </c>
      <c r="E191" s="171">
        <f t="shared" si="37"/>
        <v>0</v>
      </c>
      <c r="F191" s="216">
        <v>0</v>
      </c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'[2]Sch C'!D203</f>
        <v>0</v>
      </c>
      <c r="D192" s="501">
        <f>'[2]Sch C'!F203</f>
        <v>0</v>
      </c>
      <c r="E192" s="171">
        <f t="shared" si="37"/>
        <v>0</v>
      </c>
      <c r="F192" s="216">
        <v>0</v>
      </c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'[2]Sch C'!D204</f>
        <v>0</v>
      </c>
      <c r="D193" s="501">
        <f>'[2]Sch C'!F204</f>
        <v>0</v>
      </c>
      <c r="E193" s="171">
        <f t="shared" si="37"/>
        <v>0</v>
      </c>
      <c r="F193" s="216">
        <v>0</v>
      </c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'[2]Sch C'!D205</f>
        <v>21972</v>
      </c>
      <c r="D194" s="501">
        <f>'[2]Sch C'!F205</f>
        <v>0</v>
      </c>
      <c r="E194" s="171">
        <f t="shared" si="37"/>
        <v>21972</v>
      </c>
      <c r="F194" s="216">
        <v>6065.98</v>
      </c>
      <c r="G194" s="171">
        <f t="shared" si="38"/>
        <v>28037.98</v>
      </c>
      <c r="H194" s="172">
        <f t="shared" si="39"/>
        <v>1.1485250342035448E-2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'[2]Sch C'!D206</f>
        <v>1290</v>
      </c>
      <c r="D195" s="501">
        <f>'[2]Sch C'!F206</f>
        <v>0</v>
      </c>
      <c r="E195" s="171">
        <f t="shared" si="37"/>
        <v>1290</v>
      </c>
      <c r="F195" s="216">
        <v>413.04</v>
      </c>
      <c r="G195" s="171">
        <f t="shared" si="38"/>
        <v>1703.04</v>
      </c>
      <c r="H195" s="172">
        <f t="shared" si="39"/>
        <v>6.9761946982272078E-4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'[2]Sch C'!D207</f>
        <v>0</v>
      </c>
      <c r="D196" s="501">
        <f>'[2]Sch C'!F207</f>
        <v>0</v>
      </c>
      <c r="E196" s="171">
        <f t="shared" si="37"/>
        <v>0</v>
      </c>
      <c r="F196" s="216">
        <v>0</v>
      </c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87907</v>
      </c>
      <c r="D197" s="501">
        <f>SUM(D164:D196)</f>
        <v>0</v>
      </c>
      <c r="E197" s="171">
        <f t="shared" ref="E197:F197" si="40">SUM(E164:E196)</f>
        <v>87907</v>
      </c>
      <c r="F197" s="171">
        <f t="shared" si="40"/>
        <v>30835.420000000002</v>
      </c>
      <c r="G197" s="171">
        <f>SUM(G164:G196)</f>
        <v>118742.42</v>
      </c>
      <c r="H197" s="172">
        <f>IF($G$208=0,0,G197/$G$208)</f>
        <v>4.8640680245834997E-2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'[2]Sch C'!D211</f>
        <v>41761</v>
      </c>
      <c r="D200" s="501">
        <f>'[2]Sch C'!F211</f>
        <v>0</v>
      </c>
      <c r="E200" s="171">
        <f t="shared" ref="E200:E205" si="41">C200+D200</f>
        <v>41761</v>
      </c>
      <c r="F200" s="171">
        <v>13160.3</v>
      </c>
      <c r="G200" s="171">
        <f t="shared" ref="G200:G205" si="42">E200+F200</f>
        <v>54921.3</v>
      </c>
      <c r="H200" s="172">
        <f t="shared" ref="H200:H206" si="43">IF($G$208=0,0,G200/$G$208)</f>
        <v>2.2497515142318791E-2</v>
      </c>
      <c r="I200" s="473"/>
      <c r="J200" s="183">
        <f>2860.3+844</f>
        <v>3704.3</v>
      </c>
      <c r="K200" s="183">
        <f>3075.01+925</f>
        <v>4000.01</v>
      </c>
    </row>
    <row r="201" spans="1:14" s="167" customFormat="1">
      <c r="A201" s="169" t="s">
        <v>86</v>
      </c>
      <c r="B201" s="170" t="s">
        <v>45</v>
      </c>
      <c r="C201" s="501">
        <f>'[2]Sch C'!D212</f>
        <v>0</v>
      </c>
      <c r="D201" s="501">
        <f>'[2]Sch C'!F212</f>
        <v>9977.11</v>
      </c>
      <c r="E201" s="171">
        <f t="shared" si="41"/>
        <v>9977.11</v>
      </c>
      <c r="F201" s="171">
        <v>2915.02</v>
      </c>
      <c r="G201" s="171">
        <f t="shared" si="42"/>
        <v>12892.130000000001</v>
      </c>
      <c r="H201" s="172">
        <f t="shared" si="43"/>
        <v>5.2810273954138447E-3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'[2]Sch C'!D213</f>
        <v>5382</v>
      </c>
      <c r="D202" s="501">
        <f>'[2]Sch C'!F213</f>
        <v>0</v>
      </c>
      <c r="E202" s="171">
        <f t="shared" si="41"/>
        <v>5382</v>
      </c>
      <c r="F202" s="171">
        <v>2099.5100000000002</v>
      </c>
      <c r="G202" s="171">
        <f t="shared" si="42"/>
        <v>7481.51</v>
      </c>
      <c r="H202" s="172">
        <f t="shared" si="43"/>
        <v>3.0646649753813086E-3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'[2]Sch C'!D214</f>
        <v>0</v>
      </c>
      <c r="D203" s="501">
        <f>'[2]Sch C'!F214</f>
        <v>0</v>
      </c>
      <c r="E203" s="171">
        <f t="shared" si="41"/>
        <v>0</v>
      </c>
      <c r="F203" s="171">
        <v>0</v>
      </c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'[2]Sch C'!D215</f>
        <v>0</v>
      </c>
      <c r="D204" s="501">
        <f>'[2]Sch C'!F215</f>
        <v>0</v>
      </c>
      <c r="E204" s="171">
        <f t="shared" si="41"/>
        <v>0</v>
      </c>
      <c r="F204" s="171">
        <v>0</v>
      </c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'[2]Sch C'!D216</f>
        <v>1752</v>
      </c>
      <c r="D205" s="501">
        <f>'[2]Sch C'!F216</f>
        <v>0</v>
      </c>
      <c r="E205" s="171">
        <f t="shared" si="41"/>
        <v>1752</v>
      </c>
      <c r="F205" s="171">
        <v>1134.67</v>
      </c>
      <c r="G205" s="171">
        <f t="shared" si="42"/>
        <v>2886.67</v>
      </c>
      <c r="H205" s="172">
        <f t="shared" si="43"/>
        <v>1.1824720470177761E-3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48895</v>
      </c>
      <c r="D206" s="501">
        <f>SUM(D200:D205)</f>
        <v>9977.11</v>
      </c>
      <c r="E206" s="171">
        <f t="shared" ref="E206:F206" si="44">SUM(E200:E205)</f>
        <v>58872.11</v>
      </c>
      <c r="F206" s="171">
        <f t="shared" si="44"/>
        <v>19309.5</v>
      </c>
      <c r="G206" s="171">
        <f>SUM(G200:G205)</f>
        <v>78181.61</v>
      </c>
      <c r="H206" s="172">
        <f t="shared" si="43"/>
        <v>3.202567956013172E-2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2088782</v>
      </c>
      <c r="D208" s="501">
        <f>SUM(D25:D206)/2</f>
        <v>-148833.2300000001</v>
      </c>
      <c r="E208" s="171">
        <f t="shared" ref="E208:F208" si="45">SUM(E25:E206)/2</f>
        <v>1939948.7699999996</v>
      </c>
      <c r="F208" s="171">
        <f t="shared" si="45"/>
        <v>501267.50000000012</v>
      </c>
      <c r="G208" s="171">
        <f>SUM(G25:G206)/2</f>
        <v>2441216.27</v>
      </c>
      <c r="H208" s="172">
        <f>IF($G$208=0,0,G208/$G$208)</f>
        <v>1</v>
      </c>
      <c r="I208" s="473"/>
      <c r="J208" s="183">
        <f>SUM(J25:J200)</f>
        <v>68506.73</v>
      </c>
      <c r="K208" s="183">
        <f>SUM(K25:K200)</f>
        <v>72721.539999999994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'[2]Sch C'!D221</f>
        <v>2088782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71948</v>
      </c>
      <c r="D215" s="501">
        <f>D21-D208</f>
        <v>146204.2300000001</v>
      </c>
      <c r="E215" s="171">
        <f t="shared" ref="E215:F215" si="46">E21-E208</f>
        <v>218152.23000000045</v>
      </c>
      <c r="F215" s="171">
        <f t="shared" si="46"/>
        <v>-3748.1400000001304</v>
      </c>
      <c r="G215" s="171">
        <f>G21-G208</f>
        <v>214404.08999999985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'[2]Sch D'!C9</f>
        <v>8639</v>
      </c>
      <c r="D219" s="530"/>
      <c r="E219" s="234">
        <f t="shared" ref="E219:G227" si="47">C219+D219</f>
        <v>8639</v>
      </c>
      <c r="F219" s="233">
        <v>2726</v>
      </c>
      <c r="G219" s="234">
        <f t="shared" si="47"/>
        <v>11365</v>
      </c>
      <c r="H219" s="172">
        <f t="shared" ref="H219:H228" si="48">IF($G$228=0,0,G219/$G$228)</f>
        <v>0.83800324435923901</v>
      </c>
      <c r="I219" s="473"/>
      <c r="J219" s="168"/>
      <c r="K219" s="168"/>
    </row>
    <row r="220" spans="1:11">
      <c r="A220" s="163"/>
      <c r="B220" s="170" t="s">
        <v>217</v>
      </c>
      <c r="C220" s="530">
        <f>'[2]Sch D'!D9</f>
        <v>0</v>
      </c>
      <c r="D220" s="530"/>
      <c r="E220" s="234">
        <f t="shared" ref="E220:E227" si="49">C220+D220</f>
        <v>0</v>
      </c>
      <c r="F220" s="233">
        <v>0</v>
      </c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'[2]Sch D'!E9</f>
        <v>154</v>
      </c>
      <c r="D221" s="530"/>
      <c r="E221" s="234">
        <f t="shared" si="49"/>
        <v>154</v>
      </c>
      <c r="F221" s="233">
        <v>89</v>
      </c>
      <c r="G221" s="234">
        <f t="shared" si="47"/>
        <v>243</v>
      </c>
      <c r="H221" s="172">
        <f t="shared" si="48"/>
        <v>1.7917711252027724E-2</v>
      </c>
      <c r="I221" s="473"/>
      <c r="J221" s="168"/>
      <c r="K221" s="168"/>
    </row>
    <row r="222" spans="1:11">
      <c r="A222" s="163"/>
      <c r="B222" s="202" t="s">
        <v>334</v>
      </c>
      <c r="C222" s="530">
        <f>'[2]Sch D'!F9</f>
        <v>338</v>
      </c>
      <c r="D222" s="530"/>
      <c r="E222" s="234">
        <f>C222+D222</f>
        <v>338</v>
      </c>
      <c r="F222" s="233">
        <v>37</v>
      </c>
      <c r="G222" s="234">
        <f>E222+F222</f>
        <v>375</v>
      </c>
      <c r="H222" s="172">
        <f t="shared" si="48"/>
        <v>2.7650788969178587E-2</v>
      </c>
      <c r="I222" s="473"/>
      <c r="J222" s="168"/>
      <c r="K222" s="168"/>
    </row>
    <row r="223" spans="1:11">
      <c r="A223" s="163"/>
      <c r="B223" s="170" t="s">
        <v>73</v>
      </c>
      <c r="C223" s="530">
        <f>'[2]Sch D'!G9</f>
        <v>0</v>
      </c>
      <c r="D223" s="530"/>
      <c r="E223" s="234">
        <f t="shared" si="49"/>
        <v>0</v>
      </c>
      <c r="F223" s="233">
        <v>0</v>
      </c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'[2]Sch D'!H9</f>
        <v>772</v>
      </c>
      <c r="D224" s="530"/>
      <c r="E224" s="234">
        <f t="shared" si="49"/>
        <v>772</v>
      </c>
      <c r="F224" s="233">
        <v>428</v>
      </c>
      <c r="G224" s="234">
        <f t="shared" si="47"/>
        <v>1200</v>
      </c>
      <c r="H224" s="172">
        <f t="shared" si="48"/>
        <v>8.8482524701371482E-2</v>
      </c>
      <c r="I224" s="473"/>
      <c r="J224" s="168"/>
      <c r="K224" s="168"/>
    </row>
    <row r="225" spans="1:11">
      <c r="A225" s="163"/>
      <c r="B225" s="170" t="s">
        <v>236</v>
      </c>
      <c r="C225" s="530">
        <f>'[2]Sch D'!I9</f>
        <v>163</v>
      </c>
      <c r="D225" s="530"/>
      <c r="E225" s="234">
        <f t="shared" si="49"/>
        <v>163</v>
      </c>
      <c r="F225" s="233">
        <v>216</v>
      </c>
      <c r="G225" s="234">
        <f t="shared" si="47"/>
        <v>379</v>
      </c>
      <c r="H225" s="172">
        <f t="shared" si="48"/>
        <v>2.7945730718183157E-2</v>
      </c>
      <c r="I225" s="473"/>
      <c r="J225" s="168"/>
      <c r="K225" s="168"/>
    </row>
    <row r="226" spans="1:11">
      <c r="A226" s="163"/>
      <c r="B226" s="170" t="s">
        <v>235</v>
      </c>
      <c r="C226" s="530">
        <f>'[2]Sch D'!J9</f>
        <v>0</v>
      </c>
      <c r="D226" s="530"/>
      <c r="E226" s="234">
        <f>C226+D226</f>
        <v>0</v>
      </c>
      <c r="F226" s="233">
        <v>0</v>
      </c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'[2]Sch D'!K9</f>
        <v>0</v>
      </c>
      <c r="D227" s="530"/>
      <c r="E227" s="234">
        <f t="shared" si="49"/>
        <v>0</v>
      </c>
      <c r="F227" s="233">
        <v>0</v>
      </c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10066</v>
      </c>
      <c r="D228" s="530">
        <f>SUM(D219:D227)</f>
        <v>0</v>
      </c>
      <c r="E228" s="236">
        <f>SUM(E219:E227)</f>
        <v>10066</v>
      </c>
      <c r="F228" s="236">
        <f>SUM(F219:F227)</f>
        <v>3496</v>
      </c>
      <c r="G228" s="236">
        <f>SUM(G219:G227)</f>
        <v>13562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'[2]Sch D'!N22</f>
        <v>52</v>
      </c>
      <c r="D231" s="502"/>
      <c r="E231" s="234">
        <f>C231+D231</f>
        <v>52</v>
      </c>
      <c r="F231" s="234"/>
      <c r="G231" s="234">
        <f>E231+F231</f>
        <v>52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'[2]Sch D'!N24</f>
        <v>52</v>
      </c>
      <c r="D232" s="502"/>
      <c r="E232" s="234">
        <f>C232+D232</f>
        <v>52</v>
      </c>
      <c r="F232" s="234"/>
      <c r="G232" s="234">
        <f>E232+F232</f>
        <v>52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274</v>
      </c>
      <c r="D233" s="438"/>
      <c r="E233" s="234">
        <f>C233+D233</f>
        <v>274</v>
      </c>
      <c r="F233" s="540">
        <v>91</v>
      </c>
      <c r="G233" s="234">
        <f>E233+F233</f>
        <v>365</v>
      </c>
      <c r="H233" s="457" t="s">
        <v>600</v>
      </c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'[2]Sch D'!N28</f>
        <v>14248</v>
      </c>
      <c r="D235" s="438"/>
      <c r="E235" s="233">
        <f>E231*E233</f>
        <v>14248</v>
      </c>
      <c r="F235" s="238"/>
      <c r="G235" s="233">
        <f>G231*G233</f>
        <v>18980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'[2]Sch D'!N30</f>
        <v>0.7064851207186974</v>
      </c>
      <c r="D236" s="238"/>
      <c r="E236" s="242">
        <f>IFERROR(E228/E235,"0")</f>
        <v>0.7064851207186974</v>
      </c>
      <c r="F236" s="243"/>
      <c r="G236" s="242">
        <f>IFERROR(G228/G235,"0")</f>
        <v>0.7145416227608008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'[2]Sch D'!N32</f>
        <v>0.60633071308253794</v>
      </c>
      <c r="D237" s="238"/>
      <c r="E237" s="242">
        <f>IFERROR((E219+E220)/E235,"0")</f>
        <v>0.60633071308253794</v>
      </c>
      <c r="F237" s="243"/>
      <c r="G237" s="242">
        <f>IFERROR((G219+G220)/G235,"0")</f>
        <v>0.59878819810326656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'[2]Sch D'!N34</f>
        <v>0.85823564474468506</v>
      </c>
      <c r="D238" s="238"/>
      <c r="E238" s="242">
        <f>IFERROR((E237/E236),"0")</f>
        <v>0.85823564474468506</v>
      </c>
      <c r="F238" s="243"/>
      <c r="G238" s="242">
        <f>IFERROR((G237/G236),"0")</f>
        <v>0.83800324435923901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v>196.59786476868328</v>
      </c>
      <c r="I241" s="475"/>
    </row>
    <row r="242" spans="2:9">
      <c r="F242" s="142" t="s">
        <v>341</v>
      </c>
      <c r="G242" s="501">
        <v>185.27093596059115</v>
      </c>
      <c r="I242" s="475"/>
    </row>
    <row r="243" spans="2:9">
      <c r="F243" s="142" t="s">
        <v>342</v>
      </c>
      <c r="G243" s="501">
        <v>192.27083333333334</v>
      </c>
      <c r="I243" s="475"/>
    </row>
    <row r="244" spans="2:9">
      <c r="F244" s="142" t="s">
        <v>343</v>
      </c>
      <c r="G244" s="501">
        <v>182.94158878504672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headerFooter alignWithMargins="0"/>
    </customSheetView>
    <customSheetView guid="{00D6F160-3E2B-11D5-8BE5-C1A1C12816BD}" showPageBreaks="1" showGridLines="0" showRuler="0">
      <selection activeCell="F14" sqref="F14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" bottom="1" header="0.5" footer="0.5"/>
  <pageSetup scale="49" fitToHeight="4" orientation="landscape" horizontalDpi="300" verticalDpi="300" r:id="rId2"/>
  <headerFooter alignWithMargins="0"/>
  <ignoredErrors>
    <ignoredError sqref="F58 F66 F20 F86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E28CAB"/>
  </sheetPr>
  <dimension ref="A1:O247"/>
  <sheetViews>
    <sheetView showGridLines="0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475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74"/>
    </row>
    <row r="2" spans="1:11" ht="23">
      <c r="B2" s="143" t="s">
        <v>189</v>
      </c>
      <c r="C2" s="244" t="s">
        <v>362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476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 t="s">
        <v>706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'[18]Sch B'!E10</f>
        <v>1342660.81</v>
      </c>
      <c r="D11" s="501">
        <f>'[18]Sch B'!G10</f>
        <v>0</v>
      </c>
      <c r="E11" s="171">
        <f>C11+D11</f>
        <v>1342660.81</v>
      </c>
      <c r="F11" s="171">
        <v>329955</v>
      </c>
      <c r="G11" s="171">
        <f t="shared" ref="G11:G20" si="0">E11+F11</f>
        <v>1672615.81</v>
      </c>
      <c r="H11" s="172">
        <f t="shared" ref="H11:H21" si="1">IF($G$21=0,0,G11/$G$21)</f>
        <v>0.60376961072609281</v>
      </c>
      <c r="I11" s="473" t="s">
        <v>697</v>
      </c>
      <c r="J11" s="336" t="s">
        <v>344</v>
      </c>
      <c r="K11" s="337">
        <f>G21</f>
        <v>2770288.17</v>
      </c>
    </row>
    <row r="12" spans="1:11" s="167" customFormat="1">
      <c r="A12" s="169" t="s">
        <v>15</v>
      </c>
      <c r="B12" s="170" t="s">
        <v>212</v>
      </c>
      <c r="C12" s="501">
        <f>'[18]Sch B'!E15</f>
        <v>0</v>
      </c>
      <c r="D12" s="501">
        <f>'[18]Sch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2157405.5500000003</v>
      </c>
    </row>
    <row r="13" spans="1:11" s="167" customFormat="1">
      <c r="A13" s="169" t="s">
        <v>16</v>
      </c>
      <c r="B13" s="170" t="s">
        <v>170</v>
      </c>
      <c r="C13" s="501">
        <f>'[18]Sch B'!E21</f>
        <v>653094.63</v>
      </c>
      <c r="D13" s="501">
        <f>'[18]Sch B'!G21</f>
        <v>0</v>
      </c>
      <c r="E13" s="171">
        <f t="shared" si="2"/>
        <v>653094.63</v>
      </c>
      <c r="F13" s="171"/>
      <c r="G13" s="171">
        <f t="shared" si="0"/>
        <v>653094.63</v>
      </c>
      <c r="H13" s="172">
        <f t="shared" si="1"/>
        <v>0.23574970902756301</v>
      </c>
      <c r="I13" s="473"/>
      <c r="J13" s="338" t="s">
        <v>346</v>
      </c>
      <c r="K13" s="339">
        <f>G228</f>
        <v>9247</v>
      </c>
    </row>
    <row r="14" spans="1:11" s="167" customFormat="1">
      <c r="A14" s="173" t="s">
        <v>18</v>
      </c>
      <c r="B14" s="174" t="s">
        <v>306</v>
      </c>
      <c r="C14" s="501">
        <f>'[18]Sch B'!E27</f>
        <v>0</v>
      </c>
      <c r="D14" s="501">
        <f>'[18]Sch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51</v>
      </c>
    </row>
    <row r="15" spans="1:11" s="167" customFormat="1">
      <c r="A15" s="169" t="s">
        <v>19</v>
      </c>
      <c r="B15" s="170" t="s">
        <v>171</v>
      </c>
      <c r="C15" s="501">
        <f>'[18]Sch B'!E32</f>
        <v>0</v>
      </c>
      <c r="D15" s="501">
        <f>'[18]Sch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18615</v>
      </c>
    </row>
    <row r="16" spans="1:11" s="167" customFormat="1">
      <c r="A16" s="169" t="s">
        <v>21</v>
      </c>
      <c r="B16" s="170" t="s">
        <v>172</v>
      </c>
      <c r="C16" s="501">
        <f>'[18]Sch B'!E37</f>
        <v>223153.19</v>
      </c>
      <c r="D16" s="501">
        <f>'[18]Sch B'!G37</f>
        <v>0</v>
      </c>
      <c r="E16" s="171">
        <f t="shared" si="2"/>
        <v>223153.19</v>
      </c>
      <c r="F16" s="171"/>
      <c r="G16" s="171">
        <f t="shared" si="0"/>
        <v>223153.19</v>
      </c>
      <c r="H16" s="172">
        <f t="shared" si="1"/>
        <v>8.0552338351139841E-2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'[18]Sch B'!E42</f>
        <v>61266.6</v>
      </c>
      <c r="D17" s="501">
        <f>'[18]Sch B'!G42</f>
        <v>0</v>
      </c>
      <c r="E17" s="171">
        <f t="shared" si="2"/>
        <v>61266.6</v>
      </c>
      <c r="F17" s="171"/>
      <c r="G17" s="171">
        <f>E17+F17</f>
        <v>61266.6</v>
      </c>
      <c r="H17" s="172">
        <f t="shared" si="1"/>
        <v>2.2115605395665389E-2</v>
      </c>
      <c r="I17" s="473"/>
      <c r="J17" s="338" t="s">
        <v>156</v>
      </c>
      <c r="K17" s="339">
        <f>J208</f>
        <v>63817.89</v>
      </c>
    </row>
    <row r="18" spans="1:11" s="167" customFormat="1" ht="13.5" thickBot="1">
      <c r="A18" s="169" t="s">
        <v>216</v>
      </c>
      <c r="B18" s="170" t="s">
        <v>229</v>
      </c>
      <c r="C18" s="501">
        <f>'[18]Sch B'!E47</f>
        <v>0</v>
      </c>
      <c r="D18" s="501">
        <f>'[18]Sch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67446.039999999994</v>
      </c>
    </row>
    <row r="19" spans="1:11" s="167" customFormat="1">
      <c r="A19" s="169" t="s">
        <v>227</v>
      </c>
      <c r="B19" s="177" t="s">
        <v>173</v>
      </c>
      <c r="C19" s="501">
        <f>'[18]Sch B'!E52</f>
        <v>0</v>
      </c>
      <c r="D19" s="501">
        <f>'[18]Sch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'[18]Sch B'!E67</f>
        <v>160157.94</v>
      </c>
      <c r="D20" s="501">
        <f>'[18]Sch B'!G67</f>
        <v>0</v>
      </c>
      <c r="E20" s="171">
        <f t="shared" si="2"/>
        <v>160157.94</v>
      </c>
      <c r="F20" s="171"/>
      <c r="G20" s="171">
        <f t="shared" si="0"/>
        <v>160157.94</v>
      </c>
      <c r="H20" s="172">
        <f t="shared" si="1"/>
        <v>5.7812736499538962E-2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2440333.17</v>
      </c>
      <c r="D21" s="501">
        <f>SUM(D11:D20)</f>
        <v>0</v>
      </c>
      <c r="E21" s="171">
        <f>SUM(E11:E20)</f>
        <v>2440333.17</v>
      </c>
      <c r="F21" s="171">
        <f>SUM(F11:F20)</f>
        <v>329955</v>
      </c>
      <c r="G21" s="171">
        <f>SUM(G11:G20)</f>
        <v>2770288.17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</row>
    <row r="23" spans="1:11" ht="26">
      <c r="A23" s="180" t="s">
        <v>231</v>
      </c>
      <c r="B23" s="179" t="s">
        <v>222</v>
      </c>
      <c r="C23" s="151"/>
      <c r="D23" s="144" t="s">
        <v>697</v>
      </c>
      <c r="F23" s="144"/>
      <c r="G23" s="144"/>
    </row>
    <row r="24" spans="1:11">
      <c r="A24" s="181" t="s">
        <v>161</v>
      </c>
      <c r="B24" s="148" t="s">
        <v>12</v>
      </c>
    </row>
    <row r="25" spans="1:11" s="167" customFormat="1">
      <c r="A25" s="169" t="s">
        <v>83</v>
      </c>
      <c r="B25" s="170" t="s">
        <v>14</v>
      </c>
      <c r="C25" s="501">
        <f>'[18]Sch C'!D10</f>
        <v>66063.960000000006</v>
      </c>
      <c r="D25" s="501">
        <f>'[18]Sch C'!F10</f>
        <v>0</v>
      </c>
      <c r="E25" s="171">
        <f t="shared" ref="E25:E60" si="3">C25+D25</f>
        <v>66063.960000000006</v>
      </c>
      <c r="F25" s="171"/>
      <c r="G25" s="182">
        <f>E25+F25</f>
        <v>66063.960000000006</v>
      </c>
      <c r="H25" s="172">
        <f>IF($G$208=0,0,G25/$G$208)</f>
        <v>3.0621947737179037E-2</v>
      </c>
      <c r="I25" s="473"/>
      <c r="J25" s="183">
        <v>1896.08</v>
      </c>
      <c r="K25" s="183">
        <v>2080.08</v>
      </c>
    </row>
    <row r="26" spans="1:11" s="167" customFormat="1">
      <c r="A26" s="169" t="s">
        <v>84</v>
      </c>
      <c r="B26" s="170" t="s">
        <v>176</v>
      </c>
      <c r="C26" s="501">
        <f>'[18]Sch C'!D11</f>
        <v>0</v>
      </c>
      <c r="D26" s="501">
        <f>'[18]Sch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'[18]Sch C'!D12</f>
        <v>35543.75</v>
      </c>
      <c r="D27" s="501">
        <f>'[18]Sch C'!F12</f>
        <v>0</v>
      </c>
      <c r="E27" s="171">
        <f t="shared" si="3"/>
        <v>35543.75</v>
      </c>
      <c r="F27" s="171"/>
      <c r="G27" s="171">
        <f t="shared" si="4"/>
        <v>35543.75</v>
      </c>
      <c r="H27" s="172">
        <f t="shared" si="5"/>
        <v>1.6475228776527434E-2</v>
      </c>
      <c r="I27" s="473"/>
      <c r="J27" s="183">
        <v>2023.49</v>
      </c>
      <c r="K27" s="183">
        <v>2167.0500000000002</v>
      </c>
    </row>
    <row r="28" spans="1:11" s="167" customFormat="1">
      <c r="A28" s="169" t="s">
        <v>86</v>
      </c>
      <c r="B28" s="170" t="s">
        <v>45</v>
      </c>
      <c r="C28" s="501">
        <f>'[18]Sch C'!D13</f>
        <v>245887.17</v>
      </c>
      <c r="D28" s="501">
        <f>'[18]Sch C'!F13</f>
        <v>-217571.65870034092</v>
      </c>
      <c r="E28" s="171">
        <f t="shared" si="3"/>
        <v>28315.511299659091</v>
      </c>
      <c r="F28" s="171"/>
      <c r="G28" s="171">
        <f t="shared" si="4"/>
        <v>28315.511299659091</v>
      </c>
      <c r="H28" s="172">
        <f t="shared" si="5"/>
        <v>1.3124797653208543E-2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'[18]Sch C'!D14</f>
        <v>4000</v>
      </c>
      <c r="D29" s="501">
        <f>'[18]Sch C'!F14</f>
        <v>0</v>
      </c>
      <c r="E29" s="171">
        <f t="shared" si="3"/>
        <v>4000</v>
      </c>
      <c r="F29" s="171"/>
      <c r="G29" s="171">
        <f t="shared" si="4"/>
        <v>4000</v>
      </c>
      <c r="H29" s="172">
        <f t="shared" si="5"/>
        <v>1.8540788494773269E-3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'[18]Sch C'!D15</f>
        <v>38400</v>
      </c>
      <c r="D30" s="501">
        <f>'[18]Sch C'!F15</f>
        <v>-38400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'[18]Sch C'!D16</f>
        <v>0</v>
      </c>
      <c r="D31" s="501">
        <f>'[18]Sch C'!F16</f>
        <v>94348</v>
      </c>
      <c r="E31" s="171">
        <f t="shared" si="3"/>
        <v>94348</v>
      </c>
      <c r="F31" s="171"/>
      <c r="G31" s="171">
        <f t="shared" si="4"/>
        <v>94348</v>
      </c>
      <c r="H31" s="172">
        <f t="shared" si="5"/>
        <v>4.3732157822621708E-2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'[18]Sch C'!D17</f>
        <v>2054.46</v>
      </c>
      <c r="D32" s="501">
        <f>'[18]Sch C'!F17</f>
        <v>-2054</v>
      </c>
      <c r="E32" s="171">
        <f t="shared" si="3"/>
        <v>0.46000000000003638</v>
      </c>
      <c r="F32" s="171"/>
      <c r="G32" s="171">
        <f t="shared" si="4"/>
        <v>0.46000000000003638</v>
      </c>
      <c r="H32" s="172">
        <f t="shared" si="5"/>
        <v>2.1321906768990945E-7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'[18]Sch C'!D18</f>
        <v>14950.45</v>
      </c>
      <c r="D33" s="501">
        <f>'[18]Sch C'!F18</f>
        <v>0</v>
      </c>
      <c r="E33" s="171">
        <f t="shared" si="3"/>
        <v>14950.45</v>
      </c>
      <c r="F33" s="171"/>
      <c r="G33" s="171">
        <f t="shared" si="4"/>
        <v>14950.45</v>
      </c>
      <c r="H33" s="172">
        <f t="shared" si="5"/>
        <v>6.9298282837920756E-3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'[18]Sch C'!D19</f>
        <v>12283.03</v>
      </c>
      <c r="D34" s="501">
        <f>'[18]Sch C'!F19</f>
        <v>0</v>
      </c>
      <c r="E34" s="171">
        <f t="shared" si="3"/>
        <v>12283.03</v>
      </c>
      <c r="F34" s="171"/>
      <c r="G34" s="171">
        <f t="shared" si="4"/>
        <v>12283.03</v>
      </c>
      <c r="H34" s="172">
        <f t="shared" si="5"/>
        <v>5.6934265326238727E-3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'[18]Sch C'!D20</f>
        <v>6765.63</v>
      </c>
      <c r="D35" s="501">
        <f>'[18]Sch C'!F20</f>
        <v>0</v>
      </c>
      <c r="E35" s="171">
        <f t="shared" si="3"/>
        <v>6765.63</v>
      </c>
      <c r="F35" s="171"/>
      <c r="G35" s="171">
        <f t="shared" si="4"/>
        <v>6765.63</v>
      </c>
      <c r="H35" s="172">
        <f t="shared" si="5"/>
        <v>3.1360028715973218E-3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'[18]Sch C'!D21</f>
        <v>11113.9</v>
      </c>
      <c r="D36" s="501">
        <f>'[18]Sch C'!F21</f>
        <v>0</v>
      </c>
      <c r="E36" s="171">
        <f t="shared" si="3"/>
        <v>11113.9</v>
      </c>
      <c r="F36" s="171"/>
      <c r="G36" s="171">
        <f t="shared" si="4"/>
        <v>11113.9</v>
      </c>
      <c r="H36" s="172">
        <f t="shared" si="5"/>
        <v>5.1515117313015151E-3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'[18]Sch C'!D22</f>
        <v>0</v>
      </c>
      <c r="D37" s="501">
        <f>'[18]Sch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'[18]Sch C'!D23</f>
        <v>6512.51</v>
      </c>
      <c r="D38" s="501">
        <f>'[18]Sch C'!F23</f>
        <v>0</v>
      </c>
      <c r="E38" s="171">
        <f t="shared" si="3"/>
        <v>6512.51</v>
      </c>
      <c r="F38" s="171"/>
      <c r="G38" s="171">
        <f t="shared" si="4"/>
        <v>6512.51</v>
      </c>
      <c r="H38" s="172">
        <f t="shared" si="5"/>
        <v>3.0186767620023966E-3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'[18]Sch C'!D24</f>
        <v>27807.39</v>
      </c>
      <c r="D39" s="501">
        <f>'[18]Sch C'!F24</f>
        <v>0</v>
      </c>
      <c r="E39" s="171">
        <f t="shared" si="3"/>
        <v>27807.39</v>
      </c>
      <c r="F39" s="171"/>
      <c r="G39" s="171">
        <f t="shared" si="4"/>
        <v>27807.39</v>
      </c>
      <c r="H39" s="172">
        <f t="shared" si="5"/>
        <v>1.2889273414541831E-2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'[18]Sch C'!D25</f>
        <v>0</v>
      </c>
      <c r="D40" s="501">
        <f>'[18]Sch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'[18]Sch C'!D26</f>
        <v>141524.48000000001</v>
      </c>
      <c r="D41" s="501">
        <f>'[18]Sch C'!F26</f>
        <v>0</v>
      </c>
      <c r="E41" s="171">
        <f t="shared" si="3"/>
        <v>141524.48000000001</v>
      </c>
      <c r="F41" s="171"/>
      <c r="G41" s="171">
        <f t="shared" si="4"/>
        <v>141524.48000000001</v>
      </c>
      <c r="H41" s="172">
        <f t="shared" si="5"/>
        <v>6.5599386262819248E-2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'[18]Sch C'!D27</f>
        <v>1.62</v>
      </c>
      <c r="D42" s="501">
        <f>'[18]Sch C'!F27</f>
        <v>0</v>
      </c>
      <c r="E42" s="171">
        <f t="shared" si="3"/>
        <v>1.62</v>
      </c>
      <c r="F42" s="171"/>
      <c r="G42" s="171">
        <f t="shared" si="4"/>
        <v>1.62</v>
      </c>
      <c r="H42" s="172">
        <f t="shared" si="5"/>
        <v>7.5090193403831745E-7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'[18]Sch C'!D28</f>
        <v>0</v>
      </c>
      <c r="D43" s="501">
        <f>'[18]Sch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'[18]Sch C'!D29</f>
        <v>68870.179999999993</v>
      </c>
      <c r="D44" s="501">
        <f>'[18]Sch C'!F29</f>
        <v>-68870.179999999993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'[18]Sch C'!D30</f>
        <v>0</v>
      </c>
      <c r="D45" s="501">
        <f>'[18]Sch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'[18]Sch C'!D31</f>
        <v>52930.239999999998</v>
      </c>
      <c r="D46" s="501">
        <f>'[18]Sch C'!F31</f>
        <v>0</v>
      </c>
      <c r="E46" s="171">
        <f t="shared" si="3"/>
        <v>52930.239999999998</v>
      </c>
      <c r="F46" s="171"/>
      <c r="G46" s="171">
        <f t="shared" si="4"/>
        <v>52930.239999999998</v>
      </c>
      <c r="H46" s="172">
        <f t="shared" si="5"/>
        <v>2.4534209620439694E-2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'[18]Sch C'!D32</f>
        <v>34369.54</v>
      </c>
      <c r="D47" s="501">
        <f>'[18]Sch C'!F32</f>
        <v>0</v>
      </c>
      <c r="E47" s="171">
        <f t="shared" si="3"/>
        <v>34369.54</v>
      </c>
      <c r="F47" s="171"/>
      <c r="G47" s="171">
        <f t="shared" si="4"/>
        <v>34369.54</v>
      </c>
      <c r="H47" s="172">
        <f t="shared" si="5"/>
        <v>1.593095929506624E-2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'[18]Sch C'!D33</f>
        <v>0</v>
      </c>
      <c r="D48" s="501">
        <f>'[18]Sch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'[18]Sch C'!D34</f>
        <v>0</v>
      </c>
      <c r="D49" s="501">
        <f>'[18]Sch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'[18]Sch C'!D35</f>
        <v>0</v>
      </c>
      <c r="D50" s="501">
        <f>'[18]Sch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'[18]Sch C'!D36</f>
        <v>0</v>
      </c>
      <c r="D51" s="501">
        <f>'[18]Sch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'[18]Sch C'!D37</f>
        <v>0</v>
      </c>
      <c r="D52" s="501">
        <f>'[18]Sch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'[18]Sch C'!D38</f>
        <v>0</v>
      </c>
      <c r="D53" s="501">
        <f>'[18]Sch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'[18]Sch C'!D39</f>
        <v>1801.47</v>
      </c>
      <c r="D54" s="501">
        <f>'[18]Sch C'!F39</f>
        <v>0</v>
      </c>
      <c r="E54" s="171">
        <f t="shared" si="3"/>
        <v>1801.47</v>
      </c>
      <c r="F54" s="171"/>
      <c r="G54" s="171">
        <f t="shared" si="4"/>
        <v>1801.47</v>
      </c>
      <c r="H54" s="172">
        <f t="shared" si="5"/>
        <v>8.3501685624198004E-4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'[18]Sch C'!D40</f>
        <v>5099.46</v>
      </c>
      <c r="D55" s="501">
        <f>'[18]Sch C'!F40</f>
        <v>-5099.46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'[18]Sch C'!D41</f>
        <v>0</v>
      </c>
      <c r="D56" s="501">
        <f>'[18]Sch C'!F41</f>
        <v>0</v>
      </c>
      <c r="E56" s="171">
        <f t="shared" si="3"/>
        <v>0</v>
      </c>
      <c r="F56" s="171"/>
      <c r="G56" s="171">
        <f t="shared" si="4"/>
        <v>0</v>
      </c>
      <c r="H56" s="172">
        <f t="shared" si="5"/>
        <v>0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'[18]Sch C'!D42</f>
        <v>1530.11</v>
      </c>
      <c r="D57" s="501">
        <f>'[18]Sch C'!F42</f>
        <v>0</v>
      </c>
      <c r="E57" s="171">
        <f t="shared" si="3"/>
        <v>1530.11</v>
      </c>
      <c r="F57" s="171"/>
      <c r="G57" s="171">
        <f t="shared" si="4"/>
        <v>1530.11</v>
      </c>
      <c r="H57" s="172">
        <f t="shared" si="5"/>
        <v>7.0923614709343804E-4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'[18]Sch C'!D43</f>
        <v>0</v>
      </c>
      <c r="D58" s="501">
        <f>'[18]Sch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'[18]Sch C'!D44</f>
        <v>0</v>
      </c>
      <c r="D59" s="501">
        <f>'[18]Sch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'[18]Sch C'!D45</f>
        <v>85.74</v>
      </c>
      <c r="D60" s="501">
        <f>'[18]Sch C'!F45</f>
        <v>0</v>
      </c>
      <c r="E60" s="171">
        <f t="shared" si="3"/>
        <v>85.74</v>
      </c>
      <c r="F60" s="171"/>
      <c r="G60" s="171">
        <f t="shared" si="4"/>
        <v>85.74</v>
      </c>
      <c r="H60" s="172">
        <f t="shared" si="5"/>
        <v>3.9742180138546495E-5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777595.09</v>
      </c>
      <c r="D61" s="501">
        <f>SUM(D25:D60)</f>
        <v>-237647.29870034091</v>
      </c>
      <c r="E61" s="171">
        <f t="shared" ref="E61:F61" si="6">SUM(E25:E60)</f>
        <v>539947.79129965918</v>
      </c>
      <c r="F61" s="171">
        <f t="shared" si="6"/>
        <v>0</v>
      </c>
      <c r="G61" s="171">
        <f>SUM(G25:G60)</f>
        <v>539947.79129965918</v>
      </c>
      <c r="H61" s="186">
        <f t="shared" si="5"/>
        <v>0.25027644491767398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'[18]Sch C'!D57</f>
        <v>42000</v>
      </c>
      <c r="D64" s="501">
        <f>'[18]Sch C'!F57</f>
        <v>-42000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'[18]Sch C'!D58</f>
        <v>112990.89</v>
      </c>
      <c r="D65" s="501">
        <f>'[18]Sch C'!F58</f>
        <v>0</v>
      </c>
      <c r="E65" s="171">
        <f t="shared" si="7"/>
        <v>112990.89</v>
      </c>
      <c r="F65" s="171"/>
      <c r="G65" s="171">
        <f t="shared" si="8"/>
        <v>112990.89</v>
      </c>
      <c r="H65" s="172">
        <f t="shared" si="9"/>
        <v>5.2373504833154796E-2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'[18]Sch C'!D59</f>
        <v>0</v>
      </c>
      <c r="D66" s="501">
        <f>'[18]Sch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'[18]Sch C'!D60</f>
        <v>0</v>
      </c>
      <c r="D67" s="501">
        <f>'[18]Sch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'[18]Sch C'!D61</f>
        <v>4279</v>
      </c>
      <c r="D68" s="501">
        <f>'[18]Sch C'!F61</f>
        <v>0</v>
      </c>
      <c r="E68" s="171">
        <f t="shared" si="7"/>
        <v>4279</v>
      </c>
      <c r="F68" s="171"/>
      <c r="G68" s="171">
        <f t="shared" si="8"/>
        <v>4279</v>
      </c>
      <c r="H68" s="172">
        <f t="shared" si="9"/>
        <v>1.9834008492283705E-3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'[18]Sch C'!D62</f>
        <v>4756.28</v>
      </c>
      <c r="D69" s="501">
        <f>'[18]Sch C'!F62</f>
        <v>0</v>
      </c>
      <c r="E69" s="171">
        <f t="shared" si="7"/>
        <v>4756.28</v>
      </c>
      <c r="F69" s="171"/>
      <c r="G69" s="171">
        <f t="shared" si="8"/>
        <v>4756.28</v>
      </c>
      <c r="H69" s="172">
        <f t="shared" si="9"/>
        <v>2.2046295375480049E-3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'[18]Sch C'!D63</f>
        <v>0</v>
      </c>
      <c r="D70" s="501">
        <f>'[18]Sch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'[18]Sch C'!D64</f>
        <v>0</v>
      </c>
      <c r="D71" s="501">
        <f>'[18]Sch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'[18]Sch C'!D65</f>
        <v>2682</v>
      </c>
      <c r="D72" s="501">
        <f>'[18]Sch C'!F65</f>
        <v>0</v>
      </c>
      <c r="E72" s="171">
        <f t="shared" si="7"/>
        <v>2682</v>
      </c>
      <c r="F72" s="171"/>
      <c r="G72" s="171">
        <f t="shared" si="8"/>
        <v>2682</v>
      </c>
      <c r="H72" s="172">
        <f t="shared" si="9"/>
        <v>1.2431598685745475E-3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'[18]Sch C'!D66</f>
        <v>8651.94</v>
      </c>
      <c r="D73" s="501">
        <f>'[18]Sch C'!F66</f>
        <v>0</v>
      </c>
      <c r="E73" s="171">
        <f t="shared" si="7"/>
        <v>8651.94</v>
      </c>
      <c r="F73" s="171"/>
      <c r="G73" s="171">
        <f t="shared" si="8"/>
        <v>8651.94</v>
      </c>
      <c r="H73" s="172">
        <f t="shared" si="9"/>
        <v>4.0103447402367156E-3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'[18]Sch C'!D67</f>
        <v>10523.98</v>
      </c>
      <c r="D74" s="501">
        <f>'[18]Sch C'!F67</f>
        <v>0</v>
      </c>
      <c r="E74" s="171">
        <f t="shared" si="7"/>
        <v>10523.98</v>
      </c>
      <c r="F74" s="171"/>
      <c r="G74" s="171">
        <f t="shared" si="8"/>
        <v>10523.98</v>
      </c>
      <c r="H74" s="172">
        <f t="shared" si="9"/>
        <v>4.8780721825805989E-3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'[18]Sch C'!D68</f>
        <v>0</v>
      </c>
      <c r="D75" s="501">
        <f>'[18]Sch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'[18]Sch C'!D69</f>
        <v>0</v>
      </c>
      <c r="D76" s="501">
        <f>'[18]Sch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'[18]Sch C'!D70</f>
        <v>0</v>
      </c>
      <c r="D77" s="501">
        <f>'[18]Sch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'[18]Sch C'!D71</f>
        <v>0</v>
      </c>
      <c r="D78" s="501">
        <f>'[18]Sch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185884.09000000003</v>
      </c>
      <c r="D79" s="501">
        <f>SUM(D64:D78)</f>
        <v>-42000</v>
      </c>
      <c r="E79" s="171">
        <f t="shared" ref="E79:F79" si="10">SUM(E64:E78)</f>
        <v>143884.09</v>
      </c>
      <c r="F79" s="171">
        <f t="shared" si="10"/>
        <v>0</v>
      </c>
      <c r="G79" s="171">
        <f>SUM(G64:G78)</f>
        <v>143884.09</v>
      </c>
      <c r="H79" s="172">
        <f t="shared" si="9"/>
        <v>6.6693112011323039E-2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'[18]Sch C'!D75</f>
        <v>27159.3</v>
      </c>
      <c r="D82" s="501">
        <f>'[18]Sch C'!F75</f>
        <v>0</v>
      </c>
      <c r="E82" s="171">
        <f t="shared" ref="E82:E92" si="11">C82+D82</f>
        <v>27159.3</v>
      </c>
      <c r="F82" s="171"/>
      <c r="G82" s="171">
        <f t="shared" ref="G82:G92" si="12">E82+F82</f>
        <v>27159.3</v>
      </c>
      <c r="H82" s="172">
        <f t="shared" ref="H82:H93" si="13">IF($G$208=0,0,G82/$G$208)</f>
        <v>1.258887092415239E-2</v>
      </c>
      <c r="I82" s="473"/>
      <c r="J82" s="183">
        <v>1579.09</v>
      </c>
      <c r="K82" s="183">
        <v>1830.32</v>
      </c>
    </row>
    <row r="83" spans="1:11" s="167" customFormat="1">
      <c r="A83" s="169" t="s">
        <v>86</v>
      </c>
      <c r="B83" s="199" t="s">
        <v>45</v>
      </c>
      <c r="C83" s="501">
        <f>'[18]Sch C'!D76</f>
        <v>0</v>
      </c>
      <c r="D83" s="501">
        <f>'[18]Sch C'!F76</f>
        <v>7568.6133074038507</v>
      </c>
      <c r="E83" s="171">
        <f t="shared" si="11"/>
        <v>7568.6133074038507</v>
      </c>
      <c r="F83" s="171"/>
      <c r="G83" s="171">
        <f t="shared" si="12"/>
        <v>7568.6133074038507</v>
      </c>
      <c r="H83" s="172">
        <f t="shared" si="13"/>
        <v>3.5082014632825294E-3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'[18]Sch C'!D77</f>
        <v>1437.64</v>
      </c>
      <c r="D84" s="501">
        <f>'[18]Sch C'!F77</f>
        <v>0</v>
      </c>
      <c r="E84" s="171">
        <f t="shared" si="11"/>
        <v>1437.64</v>
      </c>
      <c r="F84" s="171"/>
      <c r="G84" s="171">
        <f t="shared" si="12"/>
        <v>1437.64</v>
      </c>
      <c r="H84" s="172">
        <f t="shared" si="13"/>
        <v>6.6637447929064608E-4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'[18]Sch C'!D78</f>
        <v>0</v>
      </c>
      <c r="D85" s="501">
        <f>'[18]Sch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'[18]Sch C'!D79</f>
        <v>9880.8700000000008</v>
      </c>
      <c r="D86" s="501">
        <f>'[18]Sch C'!F79</f>
        <v>0</v>
      </c>
      <c r="E86" s="171">
        <f t="shared" si="11"/>
        <v>9880.8700000000008</v>
      </c>
      <c r="F86" s="171"/>
      <c r="G86" s="171">
        <f>E86+F86</f>
        <v>9880.8700000000008</v>
      </c>
      <c r="H86" s="172">
        <f t="shared" si="13"/>
        <v>4.5799780203587591E-3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'[18]Sch C'!D80</f>
        <v>16641.3</v>
      </c>
      <c r="D87" s="501">
        <f>'[18]Sch C'!F80</f>
        <v>0</v>
      </c>
      <c r="E87" s="171">
        <f t="shared" si="11"/>
        <v>16641.3</v>
      </c>
      <c r="F87" s="171"/>
      <c r="G87" s="171">
        <f t="shared" si="12"/>
        <v>16641.3</v>
      </c>
      <c r="H87" s="172">
        <f t="shared" si="13"/>
        <v>7.7135705894517594E-3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'[18]Sch C'!D81</f>
        <v>13264.48</v>
      </c>
      <c r="D88" s="501">
        <f>'[18]Sch C'!F81</f>
        <v>0</v>
      </c>
      <c r="E88" s="171">
        <f t="shared" si="11"/>
        <v>13264.48</v>
      </c>
      <c r="F88" s="171"/>
      <c r="G88" s="171">
        <f t="shared" si="12"/>
        <v>13264.48</v>
      </c>
      <c r="H88" s="172">
        <f t="shared" si="13"/>
        <v>6.1483479543287525E-3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'[18]Sch C'!D82</f>
        <v>840.31</v>
      </c>
      <c r="D89" s="501">
        <f>'[18]Sch C'!F82</f>
        <v>0</v>
      </c>
      <c r="E89" s="171">
        <f t="shared" si="11"/>
        <v>840.31</v>
      </c>
      <c r="F89" s="171"/>
      <c r="G89" s="171">
        <f t="shared" si="12"/>
        <v>840.31</v>
      </c>
      <c r="H89" s="172">
        <f t="shared" si="13"/>
        <v>3.895002495010731E-4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'[18]Sch C'!D83</f>
        <v>5970.77</v>
      </c>
      <c r="D90" s="501">
        <f>'[18]Sch C'!F83</f>
        <v>0</v>
      </c>
      <c r="E90" s="171">
        <f t="shared" si="11"/>
        <v>5970.77</v>
      </c>
      <c r="F90" s="171"/>
      <c r="G90" s="171">
        <f t="shared" si="12"/>
        <v>5970.77</v>
      </c>
      <c r="H90" s="172">
        <f t="shared" si="13"/>
        <v>2.7675695930234347E-3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'[18]Sch C'!D84</f>
        <v>57092.97</v>
      </c>
      <c r="D91" s="501">
        <f>'[18]Sch C'!F84</f>
        <v>0</v>
      </c>
      <c r="E91" s="171">
        <f t="shared" si="11"/>
        <v>57092.97</v>
      </c>
      <c r="F91" s="171"/>
      <c r="G91" s="171">
        <f t="shared" si="12"/>
        <v>57092.97</v>
      </c>
      <c r="H91" s="172">
        <f t="shared" si="13"/>
        <v>2.6463717032710884E-2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'[18]Sch C'!D85</f>
        <v>0</v>
      </c>
      <c r="D92" s="501">
        <f>'[18]Sch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132287.64000000001</v>
      </c>
      <c r="D93" s="501">
        <f>SUM(D82:D92)</f>
        <v>7568.6133074038507</v>
      </c>
      <c r="E93" s="171">
        <f t="shared" ref="E93:F93" si="14">SUM(E82:E92)</f>
        <v>139856.25330740385</v>
      </c>
      <c r="F93" s="171">
        <f t="shared" si="14"/>
        <v>0</v>
      </c>
      <c r="G93" s="171">
        <f>SUM(G82:G92)</f>
        <v>139856.25330740385</v>
      </c>
      <c r="H93" s="172">
        <f t="shared" si="13"/>
        <v>6.4826130306100224E-2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'[18]Sch C'!D89</f>
        <v>97434.59</v>
      </c>
      <c r="D96" s="501">
        <f>'[18]Sch C'!F89</f>
        <v>0</v>
      </c>
      <c r="E96" s="171">
        <f t="shared" ref="E96:E101" si="15">C96+D96</f>
        <v>97434.59</v>
      </c>
      <c r="F96" s="171"/>
      <c r="G96" s="171">
        <f t="shared" ref="G96:G101" si="16">E96+F96</f>
        <v>97434.59</v>
      </c>
      <c r="H96" s="172">
        <f t="shared" ref="H96:H102" si="17">IF($G$208=0,0,G96/$G$208)</f>
        <v>4.5162853131623763E-2</v>
      </c>
      <c r="I96" s="473"/>
      <c r="J96" s="183">
        <v>10230.620000000001</v>
      </c>
      <c r="K96" s="183">
        <v>10731.21</v>
      </c>
    </row>
    <row r="97" spans="1:11" s="167" customFormat="1">
      <c r="A97" s="169" t="s">
        <v>86</v>
      </c>
      <c r="B97" s="170" t="s">
        <v>45</v>
      </c>
      <c r="C97" s="501">
        <f>'[18]Sch C'!D90</f>
        <v>0</v>
      </c>
      <c r="D97" s="501">
        <f>'[18]Sch C'!F90</f>
        <v>27152.567793552786</v>
      </c>
      <c r="E97" s="171">
        <f t="shared" si="15"/>
        <v>27152.567793552786</v>
      </c>
      <c r="F97" s="171"/>
      <c r="G97" s="171">
        <f t="shared" si="16"/>
        <v>27152.567793552786</v>
      </c>
      <c r="H97" s="172">
        <f t="shared" si="17"/>
        <v>1.2585750413756367E-2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'[18]Sch C'!D91</f>
        <v>7684.66</v>
      </c>
      <c r="D98" s="501">
        <f>'[18]Sch C'!F91</f>
        <v>0</v>
      </c>
      <c r="E98" s="171">
        <f t="shared" si="15"/>
        <v>7684.66</v>
      </c>
      <c r="F98" s="171"/>
      <c r="G98" s="171">
        <f t="shared" si="16"/>
        <v>7684.66</v>
      </c>
      <c r="H98" s="172">
        <f t="shared" si="17"/>
        <v>3.5619913928561084E-3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'[18]Sch C'!D92</f>
        <v>69875.25</v>
      </c>
      <c r="D99" s="501">
        <f>'[18]Sch C'!F92</f>
        <v>0</v>
      </c>
      <c r="E99" s="171">
        <f t="shared" si="15"/>
        <v>69875.25</v>
      </c>
      <c r="F99" s="171"/>
      <c r="G99" s="171">
        <f t="shared" si="16"/>
        <v>69875.25</v>
      </c>
      <c r="H99" s="172">
        <f t="shared" si="17"/>
        <v>3.2388555781735148E-2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'[18]Sch C'!D93</f>
        <v>10703.48</v>
      </c>
      <c r="D100" s="501">
        <f>'[18]Sch C'!F93</f>
        <v>0</v>
      </c>
      <c r="E100" s="171">
        <f t="shared" si="15"/>
        <v>10703.48</v>
      </c>
      <c r="F100" s="171"/>
      <c r="G100" s="171">
        <f t="shared" si="16"/>
        <v>10703.48</v>
      </c>
      <c r="H100" s="172">
        <f t="shared" si="17"/>
        <v>4.9612739709508939E-3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'[18]Sch C'!D94</f>
        <v>0</v>
      </c>
      <c r="D101" s="501">
        <f>'[18]Sch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185697.98</v>
      </c>
      <c r="D102" s="501">
        <f>SUM(D96:D101)</f>
        <v>27152.567793552786</v>
      </c>
      <c r="E102" s="171">
        <f t="shared" ref="E102:F102" si="18">SUM(E96:E101)</f>
        <v>212850.5477935528</v>
      </c>
      <c r="F102" s="171">
        <f t="shared" si="18"/>
        <v>0</v>
      </c>
      <c r="G102" s="171">
        <f>SUM(G96:G101)</f>
        <v>212850.5477935528</v>
      </c>
      <c r="H102" s="172">
        <f t="shared" si="17"/>
        <v>9.8660424690922288E-2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'[18]Sch C'!D98</f>
        <v>22186.31</v>
      </c>
      <c r="D105" s="501">
        <f>'[18]Sch C'!F98</f>
        <v>0</v>
      </c>
      <c r="E105" s="171">
        <f t="shared" ref="E105:E110" si="19">C105+D105</f>
        <v>22186.31</v>
      </c>
      <c r="F105" s="171"/>
      <c r="G105" s="171">
        <f t="shared" ref="G105:G110" si="20">E105+F105</f>
        <v>22186.31</v>
      </c>
      <c r="H105" s="172">
        <f t="shared" ref="H105:H111" si="21">IF($G$208=0,0,G105/$G$208)</f>
        <v>1.0283792029736828E-2</v>
      </c>
      <c r="I105" s="473"/>
      <c r="J105" s="183">
        <v>2289.09</v>
      </c>
      <c r="K105" s="183">
        <v>2427.5</v>
      </c>
    </row>
    <row r="106" spans="1:11" s="167" customFormat="1">
      <c r="A106" s="169" t="s">
        <v>86</v>
      </c>
      <c r="B106" s="170" t="s">
        <v>45</v>
      </c>
      <c r="C106" s="501">
        <f>'[18]Sch C'!D99</f>
        <v>0</v>
      </c>
      <c r="D106" s="501">
        <f>'[18]Sch C'!F99</f>
        <v>6182.766165114238</v>
      </c>
      <c r="E106" s="171">
        <f t="shared" si="19"/>
        <v>6182.766165114238</v>
      </c>
      <c r="F106" s="171"/>
      <c r="G106" s="171">
        <f t="shared" si="20"/>
        <v>6182.766165114238</v>
      </c>
      <c r="H106" s="172">
        <f t="shared" si="21"/>
        <v>2.8658339945005877E-3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'[18]Sch C'!D100</f>
        <v>3046.53</v>
      </c>
      <c r="D107" s="501">
        <f>'[18]Sch C'!F100</f>
        <v>0</v>
      </c>
      <c r="E107" s="171">
        <f t="shared" si="19"/>
        <v>3046.53</v>
      </c>
      <c r="F107" s="171"/>
      <c r="G107" s="171">
        <f t="shared" si="20"/>
        <v>3046.53</v>
      </c>
      <c r="H107" s="172">
        <f t="shared" si="21"/>
        <v>1.4121267093245402E-3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'[18]Sch C'!D101</f>
        <v>0</v>
      </c>
      <c r="D108" s="501">
        <f>'[18]Sch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'[18]Sch C'!D102</f>
        <v>640.76</v>
      </c>
      <c r="D109" s="501">
        <f>'[18]Sch C'!F102</f>
        <v>0</v>
      </c>
      <c r="E109" s="171">
        <f t="shared" si="19"/>
        <v>640.76</v>
      </c>
      <c r="F109" s="171"/>
      <c r="G109" s="171">
        <f t="shared" si="20"/>
        <v>640.76</v>
      </c>
      <c r="H109" s="172">
        <f t="shared" si="21"/>
        <v>2.97004890897773E-4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'[18]Sch C'!D103</f>
        <v>0</v>
      </c>
      <c r="D110" s="501">
        <f>'[18]Sch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25873.599999999999</v>
      </c>
      <c r="D111" s="501">
        <f>SUM(D105:D110)</f>
        <v>6182.766165114238</v>
      </c>
      <c r="E111" s="171">
        <f t="shared" ref="E111:F111" si="22">SUM(E105:E110)</f>
        <v>32056.366165114236</v>
      </c>
      <c r="F111" s="171">
        <f t="shared" si="22"/>
        <v>0</v>
      </c>
      <c r="G111" s="171">
        <f>SUM(G105:G110)</f>
        <v>32056.366165114236</v>
      </c>
      <c r="H111" s="172">
        <f t="shared" si="21"/>
        <v>1.4858757624459727E-2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'[18]Sch C'!D115</f>
        <v>26197.7</v>
      </c>
      <c r="D114" s="501">
        <f>'[18]Sch C'!F115</f>
        <v>0</v>
      </c>
      <c r="E114" s="171">
        <f t="shared" ref="E114:E118" si="23">C114+D114</f>
        <v>26197.7</v>
      </c>
      <c r="F114" s="171"/>
      <c r="G114" s="171">
        <f>E114+F114</f>
        <v>26197.7</v>
      </c>
      <c r="H114" s="172">
        <f t="shared" ref="H114:H119" si="24">IF($G$208=0,0,G114/$G$208)</f>
        <v>1.2143150368738042E-2</v>
      </c>
      <c r="I114" s="473"/>
      <c r="J114" s="183">
        <v>2818.71</v>
      </c>
      <c r="K114" s="183">
        <v>2986.74</v>
      </c>
    </row>
    <row r="115" spans="1:11" s="167" customFormat="1">
      <c r="A115" s="169" t="s">
        <v>86</v>
      </c>
      <c r="B115" s="170" t="s">
        <v>151</v>
      </c>
      <c r="C115" s="501">
        <f>'[18]Sch C'!D116</f>
        <v>0</v>
      </c>
      <c r="D115" s="501">
        <f>'[18]Sch C'!F116</f>
        <v>7300.6395909826051</v>
      </c>
      <c r="E115" s="171">
        <f t="shared" si="23"/>
        <v>7300.6395909826051</v>
      </c>
      <c r="F115" s="171"/>
      <c r="G115" s="171">
        <f>E115+F115</f>
        <v>7300.6395909826051</v>
      </c>
      <c r="H115" s="172">
        <f t="shared" si="24"/>
        <v>3.3839903633244126E-3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'[18]Sch C'!D117</f>
        <v>6094.49</v>
      </c>
      <c r="D116" s="501">
        <f>'[18]Sch C'!F117</f>
        <v>0</v>
      </c>
      <c r="E116" s="171">
        <f t="shared" si="23"/>
        <v>6094.49</v>
      </c>
      <c r="F116" s="171"/>
      <c r="G116" s="171">
        <f>E116+F116</f>
        <v>6094.49</v>
      </c>
      <c r="H116" s="172">
        <f t="shared" si="24"/>
        <v>2.8249162518377683E-3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'[18]Sch C'!D118</f>
        <v>0</v>
      </c>
      <c r="D117" s="501">
        <f>'[18]Sch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'[18]Sch C'!D119</f>
        <v>0</v>
      </c>
      <c r="D118" s="501">
        <f>'[18]Sch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32292.190000000002</v>
      </c>
      <c r="D119" s="501">
        <f>SUM(D114:D118)</f>
        <v>7300.6395909826051</v>
      </c>
      <c r="E119" s="171">
        <f t="shared" ref="E119:F119" si="25">SUM(E114:E118)</f>
        <v>39592.829590982605</v>
      </c>
      <c r="F119" s="171">
        <f t="shared" si="25"/>
        <v>0</v>
      </c>
      <c r="G119" s="171">
        <f>SUM(G114:G118)</f>
        <v>39592.829590982605</v>
      </c>
      <c r="H119" s="172">
        <f t="shared" si="24"/>
        <v>1.8352056983900224E-2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'[18]Sch C'!D124</f>
        <v>0</v>
      </c>
      <c r="D123" s="501">
        <f>'[18]Sch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'[18]Sch C'!D125</f>
        <v>60371.1</v>
      </c>
      <c r="D124" s="501">
        <f>'[18]Sch C'!F125</f>
        <v>0</v>
      </c>
      <c r="E124" s="171">
        <f t="shared" si="26"/>
        <v>60371.1</v>
      </c>
      <c r="F124" s="171"/>
      <c r="G124" s="171">
        <f>E124+F124</f>
        <v>60371.1</v>
      </c>
      <c r="H124" s="172">
        <f>IF($G$208=0,0,G124/$G$208)</f>
        <v>2.7983194907420159E-2</v>
      </c>
      <c r="I124" s="473"/>
      <c r="J124" s="183">
        <v>2012.05</v>
      </c>
      <c r="K124" s="183">
        <v>2085.7399999999998</v>
      </c>
    </row>
    <row r="125" spans="1:11" s="167" customFormat="1">
      <c r="A125" s="163" t="s">
        <v>198</v>
      </c>
      <c r="B125" s="163" t="s">
        <v>195</v>
      </c>
      <c r="C125" s="501">
        <f>'[18]Sch C'!D126</f>
        <v>0</v>
      </c>
      <c r="D125" s="501">
        <f>'[18]Sch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'[18]Sch C'!D127</f>
        <v>0</v>
      </c>
      <c r="D126" s="501">
        <f>'[18]Sch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'[18]Sch C'!D128</f>
        <v>17475.27</v>
      </c>
      <c r="D127" s="501">
        <f>'[18]Sch C'!F128</f>
        <v>0</v>
      </c>
      <c r="E127" s="171">
        <f t="shared" si="26"/>
        <v>17475.27</v>
      </c>
      <c r="F127" s="171"/>
      <c r="G127" s="171">
        <f>E127+F127</f>
        <v>17475.27</v>
      </c>
      <c r="H127" s="172">
        <f>IF($G$208=0,0,G127/$G$208)</f>
        <v>8.1001321239764119E-3</v>
      </c>
      <c r="I127" s="473"/>
      <c r="J127" s="183">
        <v>1574.33</v>
      </c>
      <c r="K127" s="183">
        <v>1668.6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'[18]Sch C'!D130</f>
        <v>0</v>
      </c>
      <c r="D129" s="501">
        <f>'[18]Sch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'[18]Sch C'!D131</f>
        <v>0</v>
      </c>
      <c r="D130" s="501">
        <f>'[18]Sch C'!F131</f>
        <v>16823.906022710773</v>
      </c>
      <c r="E130" s="171">
        <f t="shared" si="27"/>
        <v>16823.906022710773</v>
      </c>
      <c r="F130" s="171"/>
      <c r="G130" s="171">
        <f>E130+F130</f>
        <v>16823.906022710773</v>
      </c>
      <c r="H130" s="172">
        <f>IF($G$208=0,0,G130/$G$208)</f>
        <v>7.798212080575565E-3</v>
      </c>
      <c r="I130" s="473"/>
      <c r="J130" s="204"/>
      <c r="K130" s="204"/>
    </row>
    <row r="131" spans="1:11" s="167" customFormat="1">
      <c r="B131" s="163" t="s">
        <v>195</v>
      </c>
      <c r="C131" s="501">
        <f>'[18]Sch C'!D132</f>
        <v>0</v>
      </c>
      <c r="D131" s="501">
        <f>'[18]Sch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'[18]Sch C'!D133</f>
        <v>0</v>
      </c>
      <c r="D132" s="501">
        <f>'[18]Sch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2"/>
      <c r="J132" s="168"/>
      <c r="K132" s="168"/>
    </row>
    <row r="133" spans="1:11" s="167" customFormat="1">
      <c r="B133" s="163" t="s">
        <v>197</v>
      </c>
      <c r="C133" s="501">
        <f>'[18]Sch C'!D134</f>
        <v>0</v>
      </c>
      <c r="D133" s="501">
        <f>'[18]Sch C'!F134</f>
        <v>4869.9178945140457</v>
      </c>
      <c r="E133" s="171">
        <f t="shared" si="27"/>
        <v>4869.9178945140457</v>
      </c>
      <c r="F133" s="171"/>
      <c r="G133" s="171">
        <f>E133+F133</f>
        <v>4869.9178945140457</v>
      </c>
      <c r="H133" s="172">
        <f>IF($G$208=0,0,G133/$G$208)</f>
        <v>2.2573029417274119E-3</v>
      </c>
      <c r="I133" s="472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'[18]Sch C'!D136</f>
        <v>81358.92</v>
      </c>
      <c r="D135" s="501">
        <f>'[18]Sch C'!F136</f>
        <v>0</v>
      </c>
      <c r="E135" s="171">
        <f t="shared" ref="E135:E138" si="28">C135+D135</f>
        <v>81358.92</v>
      </c>
      <c r="F135" s="171"/>
      <c r="G135" s="171">
        <f>E135+F135</f>
        <v>81358.92</v>
      </c>
      <c r="H135" s="172">
        <f>IF($G$208=0,0,G135/$G$208)</f>
        <v>3.7711463197079464E-2</v>
      </c>
      <c r="I135" s="473"/>
      <c r="J135" s="183">
        <v>3411.14</v>
      </c>
      <c r="K135" s="183">
        <v>3454.13</v>
      </c>
    </row>
    <row r="136" spans="1:11" s="167" customFormat="1">
      <c r="A136" s="169"/>
      <c r="B136" s="163" t="s">
        <v>195</v>
      </c>
      <c r="C136" s="501">
        <f>'[18]Sch C'!D137</f>
        <v>138701.38</v>
      </c>
      <c r="D136" s="501">
        <f>'[18]Sch C'!F137</f>
        <v>0</v>
      </c>
      <c r="E136" s="171">
        <f t="shared" si="28"/>
        <v>138701.38</v>
      </c>
      <c r="F136" s="171"/>
      <c r="G136" s="171">
        <f>E136+F136</f>
        <v>138701.38</v>
      </c>
      <c r="H136" s="172">
        <f>IF($G$208=0,0,G136/$G$208)</f>
        <v>6.429082376282938E-2</v>
      </c>
      <c r="I136" s="473"/>
      <c r="J136" s="183">
        <v>6481.96</v>
      </c>
      <c r="K136" s="183">
        <v>7035</v>
      </c>
    </row>
    <row r="137" spans="1:11" s="167" customFormat="1">
      <c r="A137" s="169"/>
      <c r="B137" s="163" t="s">
        <v>196</v>
      </c>
      <c r="C137" s="501">
        <f>'[18]Sch C'!D138</f>
        <v>276085.28000000003</v>
      </c>
      <c r="D137" s="501">
        <f>'[18]Sch C'!F138</f>
        <v>0</v>
      </c>
      <c r="E137" s="171">
        <f t="shared" si="28"/>
        <v>276085.28000000003</v>
      </c>
      <c r="F137" s="171"/>
      <c r="G137" s="171">
        <f>E137+F137</f>
        <v>276085.28000000003</v>
      </c>
      <c r="H137" s="172">
        <f>IF($G$208=0,0,G137/$G$208)</f>
        <v>0.12797096957500642</v>
      </c>
      <c r="I137" s="473"/>
      <c r="J137" s="183">
        <v>26499.8</v>
      </c>
      <c r="K137" s="183">
        <v>27826.32</v>
      </c>
    </row>
    <row r="138" spans="1:11" s="167" customFormat="1">
      <c r="A138" s="169"/>
      <c r="B138" s="163" t="s">
        <v>197</v>
      </c>
      <c r="C138" s="501">
        <f>'[18]Sch C'!D139</f>
        <v>0</v>
      </c>
      <c r="D138" s="501">
        <f>'[18]Sch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'[18]Sch C'!D141</f>
        <v>0</v>
      </c>
      <c r="D140" s="501">
        <f>'[18]Sch C'!F141</f>
        <v>22672.68319095136</v>
      </c>
      <c r="E140" s="171">
        <f t="shared" ref="E140:E143" si="29">C140+D140</f>
        <v>22672.68319095136</v>
      </c>
      <c r="F140" s="171"/>
      <c r="G140" s="171">
        <f>E140+F140</f>
        <v>22672.68319095136</v>
      </c>
      <c r="H140" s="172">
        <f>IF($G$208=0,0,G140/$G$208)</f>
        <v>1.0509235591310756E-2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'[18]Sch C'!D142</f>
        <v>0</v>
      </c>
      <c r="D141" s="501">
        <f>'[18]Sch C'!F142</f>
        <v>38652.583476867163</v>
      </c>
      <c r="E141" s="171">
        <f t="shared" si="29"/>
        <v>38652.583476867163</v>
      </c>
      <c r="F141" s="171"/>
      <c r="G141" s="171">
        <f>E141+F141</f>
        <v>38652.583476867163</v>
      </c>
      <c r="H141" s="172">
        <f>IF($G$208=0,0,G141/$G$208)</f>
        <v>1.7916234375529052E-2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'[18]Sch C'!D143</f>
        <v>0</v>
      </c>
      <c r="D142" s="501">
        <f>'[18]Sch C'!F143</f>
        <v>76938.018438852188</v>
      </c>
      <c r="E142" s="171">
        <f t="shared" si="29"/>
        <v>76938.018438852188</v>
      </c>
      <c r="F142" s="171"/>
      <c r="G142" s="171">
        <f>E142+F142</f>
        <v>76938.018438852188</v>
      </c>
      <c r="H142" s="172">
        <f>IF($G$208=0,0,G142/$G$208)</f>
        <v>3.5662288177043103E-2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'[18]Sch C'!D144</f>
        <v>0</v>
      </c>
      <c r="D143" s="501">
        <f>'[18]Sch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'[18]Sch C'!D146</f>
        <v>15000</v>
      </c>
      <c r="D145" s="501">
        <f>'[18]Sch C'!F146</f>
        <v>0</v>
      </c>
      <c r="E145" s="171">
        <f t="shared" ref="E145:E153" si="30">C145+D145</f>
        <v>15000</v>
      </c>
      <c r="F145" s="171"/>
      <c r="G145" s="171">
        <f t="shared" ref="G145:G153" si="31">E145+F145</f>
        <v>15000</v>
      </c>
      <c r="H145" s="172">
        <f t="shared" ref="H145:H153" si="32">IF($G$208=0,0,G145/$G$208)</f>
        <v>6.9527956855399758E-3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'[18]Sch C'!D147</f>
        <v>0</v>
      </c>
      <c r="D146" s="501">
        <f>'[18]Sch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'[18]Sch C'!D148</f>
        <v>0</v>
      </c>
      <c r="D147" s="501">
        <f>'[18]Sch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'[18]Sch C'!D149</f>
        <v>0</v>
      </c>
      <c r="D148" s="501">
        <f>'[18]Sch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'[18]Sch C'!D150</f>
        <v>4846.47</v>
      </c>
      <c r="D149" s="501">
        <f>'[18]Sch C'!F150</f>
        <v>0</v>
      </c>
      <c r="E149" s="171">
        <f t="shared" si="30"/>
        <v>4846.47</v>
      </c>
      <c r="F149" s="171"/>
      <c r="G149" s="171">
        <f t="shared" si="31"/>
        <v>4846.47</v>
      </c>
      <c r="H149" s="172">
        <f t="shared" si="32"/>
        <v>2.246434380406595E-3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'[18]Sch C'!D151</f>
        <v>40342.230000000003</v>
      </c>
      <c r="D150" s="501">
        <f>'[18]Sch C'!F151</f>
        <v>0</v>
      </c>
      <c r="E150" s="171">
        <f t="shared" si="30"/>
        <v>40342.230000000003</v>
      </c>
      <c r="F150" s="171"/>
      <c r="G150" s="171">
        <f t="shared" si="31"/>
        <v>40342.230000000003</v>
      </c>
      <c r="H150" s="172">
        <f t="shared" si="32"/>
        <v>1.8699418845937427E-2</v>
      </c>
      <c r="I150" s="472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'[18]Sch C'!D152</f>
        <v>452.08</v>
      </c>
      <c r="D151" s="501">
        <f>'[18]Sch C'!F152</f>
        <v>0</v>
      </c>
      <c r="E151" s="171">
        <f t="shared" si="30"/>
        <v>452.08</v>
      </c>
      <c r="F151" s="171"/>
      <c r="G151" s="171">
        <f t="shared" si="31"/>
        <v>452.08</v>
      </c>
      <c r="H151" s="172">
        <f t="shared" si="32"/>
        <v>2.0954799156792746E-4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'[18]Sch C'!D153</f>
        <v>2454.88</v>
      </c>
      <c r="D152" s="501">
        <f>'[18]Sch C'!F153</f>
        <v>0</v>
      </c>
      <c r="E152" s="171">
        <f t="shared" si="30"/>
        <v>2454.88</v>
      </c>
      <c r="F152" s="171"/>
      <c r="G152" s="171">
        <f t="shared" si="31"/>
        <v>2454.88</v>
      </c>
      <c r="H152" s="172">
        <f t="shared" si="32"/>
        <v>1.1378852715012251E-3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'[18]Sch C'!D154</f>
        <v>0</v>
      </c>
      <c r="D153" s="501">
        <f>'[18]Sch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'[18]Sch C'!D156</f>
        <v>0</v>
      </c>
      <c r="D155" s="501">
        <f>'[18]Sch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'[18]Sch C'!D157</f>
        <v>3796</v>
      </c>
      <c r="D156" s="501">
        <f>'[18]Sch C'!F157</f>
        <v>0</v>
      </c>
      <c r="E156" s="171">
        <f t="shared" si="33"/>
        <v>3796</v>
      </c>
      <c r="F156" s="171"/>
      <c r="G156" s="171">
        <f t="shared" si="34"/>
        <v>3796</v>
      </c>
      <c r="H156" s="172">
        <f t="shared" si="35"/>
        <v>1.7595208281539832E-3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'[18]Sch C'!D158</f>
        <v>525</v>
      </c>
      <c r="D157" s="501">
        <f>'[18]Sch C'!F158</f>
        <v>0</v>
      </c>
      <c r="E157" s="171">
        <f t="shared" si="33"/>
        <v>525</v>
      </c>
      <c r="F157" s="171"/>
      <c r="G157" s="171">
        <f t="shared" si="34"/>
        <v>525</v>
      </c>
      <c r="H157" s="172">
        <f t="shared" si="35"/>
        <v>2.4334784899389915E-4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'[18]Sch C'!D159</f>
        <v>646.36</v>
      </c>
      <c r="D158" s="501">
        <f>'[18]Sch C'!F159</f>
        <v>0</v>
      </c>
      <c r="E158" s="171">
        <f t="shared" si="33"/>
        <v>646.36</v>
      </c>
      <c r="F158" s="171"/>
      <c r="G158" s="171">
        <f t="shared" si="34"/>
        <v>646.36</v>
      </c>
      <c r="H158" s="172">
        <f t="shared" si="35"/>
        <v>2.9960060128704123E-4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'[18]Sch C'!D160</f>
        <v>0</v>
      </c>
      <c r="D159" s="501">
        <f>'[18]Sch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'[18]Sch C'!D161</f>
        <v>0</v>
      </c>
      <c r="D160" s="501">
        <f>'[18]Sch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642054.96999999986</v>
      </c>
      <c r="D161" s="501">
        <f>SUM(D123:D160)</f>
        <v>159957.10902389552</v>
      </c>
      <c r="E161" s="171">
        <f t="shared" ref="E161:F161" si="36">SUM(E123:E160)</f>
        <v>802012.07902389544</v>
      </c>
      <c r="F161" s="171">
        <f t="shared" si="36"/>
        <v>0</v>
      </c>
      <c r="G161" s="171">
        <f>SUM(G123:G160)</f>
        <v>802012.07902389544</v>
      </c>
      <c r="H161" s="172">
        <f t="shared" si="35"/>
        <v>0.37174840818588573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'[18]Sch C'!D175</f>
        <v>0</v>
      </c>
      <c r="D164" s="501">
        <f>'[18]Sch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'[18]Sch C'!D176</f>
        <v>0</v>
      </c>
      <c r="D165" s="501">
        <f>'[18]Sch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'[18]Sch C'!D177</f>
        <v>0</v>
      </c>
      <c r="D166" s="501">
        <f>'[18]Sch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'[18]Sch C'!D178</f>
        <v>0</v>
      </c>
      <c r="D167" s="501">
        <f>'[18]Sch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'[18]Sch C'!D179</f>
        <v>0</v>
      </c>
      <c r="D168" s="501">
        <f>'[18]Sch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'[18]Sch C'!D180</f>
        <v>0</v>
      </c>
      <c r="D169" s="501">
        <f>'[18]Sch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'[18]Sch C'!D181</f>
        <v>0</v>
      </c>
      <c r="D170" s="501">
        <f>'[18]Sch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'[18]Sch C'!D182</f>
        <v>0</v>
      </c>
      <c r="D171" s="501">
        <f>'[18]Sch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'[18]Sch C'!D183</f>
        <v>0</v>
      </c>
      <c r="D172" s="501">
        <f>'[18]Sch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'[18]Sch C'!D184</f>
        <v>0</v>
      </c>
      <c r="D173" s="501">
        <f>'[18]Sch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'[18]Sch C'!D185</f>
        <v>0</v>
      </c>
      <c r="D174" s="501">
        <f>'[18]Sch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'[18]Sch C'!D186</f>
        <v>0</v>
      </c>
      <c r="D175" s="501">
        <f>'[18]Sch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'[18]Sch C'!D187</f>
        <v>0</v>
      </c>
      <c r="D176" s="501">
        <f>'[18]Sch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'[18]Sch C'!D188</f>
        <v>0</v>
      </c>
      <c r="D177" s="501">
        <f>'[18]Sch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'[18]Sch C'!D189</f>
        <v>0</v>
      </c>
      <c r="D178" s="501">
        <f>'[18]Sch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'[18]Sch C'!D190</f>
        <v>0</v>
      </c>
      <c r="D179" s="501">
        <f>'[18]Sch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'[18]Sch C'!D191</f>
        <v>0</v>
      </c>
      <c r="D180" s="501">
        <f>'[18]Sch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'[18]Sch C'!D192</f>
        <v>0</v>
      </c>
      <c r="D181" s="501">
        <f>'[18]Sch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'[18]Sch C'!D193</f>
        <v>0</v>
      </c>
      <c r="D182" s="501">
        <f>'[18]Sch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'[18]Sch C'!D194</f>
        <v>39792.559999999998</v>
      </c>
      <c r="D183" s="501">
        <f>'[18]Sch C'!F194</f>
        <v>0</v>
      </c>
      <c r="E183" s="171">
        <f t="shared" si="37"/>
        <v>39792.559999999998</v>
      </c>
      <c r="F183" s="216"/>
      <c r="G183" s="171">
        <f t="shared" si="38"/>
        <v>39792.559999999998</v>
      </c>
      <c r="H183" s="172">
        <f t="shared" si="39"/>
        <v>1.8444635965639371E-2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'[18]Sch C'!D195</f>
        <v>728.2</v>
      </c>
      <c r="D184" s="501">
        <f>'[18]Sch C'!F195</f>
        <v>0</v>
      </c>
      <c r="E184" s="171">
        <f t="shared" si="37"/>
        <v>728.2</v>
      </c>
      <c r="F184" s="216"/>
      <c r="G184" s="171">
        <f t="shared" si="38"/>
        <v>728.2</v>
      </c>
      <c r="H184" s="172">
        <f t="shared" si="39"/>
        <v>3.3753505454734735E-4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'[18]Sch C'!D196</f>
        <v>67571.39</v>
      </c>
      <c r="D185" s="501">
        <f>'[18]Sch C'!F196</f>
        <v>0</v>
      </c>
      <c r="E185" s="171">
        <f t="shared" si="37"/>
        <v>67571.39</v>
      </c>
      <c r="F185" s="216"/>
      <c r="G185" s="171">
        <f t="shared" si="38"/>
        <v>67571.39</v>
      </c>
      <c r="H185" s="172">
        <f t="shared" si="39"/>
        <v>3.1320671257195939E-2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'[18]Sch C'!D197</f>
        <v>0</v>
      </c>
      <c r="D186" s="501">
        <f>'[18]Sch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'[18]Sch C'!D198</f>
        <v>2609.4699999999998</v>
      </c>
      <c r="D187" s="501">
        <f>'[18]Sch C'!F198</f>
        <v>0</v>
      </c>
      <c r="E187" s="171">
        <f t="shared" si="37"/>
        <v>2609.4699999999998</v>
      </c>
      <c r="F187" s="216"/>
      <c r="G187" s="171">
        <f t="shared" si="38"/>
        <v>2609.4699999999998</v>
      </c>
      <c r="H187" s="172">
        <f t="shared" si="39"/>
        <v>1.2095407838363999E-3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'[18]Sch C'!D199</f>
        <v>0</v>
      </c>
      <c r="D188" s="501">
        <f>'[18]Sch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'[18]Sch C'!D200</f>
        <v>0</v>
      </c>
      <c r="D189" s="501">
        <f>'[18]Sch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'[18]Sch C'!D201</f>
        <v>0</v>
      </c>
      <c r="D190" s="501">
        <f>'[18]Sch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'[18]Sch C'!D202</f>
        <v>0</v>
      </c>
      <c r="D191" s="501">
        <f>'[18]Sch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'[18]Sch C'!D203</f>
        <v>0</v>
      </c>
      <c r="D192" s="501">
        <f>'[18]Sch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'[18]Sch C'!D204</f>
        <v>0</v>
      </c>
      <c r="D193" s="501">
        <f>'[18]Sch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'[18]Sch C'!D205</f>
        <v>69731.75</v>
      </c>
      <c r="D194" s="501">
        <f>'[18]Sch C'!F205</f>
        <v>0</v>
      </c>
      <c r="E194" s="171">
        <f t="shared" si="37"/>
        <v>69731.75</v>
      </c>
      <c r="F194" s="216"/>
      <c r="G194" s="171">
        <f t="shared" si="38"/>
        <v>69731.75</v>
      </c>
      <c r="H194" s="172">
        <f t="shared" si="39"/>
        <v>3.2322040703010146E-2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'[18]Sch C'!D206</f>
        <v>5853.05</v>
      </c>
      <c r="D195" s="501">
        <f>'[18]Sch C'!F206</f>
        <v>0</v>
      </c>
      <c r="E195" s="171">
        <f t="shared" si="37"/>
        <v>5853.05</v>
      </c>
      <c r="F195" s="216"/>
      <c r="G195" s="171">
        <f t="shared" si="38"/>
        <v>5853.05</v>
      </c>
      <c r="H195" s="172">
        <f t="shared" si="39"/>
        <v>2.7130040524833169E-3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'[18]Sch C'!D207</f>
        <v>0</v>
      </c>
      <c r="D196" s="501">
        <f>'[18]Sch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186286.41999999998</v>
      </c>
      <c r="D197" s="501">
        <f>SUM(D164:D196)</f>
        <v>0</v>
      </c>
      <c r="E197" s="171">
        <f t="shared" ref="E197:F197" si="40">SUM(E164:E196)</f>
        <v>186286.41999999998</v>
      </c>
      <c r="F197" s="171">
        <f t="shared" si="40"/>
        <v>0</v>
      </c>
      <c r="G197" s="171">
        <f>SUM(G164:G196)</f>
        <v>186286.41999999998</v>
      </c>
      <c r="H197" s="172">
        <f>IF($G$208=0,0,G197/$G$208)</f>
        <v>8.6347427816712508E-2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'[18]Sch C'!D211</f>
        <v>33766.82</v>
      </c>
      <c r="D200" s="501">
        <f>'[18]Sch C'!F211</f>
        <v>0</v>
      </c>
      <c r="E200" s="171">
        <f t="shared" ref="E200:E205" si="41">C200+D200</f>
        <v>33766.82</v>
      </c>
      <c r="F200" s="171"/>
      <c r="G200" s="171">
        <f t="shared" ref="G200:G205" si="42">E200+F200</f>
        <v>33766.82</v>
      </c>
      <c r="H200" s="172">
        <f t="shared" ref="H200:H206" si="43">IF($G$208=0,0,G200/$G$208)</f>
        <v>1.5651586694026998E-2</v>
      </c>
      <c r="I200" s="473"/>
      <c r="J200" s="183">
        <v>3001.53</v>
      </c>
      <c r="K200" s="183">
        <v>3153.35</v>
      </c>
    </row>
    <row r="201" spans="1:14" s="167" customFormat="1">
      <c r="A201" s="169" t="s">
        <v>86</v>
      </c>
      <c r="B201" s="170" t="s">
        <v>45</v>
      </c>
      <c r="C201" s="501">
        <f>'[18]Sch C'!D212</f>
        <v>0</v>
      </c>
      <c r="D201" s="501">
        <f>'[18]Sch C'!F212</f>
        <v>9409.9628193919016</v>
      </c>
      <c r="E201" s="171">
        <f t="shared" si="41"/>
        <v>9409.9628193919016</v>
      </c>
      <c r="F201" s="171"/>
      <c r="G201" s="171">
        <f t="shared" si="42"/>
        <v>9409.9628193919016</v>
      </c>
      <c r="H201" s="172">
        <f t="shared" si="43"/>
        <v>4.3617032594506396E-3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'[18]Sch C'!D213</f>
        <v>11965.01</v>
      </c>
      <c r="D202" s="501">
        <f>'[18]Sch C'!F213</f>
        <v>0</v>
      </c>
      <c r="E202" s="171">
        <f t="shared" si="41"/>
        <v>11965.01</v>
      </c>
      <c r="F202" s="171"/>
      <c r="G202" s="171">
        <f t="shared" si="42"/>
        <v>11965.01</v>
      </c>
      <c r="H202" s="172">
        <f t="shared" si="43"/>
        <v>5.5460179936961777E-3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'[18]Sch C'!D214</f>
        <v>4044.75</v>
      </c>
      <c r="D203" s="501">
        <f>'[18]Sch C'!F214</f>
        <v>0</v>
      </c>
      <c r="E203" s="171">
        <f t="shared" si="41"/>
        <v>4044.75</v>
      </c>
      <c r="F203" s="171"/>
      <c r="G203" s="171">
        <f t="shared" si="42"/>
        <v>4044.75</v>
      </c>
      <c r="H203" s="172">
        <f t="shared" si="43"/>
        <v>1.8748213566058545E-3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'[18]Sch C'!D215</f>
        <v>0</v>
      </c>
      <c r="D204" s="501">
        <f>'[18]Sch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'[18]Sch C'!D216</f>
        <v>1732.63</v>
      </c>
      <c r="D205" s="501">
        <f>'[18]Sch C'!F216</f>
        <v>0</v>
      </c>
      <c r="E205" s="171">
        <f t="shared" si="41"/>
        <v>1732.63</v>
      </c>
      <c r="F205" s="171"/>
      <c r="G205" s="171">
        <f t="shared" si="42"/>
        <v>1732.63</v>
      </c>
      <c r="H205" s="172">
        <f t="shared" si="43"/>
        <v>8.0310815924247529E-4</v>
      </c>
      <c r="I205" s="472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51509.21</v>
      </c>
      <c r="D206" s="501">
        <f>SUM(D200:D205)</f>
        <v>9409.9628193919016</v>
      </c>
      <c r="E206" s="171">
        <f t="shared" ref="E206:F206" si="44">SUM(E200:E205)</f>
        <v>60919.172819391897</v>
      </c>
      <c r="F206" s="171">
        <f t="shared" si="44"/>
        <v>0</v>
      </c>
      <c r="G206" s="171">
        <f>SUM(G200:G205)</f>
        <v>60919.172819391897</v>
      </c>
      <c r="H206" s="172">
        <f t="shared" si="43"/>
        <v>2.8237237463022143E-2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2219481.19</v>
      </c>
      <c r="D208" s="501">
        <f>SUM(D25:D206)/2</f>
        <v>-62075.640000000007</v>
      </c>
      <c r="E208" s="171">
        <f t="shared" ref="E208:F208" si="45">SUM(E25:E206)/2</f>
        <v>2157405.5500000003</v>
      </c>
      <c r="F208" s="171">
        <f t="shared" si="45"/>
        <v>0</v>
      </c>
      <c r="G208" s="171">
        <f>SUM(G25:G206)/2</f>
        <v>2157405.5500000003</v>
      </c>
      <c r="H208" s="172">
        <f>IF($G$208=0,0,G208/$G$208)</f>
        <v>1</v>
      </c>
      <c r="I208" s="473"/>
      <c r="J208" s="183">
        <f>SUM(J25:J200)</f>
        <v>63817.89</v>
      </c>
      <c r="K208" s="183">
        <f>SUM(K25:K200)</f>
        <v>67446.039999999994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'[18]Sch C'!D221</f>
        <v>2219481.19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220851.97999999998</v>
      </c>
      <c r="D215" s="501">
        <f>D21-D208</f>
        <v>62075.640000000007</v>
      </c>
      <c r="E215" s="171">
        <f t="shared" ref="E215:F215" si="46">E21-E208</f>
        <v>282927.61999999965</v>
      </c>
      <c r="F215" s="171">
        <f t="shared" si="46"/>
        <v>329955</v>
      </c>
      <c r="G215" s="171">
        <f>G21-G208</f>
        <v>612882.61999999965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'[18]Sch D'!C9</f>
        <v>5660</v>
      </c>
      <c r="D219" s="530"/>
      <c r="E219" s="234">
        <f t="shared" ref="E219:G227" si="47">C219+D219</f>
        <v>5660</v>
      </c>
      <c r="F219" s="233"/>
      <c r="G219" s="234">
        <f t="shared" si="47"/>
        <v>5660</v>
      </c>
      <c r="H219" s="172">
        <f t="shared" ref="H219:H228" si="48">IF($G$228=0,0,G219/$G$228)</f>
        <v>0.6120904076997945</v>
      </c>
      <c r="I219" s="473"/>
      <c r="J219" s="168"/>
      <c r="K219" s="168"/>
    </row>
    <row r="220" spans="1:11">
      <c r="A220" s="163"/>
      <c r="B220" s="170" t="s">
        <v>217</v>
      </c>
      <c r="C220" s="530">
        <f>'[18]Sch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'[18]Sch D'!E9</f>
        <v>1646</v>
      </c>
      <c r="D221" s="530"/>
      <c r="E221" s="234">
        <f t="shared" si="49"/>
        <v>1646</v>
      </c>
      <c r="F221" s="233"/>
      <c r="G221" s="234">
        <f t="shared" si="47"/>
        <v>1646</v>
      </c>
      <c r="H221" s="172">
        <f t="shared" si="48"/>
        <v>0.17800367686817345</v>
      </c>
      <c r="I221" s="473"/>
      <c r="J221" s="168"/>
      <c r="K221" s="168"/>
    </row>
    <row r="222" spans="1:11">
      <c r="A222" s="163"/>
      <c r="B222" s="202" t="s">
        <v>334</v>
      </c>
      <c r="C222" s="530">
        <f>'[18]Sch D'!F9</f>
        <v>48</v>
      </c>
      <c r="D222" s="530"/>
      <c r="E222" s="234">
        <f>C222+D222</f>
        <v>48</v>
      </c>
      <c r="F222" s="233"/>
      <c r="G222" s="234">
        <f>E222+F222</f>
        <v>48</v>
      </c>
      <c r="H222" s="172">
        <f t="shared" si="48"/>
        <v>5.1908727154752893E-3</v>
      </c>
      <c r="I222" s="473"/>
      <c r="J222" s="168"/>
      <c r="K222" s="168"/>
    </row>
    <row r="223" spans="1:11">
      <c r="A223" s="163"/>
      <c r="B223" s="170" t="s">
        <v>73</v>
      </c>
      <c r="C223" s="530">
        <f>'[18]Sch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'[18]Sch D'!H9</f>
        <v>1521</v>
      </c>
      <c r="D224" s="530"/>
      <c r="E224" s="234">
        <f t="shared" si="49"/>
        <v>1521</v>
      </c>
      <c r="F224" s="233"/>
      <c r="G224" s="234">
        <f t="shared" si="47"/>
        <v>1521</v>
      </c>
      <c r="H224" s="172">
        <f t="shared" si="48"/>
        <v>0.16448577917162324</v>
      </c>
      <c r="I224" s="473"/>
      <c r="J224" s="168"/>
      <c r="K224" s="168"/>
    </row>
    <row r="225" spans="1:11">
      <c r="A225" s="163"/>
      <c r="B225" s="170" t="s">
        <v>236</v>
      </c>
      <c r="C225" s="530">
        <f>'[18]Sch D'!I9</f>
        <v>364</v>
      </c>
      <c r="D225" s="530"/>
      <c r="E225" s="234">
        <f t="shared" si="49"/>
        <v>364</v>
      </c>
      <c r="F225" s="233"/>
      <c r="G225" s="234">
        <f t="shared" si="47"/>
        <v>364</v>
      </c>
      <c r="H225" s="172">
        <f t="shared" si="48"/>
        <v>3.936411809235428E-2</v>
      </c>
      <c r="I225" s="473"/>
      <c r="J225" s="168"/>
      <c r="K225" s="168"/>
    </row>
    <row r="226" spans="1:11">
      <c r="A226" s="163"/>
      <c r="B226" s="170" t="s">
        <v>235</v>
      </c>
      <c r="C226" s="530">
        <f>'[18]Sch D'!J9</f>
        <v>8</v>
      </c>
      <c r="D226" s="530"/>
      <c r="E226" s="234">
        <f>C226+D226</f>
        <v>8</v>
      </c>
      <c r="F226" s="233"/>
      <c r="G226" s="234">
        <f>E226+F226</f>
        <v>8</v>
      </c>
      <c r="H226" s="172">
        <f t="shared" si="48"/>
        <v>8.6514545257921488E-4</v>
      </c>
      <c r="I226" s="473"/>
      <c r="J226" s="168"/>
      <c r="K226" s="168"/>
    </row>
    <row r="227" spans="1:11">
      <c r="A227" s="163"/>
      <c r="B227" s="170" t="s">
        <v>179</v>
      </c>
      <c r="C227" s="530">
        <f>'[18]Sch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9247</v>
      </c>
      <c r="D228" s="530">
        <f>SUM(D219:D227)</f>
        <v>0</v>
      </c>
      <c r="E228" s="236">
        <f>SUM(E219:E227)</f>
        <v>9247</v>
      </c>
      <c r="F228" s="236">
        <f>SUM(F219:F227)</f>
        <v>0</v>
      </c>
      <c r="G228" s="236">
        <f>SUM(G219:G227)</f>
        <v>9247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J230" s="168"/>
      <c r="K230" s="168"/>
    </row>
    <row r="231" spans="1:11">
      <c r="A231" s="163"/>
      <c r="B231" s="202" t="s">
        <v>219</v>
      </c>
      <c r="C231" s="531">
        <f>'[18]Sch D'!N22</f>
        <v>51</v>
      </c>
      <c r="D231" s="502"/>
      <c r="E231" s="234">
        <f>C231+D231</f>
        <v>51</v>
      </c>
      <c r="F231" s="234"/>
      <c r="G231" s="234">
        <f>E231+F231</f>
        <v>51</v>
      </c>
      <c r="H231" s="167"/>
      <c r="J231" s="168"/>
      <c r="K231" s="168"/>
    </row>
    <row r="232" spans="1:11">
      <c r="A232" s="163"/>
      <c r="B232" s="202" t="s">
        <v>290</v>
      </c>
      <c r="C232" s="531">
        <f>'[18]Sch D'!N24</f>
        <v>51</v>
      </c>
      <c r="D232" s="502"/>
      <c r="E232" s="234">
        <f>C232+D232</f>
        <v>51</v>
      </c>
      <c r="F232" s="234"/>
      <c r="G232" s="234">
        <f>E232+F232</f>
        <v>51</v>
      </c>
      <c r="H232" s="167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J234" s="168"/>
      <c r="K234" s="168"/>
    </row>
    <row r="235" spans="1:11" ht="26">
      <c r="A235" s="163"/>
      <c r="B235" s="241" t="s">
        <v>335</v>
      </c>
      <c r="C235" s="531">
        <f>'[18]Sch D'!N28</f>
        <v>18615</v>
      </c>
      <c r="D235" s="438"/>
      <c r="E235" s="233">
        <f>E231*E233</f>
        <v>18615</v>
      </c>
      <c r="F235" s="238"/>
      <c r="G235" s="233">
        <f>G231*G233</f>
        <v>18615</v>
      </c>
      <c r="H235" s="167"/>
      <c r="J235" s="168"/>
      <c r="K235" s="168"/>
    </row>
    <row r="236" spans="1:11" ht="26">
      <c r="A236" s="163"/>
      <c r="B236" s="241" t="s">
        <v>336</v>
      </c>
      <c r="C236" s="532">
        <f>'[18]Sch D'!N30</f>
        <v>0.49674993284985225</v>
      </c>
      <c r="D236" s="238"/>
      <c r="E236" s="242">
        <f>E228/E235</f>
        <v>0.49674993284985225</v>
      </c>
      <c r="F236" s="243"/>
      <c r="G236" s="242">
        <f>G228/G235</f>
        <v>0.49674993284985225</v>
      </c>
      <c r="H236" s="167"/>
      <c r="J236" s="168"/>
      <c r="K236" s="168"/>
    </row>
    <row r="237" spans="1:11" ht="26">
      <c r="A237" s="163"/>
      <c r="B237" s="241" t="s">
        <v>337</v>
      </c>
      <c r="C237" s="532">
        <f>'[18]Sch D'!N32</f>
        <v>0.30405586892291164</v>
      </c>
      <c r="D237" s="238"/>
      <c r="E237" s="242">
        <f>(E219+E220)/E235</f>
        <v>0.30405586892291164</v>
      </c>
      <c r="F237" s="243"/>
      <c r="G237" s="242">
        <f>(G219+G220)/G235</f>
        <v>0.30405586892291164</v>
      </c>
      <c r="H237" s="167"/>
      <c r="J237" s="168"/>
      <c r="K237" s="168"/>
    </row>
    <row r="238" spans="1:11" ht="26">
      <c r="A238" s="163"/>
      <c r="B238" s="241" t="s">
        <v>338</v>
      </c>
      <c r="C238" s="532">
        <f>'[18]Sch D'!N34</f>
        <v>0.61209040769979461</v>
      </c>
      <c r="D238" s="238"/>
      <c r="E238" s="242">
        <f>(E237/E236)</f>
        <v>0.61209040769979461</v>
      </c>
      <c r="F238" s="243"/>
      <c r="G238" s="242">
        <f>(G237/G236)</f>
        <v>0.61209040769979461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01">
        <f>'[18]Sch B'!C85</f>
        <v>153.82865889212826</v>
      </c>
    </row>
    <row r="242" spans="2:7">
      <c r="F242" s="142" t="s">
        <v>341</v>
      </c>
      <c r="G242" s="501">
        <f>'[18]Sch B'!E85</f>
        <v>134.07411627906976</v>
      </c>
    </row>
    <row r="243" spans="2:7">
      <c r="B243" s="417"/>
      <c r="F243" s="142" t="s">
        <v>342</v>
      </c>
      <c r="G243" s="501">
        <f>'[18]Sch B'!G85</f>
        <v>123.55691011235956</v>
      </c>
    </row>
    <row r="244" spans="2:7" ht="16.5">
      <c r="B244" s="485"/>
      <c r="F244" s="142" t="s">
        <v>343</v>
      </c>
      <c r="G244" s="501">
        <f>'[18]Sch B'!I85</f>
        <v>175.38732142857143</v>
      </c>
    </row>
    <row r="245" spans="2:7" ht="16.5">
      <c r="B245" s="485"/>
      <c r="F245" s="142"/>
    </row>
    <row r="246" spans="2:7" ht="16.5">
      <c r="B246" s="485"/>
    </row>
    <row r="247" spans="2:7" ht="16.5">
      <c r="B247" s="48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3" sqref="F13"/>
      <pageMargins left="0" right="0" top="0.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>
    <tabColor rgb="FFE28CAB"/>
  </sheetPr>
  <dimension ref="A1:O246"/>
  <sheetViews>
    <sheetView showGridLines="0" zoomScaleNormal="100" workbookViewId="0">
      <pane xSplit="2" ySplit="8" topLeftCell="C204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448" t="s">
        <v>385</v>
      </c>
      <c r="D2" s="244"/>
      <c r="E2" s="144"/>
    </row>
    <row r="3" spans="1:11" ht="23">
      <c r="A3" s="145"/>
      <c r="B3" s="140" t="s">
        <v>79</v>
      </c>
      <c r="C3" s="441">
        <v>42552</v>
      </c>
      <c r="D3"/>
      <c r="E3" s="448"/>
    </row>
    <row r="4" spans="1:11" ht="15.5">
      <c r="A4" s="145"/>
      <c r="B4" s="148" t="s">
        <v>80</v>
      </c>
      <c r="C4" s="441">
        <v>42916</v>
      </c>
      <c r="D4"/>
      <c r="E4" s="149"/>
      <c r="G4" s="150"/>
    </row>
    <row r="5" spans="1:11">
      <c r="A5" s="145"/>
      <c r="B5" s="148"/>
      <c r="C5" s="151"/>
      <c r="D5" s="449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/>
      <c r="H9"/>
      <c r="I9" s="612"/>
      <c r="J9"/>
      <c r="K9"/>
    </row>
    <row r="10" spans="1:11" s="167" customFormat="1" ht="16" thickBot="1">
      <c r="A10" s="163" t="s">
        <v>245</v>
      </c>
      <c r="B10" s="164" t="s">
        <v>246</v>
      </c>
      <c r="C10" s="453"/>
      <c r="D10" s="165"/>
      <c r="E10" s="165"/>
      <c r="F10"/>
      <c r="G10"/>
      <c r="H10"/>
      <c r="I10" s="612"/>
      <c r="J10"/>
      <c r="K10"/>
    </row>
    <row r="11" spans="1:11" s="167" customFormat="1">
      <c r="A11" s="169" t="s">
        <v>13</v>
      </c>
      <c r="B11" s="170" t="s">
        <v>213</v>
      </c>
      <c r="C11" s="501">
        <f>'[19]Sch B'!E10</f>
        <v>2044659.43</v>
      </c>
      <c r="D11" s="501">
        <f>'[19]Sch B'!G10</f>
        <v>0</v>
      </c>
      <c r="E11" s="171">
        <f>C11+D11</f>
        <v>2044659.43</v>
      </c>
      <c r="F11" s="171"/>
      <c r="G11" s="171">
        <f t="shared" ref="G11:G20" si="0">E11+F11</f>
        <v>2044659.43</v>
      </c>
      <c r="H11" s="172">
        <f t="shared" ref="H11:H21" si="1">IF($G$21=0,0,G11/$G$21)</f>
        <v>0.84991372977930979</v>
      </c>
      <c r="I11" s="473"/>
      <c r="J11" s="336" t="s">
        <v>344</v>
      </c>
      <c r="K11" s="337">
        <f>G21</f>
        <v>2405725.8499999996</v>
      </c>
    </row>
    <row r="12" spans="1:11" s="167" customFormat="1">
      <c r="A12" s="169" t="s">
        <v>15</v>
      </c>
      <c r="B12" s="170" t="s">
        <v>212</v>
      </c>
      <c r="C12" s="501">
        <f>'[19]Sch B'!E15</f>
        <v>0</v>
      </c>
      <c r="D12" s="501">
        <f>'[19]Sch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2288071.8299999996</v>
      </c>
    </row>
    <row r="13" spans="1:11" s="167" customFormat="1">
      <c r="A13" s="169" t="s">
        <v>16</v>
      </c>
      <c r="B13" s="170" t="s">
        <v>170</v>
      </c>
      <c r="C13" s="501">
        <f>'[19]Sch B'!E21</f>
        <v>0</v>
      </c>
      <c r="D13" s="501">
        <f>'[19]Sch B'!G21</f>
        <v>0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I13" s="473"/>
      <c r="J13" s="338" t="s">
        <v>346</v>
      </c>
      <c r="K13" s="339">
        <f>G228</f>
        <v>13038</v>
      </c>
    </row>
    <row r="14" spans="1:11" s="167" customFormat="1">
      <c r="A14" s="173" t="s">
        <v>18</v>
      </c>
      <c r="B14" s="174" t="s">
        <v>306</v>
      </c>
      <c r="C14" s="501">
        <f>'[19]Sch B'!E27</f>
        <v>0</v>
      </c>
      <c r="D14" s="501">
        <f>'[19]Sch B'!G27</f>
        <v>0</v>
      </c>
      <c r="E14" s="171">
        <f t="shared" si="2"/>
        <v>0</v>
      </c>
      <c r="F14" s="171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36</v>
      </c>
    </row>
    <row r="15" spans="1:11" s="167" customFormat="1">
      <c r="A15" s="169" t="s">
        <v>19</v>
      </c>
      <c r="B15" s="170" t="s">
        <v>171</v>
      </c>
      <c r="C15" s="501">
        <f>'[19]Sch B'!E32</f>
        <v>0</v>
      </c>
      <c r="D15" s="501">
        <f>'[19]Sch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13140</v>
      </c>
    </row>
    <row r="16" spans="1:11" s="167" customFormat="1">
      <c r="A16" s="169" t="s">
        <v>21</v>
      </c>
      <c r="B16" s="170" t="s">
        <v>172</v>
      </c>
      <c r="C16" s="501">
        <f>'[19]Sch B'!E37</f>
        <v>136875</v>
      </c>
      <c r="D16" s="501">
        <f>'[19]Sch B'!G37</f>
        <v>0</v>
      </c>
      <c r="E16" s="171">
        <f t="shared" si="2"/>
        <v>136875</v>
      </c>
      <c r="F16" s="171"/>
      <c r="G16" s="171">
        <f t="shared" si="0"/>
        <v>136875</v>
      </c>
      <c r="H16" s="172">
        <f t="shared" si="1"/>
        <v>5.6895510350857319E-2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'[19]Sch B'!E42</f>
        <v>170531.76</v>
      </c>
      <c r="D17" s="501">
        <f>'[19]Sch B'!G42</f>
        <v>0</v>
      </c>
      <c r="E17" s="171">
        <f t="shared" si="2"/>
        <v>170531.76</v>
      </c>
      <c r="F17" s="171"/>
      <c r="G17" s="171">
        <f>E17+F17</f>
        <v>170531.76</v>
      </c>
      <c r="H17" s="172">
        <f t="shared" si="1"/>
        <v>7.088578276697656E-2</v>
      </c>
      <c r="I17" s="473"/>
      <c r="J17" s="338" t="s">
        <v>156</v>
      </c>
      <c r="K17" s="339">
        <f>J208</f>
        <v>69586</v>
      </c>
    </row>
    <row r="18" spans="1:11" s="167" customFormat="1" ht="13.5" thickBot="1">
      <c r="A18" s="169" t="s">
        <v>216</v>
      </c>
      <c r="B18" s="170" t="s">
        <v>229</v>
      </c>
      <c r="C18" s="501">
        <f>'[19]Sch B'!E47</f>
        <v>0</v>
      </c>
      <c r="D18" s="501">
        <f>'[19]Sch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75666</v>
      </c>
    </row>
    <row r="19" spans="1:11" s="167" customFormat="1">
      <c r="A19" s="169" t="s">
        <v>227</v>
      </c>
      <c r="B19" s="177" t="s">
        <v>173</v>
      </c>
      <c r="C19" s="501">
        <f>'[19]Sch B'!E52</f>
        <v>0</v>
      </c>
      <c r="D19" s="501">
        <f>'[19]Sch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'[19]Sch B'!E67</f>
        <v>53659.66</v>
      </c>
      <c r="D20" s="501">
        <f>'[19]Sch B'!G67</f>
        <v>0</v>
      </c>
      <c r="E20" s="171">
        <f t="shared" si="2"/>
        <v>53659.66</v>
      </c>
      <c r="F20" s="171"/>
      <c r="G20" s="171">
        <f t="shared" si="0"/>
        <v>53659.66</v>
      </c>
      <c r="H20" s="172">
        <f t="shared" si="1"/>
        <v>2.2304977102856508E-2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2405725.8499999996</v>
      </c>
      <c r="D21" s="501">
        <f>SUM(D11:D20)</f>
        <v>0</v>
      </c>
      <c r="E21" s="171">
        <f>SUM(E11:E20)</f>
        <v>2405725.8499999996</v>
      </c>
      <c r="F21" s="171">
        <f>SUM(F11:F20)</f>
        <v>0</v>
      </c>
      <c r="G21" s="171">
        <f>SUM(G11:G20)</f>
        <v>2405725.8499999996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367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'[19]Sch C'!D10</f>
        <v>28682.84</v>
      </c>
      <c r="D25" s="501">
        <f>'[19]Sch C'!F10</f>
        <v>0</v>
      </c>
      <c r="E25" s="171">
        <f t="shared" ref="E25:E60" si="3">C25+D25</f>
        <v>28682.84</v>
      </c>
      <c r="F25" s="171"/>
      <c r="G25" s="182">
        <f>E25+F25</f>
        <v>28682.84</v>
      </c>
      <c r="H25" s="172">
        <f>IF($G$208=0,0,G25/$G$208)</f>
        <v>1.2535812741508209E-2</v>
      </c>
      <c r="I25" s="473"/>
      <c r="J25" s="183">
        <v>844</v>
      </c>
      <c r="K25" s="183">
        <v>884</v>
      </c>
    </row>
    <row r="26" spans="1:11" s="167" customFormat="1">
      <c r="A26" s="169" t="s">
        <v>84</v>
      </c>
      <c r="B26" s="170" t="s">
        <v>176</v>
      </c>
      <c r="C26" s="501">
        <f>'[19]Sch C'!D11</f>
        <v>0</v>
      </c>
      <c r="D26" s="501">
        <f>'[19]Sch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'[19]Sch C'!D12</f>
        <v>24571.5</v>
      </c>
      <c r="D27" s="501">
        <f>'[19]Sch C'!F12</f>
        <v>0</v>
      </c>
      <c r="E27" s="171">
        <f t="shared" si="3"/>
        <v>24571.5</v>
      </c>
      <c r="F27" s="171"/>
      <c r="G27" s="171">
        <f t="shared" si="4"/>
        <v>24571.5</v>
      </c>
      <c r="H27" s="172">
        <f t="shared" si="5"/>
        <v>1.0738954816816221E-2</v>
      </c>
      <c r="I27" s="473"/>
      <c r="J27" s="183">
        <v>808</v>
      </c>
      <c r="K27" s="183">
        <v>808</v>
      </c>
    </row>
    <row r="28" spans="1:11" s="167" customFormat="1">
      <c r="A28" s="169" t="s">
        <v>86</v>
      </c>
      <c r="B28" s="170" t="s">
        <v>45</v>
      </c>
      <c r="C28" s="501">
        <f>'[19]Sch C'!D13</f>
        <v>6038.84</v>
      </c>
      <c r="D28" s="501">
        <f>'[19]Sch C'!F13</f>
        <v>0</v>
      </c>
      <c r="E28" s="171">
        <f t="shared" si="3"/>
        <v>6038.84</v>
      </c>
      <c r="F28" s="171"/>
      <c r="G28" s="171">
        <f t="shared" si="4"/>
        <v>6038.84</v>
      </c>
      <c r="H28" s="172">
        <f t="shared" si="5"/>
        <v>2.6392702889926323E-3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'[19]Sch C'!D14</f>
        <v>0</v>
      </c>
      <c r="D29" s="501">
        <f>'[19]Sch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'[19]Sch C'!D15</f>
        <v>0</v>
      </c>
      <c r="D30" s="501">
        <f>'[19]Sch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'[19]Sch C'!D16</f>
        <v>0</v>
      </c>
      <c r="D31" s="501">
        <f>'[19]Sch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'[19]Sch C'!D17</f>
        <v>3267.54</v>
      </c>
      <c r="D32" s="501">
        <f>'[19]Sch C'!F17</f>
        <v>0</v>
      </c>
      <c r="E32" s="171">
        <f t="shared" si="3"/>
        <v>3267.54</v>
      </c>
      <c r="F32" s="171"/>
      <c r="G32" s="171">
        <f t="shared" si="4"/>
        <v>3267.54</v>
      </c>
      <c r="H32" s="172">
        <f t="shared" si="5"/>
        <v>1.4280757960295331E-3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'[19]Sch C'!D18</f>
        <v>6598.21</v>
      </c>
      <c r="D33" s="501">
        <f>'[19]Sch C'!F18</f>
        <v>0</v>
      </c>
      <c r="E33" s="171">
        <f t="shared" si="3"/>
        <v>6598.21</v>
      </c>
      <c r="F33" s="171"/>
      <c r="G33" s="171">
        <f t="shared" si="4"/>
        <v>6598.21</v>
      </c>
      <c r="H33" s="172">
        <f t="shared" si="5"/>
        <v>2.8837425090802332E-3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'[19]Sch C'!D19</f>
        <v>3453.64</v>
      </c>
      <c r="D34" s="501">
        <f>'[19]Sch C'!F19</f>
        <v>0</v>
      </c>
      <c r="E34" s="171">
        <f t="shared" si="3"/>
        <v>3453.64</v>
      </c>
      <c r="F34" s="171"/>
      <c r="G34" s="171">
        <f t="shared" si="4"/>
        <v>3453.64</v>
      </c>
      <c r="H34" s="172">
        <f t="shared" si="5"/>
        <v>1.5094106551716082E-3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'[19]Sch C'!D20</f>
        <v>18061.39</v>
      </c>
      <c r="D35" s="501">
        <f>'[19]Sch C'!F20</f>
        <v>0</v>
      </c>
      <c r="E35" s="171">
        <f t="shared" si="3"/>
        <v>18061.39</v>
      </c>
      <c r="F35" s="171"/>
      <c r="G35" s="171">
        <f t="shared" si="4"/>
        <v>18061.39</v>
      </c>
      <c r="H35" s="172">
        <f t="shared" si="5"/>
        <v>7.8937163436866419E-3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'[19]Sch C'!D21</f>
        <v>1600</v>
      </c>
      <c r="D36" s="501">
        <f>'[19]Sch C'!F21</f>
        <v>0</v>
      </c>
      <c r="E36" s="171">
        <f t="shared" si="3"/>
        <v>1600</v>
      </c>
      <c r="F36" s="171"/>
      <c r="G36" s="171">
        <f t="shared" si="4"/>
        <v>1600</v>
      </c>
      <c r="H36" s="172">
        <f t="shared" si="5"/>
        <v>6.9927874598237603E-4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'[19]Sch C'!D22</f>
        <v>0</v>
      </c>
      <c r="D37" s="501">
        <f>'[19]Sch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'[19]Sch C'!D23</f>
        <v>2181.6799999999998</v>
      </c>
      <c r="D38" s="501">
        <f>'[19]Sch C'!F23</f>
        <v>-1318</v>
      </c>
      <c r="E38" s="171">
        <f t="shared" si="3"/>
        <v>863.67999999999984</v>
      </c>
      <c r="F38" s="171"/>
      <c r="G38" s="171">
        <f t="shared" si="4"/>
        <v>863.67999999999984</v>
      </c>
      <c r="H38" s="172">
        <f t="shared" si="5"/>
        <v>3.7747066708128651E-4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'[19]Sch C'!D24</f>
        <v>0</v>
      </c>
      <c r="D39" s="501">
        <f>'[19]Sch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'[19]Sch C'!D25</f>
        <v>0</v>
      </c>
      <c r="D40" s="501">
        <f>'[19]Sch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'[19]Sch C'!D26</f>
        <v>242720.48</v>
      </c>
      <c r="D41" s="501">
        <f>'[19]Sch C'!F26</f>
        <v>0</v>
      </c>
      <c r="E41" s="171">
        <f t="shared" si="3"/>
        <v>242720.48</v>
      </c>
      <c r="F41" s="171"/>
      <c r="G41" s="171">
        <f t="shared" si="4"/>
        <v>242720.48</v>
      </c>
      <c r="H41" s="172">
        <f t="shared" si="5"/>
        <v>0.10608079554915024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'[19]Sch C'!D27</f>
        <v>7487.63</v>
      </c>
      <c r="D42" s="501">
        <f>'[19]Sch C'!F27</f>
        <v>0</v>
      </c>
      <c r="E42" s="171">
        <f t="shared" si="3"/>
        <v>7487.63</v>
      </c>
      <c r="F42" s="171"/>
      <c r="G42" s="171">
        <f t="shared" si="4"/>
        <v>7487.63</v>
      </c>
      <c r="H42" s="172">
        <f t="shared" si="5"/>
        <v>3.2724628229875113E-3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'[19]Sch C'!D28</f>
        <v>0</v>
      </c>
      <c r="D43" s="501">
        <f>'[19]Sch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'[19]Sch C'!D29</f>
        <v>17263.8</v>
      </c>
      <c r="D44" s="501">
        <f>'[19]Sch C'!F29</f>
        <v>-17263.8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'[19]Sch C'!D30</f>
        <v>0</v>
      </c>
      <c r="D45" s="501">
        <f>'[19]Sch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'[19]Sch C'!D31</f>
        <v>12851.01</v>
      </c>
      <c r="D46" s="501">
        <f>'[19]Sch C'!F31</f>
        <v>0</v>
      </c>
      <c r="E46" s="171">
        <f t="shared" si="3"/>
        <v>12851.01</v>
      </c>
      <c r="F46" s="171"/>
      <c r="G46" s="171">
        <f t="shared" si="4"/>
        <v>12851.01</v>
      </c>
      <c r="H46" s="172">
        <f t="shared" si="5"/>
        <v>5.616523848379359E-3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'[19]Sch C'!D32</f>
        <v>19296.919999999998</v>
      </c>
      <c r="D47" s="501">
        <f>'[19]Sch C'!F32</f>
        <v>0</v>
      </c>
      <c r="E47" s="171">
        <f t="shared" si="3"/>
        <v>19296.919999999998</v>
      </c>
      <c r="F47" s="171"/>
      <c r="G47" s="171">
        <f t="shared" si="4"/>
        <v>19296.919999999998</v>
      </c>
      <c r="H47" s="172">
        <f t="shared" si="5"/>
        <v>8.4337037618263944E-3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'[19]Sch C'!D33</f>
        <v>0</v>
      </c>
      <c r="D48" s="501">
        <f>'[19]Sch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'[19]Sch C'!D34</f>
        <v>0</v>
      </c>
      <c r="D49" s="501">
        <f>'[19]Sch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'[19]Sch C'!D35</f>
        <v>0</v>
      </c>
      <c r="D50" s="501">
        <f>'[19]Sch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'[19]Sch C'!D36</f>
        <v>0</v>
      </c>
      <c r="D51" s="501">
        <f>'[19]Sch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'[19]Sch C'!D37</f>
        <v>0</v>
      </c>
      <c r="D52" s="501">
        <f>'[19]Sch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'[19]Sch C'!D38</f>
        <v>0</v>
      </c>
      <c r="D53" s="501">
        <f>'[19]Sch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'[19]Sch C'!D39</f>
        <v>2172.85</v>
      </c>
      <c r="D54" s="501">
        <f>'[19]Sch C'!F39</f>
        <v>0</v>
      </c>
      <c r="E54" s="171">
        <f t="shared" si="3"/>
        <v>2172.85</v>
      </c>
      <c r="F54" s="171"/>
      <c r="G54" s="171">
        <f t="shared" si="4"/>
        <v>2172.85</v>
      </c>
      <c r="H54" s="172">
        <f t="shared" si="5"/>
        <v>9.4964238950487855E-4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'[19]Sch C'!D40</f>
        <v>700</v>
      </c>
      <c r="D55" s="501">
        <f>'[19]Sch C'!F40</f>
        <v>0</v>
      </c>
      <c r="E55" s="171">
        <f t="shared" si="3"/>
        <v>700</v>
      </c>
      <c r="F55" s="171"/>
      <c r="G55" s="171">
        <f t="shared" si="4"/>
        <v>700</v>
      </c>
      <c r="H55" s="172">
        <f t="shared" si="5"/>
        <v>3.0593445136728952E-4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'[19]Sch C'!D41</f>
        <v>4816.67</v>
      </c>
      <c r="D56" s="501">
        <f>'[19]Sch C'!F41</f>
        <v>0</v>
      </c>
      <c r="E56" s="171">
        <f t="shared" si="3"/>
        <v>4816.67</v>
      </c>
      <c r="F56" s="171"/>
      <c r="G56" s="171">
        <f t="shared" si="4"/>
        <v>4816.67</v>
      </c>
      <c r="H56" s="172">
        <f t="shared" si="5"/>
        <v>2.105121848381832E-3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'[19]Sch C'!D42</f>
        <v>0</v>
      </c>
      <c r="D57" s="501">
        <f>'[19]Sch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'[19]Sch C'!D43</f>
        <v>0</v>
      </c>
      <c r="D58" s="501">
        <f>'[19]Sch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'[19]Sch C'!D44</f>
        <v>0</v>
      </c>
      <c r="D59" s="501">
        <f>'[19]Sch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'[19]Sch C'!D45</f>
        <v>0</v>
      </c>
      <c r="D60" s="501">
        <f>'[19]Sch C'!F45</f>
        <v>0</v>
      </c>
      <c r="E60" s="171">
        <f t="shared" si="3"/>
        <v>0</v>
      </c>
      <c r="F60" s="171"/>
      <c r="G60" s="171">
        <f t="shared" si="4"/>
        <v>0</v>
      </c>
      <c r="H60" s="172">
        <f t="shared" si="5"/>
        <v>0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401764.99999999994</v>
      </c>
      <c r="D61" s="501">
        <f>SUM(D25:D60)</f>
        <v>-18581.8</v>
      </c>
      <c r="E61" s="171">
        <f t="shared" ref="E61:F61" si="6">SUM(E25:E60)</f>
        <v>383183.19999999995</v>
      </c>
      <c r="F61" s="171">
        <f t="shared" si="6"/>
        <v>0</v>
      </c>
      <c r="G61" s="171">
        <f>SUM(G25:G60)</f>
        <v>383183.19999999995</v>
      </c>
      <c r="H61" s="186">
        <f t="shared" si="5"/>
        <v>0.16746991723594623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'[19]Sch C'!D57</f>
        <v>100368</v>
      </c>
      <c r="D64" s="501">
        <f>'[19]Sch C'!F57</f>
        <v>-100368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'[19]Sch C'!D58</f>
        <v>1789</v>
      </c>
      <c r="D65" s="501">
        <f>'[19]Sch C'!F58</f>
        <v>18881</v>
      </c>
      <c r="E65" s="171">
        <f t="shared" si="7"/>
        <v>20670</v>
      </c>
      <c r="F65" s="171"/>
      <c r="G65" s="171">
        <f t="shared" si="8"/>
        <v>20670</v>
      </c>
      <c r="H65" s="172">
        <f t="shared" si="9"/>
        <v>9.0338072996598209E-3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'[19]Sch C'!D59</f>
        <v>0</v>
      </c>
      <c r="D66" s="501">
        <f>'[19]Sch C'!F59</f>
        <v>62371</v>
      </c>
      <c r="E66" s="171">
        <f t="shared" si="7"/>
        <v>62371</v>
      </c>
      <c r="F66" s="171"/>
      <c r="G66" s="171">
        <f t="shared" si="8"/>
        <v>62371</v>
      </c>
      <c r="H66" s="172">
        <f t="shared" si="9"/>
        <v>2.7259196666041735E-2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'[19]Sch C'!D60</f>
        <v>0</v>
      </c>
      <c r="D67" s="501">
        <f>'[19]Sch C'!F60</f>
        <v>9742.02</v>
      </c>
      <c r="E67" s="171">
        <f t="shared" si="7"/>
        <v>9742.02</v>
      </c>
      <c r="F67" s="171"/>
      <c r="G67" s="171">
        <f t="shared" si="8"/>
        <v>9742.02</v>
      </c>
      <c r="H67" s="172">
        <f t="shared" si="9"/>
        <v>4.2577422055845174E-3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'[19]Sch C'!D61</f>
        <v>0</v>
      </c>
      <c r="D68" s="501">
        <f>'[19]Sch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'[19]Sch C'!D62</f>
        <v>1899</v>
      </c>
      <c r="D69" s="501">
        <f>'[19]Sch C'!F62</f>
        <v>0</v>
      </c>
      <c r="E69" s="171">
        <f t="shared" si="7"/>
        <v>1899</v>
      </c>
      <c r="F69" s="171"/>
      <c r="G69" s="171">
        <f t="shared" si="8"/>
        <v>1899</v>
      </c>
      <c r="H69" s="172">
        <f t="shared" si="9"/>
        <v>8.2995646163783253E-4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'[19]Sch C'!D63</f>
        <v>0</v>
      </c>
      <c r="D70" s="501">
        <f>'[19]Sch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'[19]Sch C'!D64</f>
        <v>0</v>
      </c>
      <c r="D71" s="501">
        <f>'[19]Sch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'[19]Sch C'!D65</f>
        <v>4444.43</v>
      </c>
      <c r="D72" s="501">
        <f>'[19]Sch C'!F65</f>
        <v>0</v>
      </c>
      <c r="E72" s="171">
        <f t="shared" si="7"/>
        <v>4444.43</v>
      </c>
      <c r="F72" s="171"/>
      <c r="G72" s="171">
        <f t="shared" si="8"/>
        <v>4444.43</v>
      </c>
      <c r="H72" s="172">
        <f t="shared" si="9"/>
        <v>1.9424346481290323E-3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'[19]Sch C'!D66</f>
        <v>0</v>
      </c>
      <c r="D73" s="501">
        <f>'[19]Sch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'[19]Sch C'!D67</f>
        <v>39076</v>
      </c>
      <c r="D74" s="501">
        <f>'[19]Sch C'!F67</f>
        <v>0</v>
      </c>
      <c r="E74" s="171">
        <f t="shared" si="7"/>
        <v>39076</v>
      </c>
      <c r="F74" s="171"/>
      <c r="G74" s="171">
        <f t="shared" si="8"/>
        <v>39076</v>
      </c>
      <c r="H74" s="172">
        <f t="shared" si="9"/>
        <v>1.7078135173754578E-2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'[19]Sch C'!D68</f>
        <v>21013</v>
      </c>
      <c r="D75" s="501">
        <f>'[19]Sch C'!F68</f>
        <v>-21013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'[19]Sch C'!D69</f>
        <v>497.93</v>
      </c>
      <c r="D76" s="501">
        <f>'[19]Sch C'!F69</f>
        <v>0</v>
      </c>
      <c r="E76" s="171">
        <f t="shared" si="7"/>
        <v>497.93</v>
      </c>
      <c r="F76" s="171"/>
      <c r="G76" s="171">
        <f t="shared" si="8"/>
        <v>497.93</v>
      </c>
      <c r="H76" s="172">
        <f t="shared" si="9"/>
        <v>2.1761991624187781E-4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'[19]Sch C'!D70</f>
        <v>0</v>
      </c>
      <c r="D77" s="501">
        <f>'[19]Sch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'[19]Sch C'!D71</f>
        <v>0</v>
      </c>
      <c r="D78" s="501">
        <f>'[19]Sch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169087.35999999999</v>
      </c>
      <c r="D79" s="501">
        <f>SUM(D64:D78)</f>
        <v>-30386.98</v>
      </c>
      <c r="E79" s="171">
        <f t="shared" ref="E79:F79" si="10">SUM(E64:E78)</f>
        <v>138700.38</v>
      </c>
      <c r="F79" s="171">
        <f t="shared" si="10"/>
        <v>0</v>
      </c>
      <c r="G79" s="171">
        <f>SUM(G64:G78)</f>
        <v>138700.38</v>
      </c>
      <c r="H79" s="172">
        <f t="shared" si="9"/>
        <v>6.0618892371049393E-2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'[19]Sch C'!D75</f>
        <v>76950.460000000006</v>
      </c>
      <c r="D82" s="501">
        <f>'[19]Sch C'!F75</f>
        <v>0</v>
      </c>
      <c r="E82" s="171">
        <f t="shared" ref="E82:E92" si="11">C82+D82</f>
        <v>76950.460000000006</v>
      </c>
      <c r="F82" s="171"/>
      <c r="G82" s="171">
        <f t="shared" ref="G82:G92" si="12">E82+F82</f>
        <v>76950.460000000006</v>
      </c>
      <c r="H82" s="172">
        <f t="shared" ref="H82:H93" si="13">IF($G$208=0,0,G82/$G$208)</f>
        <v>3.3631138232229373E-2</v>
      </c>
      <c r="I82" s="473"/>
      <c r="J82" s="183">
        <v>2825</v>
      </c>
      <c r="K82" s="183">
        <v>2969</v>
      </c>
    </row>
    <row r="83" spans="1:11" s="167" customFormat="1">
      <c r="A83" s="169" t="s">
        <v>86</v>
      </c>
      <c r="B83" s="199" t="s">
        <v>45</v>
      </c>
      <c r="C83" s="501">
        <f>'[19]Sch C'!D76</f>
        <v>9227.44</v>
      </c>
      <c r="D83" s="501">
        <f>'[19]Sch C'!F76</f>
        <v>0</v>
      </c>
      <c r="E83" s="171">
        <f t="shared" si="11"/>
        <v>9227.44</v>
      </c>
      <c r="F83" s="171"/>
      <c r="G83" s="171">
        <f t="shared" si="12"/>
        <v>9227.44</v>
      </c>
      <c r="H83" s="172">
        <f t="shared" si="13"/>
        <v>4.03284541989226E-3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'[19]Sch C'!D77</f>
        <v>24855.06</v>
      </c>
      <c r="D84" s="501">
        <f>'[19]Sch C'!F77</f>
        <v>0</v>
      </c>
      <c r="E84" s="171">
        <f t="shared" si="11"/>
        <v>24855.06</v>
      </c>
      <c r="F84" s="171"/>
      <c r="G84" s="171">
        <f t="shared" si="12"/>
        <v>24855.06</v>
      </c>
      <c r="H84" s="172">
        <f t="shared" si="13"/>
        <v>1.0862884492572947E-2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'[19]Sch C'!D78</f>
        <v>3721.3</v>
      </c>
      <c r="D85" s="501">
        <f>'[19]Sch C'!F78</f>
        <v>0</v>
      </c>
      <c r="E85" s="171">
        <f t="shared" si="11"/>
        <v>3721.3</v>
      </c>
      <c r="F85" s="171"/>
      <c r="G85" s="171">
        <f t="shared" si="12"/>
        <v>3721.3</v>
      </c>
      <c r="H85" s="172">
        <f t="shared" si="13"/>
        <v>1.6263912483901351E-3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'[19]Sch C'!D79</f>
        <v>0</v>
      </c>
      <c r="D86" s="501">
        <f>'[19]Sch C'!F79</f>
        <v>0</v>
      </c>
      <c r="E86" s="171">
        <f t="shared" si="11"/>
        <v>0</v>
      </c>
      <c r="F86" s="171"/>
      <c r="G86" s="171">
        <f>E86+F86</f>
        <v>0</v>
      </c>
      <c r="H86" s="172">
        <f t="shared" si="13"/>
        <v>0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'[19]Sch C'!D80</f>
        <v>13587.66</v>
      </c>
      <c r="D87" s="501">
        <f>'[19]Sch C'!F80</f>
        <v>0</v>
      </c>
      <c r="E87" s="171">
        <f t="shared" si="11"/>
        <v>13587.66</v>
      </c>
      <c r="F87" s="171"/>
      <c r="G87" s="171">
        <f t="shared" si="12"/>
        <v>13587.66</v>
      </c>
      <c r="H87" s="172">
        <f t="shared" si="13"/>
        <v>5.9384761535218071E-3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'[19]Sch C'!D81</f>
        <v>0</v>
      </c>
      <c r="D88" s="501">
        <f>'[19]Sch C'!F81</f>
        <v>0</v>
      </c>
      <c r="E88" s="171">
        <f t="shared" si="11"/>
        <v>0</v>
      </c>
      <c r="F88" s="171"/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'[19]Sch C'!D82</f>
        <v>0</v>
      </c>
      <c r="D89" s="501">
        <f>'[19]Sch C'!F82</f>
        <v>0</v>
      </c>
      <c r="E89" s="171">
        <f t="shared" si="11"/>
        <v>0</v>
      </c>
      <c r="F89" s="171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'[19]Sch C'!D83</f>
        <v>5282.84</v>
      </c>
      <c r="D90" s="501">
        <f>'[19]Sch C'!F83</f>
        <v>0</v>
      </c>
      <c r="E90" s="171">
        <f t="shared" si="11"/>
        <v>5282.84</v>
      </c>
      <c r="F90" s="171"/>
      <c r="G90" s="171">
        <f t="shared" si="12"/>
        <v>5282.84</v>
      </c>
      <c r="H90" s="172">
        <f t="shared" si="13"/>
        <v>2.3088610815159595E-3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'[19]Sch C'!D84</f>
        <v>35774.629999999997</v>
      </c>
      <c r="D91" s="501">
        <f>'[19]Sch C'!F84</f>
        <v>0</v>
      </c>
      <c r="E91" s="171">
        <f t="shared" si="11"/>
        <v>35774.629999999997</v>
      </c>
      <c r="F91" s="171"/>
      <c r="G91" s="171">
        <f t="shared" si="12"/>
        <v>35774.629999999997</v>
      </c>
      <c r="H91" s="172">
        <f t="shared" si="13"/>
        <v>1.5635274002739681E-2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'[19]Sch C'!D85</f>
        <v>0</v>
      </c>
      <c r="D92" s="501">
        <f>'[19]Sch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169399.39</v>
      </c>
      <c r="D93" s="501">
        <f>SUM(D82:D92)</f>
        <v>0</v>
      </c>
      <c r="E93" s="171">
        <f t="shared" ref="E93:F93" si="14">SUM(E82:E92)</f>
        <v>169399.39</v>
      </c>
      <c r="F93" s="171">
        <f t="shared" si="14"/>
        <v>0</v>
      </c>
      <c r="G93" s="171">
        <f>SUM(G82:G92)</f>
        <v>169399.39</v>
      </c>
      <c r="H93" s="172">
        <f t="shared" si="13"/>
        <v>7.4035870630862158E-2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'[19]Sch C'!D89</f>
        <v>150122.64000000001</v>
      </c>
      <c r="D96" s="501">
        <f>'[19]Sch C'!F89</f>
        <v>0</v>
      </c>
      <c r="E96" s="171">
        <f t="shared" ref="E96:E101" si="15">C96+D96</f>
        <v>150122.64000000001</v>
      </c>
      <c r="F96" s="171"/>
      <c r="G96" s="171">
        <f t="shared" ref="G96:G101" si="16">E96+F96</f>
        <v>150122.64000000001</v>
      </c>
      <c r="H96" s="172">
        <f t="shared" ref="H96:H102" si="17">IF($G$208=0,0,G96/$G$208)</f>
        <v>6.561098215172731E-2</v>
      </c>
      <c r="I96" s="473"/>
      <c r="J96" s="183">
        <v>10480</v>
      </c>
      <c r="K96" s="183">
        <v>11056</v>
      </c>
    </row>
    <row r="97" spans="1:11" s="167" customFormat="1">
      <c r="A97" s="169" t="s">
        <v>86</v>
      </c>
      <c r="B97" s="170" t="s">
        <v>45</v>
      </c>
      <c r="C97" s="501">
        <f>'[19]Sch C'!D90</f>
        <v>18989.95</v>
      </c>
      <c r="D97" s="501">
        <f>'[19]Sch C'!F90</f>
        <v>0</v>
      </c>
      <c r="E97" s="171">
        <f t="shared" si="15"/>
        <v>18989.95</v>
      </c>
      <c r="F97" s="171"/>
      <c r="G97" s="171">
        <f t="shared" si="16"/>
        <v>18989.95</v>
      </c>
      <c r="H97" s="172">
        <f t="shared" si="17"/>
        <v>8.2995427639175143E-3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'[19]Sch C'!D91</f>
        <v>6339.44</v>
      </c>
      <c r="D98" s="501">
        <f>'[19]Sch C'!F91</f>
        <v>0</v>
      </c>
      <c r="E98" s="171">
        <f t="shared" si="15"/>
        <v>6339.44</v>
      </c>
      <c r="F98" s="171"/>
      <c r="G98" s="171">
        <f t="shared" si="16"/>
        <v>6339.44</v>
      </c>
      <c r="H98" s="172">
        <f t="shared" si="17"/>
        <v>2.770647283394071E-3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'[19]Sch C'!D92</f>
        <v>143766.74</v>
      </c>
      <c r="D99" s="501">
        <f>'[19]Sch C'!F92</f>
        <v>0</v>
      </c>
      <c r="E99" s="171">
        <f t="shared" si="15"/>
        <v>143766.74</v>
      </c>
      <c r="F99" s="171"/>
      <c r="G99" s="171">
        <f t="shared" si="16"/>
        <v>143766.74</v>
      </c>
      <c r="H99" s="172">
        <f t="shared" si="17"/>
        <v>6.2833141038233939E-2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'[19]Sch C'!D93</f>
        <v>18331.93</v>
      </c>
      <c r="D100" s="501">
        <f>'[19]Sch C'!F93</f>
        <v>0</v>
      </c>
      <c r="E100" s="171">
        <f t="shared" si="15"/>
        <v>18331.93</v>
      </c>
      <c r="F100" s="171"/>
      <c r="G100" s="171">
        <f t="shared" si="16"/>
        <v>18331.93</v>
      </c>
      <c r="H100" s="172">
        <f t="shared" si="17"/>
        <v>8.011955638647936E-3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'[19]Sch C'!D94</f>
        <v>0</v>
      </c>
      <c r="D101" s="501">
        <f>'[19]Sch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337550.7</v>
      </c>
      <c r="D102" s="501">
        <f>SUM(D96:D101)</f>
        <v>0</v>
      </c>
      <c r="E102" s="171">
        <f t="shared" ref="E102:F102" si="18">SUM(E96:E101)</f>
        <v>337550.7</v>
      </c>
      <c r="F102" s="171">
        <f t="shared" si="18"/>
        <v>0</v>
      </c>
      <c r="G102" s="171">
        <f>SUM(G96:G101)</f>
        <v>337550.7</v>
      </c>
      <c r="H102" s="172">
        <f t="shared" si="17"/>
        <v>0.14752626887592077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'[19]Sch C'!D98</f>
        <v>21603</v>
      </c>
      <c r="D105" s="501">
        <f>'[19]Sch C'!F98</f>
        <v>0</v>
      </c>
      <c r="E105" s="171">
        <f t="shared" ref="E105:E110" si="19">C105+D105</f>
        <v>21603</v>
      </c>
      <c r="F105" s="171"/>
      <c r="G105" s="171">
        <f t="shared" ref="G105:G110" si="20">E105+F105</f>
        <v>21603</v>
      </c>
      <c r="H105" s="172">
        <f t="shared" ref="H105:H111" si="21">IF($G$208=0,0,G105/$G$208)</f>
        <v>9.4415742184107941E-3</v>
      </c>
      <c r="I105" s="473"/>
      <c r="J105" s="183">
        <v>2176</v>
      </c>
      <c r="K105" s="183">
        <v>2320</v>
      </c>
    </row>
    <row r="106" spans="1:11" s="167" customFormat="1">
      <c r="A106" s="169" t="s">
        <v>86</v>
      </c>
      <c r="B106" s="170" t="s">
        <v>45</v>
      </c>
      <c r="C106" s="501">
        <f>'[19]Sch C'!D99</f>
        <v>1761.17</v>
      </c>
      <c r="D106" s="501">
        <f>'[19]Sch C'!F99</f>
        <v>0</v>
      </c>
      <c r="E106" s="171">
        <f t="shared" si="19"/>
        <v>1761.17</v>
      </c>
      <c r="F106" s="171"/>
      <c r="G106" s="171">
        <f t="shared" si="20"/>
        <v>1761.17</v>
      </c>
      <c r="H106" s="172">
        <f t="shared" si="21"/>
        <v>7.6971796816361325E-4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'[19]Sch C'!D100</f>
        <v>1373.16</v>
      </c>
      <c r="D107" s="501">
        <f>'[19]Sch C'!F100</f>
        <v>0</v>
      </c>
      <c r="E107" s="171">
        <f t="shared" si="19"/>
        <v>1373.16</v>
      </c>
      <c r="F107" s="171"/>
      <c r="G107" s="171">
        <f t="shared" si="20"/>
        <v>1373.16</v>
      </c>
      <c r="H107" s="172">
        <f t="shared" si="21"/>
        <v>6.0013850177072475E-4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'[19]Sch C'!D101</f>
        <v>0</v>
      </c>
      <c r="D108" s="501">
        <f>'[19]Sch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'[19]Sch C'!D102</f>
        <v>0</v>
      </c>
      <c r="D109" s="501">
        <f>'[19]Sch C'!F102</f>
        <v>0</v>
      </c>
      <c r="E109" s="171">
        <f t="shared" si="19"/>
        <v>0</v>
      </c>
      <c r="F109" s="171"/>
      <c r="G109" s="171">
        <f t="shared" si="20"/>
        <v>0</v>
      </c>
      <c r="H109" s="172">
        <f t="shared" si="21"/>
        <v>0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'[19]Sch C'!D103</f>
        <v>0</v>
      </c>
      <c r="D110" s="501">
        <f>'[19]Sch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24737.329999999998</v>
      </c>
      <c r="D111" s="501">
        <f>SUM(D105:D110)</f>
        <v>0</v>
      </c>
      <c r="E111" s="171">
        <f t="shared" ref="E111:F111" si="22">SUM(E105:E110)</f>
        <v>24737.329999999998</v>
      </c>
      <c r="F111" s="171">
        <f t="shared" si="22"/>
        <v>0</v>
      </c>
      <c r="G111" s="171">
        <f>SUM(G105:G110)</f>
        <v>24737.329999999998</v>
      </c>
      <c r="H111" s="172">
        <f t="shared" si="21"/>
        <v>1.0811430688345131E-2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2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2" s="167" customFormat="1">
      <c r="A114" s="169" t="s">
        <v>85</v>
      </c>
      <c r="B114" s="170" t="s">
        <v>44</v>
      </c>
      <c r="C114" s="501">
        <f>'[19]Sch C'!D115</f>
        <v>28973.82</v>
      </c>
      <c r="D114" s="501">
        <f>'[19]Sch C'!F115</f>
        <v>0</v>
      </c>
      <c r="E114" s="171">
        <f t="shared" ref="E114:E118" si="23">C114+D114</f>
        <v>28973.82</v>
      </c>
      <c r="F114" s="171"/>
      <c r="G114" s="171">
        <f>E114+F114</f>
        <v>28973.82</v>
      </c>
      <c r="H114" s="172">
        <f t="shared" ref="H114:H119" si="24">IF($G$208=0,0,G114/$G$208)</f>
        <v>1.2662985322449428E-2</v>
      </c>
      <c r="I114" s="473"/>
      <c r="J114" s="183">
        <v>8088</v>
      </c>
      <c r="K114" s="183">
        <v>8520</v>
      </c>
    </row>
    <row r="115" spans="1:12" s="167" customFormat="1">
      <c r="A115" s="169" t="s">
        <v>86</v>
      </c>
      <c r="B115" s="170" t="s">
        <v>151</v>
      </c>
      <c r="C115" s="501">
        <f>'[19]Sch C'!D116</f>
        <v>12272.85</v>
      </c>
      <c r="D115" s="501">
        <f>'[19]Sch C'!F116</f>
        <v>0</v>
      </c>
      <c r="E115" s="171">
        <f t="shared" si="23"/>
        <v>12272.85</v>
      </c>
      <c r="F115" s="171"/>
      <c r="G115" s="171">
        <f>E115+F115</f>
        <v>12272.85</v>
      </c>
      <c r="H115" s="172">
        <f t="shared" si="24"/>
        <v>5.3638394735186275E-3</v>
      </c>
      <c r="I115" s="473"/>
      <c r="J115" s="168"/>
      <c r="K115" s="168"/>
    </row>
    <row r="116" spans="1:12" s="167" customFormat="1">
      <c r="A116" s="169" t="s">
        <v>93</v>
      </c>
      <c r="B116" s="170" t="s">
        <v>47</v>
      </c>
      <c r="C116" s="501">
        <f>'[19]Sch C'!D117</f>
        <v>18997.400000000001</v>
      </c>
      <c r="D116" s="501">
        <f>'[19]Sch C'!F117</f>
        <v>0</v>
      </c>
      <c r="E116" s="171">
        <f t="shared" si="23"/>
        <v>18997.400000000001</v>
      </c>
      <c r="F116" s="171"/>
      <c r="G116" s="171">
        <f>E116+F116</f>
        <v>18997.400000000001</v>
      </c>
      <c r="H116" s="172">
        <f t="shared" si="24"/>
        <v>8.3027987805784943E-3</v>
      </c>
      <c r="I116" s="473"/>
      <c r="J116" s="168"/>
      <c r="K116" s="168"/>
    </row>
    <row r="117" spans="1:12" s="167" customFormat="1">
      <c r="A117" s="169">
        <v>310</v>
      </c>
      <c r="B117" s="170" t="s">
        <v>60</v>
      </c>
      <c r="C117" s="501">
        <f>'[19]Sch C'!D118</f>
        <v>0</v>
      </c>
      <c r="D117" s="501">
        <f>'[19]Sch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2" s="167" customFormat="1">
      <c r="A118" s="169">
        <v>490</v>
      </c>
      <c r="B118" s="202" t="s">
        <v>312</v>
      </c>
      <c r="C118" s="501">
        <f>'[19]Sch C'!D119</f>
        <v>0</v>
      </c>
      <c r="D118" s="501">
        <f>'[19]Sch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2" s="167" customFormat="1">
      <c r="A119" s="163"/>
      <c r="B119" s="170" t="s">
        <v>61</v>
      </c>
      <c r="C119" s="501">
        <f>SUM(C114:C118)</f>
        <v>60244.07</v>
      </c>
      <c r="D119" s="501">
        <f>SUM(D114:D118)</f>
        <v>0</v>
      </c>
      <c r="E119" s="171">
        <f t="shared" ref="E119:F119" si="25">SUM(E114:E118)</f>
        <v>60244.07</v>
      </c>
      <c r="F119" s="171">
        <f t="shared" si="25"/>
        <v>0</v>
      </c>
      <c r="G119" s="171">
        <f>SUM(G114:G118)</f>
        <v>60244.07</v>
      </c>
      <c r="H119" s="172">
        <f t="shared" si="24"/>
        <v>2.632962357654655E-2</v>
      </c>
      <c r="I119" s="473"/>
      <c r="J119" s="168"/>
      <c r="K119" s="168"/>
    </row>
    <row r="120" spans="1:12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2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2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2" s="167" customFormat="1">
      <c r="B123" s="163" t="s">
        <v>232</v>
      </c>
      <c r="C123" s="501">
        <f>'[19]Sch C'!D124</f>
        <v>0</v>
      </c>
      <c r="D123" s="501">
        <f>'[19]Sch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  <c r="L123" s="167" t="s">
        <v>386</v>
      </c>
    </row>
    <row r="124" spans="1:12" s="167" customFormat="1">
      <c r="B124" s="163" t="s">
        <v>194</v>
      </c>
      <c r="C124" s="501">
        <f>'[19]Sch C'!D125</f>
        <v>111906.09</v>
      </c>
      <c r="D124" s="501">
        <f>'[19]Sch C'!F125</f>
        <v>0</v>
      </c>
      <c r="E124" s="171">
        <f t="shared" si="26"/>
        <v>111906.09</v>
      </c>
      <c r="F124" s="171"/>
      <c r="G124" s="171">
        <f>E124+F124</f>
        <v>111906.09</v>
      </c>
      <c r="H124" s="172">
        <f>IF($G$208=0,0,G124/$G$208)</f>
        <v>4.8908468926869321E-2</v>
      </c>
      <c r="I124" s="473"/>
      <c r="J124" s="183">
        <v>2041</v>
      </c>
      <c r="K124" s="183">
        <v>2185</v>
      </c>
    </row>
    <row r="125" spans="1:12" s="167" customFormat="1">
      <c r="A125" s="163" t="s">
        <v>198</v>
      </c>
      <c r="B125" s="163" t="s">
        <v>195</v>
      </c>
      <c r="C125" s="501">
        <f>'[19]Sch C'!D126</f>
        <v>0</v>
      </c>
      <c r="D125" s="501">
        <f>'[19]Sch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2" s="167" customFormat="1">
      <c r="A126" s="169"/>
      <c r="B126" s="163" t="s">
        <v>196</v>
      </c>
      <c r="C126" s="501">
        <f>'[19]Sch C'!D127</f>
        <v>0</v>
      </c>
      <c r="D126" s="501">
        <f>'[19]Sch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2" s="167" customFormat="1">
      <c r="A127" s="169"/>
      <c r="B127" s="163" t="s">
        <v>197</v>
      </c>
      <c r="C127" s="501">
        <f>'[19]Sch C'!D128</f>
        <v>93615.95</v>
      </c>
      <c r="D127" s="501">
        <f>'[19]Sch C'!F128</f>
        <v>0</v>
      </c>
      <c r="E127" s="171">
        <f t="shared" si="26"/>
        <v>93615.95</v>
      </c>
      <c r="F127" s="171"/>
      <c r="G127" s="171">
        <f>E127+F127</f>
        <v>93615.95</v>
      </c>
      <c r="H127" s="172">
        <f>IF($G$208=0,0,G127/$G$208)</f>
        <v>4.091477757496801E-2</v>
      </c>
      <c r="I127" s="473"/>
      <c r="J127" s="183">
        <v>2539</v>
      </c>
      <c r="K127" s="183">
        <v>3827</v>
      </c>
    </row>
    <row r="128" spans="1:12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'[19]Sch C'!D130</f>
        <v>0</v>
      </c>
      <c r="D129" s="501">
        <f>'[19]Sch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'[19]Sch C'!D131</f>
        <v>22800.26</v>
      </c>
      <c r="D130" s="501">
        <f>'[19]Sch C'!F131</f>
        <v>0</v>
      </c>
      <c r="E130" s="171">
        <f t="shared" si="27"/>
        <v>22800.26</v>
      </c>
      <c r="F130" s="171"/>
      <c r="G130" s="171">
        <f>E130+F130</f>
        <v>22800.26</v>
      </c>
      <c r="H130" s="172">
        <f>IF($G$208=0,0,G130/$G$208)</f>
        <v>9.9648357630450803E-3</v>
      </c>
      <c r="I130" s="473"/>
      <c r="J130" s="204"/>
      <c r="K130" s="204"/>
    </row>
    <row r="131" spans="1:11" s="167" customFormat="1">
      <c r="B131" s="163" t="s">
        <v>195</v>
      </c>
      <c r="C131" s="501">
        <f>'[19]Sch C'!D132</f>
        <v>0</v>
      </c>
      <c r="D131" s="501">
        <f>'[19]Sch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'[19]Sch C'!D133</f>
        <v>0</v>
      </c>
      <c r="D132" s="501">
        <f>'[19]Sch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'[19]Sch C'!D134</f>
        <v>9604.15</v>
      </c>
      <c r="D133" s="501">
        <f>'[19]Sch C'!F134</f>
        <v>0</v>
      </c>
      <c r="E133" s="171">
        <f t="shared" si="27"/>
        <v>9604.15</v>
      </c>
      <c r="F133" s="171"/>
      <c r="G133" s="171">
        <f>E133+F133</f>
        <v>9604.15</v>
      </c>
      <c r="H133" s="172">
        <f>IF($G$208=0,0,G133/$G$208)</f>
        <v>4.1974862301416482E-3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'[19]Sch C'!D136</f>
        <v>143887.4</v>
      </c>
      <c r="D135" s="501">
        <f>'[19]Sch C'!F136</f>
        <v>0</v>
      </c>
      <c r="E135" s="171">
        <f t="shared" ref="E135:E138" si="28">C135+D135</f>
        <v>143887.4</v>
      </c>
      <c r="F135" s="171"/>
      <c r="G135" s="171">
        <f>E135+F135</f>
        <v>143887.4</v>
      </c>
      <c r="H135" s="172">
        <f>IF($G$208=0,0,G135/$G$208)</f>
        <v>6.2885875396665333E-2</v>
      </c>
      <c r="I135" s="473"/>
      <c r="J135" s="183">
        <v>4121</v>
      </c>
      <c r="K135" s="183">
        <v>4409</v>
      </c>
    </row>
    <row r="136" spans="1:11" s="167" customFormat="1">
      <c r="A136" s="169"/>
      <c r="B136" s="163" t="s">
        <v>195</v>
      </c>
      <c r="C136" s="501">
        <f>'[19]Sch C'!D137</f>
        <v>152739.98000000001</v>
      </c>
      <c r="D136" s="501">
        <f>'[19]Sch C'!F137</f>
        <v>0</v>
      </c>
      <c r="E136" s="171">
        <f t="shared" si="28"/>
        <v>152739.98000000001</v>
      </c>
      <c r="F136" s="171"/>
      <c r="G136" s="171">
        <f>E136+F136</f>
        <v>152739.98000000001</v>
      </c>
      <c r="H136" s="172">
        <f>IF($G$208=0,0,G136/$G$208)</f>
        <v>6.6754888547358254E-2</v>
      </c>
      <c r="I136" s="473"/>
      <c r="J136" s="183">
        <v>5072</v>
      </c>
      <c r="K136" s="183">
        <v>5792</v>
      </c>
    </row>
    <row r="137" spans="1:11" s="167" customFormat="1">
      <c r="A137" s="169"/>
      <c r="B137" s="163" t="s">
        <v>196</v>
      </c>
      <c r="C137" s="501">
        <f>'[19]Sch C'!D138</f>
        <v>386716.1</v>
      </c>
      <c r="D137" s="501">
        <f>'[19]Sch C'!F138</f>
        <v>0</v>
      </c>
      <c r="E137" s="171">
        <f t="shared" si="28"/>
        <v>386716.1</v>
      </c>
      <c r="F137" s="171"/>
      <c r="G137" s="171">
        <f>E137+F137</f>
        <v>386716.1</v>
      </c>
      <c r="H137" s="172">
        <f>IF($G$208=0,0,G137/$G$208)</f>
        <v>0.16901396841199695</v>
      </c>
      <c r="I137" s="473"/>
      <c r="J137" s="183">
        <v>26305</v>
      </c>
      <c r="K137" s="183">
        <v>28321</v>
      </c>
    </row>
    <row r="138" spans="1:11" s="167" customFormat="1">
      <c r="A138" s="169"/>
      <c r="B138" s="163" t="s">
        <v>197</v>
      </c>
      <c r="C138" s="501">
        <f>'[19]Sch C'!D139</f>
        <v>0</v>
      </c>
      <c r="D138" s="501">
        <f>'[19]Sch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'[19]Sch C'!D141</f>
        <v>18799.7</v>
      </c>
      <c r="D140" s="501">
        <f>'[19]Sch C'!F141</f>
        <v>0</v>
      </c>
      <c r="E140" s="171">
        <f t="shared" ref="E140:E143" si="29">C140+D140</f>
        <v>18799.7</v>
      </c>
      <c r="F140" s="171"/>
      <c r="G140" s="171">
        <f>E140+F140</f>
        <v>18799.7</v>
      </c>
      <c r="H140" s="172">
        <f>IF($G$208=0,0,G140/$G$208)</f>
        <v>8.2163941505280468E-3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'[19]Sch C'!D142</f>
        <v>15667.2</v>
      </c>
      <c r="D141" s="501">
        <f>'[19]Sch C'!F142</f>
        <v>0</v>
      </c>
      <c r="E141" s="171">
        <f t="shared" si="29"/>
        <v>15667.2</v>
      </c>
      <c r="F141" s="171"/>
      <c r="G141" s="171">
        <f>E141+F141</f>
        <v>15667.2</v>
      </c>
      <c r="H141" s="172">
        <f>IF($G$208=0,0,G141/$G$208)</f>
        <v>6.8473374806594265E-3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'[19]Sch C'!D143</f>
        <v>38412.379999999997</v>
      </c>
      <c r="D142" s="501">
        <f>'[19]Sch C'!F143</f>
        <v>0</v>
      </c>
      <c r="E142" s="171">
        <f t="shared" si="29"/>
        <v>38412.379999999997</v>
      </c>
      <c r="F142" s="171"/>
      <c r="G142" s="171">
        <f>E142+F142</f>
        <v>38412.379999999997</v>
      </c>
      <c r="H142" s="172">
        <f>IF($G$208=0,0,G142/$G$208)</f>
        <v>1.6788100572874061E-2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'[19]Sch C'!D144</f>
        <v>0</v>
      </c>
      <c r="D143" s="501">
        <f>'[19]Sch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'[19]Sch C'!D146</f>
        <v>7693.04</v>
      </c>
      <c r="D145" s="501">
        <f>'[19]Sch C'!F146</f>
        <v>0</v>
      </c>
      <c r="E145" s="171">
        <f t="shared" ref="E145:E153" si="30">C145+D145</f>
        <v>7693.04</v>
      </c>
      <c r="F145" s="171"/>
      <c r="G145" s="171">
        <f t="shared" ref="G145:G153" si="31">E145+F145</f>
        <v>7693.04</v>
      </c>
      <c r="H145" s="172">
        <f t="shared" ref="H145:H153" si="32">IF($G$208=0,0,G145/$G$208)</f>
        <v>3.3622371024951614E-3</v>
      </c>
      <c r="I145" s="473"/>
      <c r="J145" s="183">
        <v>208</v>
      </c>
      <c r="K145" s="183">
        <v>208</v>
      </c>
    </row>
    <row r="146" spans="1:11" s="167" customFormat="1">
      <c r="A146" s="169"/>
      <c r="B146" s="163" t="s">
        <v>194</v>
      </c>
      <c r="C146" s="501">
        <f>'[19]Sch C'!D147</f>
        <v>0</v>
      </c>
      <c r="D146" s="501">
        <f>'[19]Sch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'[19]Sch C'!D148</f>
        <v>0</v>
      </c>
      <c r="D147" s="501">
        <f>'[19]Sch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'[19]Sch C'!D149</f>
        <v>0</v>
      </c>
      <c r="D148" s="501">
        <f>'[19]Sch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'[19]Sch C'!D150</f>
        <v>5148.34</v>
      </c>
      <c r="D149" s="501">
        <f>'[19]Sch C'!F150</f>
        <v>0</v>
      </c>
      <c r="E149" s="171">
        <f t="shared" si="30"/>
        <v>5148.34</v>
      </c>
      <c r="F149" s="171"/>
      <c r="G149" s="171">
        <f t="shared" si="31"/>
        <v>5148.34</v>
      </c>
      <c r="H149" s="172">
        <f t="shared" si="32"/>
        <v>2.2500779619318164E-3</v>
      </c>
      <c r="I149" s="473"/>
      <c r="J149" s="183">
        <v>165</v>
      </c>
      <c r="K149" s="183">
        <v>165</v>
      </c>
    </row>
    <row r="150" spans="1:11" s="167" customFormat="1">
      <c r="A150" s="169">
        <v>110</v>
      </c>
      <c r="B150" s="167" t="s">
        <v>65</v>
      </c>
      <c r="C150" s="501">
        <f>'[19]Sch C'!D151</f>
        <v>36171.919999999998</v>
      </c>
      <c r="D150" s="501">
        <f>'[19]Sch C'!F151</f>
        <v>0</v>
      </c>
      <c r="E150" s="171">
        <f t="shared" si="30"/>
        <v>36171.919999999998</v>
      </c>
      <c r="F150" s="171"/>
      <c r="G150" s="171">
        <f t="shared" si="31"/>
        <v>36171.919999999998</v>
      </c>
      <c r="H150" s="172">
        <f t="shared" si="32"/>
        <v>1.5808909285859266E-2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'[19]Sch C'!D152</f>
        <v>166.23</v>
      </c>
      <c r="D151" s="501">
        <f>'[19]Sch C'!F152</f>
        <v>0</v>
      </c>
      <c r="E151" s="171">
        <f t="shared" si="30"/>
        <v>166.23</v>
      </c>
      <c r="F151" s="171"/>
      <c r="G151" s="171">
        <f t="shared" si="31"/>
        <v>166.23</v>
      </c>
      <c r="H151" s="172">
        <f t="shared" si="32"/>
        <v>7.2650691215406476E-5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'[19]Sch C'!D153</f>
        <v>0</v>
      </c>
      <c r="D152" s="501">
        <f>'[19]Sch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'[19]Sch C'!D154</f>
        <v>0</v>
      </c>
      <c r="D153" s="501">
        <f>'[19]Sch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'[19]Sch C'!D156</f>
        <v>0</v>
      </c>
      <c r="D155" s="501">
        <f>'[19]Sch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'[19]Sch C'!D157</f>
        <v>0</v>
      </c>
      <c r="D156" s="501">
        <f>'[19]Sch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'[19]Sch C'!D158</f>
        <v>0</v>
      </c>
      <c r="D157" s="501">
        <f>'[19]Sch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'[19]Sch C'!D159</f>
        <v>0</v>
      </c>
      <c r="D158" s="501">
        <f>'[19]Sch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'[19]Sch C'!D160</f>
        <v>0</v>
      </c>
      <c r="D159" s="501">
        <f>'[19]Sch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'[19]Sch C'!D161</f>
        <v>0</v>
      </c>
      <c r="D160" s="501">
        <f>'[19]Sch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1043328.7399999999</v>
      </c>
      <c r="D161" s="501">
        <f>SUM(D123:D160)</f>
        <v>0</v>
      </c>
      <c r="E161" s="171">
        <f t="shared" ref="E161:F161" si="36">SUM(E123:E160)</f>
        <v>1043328.7399999999</v>
      </c>
      <c r="F161" s="171">
        <f t="shared" si="36"/>
        <v>0</v>
      </c>
      <c r="G161" s="171">
        <f>SUM(G123:G160)</f>
        <v>1043328.7399999999</v>
      </c>
      <c r="H161" s="172">
        <f t="shared" si="35"/>
        <v>0.45598600809660772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'[19]Sch C'!D175</f>
        <v>0</v>
      </c>
      <c r="D164" s="501">
        <f>'[19]Sch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'[19]Sch C'!D176</f>
        <v>0</v>
      </c>
      <c r="D165" s="501">
        <f>'[19]Sch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'[19]Sch C'!D177</f>
        <v>0</v>
      </c>
      <c r="D166" s="501">
        <f>'[19]Sch C'!F177</f>
        <v>0</v>
      </c>
      <c r="E166" s="171">
        <f t="shared" si="37"/>
        <v>0</v>
      </c>
      <c r="F166" s="171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'[19]Sch C'!D178</f>
        <v>0</v>
      </c>
      <c r="D167" s="501">
        <f>'[19]Sch C'!F178</f>
        <v>0</v>
      </c>
      <c r="E167" s="171">
        <f t="shared" si="37"/>
        <v>0</v>
      </c>
      <c r="F167" s="171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'[19]Sch C'!D179</f>
        <v>0</v>
      </c>
      <c r="D168" s="501">
        <f>'[19]Sch C'!F179</f>
        <v>0</v>
      </c>
      <c r="E168" s="171">
        <f t="shared" si="37"/>
        <v>0</v>
      </c>
      <c r="F168" s="171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'[19]Sch C'!D180</f>
        <v>0</v>
      </c>
      <c r="D169" s="501">
        <f>'[19]Sch C'!F180</f>
        <v>0</v>
      </c>
      <c r="E169" s="171">
        <f t="shared" si="37"/>
        <v>0</v>
      </c>
      <c r="F169" s="171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'[19]Sch C'!D181</f>
        <v>0</v>
      </c>
      <c r="D170" s="501">
        <f>'[19]Sch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'[19]Sch C'!D182</f>
        <v>0</v>
      </c>
      <c r="D171" s="501">
        <f>'[19]Sch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'[19]Sch C'!D183</f>
        <v>0</v>
      </c>
      <c r="D172" s="501">
        <f>'[19]Sch C'!F183</f>
        <v>0</v>
      </c>
      <c r="E172" s="171">
        <f t="shared" si="37"/>
        <v>0</v>
      </c>
      <c r="F172" s="171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'[19]Sch C'!D184</f>
        <v>0</v>
      </c>
      <c r="D173" s="501">
        <f>'[19]Sch C'!F184</f>
        <v>0</v>
      </c>
      <c r="E173" s="171">
        <f t="shared" si="37"/>
        <v>0</v>
      </c>
      <c r="F173" s="171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'[19]Sch C'!D185</f>
        <v>0</v>
      </c>
      <c r="D174" s="501">
        <f>'[19]Sch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'[19]Sch C'!D186</f>
        <v>0</v>
      </c>
      <c r="D175" s="501">
        <f>'[19]Sch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'[19]Sch C'!D187</f>
        <v>0</v>
      </c>
      <c r="D176" s="501">
        <f>'[19]Sch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'[19]Sch C'!D188</f>
        <v>0</v>
      </c>
      <c r="D177" s="501">
        <f>'[19]Sch C'!F188</f>
        <v>0</v>
      </c>
      <c r="E177" s="171">
        <f t="shared" si="37"/>
        <v>0</v>
      </c>
      <c r="F177" s="171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'[19]Sch C'!D189</f>
        <v>0</v>
      </c>
      <c r="D178" s="501">
        <f>'[19]Sch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'[19]Sch C'!D190</f>
        <v>0</v>
      </c>
      <c r="D179" s="501">
        <f>'[19]Sch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'[19]Sch C'!D191</f>
        <v>0</v>
      </c>
      <c r="D180" s="501">
        <f>'[19]Sch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'[19]Sch C'!D192</f>
        <v>0</v>
      </c>
      <c r="D181" s="501">
        <f>'[19]Sch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'[19]Sch C'!D193</f>
        <v>0</v>
      </c>
      <c r="D182" s="501">
        <f>'[19]Sch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'[19]Sch C'!D194</f>
        <v>0</v>
      </c>
      <c r="D183" s="501">
        <f>'[19]Sch C'!F194</f>
        <v>0</v>
      </c>
      <c r="E183" s="171">
        <f t="shared" si="37"/>
        <v>0</v>
      </c>
      <c r="F183" s="171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'[19]Sch C'!D195</f>
        <v>0</v>
      </c>
      <c r="D184" s="501">
        <f>'[19]Sch C'!F195</f>
        <v>0</v>
      </c>
      <c r="E184" s="171">
        <f t="shared" si="37"/>
        <v>0</v>
      </c>
      <c r="F184" s="171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'[19]Sch C'!D196</f>
        <v>0</v>
      </c>
      <c r="D185" s="501">
        <f>'[19]Sch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'[19]Sch C'!D197</f>
        <v>0</v>
      </c>
      <c r="D186" s="501">
        <f>'[19]Sch C'!F197</f>
        <v>0</v>
      </c>
      <c r="E186" s="171">
        <f t="shared" si="37"/>
        <v>0</v>
      </c>
      <c r="F186" s="171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'[19]Sch C'!D198</f>
        <v>236.55</v>
      </c>
      <c r="D187" s="501">
        <f>'[19]Sch C'!F198</f>
        <v>0</v>
      </c>
      <c r="E187" s="171">
        <f t="shared" si="37"/>
        <v>236.55</v>
      </c>
      <c r="F187" s="171"/>
      <c r="G187" s="171">
        <f t="shared" si="38"/>
        <v>236.55</v>
      </c>
      <c r="H187" s="172">
        <f t="shared" si="39"/>
        <v>1.0338399210133191E-4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'[19]Sch C'!D199</f>
        <v>0</v>
      </c>
      <c r="D188" s="501">
        <f>'[19]Sch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'[19]Sch C'!D200</f>
        <v>0</v>
      </c>
      <c r="D189" s="501">
        <f>'[19]Sch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'[19]Sch C'!D201</f>
        <v>0</v>
      </c>
      <c r="D190" s="501">
        <f>'[19]Sch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'[19]Sch C'!D202</f>
        <v>0</v>
      </c>
      <c r="D191" s="501">
        <f>'[19]Sch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'[19]Sch C'!D203</f>
        <v>0</v>
      </c>
      <c r="D192" s="501">
        <f>'[19]Sch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'[19]Sch C'!D204</f>
        <v>0</v>
      </c>
      <c r="D193" s="501">
        <f>'[19]Sch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'[19]Sch C'!D205</f>
        <v>4515.1400000000003</v>
      </c>
      <c r="D194" s="501">
        <f>'[19]Sch C'!F205</f>
        <v>0</v>
      </c>
      <c r="E194" s="171">
        <f t="shared" si="37"/>
        <v>4515.1400000000003</v>
      </c>
      <c r="F194" s="171"/>
      <c r="G194" s="171">
        <f t="shared" si="38"/>
        <v>4515.1400000000003</v>
      </c>
      <c r="H194" s="172">
        <f t="shared" si="39"/>
        <v>1.9733383982092909E-3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'[19]Sch C'!D206</f>
        <v>0</v>
      </c>
      <c r="D195" s="501">
        <f>'[19]Sch C'!F206</f>
        <v>0</v>
      </c>
      <c r="E195" s="171">
        <f t="shared" si="37"/>
        <v>0</v>
      </c>
      <c r="F195" s="171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'[19]Sch C'!D207</f>
        <v>0</v>
      </c>
      <c r="D196" s="501">
        <f>'[19]Sch C'!F207</f>
        <v>0</v>
      </c>
      <c r="E196" s="171">
        <f t="shared" si="37"/>
        <v>0</v>
      </c>
      <c r="F196" s="171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4751.6900000000005</v>
      </c>
      <c r="D197" s="501">
        <f>SUM(D164:D196)</f>
        <v>0</v>
      </c>
      <c r="E197" s="171">
        <f t="shared" ref="E197:F197" si="40">SUM(E164:E196)</f>
        <v>4751.6900000000005</v>
      </c>
      <c r="F197" s="171">
        <f t="shared" si="40"/>
        <v>0</v>
      </c>
      <c r="G197" s="171">
        <f>SUM(G164:G196)</f>
        <v>4751.6900000000005</v>
      </c>
      <c r="H197" s="172">
        <f>IF($G$208=0,0,G197/$G$208)</f>
        <v>2.0767223903106228E-3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'[19]Sch C'!D211</f>
        <v>66749.8</v>
      </c>
      <c r="D200" s="501">
        <f>'[19]Sch C'!F211</f>
        <v>0</v>
      </c>
      <c r="E200" s="171">
        <f t="shared" ref="E200:E205" si="41">C200+D200</f>
        <v>66749.8</v>
      </c>
      <c r="F200" s="171"/>
      <c r="G200" s="171">
        <f t="shared" ref="G200:G205" si="42">E200+F200</f>
        <v>66749.8</v>
      </c>
      <c r="H200" s="172">
        <f t="shared" ref="H200:H206" si="43">IF($G$208=0,0,G200/$G$208)</f>
        <v>2.9172947774109004E-2</v>
      </c>
      <c r="I200" s="473"/>
      <c r="J200" s="183">
        <v>3914</v>
      </c>
      <c r="K200" s="183">
        <v>4202</v>
      </c>
    </row>
    <row r="201" spans="1:14" s="167" customFormat="1">
      <c r="A201" s="169" t="s">
        <v>86</v>
      </c>
      <c r="B201" s="170" t="s">
        <v>45</v>
      </c>
      <c r="C201" s="501">
        <f>'[19]Sch C'!D212</f>
        <v>10982.99</v>
      </c>
      <c r="D201" s="501">
        <f>'[19]Sch C'!F212</f>
        <v>0</v>
      </c>
      <c r="E201" s="171">
        <f t="shared" si="41"/>
        <v>10982.99</v>
      </c>
      <c r="F201" s="171"/>
      <c r="G201" s="171">
        <f t="shared" si="42"/>
        <v>10982.99</v>
      </c>
      <c r="H201" s="172">
        <f t="shared" si="43"/>
        <v>4.8001071714606101E-3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'[19]Sch C'!D213</f>
        <v>15074.92</v>
      </c>
      <c r="D202" s="501">
        <f>'[19]Sch C'!F213</f>
        <v>0</v>
      </c>
      <c r="E202" s="171">
        <f t="shared" si="41"/>
        <v>15074.92</v>
      </c>
      <c r="F202" s="171"/>
      <c r="G202" s="171">
        <f t="shared" si="42"/>
        <v>15074.92</v>
      </c>
      <c r="H202" s="172">
        <f t="shared" si="43"/>
        <v>6.5884819708654004E-3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'[19]Sch C'!D214</f>
        <v>0</v>
      </c>
      <c r="D203" s="501">
        <f>'[19]Sch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'[19]Sch C'!D215</f>
        <v>0</v>
      </c>
      <c r="D204" s="501">
        <f>'[19]Sch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'[19]Sch C'!D216</f>
        <v>143455.62</v>
      </c>
      <c r="D205" s="501">
        <f>'[19]Sch C'!F216</f>
        <v>-99614</v>
      </c>
      <c r="E205" s="171">
        <f t="shared" si="41"/>
        <v>43841.619999999995</v>
      </c>
      <c r="F205" s="171">
        <v>-10473</v>
      </c>
      <c r="G205" s="171">
        <f t="shared" si="42"/>
        <v>33368.619999999995</v>
      </c>
      <c r="H205" s="172">
        <f t="shared" si="43"/>
        <v>1.4583729217976519E-2</v>
      </c>
      <c r="I205" s="473" t="s">
        <v>657</v>
      </c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236263.33000000002</v>
      </c>
      <c r="D206" s="501">
        <f>SUM(D200:D205)</f>
        <v>-99614</v>
      </c>
      <c r="E206" s="171">
        <f t="shared" ref="E206:F206" si="44">SUM(E200:E205)</f>
        <v>136649.33000000002</v>
      </c>
      <c r="F206" s="171">
        <f t="shared" si="44"/>
        <v>-10473</v>
      </c>
      <c r="G206" s="171">
        <f>SUM(G200:G205)</f>
        <v>126176.33</v>
      </c>
      <c r="H206" s="172">
        <f t="shared" si="43"/>
        <v>5.5145266134411536E-2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2447127.61</v>
      </c>
      <c r="D208" s="501">
        <f>SUM(D25:D206)/2</f>
        <v>-148582.78</v>
      </c>
      <c r="E208" s="171">
        <f t="shared" ref="E208:F208" si="45">SUM(E25:E206)/2</f>
        <v>2298544.8299999996</v>
      </c>
      <c r="F208" s="171">
        <f t="shared" si="45"/>
        <v>-10473</v>
      </c>
      <c r="G208" s="171">
        <f>SUM(G25:G206)/2</f>
        <v>2288071.8299999996</v>
      </c>
      <c r="H208" s="172">
        <f>IF($G$208=0,0,G208/$G$208)</f>
        <v>1</v>
      </c>
      <c r="I208" s="473"/>
      <c r="J208" s="183">
        <f>SUM(J25:J200)</f>
        <v>69586</v>
      </c>
      <c r="K208" s="183">
        <f>SUM(K25:K200)</f>
        <v>75666</v>
      </c>
    </row>
    <row r="209" spans="1:11" s="167" customFormat="1" ht="15.5">
      <c r="A209" s="163"/>
      <c r="B209" s="170"/>
      <c r="C209" s="165"/>
      <c r="D209" s="165"/>
      <c r="E209" s="454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'[19]Sch C'!D221</f>
        <v>2447128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-0.39000000013038516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-41401.760000000242</v>
      </c>
      <c r="D215" s="501">
        <f>D21-D208</f>
        <v>148582.78</v>
      </c>
      <c r="E215" s="171">
        <f t="shared" ref="E215:F215" si="46">E21-E208</f>
        <v>107181.02000000002</v>
      </c>
      <c r="F215" s="171">
        <f t="shared" si="46"/>
        <v>10473</v>
      </c>
      <c r="G215" s="171">
        <f>G21-G208</f>
        <v>117654.02000000002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'[19]Sch D'!C9</f>
        <v>11277</v>
      </c>
      <c r="D219" s="530"/>
      <c r="E219" s="234">
        <f t="shared" ref="E219:G227" si="47">C219+D219</f>
        <v>11277</v>
      </c>
      <c r="F219" s="234"/>
      <c r="G219" s="234">
        <f t="shared" si="47"/>
        <v>11277</v>
      </c>
      <c r="H219" s="172">
        <f t="shared" ref="H219:H228" si="48">IF($G$228=0,0,G219/$G$228)</f>
        <v>0.8649332719742292</v>
      </c>
      <c r="I219" s="473"/>
      <c r="J219" s="168"/>
      <c r="K219" s="168"/>
    </row>
    <row r="220" spans="1:11">
      <c r="A220" s="163"/>
      <c r="B220" s="170" t="s">
        <v>217</v>
      </c>
      <c r="C220" s="530">
        <f>'[19]Sch D'!D9</f>
        <v>0</v>
      </c>
      <c r="D220" s="530"/>
      <c r="E220" s="234">
        <f t="shared" ref="E220:E227" si="49">C220+D220</f>
        <v>0</v>
      </c>
      <c r="F220" s="234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'[19]Sch D'!E9</f>
        <v>0</v>
      </c>
      <c r="D221" s="530"/>
      <c r="E221" s="234">
        <f t="shared" si="49"/>
        <v>0</v>
      </c>
      <c r="F221" s="234"/>
      <c r="G221" s="234">
        <f t="shared" si="47"/>
        <v>0</v>
      </c>
      <c r="H221" s="172">
        <f t="shared" si="48"/>
        <v>0</v>
      </c>
      <c r="I221" s="473"/>
      <c r="J221" s="168"/>
      <c r="K221" s="168"/>
    </row>
    <row r="222" spans="1:11">
      <c r="A222" s="163"/>
      <c r="B222" s="202" t="s">
        <v>334</v>
      </c>
      <c r="C222" s="530">
        <f>'[19]Sch D'!F9</f>
        <v>0</v>
      </c>
      <c r="D222" s="530"/>
      <c r="E222" s="234">
        <f>C222+D222</f>
        <v>0</v>
      </c>
      <c r="F222" s="234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'[19]Sch D'!G9</f>
        <v>0</v>
      </c>
      <c r="D223" s="530"/>
      <c r="E223" s="234">
        <f t="shared" si="49"/>
        <v>0</v>
      </c>
      <c r="F223" s="234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'[19]Sch D'!H9</f>
        <v>816</v>
      </c>
      <c r="D224" s="530"/>
      <c r="E224" s="234">
        <f t="shared" si="49"/>
        <v>816</v>
      </c>
      <c r="F224" s="234"/>
      <c r="G224" s="234">
        <f t="shared" si="47"/>
        <v>816</v>
      </c>
      <c r="H224" s="172">
        <f t="shared" si="48"/>
        <v>6.258628624022089E-2</v>
      </c>
      <c r="I224" s="473"/>
      <c r="J224" s="168"/>
      <c r="K224" s="168"/>
    </row>
    <row r="225" spans="1:11">
      <c r="A225" s="163"/>
      <c r="B225" s="170" t="s">
        <v>236</v>
      </c>
      <c r="C225" s="530">
        <f>'[19]Sch D'!I9</f>
        <v>945</v>
      </c>
      <c r="D225" s="530"/>
      <c r="E225" s="234">
        <f t="shared" si="49"/>
        <v>945</v>
      </c>
      <c r="F225" s="234"/>
      <c r="G225" s="234">
        <f t="shared" si="47"/>
        <v>945</v>
      </c>
      <c r="H225" s="172">
        <f t="shared" si="48"/>
        <v>7.2480441785549937E-2</v>
      </c>
      <c r="I225" s="473"/>
      <c r="J225" s="168"/>
      <c r="K225" s="168"/>
    </row>
    <row r="226" spans="1:11">
      <c r="A226" s="163"/>
      <c r="B226" s="170" t="s">
        <v>235</v>
      </c>
      <c r="C226" s="530">
        <f>'[19]Sch D'!J9</f>
        <v>0</v>
      </c>
      <c r="D226" s="530"/>
      <c r="E226" s="234">
        <f>C226+D226</f>
        <v>0</v>
      </c>
      <c r="F226" s="234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'[19]Sch D'!K9</f>
        <v>0</v>
      </c>
      <c r="D227" s="530"/>
      <c r="E227" s="234">
        <f t="shared" si="49"/>
        <v>0</v>
      </c>
      <c r="F227" s="234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13038</v>
      </c>
      <c r="D228" s="530">
        <f>SUM(D219:D227)</f>
        <v>0</v>
      </c>
      <c r="E228" s="236">
        <f>SUM(E219:E227)</f>
        <v>13038</v>
      </c>
      <c r="F228" s="526">
        <f>SUM(F219:F227)</f>
        <v>0</v>
      </c>
      <c r="G228" s="236">
        <f>SUM(G219:G227)</f>
        <v>13038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'[19]Sch D'!N22</f>
        <v>36</v>
      </c>
      <c r="D231" s="502"/>
      <c r="E231" s="234">
        <f>C231+D231</f>
        <v>36</v>
      </c>
      <c r="F231" s="171"/>
      <c r="G231" s="234">
        <f>SUM(E231:F231)</f>
        <v>36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'[19]Sch D'!N24</f>
        <v>36</v>
      </c>
      <c r="D232" s="502"/>
      <c r="E232" s="234">
        <f>C232+D232</f>
        <v>36</v>
      </c>
      <c r="F232" s="171"/>
      <c r="G232" s="234">
        <f>SUM(E232:F232)</f>
        <v>36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171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'[19]Sch D'!N28</f>
        <v>13140</v>
      </c>
      <c r="D235" s="438"/>
      <c r="E235" s="233">
        <f>E231*E233</f>
        <v>13140</v>
      </c>
      <c r="F235" s="238"/>
      <c r="G235" s="233">
        <f>G231*G233</f>
        <v>13140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'[19]Sch D'!N30</f>
        <v>0.99223744292237448</v>
      </c>
      <c r="D236" s="238"/>
      <c r="E236" s="242">
        <f>E228/E235</f>
        <v>0.99223744292237448</v>
      </c>
      <c r="F236" s="243"/>
      <c r="G236" s="242">
        <f>G228/G235</f>
        <v>0.99223744292237448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'[19]Sch D'!N32</f>
        <v>0.85821917808219184</v>
      </c>
      <c r="D237" s="238"/>
      <c r="E237" s="242">
        <f>(E219+E220)/E235</f>
        <v>0.85821917808219184</v>
      </c>
      <c r="F237" s="243"/>
      <c r="G237" s="242">
        <f>(G219+G220)/G235</f>
        <v>0.85821917808219184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'[19]Sch D'!N34</f>
        <v>0.8649332719742292</v>
      </c>
      <c r="D238" s="238"/>
      <c r="E238" s="242">
        <f>(E237/E236)</f>
        <v>0.8649332719742292</v>
      </c>
      <c r="F238" s="243"/>
      <c r="G238" s="242">
        <f>(G237/G236)</f>
        <v>0.8649332719742292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'[19]Sch B'!C85</f>
        <v>144.35146443514645</v>
      </c>
      <c r="I241" s="475"/>
    </row>
    <row r="242" spans="2:9">
      <c r="F242" s="142" t="s">
        <v>341</v>
      </c>
      <c r="G242" s="501">
        <f>'[19]Sch B'!E85</f>
        <v>160.46511627906978</v>
      </c>
      <c r="I242" s="475"/>
    </row>
    <row r="243" spans="2:9">
      <c r="F243" s="142" t="s">
        <v>342</v>
      </c>
      <c r="G243" s="501">
        <f>'[19]Sch B'!G85</f>
        <v>187.5</v>
      </c>
      <c r="I243" s="475"/>
    </row>
    <row r="244" spans="2:9">
      <c r="F244" s="142" t="s">
        <v>343</v>
      </c>
      <c r="G244" s="501">
        <f>'[19]Sch B'!I85</f>
        <v>187.5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>
    <tabColor rgb="FFE28CAB"/>
  </sheetPr>
  <dimension ref="A1:O248"/>
  <sheetViews>
    <sheetView showGridLines="0" topLeftCell="A8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397"/>
      <c r="F1" s="398"/>
      <c r="G1" s="398"/>
      <c r="H1" s="429"/>
      <c r="I1" s="430"/>
    </row>
    <row r="2" spans="1:11" ht="23">
      <c r="B2" s="143" t="s">
        <v>189</v>
      </c>
      <c r="C2" s="244" t="s">
        <v>450</v>
      </c>
      <c r="D2" s="244"/>
      <c r="E2" s="398"/>
      <c r="F2" s="398"/>
      <c r="G2" s="398"/>
    </row>
    <row r="3" spans="1:11" ht="15.5">
      <c r="A3" s="145"/>
      <c r="B3" s="140" t="s">
        <v>79</v>
      </c>
      <c r="C3" s="441">
        <v>42552</v>
      </c>
      <c r="D3"/>
      <c r="E3" s="398"/>
      <c r="F3"/>
      <c r="G3" s="398"/>
    </row>
    <row r="4" spans="1:11" ht="15.5">
      <c r="A4" s="145"/>
      <c r="B4" s="148" t="s">
        <v>80</v>
      </c>
      <c r="C4" s="441">
        <v>42916</v>
      </c>
      <c r="D4"/>
      <c r="E4" s="398"/>
      <c r="F4"/>
      <c r="G4" s="398"/>
    </row>
    <row r="5" spans="1:11" ht="15.5">
      <c r="A5" s="145"/>
      <c r="B5" s="148"/>
      <c r="C5" s="151"/>
      <c r="D5" s="144"/>
      <c r="F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 t="s">
        <v>706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'[20]Sch B'!E10</f>
        <v>3181400.4399999995</v>
      </c>
      <c r="D11" s="501">
        <f>'[20]Sch B'!G10</f>
        <v>0</v>
      </c>
      <c r="E11" s="171">
        <f>C11+D11</f>
        <v>3181400.4399999995</v>
      </c>
      <c r="F11" s="171">
        <v>464083</v>
      </c>
      <c r="G11" s="171">
        <f t="shared" ref="G11:G20" si="0">E11+F11</f>
        <v>3645483.4399999995</v>
      </c>
      <c r="H11" s="172">
        <f t="shared" ref="H11:H21" si="1">IF($G$21=0,0,G11/$G$21)</f>
        <v>0.70774752770706317</v>
      </c>
      <c r="I11" s="473" t="s">
        <v>697</v>
      </c>
      <c r="J11" s="336" t="s">
        <v>344</v>
      </c>
      <c r="K11" s="337">
        <f>G21</f>
        <v>5150824.6899999995</v>
      </c>
    </row>
    <row r="12" spans="1:11" s="167" customFormat="1">
      <c r="A12" s="169" t="s">
        <v>15</v>
      </c>
      <c r="B12" s="170" t="s">
        <v>212</v>
      </c>
      <c r="C12" s="501">
        <f>'[20]Sch B'!E15</f>
        <v>411167.35000000015</v>
      </c>
      <c r="D12" s="501">
        <f>'[20]Sch B'!G15</f>
        <v>0</v>
      </c>
      <c r="E12" s="171">
        <f t="shared" ref="E12:E20" si="2">C12+D12</f>
        <v>411167.35000000015</v>
      </c>
      <c r="F12" s="171"/>
      <c r="G12" s="171">
        <f>E12+F12</f>
        <v>411167.35000000015</v>
      </c>
      <c r="H12" s="172">
        <f t="shared" si="1"/>
        <v>7.9825537607260355E-2</v>
      </c>
      <c r="I12" s="473"/>
      <c r="J12" s="338" t="s">
        <v>345</v>
      </c>
      <c r="K12" s="339">
        <f>G208</f>
        <v>4113929.7600000007</v>
      </c>
    </row>
    <row r="13" spans="1:11" s="167" customFormat="1">
      <c r="A13" s="169" t="s">
        <v>16</v>
      </c>
      <c r="B13" s="170" t="s">
        <v>170</v>
      </c>
      <c r="C13" s="501">
        <f>'[20]Sch B'!E21</f>
        <v>891011.37999999989</v>
      </c>
      <c r="D13" s="501">
        <f>'[20]Sch B'!G21</f>
        <v>0</v>
      </c>
      <c r="E13" s="171">
        <f t="shared" si="2"/>
        <v>891011.37999999989</v>
      </c>
      <c r="F13" s="171"/>
      <c r="G13" s="171">
        <f t="shared" si="0"/>
        <v>891011.37999999989</v>
      </c>
      <c r="H13" s="172">
        <f t="shared" si="1"/>
        <v>0.17298421779522843</v>
      </c>
      <c r="I13" s="473"/>
      <c r="J13" s="338" t="s">
        <v>346</v>
      </c>
      <c r="K13" s="339">
        <f>G228</f>
        <v>20346</v>
      </c>
    </row>
    <row r="14" spans="1:11" s="167" customFormat="1">
      <c r="A14" s="173" t="s">
        <v>18</v>
      </c>
      <c r="B14" s="174" t="s">
        <v>306</v>
      </c>
      <c r="C14" s="501">
        <f>'[20]Sch B'!E27</f>
        <v>480.10000000000036</v>
      </c>
      <c r="D14" s="501">
        <f>'[20]Sch B'!G27</f>
        <v>0</v>
      </c>
      <c r="E14" s="171">
        <f t="shared" si="2"/>
        <v>480.10000000000036</v>
      </c>
      <c r="F14" s="175"/>
      <c r="G14" s="175">
        <f>E14+F14</f>
        <v>480.10000000000036</v>
      </c>
      <c r="H14" s="176">
        <f t="shared" si="1"/>
        <v>9.320837514273863E-5</v>
      </c>
      <c r="I14" s="479"/>
      <c r="J14" s="338" t="s">
        <v>347</v>
      </c>
      <c r="K14" s="339">
        <f>G231</f>
        <v>104</v>
      </c>
    </row>
    <row r="15" spans="1:11" s="167" customFormat="1">
      <c r="A15" s="169" t="s">
        <v>19</v>
      </c>
      <c r="B15" s="170" t="s">
        <v>171</v>
      </c>
      <c r="C15" s="501">
        <f>'[20]Sch B'!E32</f>
        <v>0</v>
      </c>
      <c r="D15" s="501">
        <f>'[20]Sch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37960</v>
      </c>
    </row>
    <row r="16" spans="1:11" s="167" customFormat="1">
      <c r="A16" s="169" t="s">
        <v>21</v>
      </c>
      <c r="B16" s="170" t="s">
        <v>172</v>
      </c>
      <c r="C16" s="501">
        <f>'[20]Sch B'!E37</f>
        <v>127847.76000000001</v>
      </c>
      <c r="D16" s="501">
        <f>'[20]Sch B'!G37</f>
        <v>0</v>
      </c>
      <c r="E16" s="171">
        <f t="shared" si="2"/>
        <v>127847.76000000001</v>
      </c>
      <c r="F16" s="171"/>
      <c r="G16" s="171">
        <f t="shared" si="0"/>
        <v>127847.76000000001</v>
      </c>
      <c r="H16" s="172">
        <f t="shared" si="1"/>
        <v>2.4820833108183307E-2</v>
      </c>
      <c r="I16" s="473"/>
      <c r="J16" s="340"/>
      <c r="K16" s="339"/>
    </row>
    <row r="17" spans="1:12" s="167" customFormat="1">
      <c r="A17" s="169" t="s">
        <v>215</v>
      </c>
      <c r="B17" s="170" t="s">
        <v>228</v>
      </c>
      <c r="C17" s="501">
        <f>'[20]Sch B'!E42</f>
        <v>0</v>
      </c>
      <c r="D17" s="501">
        <f>'[20]Sch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118058.4</v>
      </c>
    </row>
    <row r="18" spans="1:12" s="167" customFormat="1" ht="13.5" thickBot="1">
      <c r="A18" s="169" t="s">
        <v>216</v>
      </c>
      <c r="B18" s="170" t="s">
        <v>229</v>
      </c>
      <c r="C18" s="501">
        <f>'[20]Sch B'!E47</f>
        <v>3200</v>
      </c>
      <c r="D18" s="501">
        <f>'[20]Sch B'!G47</f>
        <v>0</v>
      </c>
      <c r="E18" s="171">
        <f t="shared" si="2"/>
        <v>3200</v>
      </c>
      <c r="F18" s="171"/>
      <c r="G18" s="171">
        <f>E18+F18</f>
        <v>3200</v>
      </c>
      <c r="H18" s="172">
        <f t="shared" si="1"/>
        <v>6.2125973850606835E-4</v>
      </c>
      <c r="I18" s="473"/>
      <c r="J18" s="341" t="s">
        <v>252</v>
      </c>
      <c r="K18" s="342">
        <f>K208</f>
        <v>124432.59</v>
      </c>
    </row>
    <row r="19" spans="1:12" s="167" customFormat="1">
      <c r="A19" s="169" t="s">
        <v>227</v>
      </c>
      <c r="B19" s="177" t="s">
        <v>173</v>
      </c>
      <c r="C19" s="501">
        <f>'[20]Sch B'!E52</f>
        <v>0</v>
      </c>
      <c r="D19" s="501">
        <f>'[20]Sch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2" s="167" customFormat="1">
      <c r="A20" s="169" t="s">
        <v>183</v>
      </c>
      <c r="B20" s="23" t="s">
        <v>180</v>
      </c>
      <c r="C20" s="501">
        <f>'[20]Sch B'!E67</f>
        <v>72315.94</v>
      </c>
      <c r="D20" s="501">
        <f>'[20]Sch B'!G67</f>
        <v>-681.28</v>
      </c>
      <c r="E20" s="171">
        <f t="shared" si="2"/>
        <v>71634.66</v>
      </c>
      <c r="F20" s="171"/>
      <c r="G20" s="171">
        <f t="shared" si="0"/>
        <v>71634.66</v>
      </c>
      <c r="H20" s="172">
        <f t="shared" si="1"/>
        <v>1.3907415668615973E-2</v>
      </c>
      <c r="I20" s="473"/>
      <c r="J20" s="168"/>
      <c r="K20" s="168"/>
    </row>
    <row r="21" spans="1:12" s="167" customFormat="1">
      <c r="A21" s="169"/>
      <c r="B21" s="178" t="s">
        <v>77</v>
      </c>
      <c r="C21" s="501">
        <f>SUM(C11:C20)</f>
        <v>4687422.97</v>
      </c>
      <c r="D21" s="501">
        <f>SUM(D11:D20)</f>
        <v>-681.28</v>
      </c>
      <c r="E21" s="171">
        <f>SUM(E11:E20)</f>
        <v>4686741.6899999995</v>
      </c>
      <c r="F21" s="171">
        <f>SUM(F11:F20)</f>
        <v>464083</v>
      </c>
      <c r="G21" s="171">
        <f>SUM(G11:G20)</f>
        <v>5150824.6899999995</v>
      </c>
      <c r="H21" s="172">
        <f t="shared" si="1"/>
        <v>1</v>
      </c>
      <c r="I21" s="473"/>
      <c r="J21" s="168"/>
      <c r="K21" s="168"/>
    </row>
    <row r="22" spans="1:12" ht="12" customHeight="1">
      <c r="A22" s="145"/>
      <c r="B22" s="179"/>
      <c r="C22" s="151"/>
      <c r="D22" s="144"/>
      <c r="F22"/>
      <c r="G22" s="144"/>
      <c r="I22" s="475"/>
      <c r="J22"/>
      <c r="K22"/>
      <c r="L22"/>
    </row>
    <row r="23" spans="1:12" ht="26.5">
      <c r="A23" s="180" t="s">
        <v>231</v>
      </c>
      <c r="B23" s="179" t="s">
        <v>222</v>
      </c>
      <c r="C23" s="151"/>
      <c r="D23" s="144"/>
      <c r="F23"/>
      <c r="G23" s="144"/>
      <c r="I23" s="475"/>
      <c r="J23"/>
      <c r="K23"/>
      <c r="L23"/>
    </row>
    <row r="24" spans="1:12" ht="15.5">
      <c r="A24" s="181" t="s">
        <v>161</v>
      </c>
      <c r="B24" s="148" t="s">
        <v>12</v>
      </c>
      <c r="F24"/>
      <c r="I24" s="475"/>
      <c r="J24"/>
      <c r="K24"/>
      <c r="L24"/>
    </row>
    <row r="25" spans="1:12" s="167" customFormat="1">
      <c r="A25" s="169" t="s">
        <v>83</v>
      </c>
      <c r="B25" s="170" t="s">
        <v>14</v>
      </c>
      <c r="C25" s="501">
        <f>'[20]Sch C'!D10</f>
        <v>102047.87999999999</v>
      </c>
      <c r="D25" s="501">
        <f>'[20]Sch C'!F10</f>
        <v>0</v>
      </c>
      <c r="E25" s="171">
        <f t="shared" ref="E25:E60" si="3">C25+D25</f>
        <v>102047.87999999999</v>
      </c>
      <c r="F25" s="171"/>
      <c r="G25" s="182">
        <f>E25+F25</f>
        <v>102047.87999999999</v>
      </c>
      <c r="H25" s="172">
        <f>IF($G$208=0,0,G25/$G$208)</f>
        <v>2.4805450251537589E-2</v>
      </c>
      <c r="I25" s="473"/>
      <c r="J25" s="183">
        <v>1798.04</v>
      </c>
      <c r="K25" s="183">
        <v>1798.04</v>
      </c>
    </row>
    <row r="26" spans="1:12" s="167" customFormat="1">
      <c r="A26" s="169" t="s">
        <v>84</v>
      </c>
      <c r="B26" s="170" t="s">
        <v>176</v>
      </c>
      <c r="C26" s="501">
        <f>'[20]Sch C'!D11</f>
        <v>0</v>
      </c>
      <c r="D26" s="501">
        <f>'[20]Sch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2" s="167" customFormat="1">
      <c r="A27" s="169" t="s">
        <v>85</v>
      </c>
      <c r="B27" s="170" t="s">
        <v>17</v>
      </c>
      <c r="C27" s="501">
        <f>'[20]Sch C'!D12</f>
        <v>100977.31</v>
      </c>
      <c r="D27" s="501">
        <f>'[20]Sch C'!F12</f>
        <v>0</v>
      </c>
      <c r="E27" s="171">
        <f t="shared" si="3"/>
        <v>100977.31</v>
      </c>
      <c r="F27" s="171"/>
      <c r="G27" s="171">
        <f t="shared" si="4"/>
        <v>100977.31</v>
      </c>
      <c r="H27" s="172">
        <f t="shared" si="5"/>
        <v>2.454521975115102E-2</v>
      </c>
      <c r="I27" s="473"/>
      <c r="J27" s="183">
        <v>6382.12</v>
      </c>
      <c r="K27" s="183">
        <v>6961.12</v>
      </c>
    </row>
    <row r="28" spans="1:12" s="167" customFormat="1">
      <c r="A28" s="169" t="s">
        <v>86</v>
      </c>
      <c r="B28" s="170" t="s">
        <v>45</v>
      </c>
      <c r="C28" s="501">
        <f>'[20]Sch C'!D13</f>
        <v>63713.030000000006</v>
      </c>
      <c r="D28" s="501">
        <f>'[20]Sch C'!F13</f>
        <v>0</v>
      </c>
      <c r="E28" s="171">
        <f t="shared" si="3"/>
        <v>63713.030000000006</v>
      </c>
      <c r="F28" s="171"/>
      <c r="G28" s="171">
        <f t="shared" si="4"/>
        <v>63713.030000000006</v>
      </c>
      <c r="H28" s="172">
        <f t="shared" si="5"/>
        <v>1.5487145799008487E-2</v>
      </c>
      <c r="I28" s="473"/>
      <c r="J28" s="168"/>
      <c r="K28" s="168"/>
    </row>
    <row r="29" spans="1:12" s="167" customFormat="1">
      <c r="A29" s="169" t="s">
        <v>175</v>
      </c>
      <c r="B29" s="170" t="s">
        <v>20</v>
      </c>
      <c r="C29" s="501">
        <f>'[20]Sch C'!D14</f>
        <v>0</v>
      </c>
      <c r="D29" s="501">
        <f>'[20]Sch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2" s="167" customFormat="1">
      <c r="A30" s="169" t="s">
        <v>88</v>
      </c>
      <c r="B30" s="170" t="s">
        <v>22</v>
      </c>
      <c r="C30" s="501">
        <f>'[20]Sch C'!D15</f>
        <v>331665.45</v>
      </c>
      <c r="D30" s="501">
        <f>'[20]Sch C'!F15</f>
        <v>-331665.45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2" s="167" customFormat="1">
      <c r="A31" s="169" t="s">
        <v>89</v>
      </c>
      <c r="B31" s="170" t="s">
        <v>148</v>
      </c>
      <c r="C31" s="501">
        <f>'[20]Sch C'!D16</f>
        <v>0</v>
      </c>
      <c r="D31" s="501">
        <f>'[20]Sch C'!F16</f>
        <v>196270</v>
      </c>
      <c r="E31" s="171">
        <f t="shared" si="3"/>
        <v>196270</v>
      </c>
      <c r="F31" s="171"/>
      <c r="G31" s="171">
        <f t="shared" si="4"/>
        <v>196270</v>
      </c>
      <c r="H31" s="172">
        <f t="shared" si="5"/>
        <v>4.7708641481521055E-2</v>
      </c>
      <c r="I31" s="473"/>
      <c r="J31" s="168"/>
      <c r="K31" s="168"/>
    </row>
    <row r="32" spans="1:12" s="167" customFormat="1">
      <c r="A32" s="169" t="s">
        <v>90</v>
      </c>
      <c r="B32" s="170" t="s">
        <v>23</v>
      </c>
      <c r="C32" s="501">
        <f>'[20]Sch C'!D17</f>
        <v>259.92</v>
      </c>
      <c r="D32" s="501">
        <f>'[20]Sch C'!F17</f>
        <v>0</v>
      </c>
      <c r="E32" s="171">
        <f t="shared" si="3"/>
        <v>259.92</v>
      </c>
      <c r="F32" s="171"/>
      <c r="G32" s="171">
        <f t="shared" si="4"/>
        <v>259.92</v>
      </c>
      <c r="H32" s="172">
        <f t="shared" si="5"/>
        <v>6.3180466163330893E-5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'[20]Sch C'!D18</f>
        <v>11077.15</v>
      </c>
      <c r="D33" s="501">
        <f>'[20]Sch C'!F18</f>
        <v>0</v>
      </c>
      <c r="E33" s="171">
        <f t="shared" si="3"/>
        <v>11077.15</v>
      </c>
      <c r="F33" s="171"/>
      <c r="G33" s="171">
        <f t="shared" si="4"/>
        <v>11077.15</v>
      </c>
      <c r="H33" s="172">
        <f t="shared" si="5"/>
        <v>2.6925958016356596E-3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'[20]Sch C'!D19</f>
        <v>22726.6</v>
      </c>
      <c r="D34" s="501">
        <f>'[20]Sch C'!F19</f>
        <v>979</v>
      </c>
      <c r="E34" s="171">
        <f t="shared" si="3"/>
        <v>23705.599999999999</v>
      </c>
      <c r="F34" s="171"/>
      <c r="G34" s="171">
        <f t="shared" si="4"/>
        <v>23705.599999999999</v>
      </c>
      <c r="H34" s="172">
        <f t="shared" si="5"/>
        <v>5.7622763107165915E-3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'[20]Sch C'!D20</f>
        <v>19105.829999999998</v>
      </c>
      <c r="D35" s="501">
        <f>'[20]Sch C'!F20</f>
        <v>0</v>
      </c>
      <c r="E35" s="171">
        <f t="shared" si="3"/>
        <v>19105.829999999998</v>
      </c>
      <c r="F35" s="171"/>
      <c r="G35" s="171">
        <f t="shared" si="4"/>
        <v>19105.829999999998</v>
      </c>
      <c r="H35" s="172">
        <f t="shared" si="5"/>
        <v>4.6441799239664208E-3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'[20]Sch C'!D21</f>
        <v>19339.370000000003</v>
      </c>
      <c r="D36" s="501">
        <f>'[20]Sch C'!F21</f>
        <v>10977</v>
      </c>
      <c r="E36" s="171">
        <f t="shared" si="3"/>
        <v>30316.370000000003</v>
      </c>
      <c r="F36" s="171"/>
      <c r="G36" s="171">
        <f t="shared" si="4"/>
        <v>30316.370000000003</v>
      </c>
      <c r="H36" s="172">
        <f t="shared" si="5"/>
        <v>7.369199711372806E-3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'[20]Sch C'!D22</f>
        <v>0</v>
      </c>
      <c r="D37" s="501">
        <f>'[20]Sch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'[20]Sch C'!D23</f>
        <v>28142.249999999996</v>
      </c>
      <c r="D38" s="501">
        <f>'[20]Sch C'!F23</f>
        <v>15451</v>
      </c>
      <c r="E38" s="171">
        <f t="shared" si="3"/>
        <v>43593.25</v>
      </c>
      <c r="F38" s="171"/>
      <c r="G38" s="171">
        <f t="shared" si="4"/>
        <v>43593.25</v>
      </c>
      <c r="H38" s="172">
        <f t="shared" si="5"/>
        <v>1.0596498370939613E-2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'[20]Sch C'!D24</f>
        <v>42029.26</v>
      </c>
      <c r="D39" s="501">
        <f>'[20]Sch C'!F24</f>
        <v>0</v>
      </c>
      <c r="E39" s="171">
        <f t="shared" si="3"/>
        <v>42029.26</v>
      </c>
      <c r="F39" s="171"/>
      <c r="G39" s="171">
        <f t="shared" si="4"/>
        <v>42029.26</v>
      </c>
      <c r="H39" s="172">
        <f t="shared" si="5"/>
        <v>1.0216329021621407E-2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'[20]Sch C'!D25</f>
        <v>0</v>
      </c>
      <c r="D40" s="501">
        <f>'[20]Sch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'[20]Sch C'!D26</f>
        <v>342856.69999999995</v>
      </c>
      <c r="D41" s="501">
        <f>'[20]Sch C'!F26</f>
        <v>366.40000000002328</v>
      </c>
      <c r="E41" s="171">
        <f t="shared" si="3"/>
        <v>343223.1</v>
      </c>
      <c r="F41" s="171"/>
      <c r="G41" s="171">
        <f t="shared" si="4"/>
        <v>343223.1</v>
      </c>
      <c r="H41" s="172">
        <f t="shared" si="5"/>
        <v>8.3429499292180409E-2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'[20]Sch C'!D27</f>
        <v>0</v>
      </c>
      <c r="D42" s="501">
        <f>'[20]Sch C'!F27</f>
        <v>8628.7199999999993</v>
      </c>
      <c r="E42" s="171">
        <f t="shared" si="3"/>
        <v>8628.7199999999993</v>
      </c>
      <c r="F42" s="171"/>
      <c r="G42" s="171">
        <f t="shared" si="4"/>
        <v>8628.7199999999993</v>
      </c>
      <c r="H42" s="172">
        <f t="shared" si="5"/>
        <v>2.0974397968330886E-3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'[20]Sch C'!D28</f>
        <v>0</v>
      </c>
      <c r="D43" s="501">
        <f>'[20]Sch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'[20]Sch C'!D29</f>
        <v>65283.85</v>
      </c>
      <c r="D44" s="501">
        <f>'[20]Sch C'!F29</f>
        <v>-65283.85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'[20]Sch C'!D30</f>
        <v>0</v>
      </c>
      <c r="D45" s="501">
        <f>'[20]Sch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'[20]Sch C'!D31</f>
        <v>0</v>
      </c>
      <c r="D46" s="501">
        <f>'[20]Sch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'[20]Sch C'!D32</f>
        <v>99989.7</v>
      </c>
      <c r="D47" s="501">
        <f>'[20]Sch C'!F32</f>
        <v>3856</v>
      </c>
      <c r="E47" s="171">
        <f t="shared" si="3"/>
        <v>103845.7</v>
      </c>
      <c r="F47" s="171"/>
      <c r="G47" s="171">
        <f t="shared" si="4"/>
        <v>103845.7</v>
      </c>
      <c r="H47" s="172">
        <f t="shared" si="5"/>
        <v>2.524245819889739E-2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'[20]Sch C'!D33</f>
        <v>0</v>
      </c>
      <c r="D48" s="501">
        <f>'[20]Sch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'[20]Sch C'!D34</f>
        <v>0</v>
      </c>
      <c r="D49" s="501">
        <f>'[20]Sch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'[20]Sch C'!D35</f>
        <v>0</v>
      </c>
      <c r="D50" s="501">
        <f>'[20]Sch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'[20]Sch C'!D36</f>
        <v>0</v>
      </c>
      <c r="D51" s="501">
        <f>'[20]Sch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'[20]Sch C'!D37</f>
        <v>0</v>
      </c>
      <c r="D52" s="501">
        <f>'[20]Sch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'[20]Sch C'!D38</f>
        <v>0</v>
      </c>
      <c r="D53" s="501">
        <f>'[20]Sch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'[20]Sch C'!D39</f>
        <v>15319.54</v>
      </c>
      <c r="D54" s="501">
        <f>'[20]Sch C'!F39</f>
        <v>3572</v>
      </c>
      <c r="E54" s="171">
        <f t="shared" si="3"/>
        <v>18891.54</v>
      </c>
      <c r="F54" s="171"/>
      <c r="G54" s="171">
        <f t="shared" si="4"/>
        <v>18891.54</v>
      </c>
      <c r="H54" s="172">
        <f t="shared" si="5"/>
        <v>4.5920910424100186E-3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'[20]Sch C'!D40</f>
        <v>3501.93</v>
      </c>
      <c r="D55" s="501">
        <f>'[20]Sch C'!F40</f>
        <v>-3501.93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'[20]Sch C'!D41</f>
        <v>22274.959999999999</v>
      </c>
      <c r="D56" s="501">
        <f>'[20]Sch C'!F41</f>
        <v>23377</v>
      </c>
      <c r="E56" s="171">
        <f t="shared" si="3"/>
        <v>45651.96</v>
      </c>
      <c r="F56" s="171"/>
      <c r="G56" s="171">
        <f t="shared" si="4"/>
        <v>45651.96</v>
      </c>
      <c r="H56" s="172">
        <f t="shared" si="5"/>
        <v>1.1096922568750904E-2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'[20]Sch C'!D42</f>
        <v>0</v>
      </c>
      <c r="D57" s="501">
        <f>'[20]Sch C'!F42</f>
        <v>1945</v>
      </c>
      <c r="E57" s="171">
        <f t="shared" si="3"/>
        <v>1945</v>
      </c>
      <c r="F57" s="171"/>
      <c r="G57" s="171">
        <f t="shared" si="4"/>
        <v>1945</v>
      </c>
      <c r="H57" s="172">
        <f t="shared" si="5"/>
        <v>4.7278395924776304E-4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'[20]Sch C'!D43</f>
        <v>0</v>
      </c>
      <c r="D58" s="501">
        <f>'[20]Sch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'[20]Sch C'!D44</f>
        <v>0</v>
      </c>
      <c r="D59" s="501">
        <f>'[20]Sch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'[20]Sch C'!D45</f>
        <v>20145.990000000002</v>
      </c>
      <c r="D60" s="501">
        <f>'[20]Sch C'!F45</f>
        <v>459</v>
      </c>
      <c r="E60" s="171">
        <f t="shared" si="3"/>
        <v>20604.990000000002</v>
      </c>
      <c r="F60" s="171">
        <v>-15271.96</v>
      </c>
      <c r="G60" s="171">
        <f t="shared" si="4"/>
        <v>5333.0300000000025</v>
      </c>
      <c r="H60" s="172">
        <f t="shared" si="5"/>
        <v>1.2963347240036499E-3</v>
      </c>
      <c r="I60" s="473" t="s">
        <v>660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1310456.72</v>
      </c>
      <c r="D61" s="501">
        <f>SUM(D25:D60)</f>
        <v>-134570.10999999999</v>
      </c>
      <c r="E61" s="171">
        <f t="shared" ref="E61:F61" si="6">SUM(E25:E60)</f>
        <v>1175886.6100000001</v>
      </c>
      <c r="F61" s="171">
        <f t="shared" si="6"/>
        <v>-15271.96</v>
      </c>
      <c r="G61" s="171">
        <f>SUM(G25:G60)</f>
        <v>1160614.6500000001</v>
      </c>
      <c r="H61" s="186">
        <f t="shared" si="5"/>
        <v>0.28211824647195727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'[20]Sch C'!D57</f>
        <v>911040</v>
      </c>
      <c r="D64" s="501">
        <f>'[20]Sch C'!F57</f>
        <v>-911040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'[20]Sch C'!D58</f>
        <v>2322.84</v>
      </c>
      <c r="D65" s="501">
        <f>'[20]Sch C'!F58</f>
        <v>57497.88</v>
      </c>
      <c r="E65" s="171">
        <f t="shared" si="7"/>
        <v>59820.72</v>
      </c>
      <c r="F65" s="171"/>
      <c r="G65" s="171">
        <f t="shared" si="8"/>
        <v>59820.72</v>
      </c>
      <c r="H65" s="172">
        <f t="shared" si="9"/>
        <v>1.454101637359992E-2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'[20]Sch C'!D59</f>
        <v>0</v>
      </c>
      <c r="D66" s="501">
        <f>'[20]Sch C'!F59</f>
        <v>137743.63</v>
      </c>
      <c r="E66" s="171">
        <f t="shared" si="7"/>
        <v>137743.63</v>
      </c>
      <c r="F66" s="171"/>
      <c r="G66" s="171">
        <f t="shared" si="8"/>
        <v>137743.63</v>
      </c>
      <c r="H66" s="172">
        <f t="shared" si="9"/>
        <v>3.3482251286662705E-2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'[20]Sch C'!D60</f>
        <v>35688.050000000003</v>
      </c>
      <c r="D67" s="501">
        <f>'[20]Sch C'!F60</f>
        <v>-3240.28</v>
      </c>
      <c r="E67" s="171">
        <f t="shared" si="7"/>
        <v>32447.770000000004</v>
      </c>
      <c r="F67" s="171"/>
      <c r="G67" s="171">
        <f t="shared" si="8"/>
        <v>32447.770000000004</v>
      </c>
      <c r="H67" s="172">
        <f t="shared" si="9"/>
        <v>7.8872931462009212E-3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'[20]Sch C'!D61</f>
        <v>10145.81</v>
      </c>
      <c r="D68" s="501">
        <f>'[20]Sch C'!F61</f>
        <v>1324</v>
      </c>
      <c r="E68" s="171">
        <f t="shared" si="7"/>
        <v>11469.81</v>
      </c>
      <c r="F68" s="171"/>
      <c r="G68" s="171">
        <f t="shared" si="8"/>
        <v>11469.81</v>
      </c>
      <c r="H68" s="172">
        <f t="shared" si="9"/>
        <v>2.7880422537889895E-3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'[20]Sch C'!D62</f>
        <v>9488.14</v>
      </c>
      <c r="D69" s="501">
        <f>'[20]Sch C'!F62</f>
        <v>0</v>
      </c>
      <c r="E69" s="171">
        <f t="shared" si="7"/>
        <v>9488.14</v>
      </c>
      <c r="F69" s="171"/>
      <c r="G69" s="171">
        <f t="shared" si="8"/>
        <v>9488.14</v>
      </c>
      <c r="H69" s="172">
        <f t="shared" si="9"/>
        <v>2.3063446761424525E-3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'[20]Sch C'!D63</f>
        <v>0</v>
      </c>
      <c r="D70" s="501">
        <f>'[20]Sch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'[20]Sch C'!D64</f>
        <v>0</v>
      </c>
      <c r="D71" s="501">
        <f>'[20]Sch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'[20]Sch C'!D65</f>
        <v>0</v>
      </c>
      <c r="D72" s="501">
        <f>'[20]Sch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'[20]Sch C'!D66</f>
        <v>0</v>
      </c>
      <c r="D73" s="501">
        <f>'[20]Sch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'[20]Sch C'!D67</f>
        <v>813.48</v>
      </c>
      <c r="D74" s="501">
        <f>'[20]Sch C'!F67</f>
        <v>11235.7</v>
      </c>
      <c r="E74" s="171">
        <f t="shared" si="7"/>
        <v>12049.18</v>
      </c>
      <c r="F74" s="171"/>
      <c r="G74" s="171">
        <f t="shared" si="8"/>
        <v>12049.18</v>
      </c>
      <c r="H74" s="172">
        <f t="shared" si="9"/>
        <v>2.9288735352642477E-3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'[20]Sch C'!D68</f>
        <v>0</v>
      </c>
      <c r="D75" s="501">
        <f>'[20]Sch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'[20]Sch C'!D69</f>
        <v>0</v>
      </c>
      <c r="D76" s="501">
        <f>'[20]Sch C'!F69</f>
        <v>3580.6600000000003</v>
      </c>
      <c r="E76" s="171">
        <f t="shared" si="7"/>
        <v>3580.6600000000003</v>
      </c>
      <c r="F76" s="171"/>
      <c r="G76" s="171">
        <f t="shared" si="8"/>
        <v>3580.6600000000003</v>
      </c>
      <c r="H76" s="172">
        <f t="shared" si="9"/>
        <v>8.7037460746534467E-4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'[20]Sch C'!D70</f>
        <v>0</v>
      </c>
      <c r="D77" s="501">
        <f>'[20]Sch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'[20]Sch C'!D71</f>
        <v>0</v>
      </c>
      <c r="D78" s="501">
        <f>'[20]Sch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969498.32000000007</v>
      </c>
      <c r="D79" s="501">
        <f>SUM(D64:D78)</f>
        <v>-702898.41</v>
      </c>
      <c r="E79" s="171">
        <f t="shared" ref="E79:F79" si="10">SUM(E64:E78)</f>
        <v>266599.90999999997</v>
      </c>
      <c r="F79" s="171">
        <f t="shared" si="10"/>
        <v>0</v>
      </c>
      <c r="G79" s="171">
        <f>SUM(G64:G78)</f>
        <v>266599.90999999997</v>
      </c>
      <c r="H79" s="172">
        <f t="shared" si="9"/>
        <v>6.4804195879124574E-2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'[20]Sch C'!D75</f>
        <v>61799.45</v>
      </c>
      <c r="D82" s="501">
        <f>'[20]Sch C'!F75</f>
        <v>0</v>
      </c>
      <c r="E82" s="171">
        <f t="shared" ref="E82:E92" si="11">C82+D82</f>
        <v>61799.45</v>
      </c>
      <c r="F82" s="171"/>
      <c r="G82" s="171">
        <f t="shared" ref="G82:G92" si="12">E82+F82</f>
        <v>61799.45</v>
      </c>
      <c r="H82" s="172">
        <f t="shared" ref="H82:H93" si="13">IF($G$208=0,0,G82/$G$208)</f>
        <v>1.5021999306084406E-2</v>
      </c>
      <c r="I82" s="473"/>
      <c r="J82" s="183">
        <v>4188.07</v>
      </c>
      <c r="K82" s="183">
        <v>4655.07</v>
      </c>
    </row>
    <row r="83" spans="1:11" s="167" customFormat="1">
      <c r="A83" s="169" t="s">
        <v>86</v>
      </c>
      <c r="B83" s="199" t="s">
        <v>45</v>
      </c>
      <c r="C83" s="501">
        <f>'[20]Sch C'!D76</f>
        <v>24365.72</v>
      </c>
      <c r="D83" s="501">
        <f>'[20]Sch C'!F76</f>
        <v>0</v>
      </c>
      <c r="E83" s="171">
        <f t="shared" si="11"/>
        <v>24365.72</v>
      </c>
      <c r="F83" s="171"/>
      <c r="G83" s="171">
        <f t="shared" si="12"/>
        <v>24365.72</v>
      </c>
      <c r="H83" s="172">
        <f t="shared" si="13"/>
        <v>5.9227360264896686E-3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'[20]Sch C'!D77</f>
        <v>11449</v>
      </c>
      <c r="D84" s="501">
        <f>'[20]Sch C'!F77</f>
        <v>0</v>
      </c>
      <c r="E84" s="171">
        <f t="shared" si="11"/>
        <v>11449</v>
      </c>
      <c r="F84" s="171"/>
      <c r="G84" s="171">
        <f t="shared" si="12"/>
        <v>11449</v>
      </c>
      <c r="H84" s="172">
        <f t="shared" si="13"/>
        <v>2.7829838300399172E-3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'[20]Sch C'!D78</f>
        <v>4977.9500000000007</v>
      </c>
      <c r="D85" s="501">
        <f>'[20]Sch C'!F78</f>
        <v>854</v>
      </c>
      <c r="E85" s="171">
        <f t="shared" si="11"/>
        <v>5831.9500000000007</v>
      </c>
      <c r="F85" s="171"/>
      <c r="G85" s="171">
        <f t="shared" si="12"/>
        <v>5831.9500000000007</v>
      </c>
      <c r="H85" s="172">
        <f t="shared" si="13"/>
        <v>1.4176104941568083E-3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'[20]Sch C'!D79</f>
        <v>39135.85</v>
      </c>
      <c r="D86" s="501">
        <f>'[20]Sch C'!F79</f>
        <v>0</v>
      </c>
      <c r="E86" s="171">
        <f t="shared" si="11"/>
        <v>39135.85</v>
      </c>
      <c r="F86" s="171"/>
      <c r="G86" s="171">
        <f>E86+F86</f>
        <v>39135.85</v>
      </c>
      <c r="H86" s="172">
        <f t="shared" si="13"/>
        <v>9.5130087977000344E-3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'[20]Sch C'!D80</f>
        <v>12747.09</v>
      </c>
      <c r="D87" s="501">
        <f>'[20]Sch C'!F80</f>
        <v>0</v>
      </c>
      <c r="E87" s="171">
        <f t="shared" si="11"/>
        <v>12747.09</v>
      </c>
      <c r="F87" s="171"/>
      <c r="G87" s="171">
        <f t="shared" si="12"/>
        <v>12747.09</v>
      </c>
      <c r="H87" s="172">
        <f t="shared" si="13"/>
        <v>3.0985191152121173E-3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'[20]Sch C'!D81</f>
        <v>4051.1500000000005</v>
      </c>
      <c r="D88" s="501">
        <f>'[20]Sch C'!F81</f>
        <v>0</v>
      </c>
      <c r="E88" s="171">
        <f t="shared" si="11"/>
        <v>4051.1500000000005</v>
      </c>
      <c r="F88" s="171"/>
      <c r="G88" s="171">
        <f t="shared" si="12"/>
        <v>4051.1500000000005</v>
      </c>
      <c r="H88" s="172">
        <f t="shared" si="13"/>
        <v>9.8473971028615703E-4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'[20]Sch C'!D82</f>
        <v>0</v>
      </c>
      <c r="D89" s="501">
        <f>'[20]Sch C'!F82</f>
        <v>0</v>
      </c>
      <c r="E89" s="171">
        <f t="shared" si="11"/>
        <v>0</v>
      </c>
      <c r="F89" s="171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'[20]Sch C'!D83</f>
        <v>0</v>
      </c>
      <c r="D90" s="501">
        <f>'[20]Sch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'[20]Sch C'!D84</f>
        <v>127031.06</v>
      </c>
      <c r="D91" s="501">
        <f>'[20]Sch C'!F84</f>
        <v>556</v>
      </c>
      <c r="E91" s="171">
        <f t="shared" si="11"/>
        <v>127587.06</v>
      </c>
      <c r="F91" s="171"/>
      <c r="G91" s="171">
        <f t="shared" si="12"/>
        <v>127587.06</v>
      </c>
      <c r="H91" s="172">
        <f t="shared" si="13"/>
        <v>3.1013426928319744E-2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'[20]Sch C'!D85</f>
        <v>0</v>
      </c>
      <c r="D92" s="501">
        <f>'[20]Sch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285557.27</v>
      </c>
      <c r="D93" s="501">
        <f>SUM(D82:D92)</f>
        <v>1410</v>
      </c>
      <c r="E93" s="171">
        <f t="shared" ref="E93:F93" si="14">SUM(E82:E92)</f>
        <v>286967.27</v>
      </c>
      <c r="F93" s="171">
        <f t="shared" si="14"/>
        <v>0</v>
      </c>
      <c r="G93" s="171">
        <f>SUM(G82:G92)</f>
        <v>286967.27</v>
      </c>
      <c r="H93" s="172">
        <f t="shared" si="13"/>
        <v>6.9755024208288857E-2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'[20]Sch C'!D89</f>
        <v>142562.64000000001</v>
      </c>
      <c r="D96" s="501">
        <f>'[20]Sch C'!F89</f>
        <v>0</v>
      </c>
      <c r="E96" s="171">
        <f t="shared" ref="E96:E101" si="15">C96+D96</f>
        <v>142562.64000000001</v>
      </c>
      <c r="F96" s="171"/>
      <c r="G96" s="171">
        <f t="shared" ref="G96:G101" si="16">E96+F96</f>
        <v>142562.64000000001</v>
      </c>
      <c r="H96" s="172">
        <f t="shared" ref="H96:H102" si="17">IF($G$208=0,0,G96/$G$208)</f>
        <v>3.465363978406865E-2</v>
      </c>
      <c r="I96" s="473"/>
      <c r="J96" s="183">
        <v>16370.720000000001</v>
      </c>
      <c r="K96" s="183">
        <v>17419.22</v>
      </c>
    </row>
    <row r="97" spans="1:11" s="167" customFormat="1">
      <c r="A97" s="169" t="s">
        <v>86</v>
      </c>
      <c r="B97" s="170" t="s">
        <v>45</v>
      </c>
      <c r="C97" s="501">
        <f>'[20]Sch C'!D90</f>
        <v>35169.969999999994</v>
      </c>
      <c r="D97" s="501">
        <f>'[20]Sch C'!F90</f>
        <v>0</v>
      </c>
      <c r="E97" s="171">
        <f t="shared" si="15"/>
        <v>35169.969999999994</v>
      </c>
      <c r="F97" s="171"/>
      <c r="G97" s="171">
        <f t="shared" si="16"/>
        <v>35169.969999999994</v>
      </c>
      <c r="H97" s="172">
        <f t="shared" si="17"/>
        <v>8.5489962278792013E-3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'[20]Sch C'!D91</f>
        <v>19856.45</v>
      </c>
      <c r="D98" s="501">
        <f>'[20]Sch C'!F91</f>
        <v>0</v>
      </c>
      <c r="E98" s="171">
        <f t="shared" si="15"/>
        <v>19856.45</v>
      </c>
      <c r="F98" s="171"/>
      <c r="G98" s="171">
        <f t="shared" si="16"/>
        <v>19856.45</v>
      </c>
      <c r="H98" s="172">
        <f t="shared" si="17"/>
        <v>4.8266380707481984E-3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'[20]Sch C'!D92</f>
        <v>162223.76</v>
      </c>
      <c r="D99" s="501">
        <f>'[20]Sch C'!F92</f>
        <v>-103</v>
      </c>
      <c r="E99" s="171">
        <f t="shared" si="15"/>
        <v>162120.76</v>
      </c>
      <c r="F99" s="171"/>
      <c r="G99" s="171">
        <f t="shared" si="16"/>
        <v>162120.76</v>
      </c>
      <c r="H99" s="172">
        <f t="shared" si="17"/>
        <v>3.9407760816995568E-2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'[20]Sch C'!D93</f>
        <v>8190.7199999999993</v>
      </c>
      <c r="D100" s="501">
        <f>'[20]Sch C'!F93</f>
        <v>0</v>
      </c>
      <c r="E100" s="171">
        <f t="shared" si="15"/>
        <v>8190.7199999999993</v>
      </c>
      <c r="F100" s="171"/>
      <c r="G100" s="171">
        <f t="shared" si="16"/>
        <v>8190.7199999999993</v>
      </c>
      <c r="H100" s="172">
        <f t="shared" si="17"/>
        <v>1.9909722522826927E-3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'[20]Sch C'!D94</f>
        <v>9805.8799999999974</v>
      </c>
      <c r="D101" s="501">
        <f>'[20]Sch C'!F94</f>
        <v>0</v>
      </c>
      <c r="E101" s="171">
        <f t="shared" si="15"/>
        <v>9805.8799999999974</v>
      </c>
      <c r="F101" s="171"/>
      <c r="G101" s="171">
        <f t="shared" si="16"/>
        <v>9805.8799999999974</v>
      </c>
      <c r="H101" s="172">
        <f t="shared" si="17"/>
        <v>2.3835798304927781E-3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377809.42000000004</v>
      </c>
      <c r="D102" s="501">
        <f>SUM(D96:D101)</f>
        <v>-103</v>
      </c>
      <c r="E102" s="171">
        <f t="shared" ref="E102:F102" si="18">SUM(E96:E101)</f>
        <v>377706.42000000004</v>
      </c>
      <c r="F102" s="171">
        <f t="shared" si="18"/>
        <v>0</v>
      </c>
      <c r="G102" s="171">
        <f>SUM(G96:G101)</f>
        <v>377706.42000000004</v>
      </c>
      <c r="H102" s="172">
        <f t="shared" si="17"/>
        <v>9.1811586982467094E-2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'[20]Sch C'!D98</f>
        <v>32521</v>
      </c>
      <c r="D105" s="501">
        <f>'[20]Sch C'!F98</f>
        <v>0</v>
      </c>
      <c r="E105" s="171">
        <f t="shared" ref="E105:E110" si="19">C105+D105</f>
        <v>32521</v>
      </c>
      <c r="F105" s="171"/>
      <c r="G105" s="171">
        <f t="shared" ref="G105:G110" si="20">E105+F105</f>
        <v>32521</v>
      </c>
      <c r="H105" s="172">
        <f t="shared" ref="H105:H111" si="21">IF($G$208=0,0,G105/$G$208)</f>
        <v>7.9050936445740367E-3</v>
      </c>
      <c r="I105" s="473"/>
      <c r="J105" s="183">
        <v>3142.77</v>
      </c>
      <c r="K105" s="183">
        <v>3422.88</v>
      </c>
    </row>
    <row r="106" spans="1:11" s="167" customFormat="1">
      <c r="A106" s="169" t="s">
        <v>86</v>
      </c>
      <c r="B106" s="170" t="s">
        <v>45</v>
      </c>
      <c r="C106" s="501">
        <f>'[20]Sch C'!D99</f>
        <v>11210.91</v>
      </c>
      <c r="D106" s="501">
        <f>'[20]Sch C'!F99</f>
        <v>0</v>
      </c>
      <c r="E106" s="171">
        <f t="shared" si="19"/>
        <v>11210.91</v>
      </c>
      <c r="F106" s="171"/>
      <c r="G106" s="171">
        <f t="shared" si="20"/>
        <v>11210.91</v>
      </c>
      <c r="H106" s="172">
        <f t="shared" si="21"/>
        <v>2.7251097257431052E-3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'[20]Sch C'!D100</f>
        <v>12783.470000000001</v>
      </c>
      <c r="D107" s="501">
        <f>'[20]Sch C'!F100</f>
        <v>0</v>
      </c>
      <c r="E107" s="171">
        <f t="shared" si="19"/>
        <v>12783.470000000001</v>
      </c>
      <c r="F107" s="171"/>
      <c r="G107" s="171">
        <f t="shared" si="20"/>
        <v>12783.470000000001</v>
      </c>
      <c r="H107" s="172">
        <f t="shared" si="21"/>
        <v>3.1073622414010296E-3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'[20]Sch C'!D101</f>
        <v>0</v>
      </c>
      <c r="D108" s="501">
        <f>'[20]Sch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'[20]Sch C'!D102</f>
        <v>4646.4799999999996</v>
      </c>
      <c r="D109" s="501">
        <f>'[20]Sch C'!F102</f>
        <v>0</v>
      </c>
      <c r="E109" s="171">
        <f t="shared" si="19"/>
        <v>4646.4799999999996</v>
      </c>
      <c r="F109" s="171"/>
      <c r="G109" s="171">
        <f t="shared" si="20"/>
        <v>4646.4799999999996</v>
      </c>
      <c r="H109" s="172">
        <f t="shared" si="21"/>
        <v>1.1294504940696894E-3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'[20]Sch C'!D103</f>
        <v>0</v>
      </c>
      <c r="D110" s="501">
        <f>'[20]Sch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61161.86</v>
      </c>
      <c r="D111" s="501">
        <f>SUM(D105:D110)</f>
        <v>0</v>
      </c>
      <c r="E111" s="171">
        <f t="shared" ref="E111:F111" si="22">SUM(E105:E110)</f>
        <v>61161.86</v>
      </c>
      <c r="F111" s="171">
        <f t="shared" si="22"/>
        <v>0</v>
      </c>
      <c r="G111" s="171">
        <f>SUM(G105:G110)</f>
        <v>61161.86</v>
      </c>
      <c r="H111" s="172">
        <f t="shared" si="21"/>
        <v>1.4867016105787861E-2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'[20]Sch C'!D115</f>
        <v>86863.98000000001</v>
      </c>
      <c r="D114" s="501">
        <f>'[20]Sch C'!F115</f>
        <v>0</v>
      </c>
      <c r="E114" s="171">
        <f t="shared" ref="E114:E118" si="23">C114+D114</f>
        <v>86863.98000000001</v>
      </c>
      <c r="F114" s="171"/>
      <c r="G114" s="171">
        <f>E114+F114</f>
        <v>86863.98000000001</v>
      </c>
      <c r="H114" s="172">
        <f t="shared" ref="H114:H119" si="24">IF($G$208=0,0,G114/$G$208)</f>
        <v>2.1114599681449107E-2</v>
      </c>
      <c r="I114" s="473"/>
      <c r="J114" s="183">
        <v>10920.39</v>
      </c>
      <c r="K114" s="183">
        <v>11562.39</v>
      </c>
    </row>
    <row r="115" spans="1:11" s="167" customFormat="1">
      <c r="A115" s="169" t="s">
        <v>86</v>
      </c>
      <c r="B115" s="170" t="s">
        <v>151</v>
      </c>
      <c r="C115" s="501">
        <f>'[20]Sch C'!D116</f>
        <v>23193.750000000004</v>
      </c>
      <c r="D115" s="501">
        <f>'[20]Sch C'!F116</f>
        <v>0</v>
      </c>
      <c r="E115" s="171">
        <f t="shared" si="23"/>
        <v>23193.750000000004</v>
      </c>
      <c r="F115" s="171"/>
      <c r="G115" s="171">
        <f>E115+F115</f>
        <v>23193.750000000004</v>
      </c>
      <c r="H115" s="172">
        <f t="shared" si="24"/>
        <v>5.6378575603099257E-3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'[20]Sch C'!D117</f>
        <v>15818.14</v>
      </c>
      <c r="D116" s="501">
        <f>'[20]Sch C'!F117</f>
        <v>0</v>
      </c>
      <c r="E116" s="171">
        <f t="shared" si="23"/>
        <v>15818.14</v>
      </c>
      <c r="F116" s="171"/>
      <c r="G116" s="171">
        <f>E116+F116</f>
        <v>15818.14</v>
      </c>
      <c r="H116" s="172">
        <f t="shared" si="24"/>
        <v>3.8450194638228333E-3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'[20]Sch C'!D118</f>
        <v>738.14</v>
      </c>
      <c r="D117" s="501">
        <f>'[20]Sch C'!F118</f>
        <v>0</v>
      </c>
      <c r="E117" s="171">
        <f t="shared" si="23"/>
        <v>738.14</v>
      </c>
      <c r="F117" s="171"/>
      <c r="G117" s="171">
        <f>E117+F117</f>
        <v>738.14</v>
      </c>
      <c r="H117" s="172">
        <f t="shared" si="24"/>
        <v>1.7942455099184771E-4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'[20]Sch C'!D119</f>
        <v>78.099999999999994</v>
      </c>
      <c r="D118" s="501">
        <f>'[20]Sch C'!F119</f>
        <v>0</v>
      </c>
      <c r="E118" s="171">
        <f t="shared" si="23"/>
        <v>78.099999999999994</v>
      </c>
      <c r="F118" s="171"/>
      <c r="G118" s="171">
        <f>E118+F118</f>
        <v>78.099999999999994</v>
      </c>
      <c r="H118" s="172">
        <f t="shared" si="24"/>
        <v>1.898428134562997E-5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126692.11000000002</v>
      </c>
      <c r="D119" s="501">
        <f>SUM(D114:D118)</f>
        <v>0</v>
      </c>
      <c r="E119" s="171">
        <f t="shared" ref="E119:F119" si="25">SUM(E114:E118)</f>
        <v>126692.11000000002</v>
      </c>
      <c r="F119" s="171">
        <f t="shared" si="25"/>
        <v>0</v>
      </c>
      <c r="G119" s="171">
        <f>SUM(G114:G118)</f>
        <v>126692.11000000002</v>
      </c>
      <c r="H119" s="172">
        <f t="shared" si="24"/>
        <v>3.0795885537919343E-2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'[20]Sch C'!D124</f>
        <v>108699.76</v>
      </c>
      <c r="D123" s="501">
        <f>'[20]Sch C'!F124</f>
        <v>0</v>
      </c>
      <c r="E123" s="171">
        <f t="shared" ref="E123:E127" si="26">C123+D123</f>
        <v>108699.76</v>
      </c>
      <c r="F123" s="171"/>
      <c r="G123" s="171">
        <f>E123+F123</f>
        <v>108699.76</v>
      </c>
      <c r="H123" s="172">
        <f>IF($G$208=0,0,G123/$G$208)</f>
        <v>2.6422366530633224E-2</v>
      </c>
      <c r="I123" s="473"/>
      <c r="J123" s="183">
        <v>2927</v>
      </c>
      <c r="K123" s="183">
        <v>2956.71</v>
      </c>
    </row>
    <row r="124" spans="1:11" s="167" customFormat="1">
      <c r="B124" s="163" t="s">
        <v>194</v>
      </c>
      <c r="C124" s="501">
        <f>'[20]Sch C'!D125</f>
        <v>39677.399999999994</v>
      </c>
      <c r="D124" s="501">
        <f>'[20]Sch C'!F125</f>
        <v>0</v>
      </c>
      <c r="E124" s="171">
        <f t="shared" si="26"/>
        <v>39677.399999999994</v>
      </c>
      <c r="F124" s="171"/>
      <c r="G124" s="171">
        <f>E124+F124</f>
        <v>39677.399999999994</v>
      </c>
      <c r="H124" s="172">
        <f>IF($G$208=0,0,G124/$G$208)</f>
        <v>9.644646922702926E-3</v>
      </c>
      <c r="I124" s="473"/>
      <c r="J124" s="183">
        <v>1881.41</v>
      </c>
      <c r="K124" s="183">
        <v>2061.5100000000002</v>
      </c>
    </row>
    <row r="125" spans="1:11" s="167" customFormat="1">
      <c r="A125" s="163" t="s">
        <v>198</v>
      </c>
      <c r="B125" s="163" t="s">
        <v>195</v>
      </c>
      <c r="C125" s="501">
        <f>'[20]Sch C'!D126</f>
        <v>0</v>
      </c>
      <c r="D125" s="501">
        <f>'[20]Sch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'[20]Sch C'!D127</f>
        <v>0</v>
      </c>
      <c r="D126" s="501">
        <f>'[20]Sch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'[20]Sch C'!D128</f>
        <v>51684.160000000003</v>
      </c>
      <c r="D127" s="501">
        <f>'[20]Sch C'!F128</f>
        <v>32233</v>
      </c>
      <c r="E127" s="171">
        <f t="shared" si="26"/>
        <v>83917.16</v>
      </c>
      <c r="F127" s="171"/>
      <c r="G127" s="171">
        <f>E127+F127</f>
        <v>83917.16</v>
      </c>
      <c r="H127" s="172">
        <f>IF($G$208=0,0,G127/$G$208)</f>
        <v>2.039829673708381E-2</v>
      </c>
      <c r="I127" s="473"/>
      <c r="J127" s="183">
        <v>3734.55</v>
      </c>
      <c r="K127" s="183">
        <v>3983.7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'[20]Sch C'!D130</f>
        <v>23327.389188913286</v>
      </c>
      <c r="D129" s="501">
        <f>'[20]Sch C'!F130</f>
        <v>0</v>
      </c>
      <c r="E129" s="171">
        <f t="shared" ref="E129:E133" si="27">C129+D129</f>
        <v>23327.389188913286</v>
      </c>
      <c r="F129" s="171"/>
      <c r="G129" s="171">
        <f>E129+F129</f>
        <v>23327.389188913286</v>
      </c>
      <c r="H129" s="172">
        <f>IF($G$208=0,0,G129/$G$208)</f>
        <v>5.6703421180708934E-3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'[20]Sch C'!D131</f>
        <v>8514.9236006058145</v>
      </c>
      <c r="D130" s="501">
        <f>'[20]Sch C'!F131</f>
        <v>0</v>
      </c>
      <c r="E130" s="171">
        <f t="shared" si="27"/>
        <v>8514.9236006058145</v>
      </c>
      <c r="F130" s="171"/>
      <c r="G130" s="171">
        <f>E130+F130</f>
        <v>8514.9236006058145</v>
      </c>
      <c r="H130" s="172">
        <f>IF($G$208=0,0,G130/$G$208)</f>
        <v>2.0697785565998127E-3</v>
      </c>
      <c r="I130" s="473"/>
      <c r="J130" s="204"/>
      <c r="K130" s="204"/>
    </row>
    <row r="131" spans="1:11" s="167" customFormat="1">
      <c r="B131" s="163" t="s">
        <v>195</v>
      </c>
      <c r="C131" s="501">
        <f>'[20]Sch C'!D132</f>
        <v>0</v>
      </c>
      <c r="D131" s="501">
        <f>'[20]Sch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'[20]Sch C'!D133</f>
        <v>0</v>
      </c>
      <c r="D132" s="501">
        <f>'[20]Sch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'[20]Sch C'!D134</f>
        <v>8745.1200000000008</v>
      </c>
      <c r="D133" s="501">
        <f>'[20]Sch C'!F134</f>
        <v>0</v>
      </c>
      <c r="E133" s="171">
        <f t="shared" si="27"/>
        <v>8745.1200000000008</v>
      </c>
      <c r="F133" s="171"/>
      <c r="G133" s="171">
        <f>E133+F133</f>
        <v>8745.1200000000008</v>
      </c>
      <c r="H133" s="172">
        <f>IF($G$208=0,0,G133/$G$208)</f>
        <v>2.1257339114122355E-3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'[20]Sch C'!D136</f>
        <v>216004.44</v>
      </c>
      <c r="D135" s="501">
        <f>'[20]Sch C'!F136</f>
        <v>0</v>
      </c>
      <c r="E135" s="171">
        <f t="shared" ref="E135:E138" si="28">C135+D135</f>
        <v>216004.44</v>
      </c>
      <c r="F135" s="171"/>
      <c r="G135" s="171">
        <f>E135+F135</f>
        <v>216004.44</v>
      </c>
      <c r="H135" s="172">
        <f>IF($G$208=0,0,G135/$G$208)</f>
        <v>5.2505621778044152E-2</v>
      </c>
      <c r="I135" s="473"/>
      <c r="J135" s="183">
        <v>8242.58</v>
      </c>
      <c r="K135" s="183">
        <v>8954.58</v>
      </c>
    </row>
    <row r="136" spans="1:11" s="167" customFormat="1">
      <c r="A136" s="169"/>
      <c r="B136" s="163" t="s">
        <v>195</v>
      </c>
      <c r="C136" s="501">
        <f>'[20]Sch C'!D137</f>
        <v>147401.51</v>
      </c>
      <c r="D136" s="501">
        <f>'[20]Sch C'!F137</f>
        <v>0</v>
      </c>
      <c r="E136" s="171">
        <f t="shared" si="28"/>
        <v>147401.51</v>
      </c>
      <c r="F136" s="171"/>
      <c r="G136" s="171">
        <f>E136+F136</f>
        <v>147401.51</v>
      </c>
      <c r="H136" s="172">
        <f>IF($G$208=0,0,G136/$G$208)</f>
        <v>3.5829855782467224E-2</v>
      </c>
      <c r="I136" s="473"/>
      <c r="J136" s="183">
        <v>7989.97</v>
      </c>
      <c r="K136" s="183">
        <v>8197.9699999999993</v>
      </c>
    </row>
    <row r="137" spans="1:11" s="167" customFormat="1">
      <c r="A137" s="169"/>
      <c r="B137" s="163" t="s">
        <v>196</v>
      </c>
      <c r="C137" s="501">
        <f>'[20]Sch C'!D138</f>
        <v>392420.49</v>
      </c>
      <c r="D137" s="501">
        <f>'[20]Sch C'!F138</f>
        <v>0</v>
      </c>
      <c r="E137" s="171">
        <f t="shared" si="28"/>
        <v>392420.49</v>
      </c>
      <c r="F137" s="171"/>
      <c r="G137" s="171">
        <f>E137+F137</f>
        <v>392420.49</v>
      </c>
      <c r="H137" s="172">
        <f>IF($G$208=0,0,G137/$G$208)</f>
        <v>9.5388232880281337E-2</v>
      </c>
      <c r="I137" s="473"/>
      <c r="J137" s="183">
        <v>35999.85</v>
      </c>
      <c r="K137" s="183">
        <v>37413.47</v>
      </c>
    </row>
    <row r="138" spans="1:11" s="167" customFormat="1">
      <c r="A138" s="169"/>
      <c r="B138" s="163" t="s">
        <v>197</v>
      </c>
      <c r="C138" s="501">
        <f>'[20]Sch C'!D139</f>
        <v>110245.02</v>
      </c>
      <c r="D138" s="501">
        <f>'[20]Sch C'!F139</f>
        <v>0</v>
      </c>
      <c r="E138" s="171">
        <f t="shared" si="28"/>
        <v>110245.02</v>
      </c>
      <c r="F138" s="171"/>
      <c r="G138" s="171">
        <f>E138+F138</f>
        <v>110245.02</v>
      </c>
      <c r="H138" s="172">
        <f>IF($G$208=0,0,G138/$G$208)</f>
        <v>2.6797983055500681E-2</v>
      </c>
      <c r="I138" s="473"/>
      <c r="J138" s="183">
        <v>10214.73</v>
      </c>
      <c r="K138" s="183">
        <v>10470.73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'[20]Sch C'!D141</f>
        <v>46355.388810548146</v>
      </c>
      <c r="D140" s="501">
        <f>'[20]Sch C'!F141</f>
        <v>0</v>
      </c>
      <c r="E140" s="171">
        <f t="shared" ref="E140:E143" si="29">C140+D140</f>
        <v>46355.388810548146</v>
      </c>
      <c r="F140" s="171"/>
      <c r="G140" s="171">
        <f>E140+F140</f>
        <v>46355.388810548146</v>
      </c>
      <c r="H140" s="172">
        <f>IF($G$208=0,0,G140/$G$208)</f>
        <v>1.1267909642324117E-2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'[20]Sch C'!D142</f>
        <v>31632.934523530632</v>
      </c>
      <c r="D141" s="501">
        <f>'[20]Sch C'!F142</f>
        <v>0</v>
      </c>
      <c r="E141" s="171">
        <f t="shared" si="29"/>
        <v>31632.934523530632</v>
      </c>
      <c r="F141" s="171"/>
      <c r="G141" s="171">
        <f>E141+F141</f>
        <v>31632.934523530632</v>
      </c>
      <c r="H141" s="172">
        <f>IF($G$208=0,0,G141/$G$208)</f>
        <v>7.6892257206478479E-3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'[20]Sch C'!D143</f>
        <v>84214.955910979508</v>
      </c>
      <c r="D142" s="501">
        <f>'[20]Sch C'!F143</f>
        <v>0</v>
      </c>
      <c r="E142" s="171">
        <f t="shared" si="29"/>
        <v>84214.955910979508</v>
      </c>
      <c r="F142" s="171"/>
      <c r="G142" s="171">
        <f>E142+F142</f>
        <v>84214.955910979508</v>
      </c>
      <c r="H142" s="172">
        <f>IF($G$208=0,0,G142/$G$208)</f>
        <v>2.0470683950369512E-2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'[20]Sch C'!D144</f>
        <v>23659.007965422639</v>
      </c>
      <c r="D143" s="501">
        <f>'[20]Sch C'!F144</f>
        <v>0</v>
      </c>
      <c r="E143" s="171">
        <f t="shared" si="29"/>
        <v>23659.007965422639</v>
      </c>
      <c r="F143" s="171"/>
      <c r="G143" s="171">
        <f>E143+F143</f>
        <v>23659.007965422639</v>
      </c>
      <c r="H143" s="172">
        <f>IF($G$208=0,0,G143/$G$208)</f>
        <v>5.7509508780292434E-3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522"/>
      <c r="K144" s="204"/>
    </row>
    <row r="145" spans="1:11" s="167" customFormat="1">
      <c r="A145" s="169"/>
      <c r="B145" s="163" t="s">
        <v>232</v>
      </c>
      <c r="C145" s="501">
        <f>'[20]Sch C'!D146</f>
        <v>17173.440000000002</v>
      </c>
      <c r="D145" s="501">
        <f>'[20]Sch C'!F146</f>
        <v>0</v>
      </c>
      <c r="E145" s="171">
        <f t="shared" ref="E145:E153" si="30">C145+D145</f>
        <v>17173.440000000002</v>
      </c>
      <c r="F145" s="171"/>
      <c r="G145" s="171">
        <f t="shared" ref="G145:G153" si="31">E145+F145</f>
        <v>17173.440000000002</v>
      </c>
      <c r="H145" s="172">
        <f t="shared" ref="H145:H153" si="32">IF($G$208=0,0,G145/$G$208)</f>
        <v>4.1744611604647326E-3</v>
      </c>
      <c r="I145" s="473"/>
      <c r="J145" s="183" t="s">
        <v>379</v>
      </c>
      <c r="K145" s="183" t="s">
        <v>379</v>
      </c>
    </row>
    <row r="146" spans="1:11" s="167" customFormat="1">
      <c r="A146" s="169"/>
      <c r="B146" s="163" t="s">
        <v>194</v>
      </c>
      <c r="C146" s="501">
        <f>'[20]Sch C'!D147</f>
        <v>0</v>
      </c>
      <c r="D146" s="501">
        <f>'[20]Sch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'[20]Sch C'!D148</f>
        <v>0</v>
      </c>
      <c r="D147" s="501">
        <f>'[20]Sch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'[20]Sch C'!D149</f>
        <v>0</v>
      </c>
      <c r="D148" s="501">
        <f>'[20]Sch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'[20]Sch C'!D150</f>
        <v>15766.66</v>
      </c>
      <c r="D149" s="501">
        <f>'[20]Sch C'!F150</f>
        <v>0</v>
      </c>
      <c r="E149" s="171">
        <f t="shared" si="30"/>
        <v>15766.66</v>
      </c>
      <c r="F149" s="171"/>
      <c r="G149" s="171">
        <f t="shared" si="31"/>
        <v>15766.66</v>
      </c>
      <c r="H149" s="172">
        <f t="shared" si="32"/>
        <v>3.8325058811893757E-3</v>
      </c>
      <c r="I149" s="473"/>
      <c r="J149" s="183" t="s">
        <v>440</v>
      </c>
      <c r="K149" s="183" t="s">
        <v>440</v>
      </c>
    </row>
    <row r="150" spans="1:11" s="167" customFormat="1">
      <c r="A150" s="169">
        <v>110</v>
      </c>
      <c r="B150" s="167" t="s">
        <v>65</v>
      </c>
      <c r="C150" s="501">
        <f>'[20]Sch C'!D151</f>
        <v>61714.81</v>
      </c>
      <c r="D150" s="501">
        <f>'[20]Sch C'!F151</f>
        <v>0</v>
      </c>
      <c r="E150" s="171">
        <f t="shared" si="30"/>
        <v>61714.81</v>
      </c>
      <c r="F150" s="171"/>
      <c r="G150" s="171">
        <f t="shared" si="31"/>
        <v>61714.81</v>
      </c>
      <c r="H150" s="172">
        <f t="shared" si="32"/>
        <v>1.5001425303868093E-2</v>
      </c>
      <c r="I150" s="473"/>
      <c r="J150" s="523"/>
      <c r="K150" s="168"/>
    </row>
    <row r="151" spans="1:11" s="167" customFormat="1">
      <c r="A151" s="169">
        <v>111</v>
      </c>
      <c r="B151" s="170" t="s">
        <v>97</v>
      </c>
      <c r="C151" s="501">
        <f>'[20]Sch C'!D152</f>
        <v>8347.58</v>
      </c>
      <c r="D151" s="501">
        <f>'[20]Sch C'!F152</f>
        <v>0</v>
      </c>
      <c r="E151" s="171">
        <f t="shared" si="30"/>
        <v>8347.58</v>
      </c>
      <c r="F151" s="171"/>
      <c r="G151" s="171">
        <f t="shared" si="31"/>
        <v>8347.58</v>
      </c>
      <c r="H151" s="172">
        <f t="shared" si="32"/>
        <v>2.0291012455205355E-3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'[20]Sch C'!D153</f>
        <v>0</v>
      </c>
      <c r="D152" s="501">
        <f>'[20]Sch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'[20]Sch C'!D154</f>
        <v>0</v>
      </c>
      <c r="D153" s="501">
        <f>'[20]Sch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'[20]Sch C'!D156</f>
        <v>0</v>
      </c>
      <c r="D155" s="501">
        <f>'[20]Sch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'[20]Sch C'!D157</f>
        <v>0</v>
      </c>
      <c r="D156" s="501">
        <f>'[20]Sch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'[20]Sch C'!D158</f>
        <v>0</v>
      </c>
      <c r="D157" s="501">
        <f>'[20]Sch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'[20]Sch C'!D159</f>
        <v>201</v>
      </c>
      <c r="D158" s="501">
        <f>'[20]Sch C'!F159</f>
        <v>0</v>
      </c>
      <c r="E158" s="171">
        <f t="shared" si="33"/>
        <v>201</v>
      </c>
      <c r="F158" s="171"/>
      <c r="G158" s="171">
        <f t="shared" si="34"/>
        <v>201</v>
      </c>
      <c r="H158" s="172">
        <f t="shared" si="35"/>
        <v>4.8858393732031041E-5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'[20]Sch C'!D160</f>
        <v>0</v>
      </c>
      <c r="D159" s="501">
        <f>'[20]Sch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'[20]Sch C'!D161</f>
        <v>9711.14</v>
      </c>
      <c r="D160" s="501">
        <f>'[20]Sch C'!F161</f>
        <v>0</v>
      </c>
      <c r="E160" s="171">
        <f t="shared" si="33"/>
        <v>9711.14</v>
      </c>
      <c r="F160" s="171"/>
      <c r="G160" s="171">
        <f t="shared" si="34"/>
        <v>9711.14</v>
      </c>
      <c r="H160" s="172">
        <f t="shared" si="35"/>
        <v>2.3605507547605764E-3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1405497.13</v>
      </c>
      <c r="D161" s="501">
        <f>SUM(D123:D160)</f>
        <v>32233</v>
      </c>
      <c r="E161" s="171">
        <f t="shared" ref="E161:F161" si="36">SUM(E123:E160)</f>
        <v>1437730.13</v>
      </c>
      <c r="F161" s="171">
        <f t="shared" si="36"/>
        <v>0</v>
      </c>
      <c r="G161" s="171">
        <f>SUM(G123:G160)</f>
        <v>1437730.13</v>
      </c>
      <c r="H161" s="172">
        <f t="shared" si="35"/>
        <v>0.34947853120370231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'[20]Sch C'!D175</f>
        <v>0</v>
      </c>
      <c r="D164" s="501">
        <f>'[20]Sch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'[20]Sch C'!D176</f>
        <v>0</v>
      </c>
      <c r="D165" s="501">
        <f>'[20]Sch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'[20]Sch C'!D177</f>
        <v>0</v>
      </c>
      <c r="D166" s="501">
        <f>'[20]Sch C'!F177</f>
        <v>9920</v>
      </c>
      <c r="E166" s="171">
        <f t="shared" si="37"/>
        <v>9920</v>
      </c>
      <c r="F166" s="216"/>
      <c r="G166" s="171">
        <f t="shared" si="38"/>
        <v>9920</v>
      </c>
      <c r="H166" s="172">
        <f t="shared" si="39"/>
        <v>2.4113197304564573E-3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'[20]Sch C'!D178</f>
        <v>0</v>
      </c>
      <c r="D167" s="501">
        <f>'[20]Sch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'[20]Sch C'!D179</f>
        <v>0</v>
      </c>
      <c r="D168" s="501">
        <f>'[20]Sch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'[20]Sch C'!D180</f>
        <v>0</v>
      </c>
      <c r="D169" s="501">
        <f>'[20]Sch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'[20]Sch C'!D181</f>
        <v>0</v>
      </c>
      <c r="D170" s="501">
        <f>'[20]Sch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'[20]Sch C'!D182</f>
        <v>0</v>
      </c>
      <c r="D171" s="501">
        <f>'[20]Sch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'[20]Sch C'!D183</f>
        <v>1157.67</v>
      </c>
      <c r="D172" s="501">
        <f>'[20]Sch C'!F183</f>
        <v>0</v>
      </c>
      <c r="E172" s="171">
        <f t="shared" si="37"/>
        <v>1157.67</v>
      </c>
      <c r="F172" s="216"/>
      <c r="G172" s="171">
        <f t="shared" si="38"/>
        <v>1157.67</v>
      </c>
      <c r="H172" s="172">
        <f t="shared" si="39"/>
        <v>2.81402471003783E-4</v>
      </c>
      <c r="I172" s="483"/>
      <c r="J172" s="183">
        <v>35.619999999999997</v>
      </c>
      <c r="K172" s="183">
        <v>35.619999999999997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'[20]Sch C'!D184</f>
        <v>92.49</v>
      </c>
      <c r="D173" s="501">
        <f>'[20]Sch C'!F184</f>
        <v>0</v>
      </c>
      <c r="E173" s="171">
        <f t="shared" si="37"/>
        <v>92.49</v>
      </c>
      <c r="F173" s="216"/>
      <c r="G173" s="171">
        <f t="shared" si="38"/>
        <v>92.49</v>
      </c>
      <c r="H173" s="172">
        <f t="shared" si="39"/>
        <v>2.2482153414306221E-5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'[20]Sch C'!D185</f>
        <v>0</v>
      </c>
      <c r="D174" s="501">
        <f>'[20]Sch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'[20]Sch C'!D186</f>
        <v>0</v>
      </c>
      <c r="D175" s="501">
        <f>'[20]Sch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'[20]Sch C'!D187</f>
        <v>0</v>
      </c>
      <c r="D176" s="501">
        <f>'[20]Sch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'[20]Sch C'!D188</f>
        <v>60.77</v>
      </c>
      <c r="D177" s="501">
        <f>'[20]Sch C'!F188</f>
        <v>0</v>
      </c>
      <c r="E177" s="171">
        <f t="shared" si="37"/>
        <v>60.77</v>
      </c>
      <c r="F177" s="216"/>
      <c r="G177" s="171">
        <f t="shared" si="38"/>
        <v>60.77</v>
      </c>
      <c r="H177" s="172">
        <f t="shared" si="39"/>
        <v>1.4771764114903117E-5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'[20]Sch C'!D189</f>
        <v>0</v>
      </c>
      <c r="D178" s="501">
        <f>'[20]Sch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'[20]Sch C'!D190</f>
        <v>0</v>
      </c>
      <c r="D179" s="501">
        <f>'[20]Sch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'[20]Sch C'!D191</f>
        <v>408.84000000000003</v>
      </c>
      <c r="D180" s="501">
        <f>'[20]Sch C'!F191</f>
        <v>0</v>
      </c>
      <c r="E180" s="171">
        <f t="shared" si="37"/>
        <v>408.84000000000003</v>
      </c>
      <c r="F180" s="216"/>
      <c r="G180" s="171">
        <f t="shared" si="38"/>
        <v>408.84000000000003</v>
      </c>
      <c r="H180" s="172">
        <f t="shared" si="39"/>
        <v>9.9379431310465531E-5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'[20]Sch C'!D192</f>
        <v>5833.91</v>
      </c>
      <c r="D181" s="501">
        <f>'[20]Sch C'!F192</f>
        <v>0</v>
      </c>
      <c r="E181" s="171">
        <f t="shared" si="37"/>
        <v>5833.91</v>
      </c>
      <c r="F181" s="216"/>
      <c r="G181" s="171">
        <f t="shared" si="38"/>
        <v>5833.91</v>
      </c>
      <c r="H181" s="172">
        <f t="shared" si="39"/>
        <v>1.4180869242648418E-3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'[20]Sch C'!D193</f>
        <v>0</v>
      </c>
      <c r="D182" s="501">
        <f>'[20]Sch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'[20]Sch C'!D194</f>
        <v>162390.60000000003</v>
      </c>
      <c r="D183" s="501">
        <f>'[20]Sch C'!F194</f>
        <v>0</v>
      </c>
      <c r="E183" s="171">
        <f t="shared" si="37"/>
        <v>162390.60000000003</v>
      </c>
      <c r="F183" s="216"/>
      <c r="G183" s="171">
        <f t="shared" si="38"/>
        <v>162390.60000000003</v>
      </c>
      <c r="H183" s="172">
        <f t="shared" si="39"/>
        <v>3.947335260288936E-2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'[20]Sch C'!D195</f>
        <v>47375.13</v>
      </c>
      <c r="D184" s="501">
        <f>'[20]Sch C'!F195</f>
        <v>0</v>
      </c>
      <c r="E184" s="171">
        <f t="shared" si="37"/>
        <v>47375.13</v>
      </c>
      <c r="F184" s="216"/>
      <c r="G184" s="171">
        <f t="shared" si="38"/>
        <v>47375.13</v>
      </c>
      <c r="H184" s="172">
        <f t="shared" si="39"/>
        <v>1.1515784848985848E-2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'[20]Sch C'!D196</f>
        <v>0</v>
      </c>
      <c r="D185" s="501">
        <f>'[20]Sch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'[20]Sch C'!D197</f>
        <v>26507.91</v>
      </c>
      <c r="D186" s="501">
        <f>'[20]Sch C'!F197</f>
        <v>0</v>
      </c>
      <c r="E186" s="171">
        <f t="shared" si="37"/>
        <v>26507.91</v>
      </c>
      <c r="F186" s="216"/>
      <c r="G186" s="171">
        <f t="shared" si="38"/>
        <v>26507.91</v>
      </c>
      <c r="H186" s="172">
        <f t="shared" si="39"/>
        <v>6.4434522576778258E-3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'[20]Sch C'!D198</f>
        <v>0</v>
      </c>
      <c r="D187" s="501">
        <f>'[20]Sch C'!F198</f>
        <v>0</v>
      </c>
      <c r="E187" s="171">
        <f t="shared" si="37"/>
        <v>0</v>
      </c>
      <c r="F187" s="216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'[20]Sch C'!D199</f>
        <v>0</v>
      </c>
      <c r="D188" s="501">
        <f>'[20]Sch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'[20]Sch C'!D200</f>
        <v>0</v>
      </c>
      <c r="D189" s="501">
        <f>'[20]Sch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'[20]Sch C'!D201</f>
        <v>0</v>
      </c>
      <c r="D190" s="501">
        <f>'[20]Sch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'[20]Sch C'!D202</f>
        <v>0</v>
      </c>
      <c r="D191" s="501">
        <f>'[20]Sch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'[20]Sch C'!D203</f>
        <v>0</v>
      </c>
      <c r="D192" s="501">
        <f>'[20]Sch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'[20]Sch C'!D204</f>
        <v>0</v>
      </c>
      <c r="D193" s="501">
        <f>'[20]Sch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'[20]Sch C'!D205</f>
        <v>35000.01</v>
      </c>
      <c r="D194" s="501">
        <f>'[20]Sch C'!F205</f>
        <v>0</v>
      </c>
      <c r="E194" s="171">
        <f t="shared" si="37"/>
        <v>35000.01</v>
      </c>
      <c r="F194" s="216"/>
      <c r="G194" s="171">
        <f t="shared" si="38"/>
        <v>35000.01</v>
      </c>
      <c r="H194" s="172">
        <f t="shared" si="39"/>
        <v>8.5076829313682784E-3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'[20]Sch C'!D206</f>
        <v>0</v>
      </c>
      <c r="D195" s="501">
        <f>'[20]Sch C'!F206</f>
        <v>0</v>
      </c>
      <c r="E195" s="171">
        <f t="shared" si="37"/>
        <v>0</v>
      </c>
      <c r="F195" s="216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'[20]Sch C'!D207</f>
        <v>16778.439999999999</v>
      </c>
      <c r="D196" s="501">
        <f>'[20]Sch C'!F207</f>
        <v>0</v>
      </c>
      <c r="E196" s="171">
        <f t="shared" si="37"/>
        <v>16778.439999999999</v>
      </c>
      <c r="F196" s="216"/>
      <c r="G196" s="171">
        <f t="shared" si="38"/>
        <v>16778.439999999999</v>
      </c>
      <c r="H196" s="172">
        <f t="shared" si="39"/>
        <v>4.0784459091007903E-3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295605.77</v>
      </c>
      <c r="D197" s="501">
        <f>SUM(D164:D196)</f>
        <v>9920</v>
      </c>
      <c r="E197" s="171">
        <f t="shared" ref="E197:F197" si="40">SUM(E164:E196)</f>
        <v>305525.77</v>
      </c>
      <c r="F197" s="171">
        <f t="shared" si="40"/>
        <v>0</v>
      </c>
      <c r="G197" s="171">
        <f>SUM(G164:G196)</f>
        <v>305525.77</v>
      </c>
      <c r="H197" s="172">
        <f>IF($G$208=0,0,G197/$G$208)</f>
        <v>7.4266161024586858E-2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'[20]Sch C'!D211</f>
        <v>58357.549999999996</v>
      </c>
      <c r="D200" s="501">
        <f>'[20]Sch C'!F211</f>
        <v>0</v>
      </c>
      <c r="E200" s="171">
        <f t="shared" ref="E200:E205" si="41">C200+D200</f>
        <v>58357.549999999996</v>
      </c>
      <c r="F200" s="171"/>
      <c r="G200" s="171">
        <f t="shared" ref="G200:G205" si="42">E200+F200</f>
        <v>58357.549999999996</v>
      </c>
      <c r="H200" s="172">
        <f t="shared" ref="H200:H206" si="43">IF($G$208=0,0,G200/$G$208)</f>
        <v>1.4185354005655163E-2</v>
      </c>
      <c r="I200" s="473"/>
      <c r="J200" s="183">
        <v>4230.58</v>
      </c>
      <c r="K200" s="183">
        <v>4539.58</v>
      </c>
    </row>
    <row r="201" spans="1:14" s="167" customFormat="1">
      <c r="A201" s="169" t="s">
        <v>86</v>
      </c>
      <c r="B201" s="170" t="s">
        <v>45</v>
      </c>
      <c r="C201" s="501">
        <f>'[20]Sch C'!D212</f>
        <v>10419.310000000001</v>
      </c>
      <c r="D201" s="501">
        <f>'[20]Sch C'!F212</f>
        <v>0</v>
      </c>
      <c r="E201" s="171">
        <f t="shared" si="41"/>
        <v>10419.310000000001</v>
      </c>
      <c r="F201" s="171"/>
      <c r="G201" s="171">
        <f t="shared" si="42"/>
        <v>10419.310000000001</v>
      </c>
      <c r="H201" s="172">
        <f t="shared" si="43"/>
        <v>2.5326903004780519E-3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'[20]Sch C'!D213</f>
        <v>10800.5</v>
      </c>
      <c r="D202" s="501">
        <f>'[20]Sch C'!F213</f>
        <v>0</v>
      </c>
      <c r="E202" s="171">
        <f t="shared" si="41"/>
        <v>10800.5</v>
      </c>
      <c r="F202" s="171"/>
      <c r="G202" s="171">
        <f t="shared" si="42"/>
        <v>10800.5</v>
      </c>
      <c r="H202" s="172">
        <f t="shared" si="43"/>
        <v>2.6253486641930413E-3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'[20]Sch C'!D214</f>
        <v>0</v>
      </c>
      <c r="D203" s="501">
        <f>'[20]Sch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'[20]Sch C'!D215</f>
        <v>0</v>
      </c>
      <c r="D204" s="501">
        <f>'[20]Sch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'[20]Sch C'!D216</f>
        <v>11354.279999999999</v>
      </c>
      <c r="D205" s="501">
        <f>'[20]Sch C'!F216</f>
        <v>0</v>
      </c>
      <c r="E205" s="171">
        <f t="shared" si="41"/>
        <v>11354.279999999999</v>
      </c>
      <c r="F205" s="171"/>
      <c r="G205" s="171">
        <f t="shared" si="42"/>
        <v>11354.279999999999</v>
      </c>
      <c r="H205" s="172">
        <f t="shared" si="43"/>
        <v>2.7599596158394296E-3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90931.64</v>
      </c>
      <c r="D206" s="501">
        <f>SUM(D200:D205)</f>
        <v>0</v>
      </c>
      <c r="E206" s="171">
        <f t="shared" ref="E206:F206" si="44">SUM(E200:E205)</f>
        <v>90931.64</v>
      </c>
      <c r="F206" s="171">
        <f t="shared" si="44"/>
        <v>0</v>
      </c>
      <c r="G206" s="171">
        <f>SUM(G200:G205)</f>
        <v>90931.64</v>
      </c>
      <c r="H206" s="172">
        <f t="shared" si="43"/>
        <v>2.2103352586165689E-2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4923210.2399999993</v>
      </c>
      <c r="D208" s="501">
        <f>SUM(D25:D206)/2</f>
        <v>-794008.52</v>
      </c>
      <c r="E208" s="171">
        <f t="shared" ref="E208:F208" si="45">SUM(E25:E206)/2</f>
        <v>4129201.7200000007</v>
      </c>
      <c r="F208" s="171">
        <f t="shared" si="45"/>
        <v>-15271.96</v>
      </c>
      <c r="G208" s="171">
        <f>SUM(G25:G206)/2</f>
        <v>4113929.7600000007</v>
      </c>
      <c r="H208" s="172">
        <f>IF($G$208=0,0,G208/$G$208)</f>
        <v>1</v>
      </c>
      <c r="I208" s="473"/>
      <c r="J208" s="183">
        <f>SUM(J25:J200)</f>
        <v>118058.4</v>
      </c>
      <c r="K208" s="183">
        <f>SUM(K25:K200)</f>
        <v>124432.59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'[20]Sch C'!D221</f>
        <v>4923210.2399999993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-235787.26999999955</v>
      </c>
      <c r="D215" s="501">
        <f>D21-D208</f>
        <v>793327.24</v>
      </c>
      <c r="E215" s="171">
        <f t="shared" ref="E215:F215" si="46">E21-E208</f>
        <v>557539.96999999881</v>
      </c>
      <c r="F215" s="171">
        <f t="shared" si="46"/>
        <v>479354.96</v>
      </c>
      <c r="G215" s="171">
        <f>G21-G208</f>
        <v>1036894.9299999988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453"/>
      <c r="G218" s="165"/>
      <c r="H218" s="166"/>
      <c r="I218" s="478"/>
      <c r="J218" s="168"/>
      <c r="K218" s="168"/>
    </row>
    <row r="219" spans="1:11">
      <c r="A219" s="163"/>
      <c r="B219" s="170" t="s">
        <v>438</v>
      </c>
      <c r="C219" s="530">
        <f>'[20]Sch D'!C9</f>
        <v>15002</v>
      </c>
      <c r="D219" s="530"/>
      <c r="E219" s="234">
        <f t="shared" ref="E219:G227" si="47">C219+D219</f>
        <v>15002</v>
      </c>
      <c r="F219" s="233"/>
      <c r="G219" s="234">
        <f t="shared" si="47"/>
        <v>15002</v>
      </c>
      <c r="H219" s="172">
        <f t="shared" ref="H219:H228" si="48">IF($G$228=0,0,G219/$G$228)</f>
        <v>0.73734394967069694</v>
      </c>
      <c r="I219" s="473"/>
      <c r="J219" s="168"/>
      <c r="K219" s="168"/>
    </row>
    <row r="220" spans="1:11">
      <c r="A220" s="163"/>
      <c r="B220" s="170" t="s">
        <v>217</v>
      </c>
      <c r="C220" s="530">
        <f>'[20]Sch D'!D9</f>
        <v>2544</v>
      </c>
      <c r="D220" s="530"/>
      <c r="E220" s="234">
        <f t="shared" ref="E220:E227" si="49">C220+D220</f>
        <v>2544</v>
      </c>
      <c r="F220" s="233"/>
      <c r="G220" s="234">
        <f t="shared" si="47"/>
        <v>2544</v>
      </c>
      <c r="H220" s="172">
        <f t="shared" si="48"/>
        <v>0.12503686228251254</v>
      </c>
      <c r="I220" s="473"/>
      <c r="J220" s="168"/>
      <c r="K220" s="168"/>
    </row>
    <row r="221" spans="1:11">
      <c r="A221" s="163"/>
      <c r="B221" s="170" t="s">
        <v>72</v>
      </c>
      <c r="C221" s="530">
        <f>'[20]Sch D'!E9</f>
        <v>1988</v>
      </c>
      <c r="D221" s="530"/>
      <c r="E221" s="234">
        <f t="shared" si="49"/>
        <v>1988</v>
      </c>
      <c r="F221" s="233"/>
      <c r="G221" s="234">
        <f t="shared" si="47"/>
        <v>1988</v>
      </c>
      <c r="H221" s="172">
        <f t="shared" si="48"/>
        <v>9.7709623513221266E-2</v>
      </c>
      <c r="I221" s="473"/>
      <c r="J221" s="168"/>
      <c r="K221" s="168"/>
    </row>
    <row r="222" spans="1:11">
      <c r="A222" s="163"/>
      <c r="B222" s="202" t="s">
        <v>439</v>
      </c>
      <c r="C222" s="530">
        <f>'[20]Sch D'!F9</f>
        <v>1</v>
      </c>
      <c r="D222" s="530"/>
      <c r="E222" s="234">
        <f>C222+D222</f>
        <v>1</v>
      </c>
      <c r="F222" s="233"/>
      <c r="G222" s="234">
        <f>E222+F222</f>
        <v>1</v>
      </c>
      <c r="H222" s="172">
        <f t="shared" si="48"/>
        <v>4.9149710016710898E-5</v>
      </c>
      <c r="I222" s="473"/>
      <c r="J222" s="168"/>
      <c r="K222" s="168"/>
    </row>
    <row r="223" spans="1:11">
      <c r="A223" s="163"/>
      <c r="B223" s="170" t="s">
        <v>73</v>
      </c>
      <c r="C223" s="530">
        <f>'[20]Sch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'[20]Sch D'!H9</f>
        <v>803</v>
      </c>
      <c r="D224" s="530"/>
      <c r="E224" s="234">
        <f t="shared" si="49"/>
        <v>803</v>
      </c>
      <c r="F224" s="233"/>
      <c r="G224" s="234">
        <f t="shared" si="47"/>
        <v>803</v>
      </c>
      <c r="H224" s="172">
        <f t="shared" si="48"/>
        <v>3.9467217143418852E-2</v>
      </c>
      <c r="I224" s="473"/>
      <c r="J224" s="168"/>
      <c r="K224" s="168"/>
    </row>
    <row r="225" spans="1:11">
      <c r="A225" s="163"/>
      <c r="B225" s="170" t="s">
        <v>236</v>
      </c>
      <c r="C225" s="530">
        <f>'[20]Sch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'[20]Sch D'!J9</f>
        <v>8</v>
      </c>
      <c r="D226" s="530"/>
      <c r="E226" s="234">
        <f>C226+D226</f>
        <v>8</v>
      </c>
      <c r="F226" s="233"/>
      <c r="G226" s="234">
        <f>E226+F226</f>
        <v>8</v>
      </c>
      <c r="H226" s="172">
        <f t="shared" si="48"/>
        <v>3.9319768013368719E-4</v>
      </c>
      <c r="I226" s="473"/>
      <c r="J226" s="168"/>
      <c r="K226" s="168"/>
    </row>
    <row r="227" spans="1:11">
      <c r="A227" s="163"/>
      <c r="B227" s="170" t="s">
        <v>179</v>
      </c>
      <c r="C227" s="530">
        <f>'[20]Sch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20346</v>
      </c>
      <c r="D228" s="530">
        <f>SUM(D219:D227)</f>
        <v>0</v>
      </c>
      <c r="E228" s="236">
        <f>SUM(E219:E227)</f>
        <v>20346</v>
      </c>
      <c r="F228" s="236">
        <f>SUM(F219:F227)</f>
        <v>0</v>
      </c>
      <c r="G228" s="236">
        <f>SUM(G219:G227)</f>
        <v>20346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 ht="15.5">
      <c r="A230" s="163"/>
      <c r="B230" s="232" t="s">
        <v>160</v>
      </c>
      <c r="C230" s="581"/>
      <c r="D230" s="231"/>
      <c r="E230" s="231"/>
      <c r="F230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'[20]Sch D'!N22</f>
        <v>104</v>
      </c>
      <c r="D231" s="502"/>
      <c r="E231" s="234">
        <f>C231+D231</f>
        <v>104</v>
      </c>
      <c r="F231" s="234"/>
      <c r="G231" s="234">
        <f>E231</f>
        <v>104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'[20]Sch D'!N24</f>
        <v>104</v>
      </c>
      <c r="D232" s="502"/>
      <c r="E232" s="234">
        <f>C232+D232</f>
        <v>104</v>
      </c>
      <c r="F232" s="234"/>
      <c r="G232" s="234">
        <f>E232</f>
        <v>104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'[20]Sch D'!N28</f>
        <v>37960</v>
      </c>
      <c r="D235" s="438"/>
      <c r="E235" s="233">
        <f>E231*E233</f>
        <v>37960</v>
      </c>
      <c r="F235" s="238"/>
      <c r="G235" s="233">
        <f>G231*G233</f>
        <v>37960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'[20]Sch D'!N30</f>
        <v>0.53598524762908328</v>
      </c>
      <c r="D236" s="238"/>
      <c r="E236" s="242">
        <f>E228/E235</f>
        <v>0.53598524762908328</v>
      </c>
      <c r="F236" s="243"/>
      <c r="G236" s="242">
        <f>G228/G235</f>
        <v>0.53598524762908328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'[20]Sch D'!N32</f>
        <v>0.46222339304531085</v>
      </c>
      <c r="D237" s="238"/>
      <c r="E237" s="242">
        <f>(E219+E220)/E235</f>
        <v>0.46222339304531085</v>
      </c>
      <c r="F237" s="243"/>
      <c r="G237" s="242">
        <f>(G219+G220)/G235</f>
        <v>0.46222339304531085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'[20]Sch D'!N34</f>
        <v>0.86238081195320937</v>
      </c>
      <c r="D238" s="238"/>
      <c r="E238" s="242">
        <f>(E237/E236)</f>
        <v>0.86238081195320937</v>
      </c>
      <c r="F238" s="243"/>
      <c r="G238" s="242">
        <f>(G237/G236)</f>
        <v>0.86238081195320937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'[20]Sch B'!C85</f>
        <v>161.05382198952879</v>
      </c>
      <c r="I241" s="475"/>
    </row>
    <row r="242" spans="2:9">
      <c r="F242" s="142" t="s">
        <v>341</v>
      </c>
      <c r="G242" s="501">
        <f>'[20]Sch B'!E85</f>
        <v>159.67261682242992</v>
      </c>
      <c r="I242" s="475"/>
    </row>
    <row r="243" spans="2:9">
      <c r="F243" s="142" t="s">
        <v>342</v>
      </c>
      <c r="G243" s="501">
        <f>'[20]Sch B'!G85</f>
        <v>159.18140495867769</v>
      </c>
      <c r="I243" s="475"/>
    </row>
    <row r="244" spans="2:9">
      <c r="F244" s="142" t="s">
        <v>343</v>
      </c>
      <c r="G244" s="501">
        <f>'[20]Sch B'!I85</f>
        <v>156.37589743589743</v>
      </c>
      <c r="I244" s="475"/>
    </row>
    <row r="245" spans="2:9">
      <c r="F245" s="142"/>
      <c r="I245" s="475"/>
    </row>
    <row r="246" spans="2:9" ht="15">
      <c r="B246" s="419"/>
      <c r="I246" s="475"/>
    </row>
    <row r="247" spans="2:9" ht="15">
      <c r="B247" s="419"/>
    </row>
    <row r="248" spans="2:9" ht="15">
      <c r="B248" s="419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12" sqref="A12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">
    <tabColor rgb="FFE28CAB"/>
  </sheetPr>
  <dimension ref="A1:O246"/>
  <sheetViews>
    <sheetView topLeftCell="A2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493</v>
      </c>
      <c r="D2" s="244"/>
      <c r="E2" s="144"/>
    </row>
    <row r="3" spans="1:11">
      <c r="A3" s="145"/>
      <c r="B3" s="140" t="s">
        <v>79</v>
      </c>
      <c r="C3" s="441">
        <v>42736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'[21]Sch B'!E10</f>
        <v>313854</v>
      </c>
      <c r="D11" s="501">
        <f>'[21]Sch B'!G10</f>
        <v>9916.0400000000009</v>
      </c>
      <c r="E11" s="171">
        <f>C11+D11</f>
        <v>323770.03999999998</v>
      </c>
      <c r="F11" s="171"/>
      <c r="G11" s="171">
        <f t="shared" ref="G11:G20" si="0">E11+F11</f>
        <v>323770.03999999998</v>
      </c>
      <c r="H11" s="172">
        <f t="shared" ref="H11:H21" si="1">IF($G$21=0,0,G11/$G$21)</f>
        <v>0.74685542004701144</v>
      </c>
      <c r="I11" s="473"/>
      <c r="J11" s="336" t="s">
        <v>344</v>
      </c>
      <c r="K11" s="337">
        <f>G21</f>
        <v>433511</v>
      </c>
    </row>
    <row r="12" spans="1:11" s="167" customFormat="1">
      <c r="A12" s="169" t="s">
        <v>15</v>
      </c>
      <c r="B12" s="170" t="s">
        <v>212</v>
      </c>
      <c r="C12" s="501">
        <f>'[21]Sch B'!E15</f>
        <v>0</v>
      </c>
      <c r="D12" s="501">
        <f>'[21]Sch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1141207.3800000004</v>
      </c>
    </row>
    <row r="13" spans="1:11" s="167" customFormat="1">
      <c r="A13" s="169" t="s">
        <v>16</v>
      </c>
      <c r="B13" s="170" t="s">
        <v>170</v>
      </c>
      <c r="C13" s="501">
        <f>'[21]Sch B'!E21</f>
        <v>127372.35</v>
      </c>
      <c r="D13" s="501">
        <f>'[21]Sch B'!G21</f>
        <v>-127372.35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I13" s="473"/>
      <c r="J13" s="338" t="s">
        <v>346</v>
      </c>
      <c r="K13" s="339">
        <f>G228</f>
        <v>3571</v>
      </c>
    </row>
    <row r="14" spans="1:11" s="167" customFormat="1">
      <c r="A14" s="173" t="s">
        <v>18</v>
      </c>
      <c r="B14" s="174" t="s">
        <v>306</v>
      </c>
      <c r="C14" s="501">
        <f>'[21]Sch B'!E27</f>
        <v>0</v>
      </c>
      <c r="D14" s="501">
        <f>'[21]Sch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21</v>
      </c>
    </row>
    <row r="15" spans="1:11" s="167" customFormat="1">
      <c r="A15" s="169" t="s">
        <v>19</v>
      </c>
      <c r="B15" s="170" t="s">
        <v>171</v>
      </c>
      <c r="C15" s="501">
        <f>'[21]Sch B'!E32</f>
        <v>0</v>
      </c>
      <c r="D15" s="501">
        <f>'[21]Sch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3801</v>
      </c>
    </row>
    <row r="16" spans="1:11" s="167" customFormat="1">
      <c r="A16" s="169" t="s">
        <v>21</v>
      </c>
      <c r="B16" s="170" t="s">
        <v>172</v>
      </c>
      <c r="C16" s="501">
        <f>'[21]Sch B'!E37</f>
        <v>109740.96</v>
      </c>
      <c r="D16" s="501">
        <f>'[21]Sch B'!G37</f>
        <v>0</v>
      </c>
      <c r="E16" s="171">
        <f t="shared" si="2"/>
        <v>109740.96</v>
      </c>
      <c r="F16" s="171"/>
      <c r="G16" s="171">
        <f t="shared" si="0"/>
        <v>109740.96</v>
      </c>
      <c r="H16" s="172">
        <f t="shared" si="1"/>
        <v>0.2531445799529885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'[21]Sch B'!E42</f>
        <v>0</v>
      </c>
      <c r="D17" s="501">
        <f>'[21]Sch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18691.75</v>
      </c>
    </row>
    <row r="18" spans="1:11" s="167" customFormat="1" ht="13.5" thickBot="1">
      <c r="A18" s="169" t="s">
        <v>216</v>
      </c>
      <c r="B18" s="170" t="s">
        <v>229</v>
      </c>
      <c r="C18" s="501">
        <f>'[21]Sch B'!E47</f>
        <v>0</v>
      </c>
      <c r="D18" s="501">
        <f>'[21]Sch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20584.849999999999</v>
      </c>
    </row>
    <row r="19" spans="1:11" s="167" customFormat="1">
      <c r="A19" s="169" t="s">
        <v>227</v>
      </c>
      <c r="B19" s="177" t="s">
        <v>173</v>
      </c>
      <c r="C19" s="501">
        <f>'[21]Sch B'!E52</f>
        <v>239901.72</v>
      </c>
      <c r="D19" s="501">
        <f>'[21]Sch B'!G52</f>
        <v>-239901.72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'[21]Sch B'!E67</f>
        <v>0</v>
      </c>
      <c r="D20" s="501">
        <f>'[21]Sch B'!G67</f>
        <v>0</v>
      </c>
      <c r="E20" s="171">
        <f t="shared" si="2"/>
        <v>0</v>
      </c>
      <c r="F20" s="171"/>
      <c r="G20" s="171">
        <f t="shared" si="0"/>
        <v>0</v>
      </c>
      <c r="H20" s="172">
        <f t="shared" si="1"/>
        <v>0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790869.02999999991</v>
      </c>
      <c r="D21" s="501">
        <f>SUM(D11:D20)</f>
        <v>-357358.03</v>
      </c>
      <c r="E21" s="171">
        <f>SUM(E11:E20)</f>
        <v>433511</v>
      </c>
      <c r="F21" s="171">
        <f>SUM(F11:F20)</f>
        <v>0</v>
      </c>
      <c r="G21" s="171">
        <f>SUM(G11:G20)</f>
        <v>433511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'[21]Sch C'!D10</f>
        <v>0</v>
      </c>
      <c r="D25" s="501">
        <f>'[21]Sch C'!F10</f>
        <v>0</v>
      </c>
      <c r="E25" s="171">
        <f t="shared" ref="E25:E60" si="3">C25+D25</f>
        <v>0</v>
      </c>
      <c r="F25" s="171">
        <v>28395</v>
      </c>
      <c r="G25" s="182">
        <f>E25+F25</f>
        <v>28395</v>
      </c>
      <c r="H25" s="172">
        <f>IF($G$208=0,0,G25/$G$208)</f>
        <v>2.4881542564156912E-2</v>
      </c>
      <c r="I25" s="473"/>
      <c r="J25" s="183">
        <v>0</v>
      </c>
      <c r="K25" s="183">
        <v>0</v>
      </c>
    </row>
    <row r="26" spans="1:11" s="167" customFormat="1">
      <c r="A26" s="169" t="s">
        <v>84</v>
      </c>
      <c r="B26" s="170" t="s">
        <v>176</v>
      </c>
      <c r="C26" s="501">
        <f>'[21]Sch C'!D11</f>
        <v>0</v>
      </c>
      <c r="D26" s="501">
        <f>'[21]Sch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'[21]Sch C'!D12</f>
        <v>548.72</v>
      </c>
      <c r="D27" s="501">
        <f>'[21]Sch C'!F12</f>
        <v>0</v>
      </c>
      <c r="E27" s="171">
        <f t="shared" si="3"/>
        <v>548.72</v>
      </c>
      <c r="F27" s="171"/>
      <c r="G27" s="171">
        <f t="shared" si="4"/>
        <v>548.72</v>
      </c>
      <c r="H27" s="172">
        <f t="shared" si="5"/>
        <v>4.808240900089516E-4</v>
      </c>
      <c r="I27" s="473"/>
      <c r="J27" s="183">
        <v>42.75</v>
      </c>
      <c r="K27" s="183">
        <v>45.38</v>
      </c>
    </row>
    <row r="28" spans="1:11" s="167" customFormat="1">
      <c r="A28" s="169" t="s">
        <v>86</v>
      </c>
      <c r="B28" s="170" t="s">
        <v>45</v>
      </c>
      <c r="C28" s="501">
        <f>'[21]Sch C'!D13</f>
        <v>204.05</v>
      </c>
      <c r="D28" s="501">
        <f>'[21]Sch C'!F13</f>
        <v>0</v>
      </c>
      <c r="E28" s="171">
        <f t="shared" si="3"/>
        <v>204.05</v>
      </c>
      <c r="F28" s="171"/>
      <c r="G28" s="171">
        <f t="shared" si="4"/>
        <v>204.05</v>
      </c>
      <c r="H28" s="172">
        <f t="shared" si="5"/>
        <v>1.7880185808121917E-4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'[21]Sch C'!D14</f>
        <v>0</v>
      </c>
      <c r="D29" s="501">
        <f>'[21]Sch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'[21]Sch C'!D15</f>
        <v>28394.699999999997</v>
      </c>
      <c r="D30" s="501">
        <f>'[21]Sch C'!F15</f>
        <v>0</v>
      </c>
      <c r="E30" s="171">
        <f t="shared" si="3"/>
        <v>28394.699999999997</v>
      </c>
      <c r="F30" s="171">
        <v>-28395</v>
      </c>
      <c r="G30" s="171">
        <f t="shared" si="4"/>
        <v>-0.30000000000291038</v>
      </c>
      <c r="H30" s="172">
        <f t="shared" si="5"/>
        <v>-2.6287947770098566E-7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'[21]Sch C'!D16</f>
        <v>0</v>
      </c>
      <c r="D31" s="501">
        <f>'[21]Sch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'[21]Sch C'!D17</f>
        <v>0</v>
      </c>
      <c r="D32" s="501">
        <f>'[21]Sch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'[21]Sch C'!D18</f>
        <v>0</v>
      </c>
      <c r="D33" s="501">
        <f>'[21]Sch C'!F18</f>
        <v>0</v>
      </c>
      <c r="E33" s="171">
        <f t="shared" si="3"/>
        <v>0</v>
      </c>
      <c r="F33" s="171"/>
      <c r="G33" s="171">
        <f t="shared" si="4"/>
        <v>0</v>
      </c>
      <c r="H33" s="172">
        <f t="shared" si="5"/>
        <v>0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'[21]Sch C'!D19</f>
        <v>3430.6</v>
      </c>
      <c r="D34" s="501">
        <f>'[21]Sch C'!F19</f>
        <v>0</v>
      </c>
      <c r="E34" s="171">
        <f t="shared" si="3"/>
        <v>3430.6</v>
      </c>
      <c r="F34" s="171"/>
      <c r="G34" s="171">
        <f t="shared" si="4"/>
        <v>3430.6</v>
      </c>
      <c r="H34" s="172">
        <f t="shared" si="5"/>
        <v>3.0061144539741749E-3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'[21]Sch C'!D20</f>
        <v>2444.4299999999998</v>
      </c>
      <c r="D35" s="501">
        <f>'[21]Sch C'!F20</f>
        <v>0</v>
      </c>
      <c r="E35" s="171">
        <f t="shared" si="3"/>
        <v>2444.4299999999998</v>
      </c>
      <c r="F35" s="171"/>
      <c r="G35" s="171">
        <f t="shared" si="4"/>
        <v>2444.4299999999998</v>
      </c>
      <c r="H35" s="172">
        <f t="shared" si="5"/>
        <v>2.1419682722346213E-3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'[21]Sch C'!D21</f>
        <v>0</v>
      </c>
      <c r="D36" s="501">
        <f>'[21]Sch C'!F21</f>
        <v>0</v>
      </c>
      <c r="E36" s="171">
        <f t="shared" si="3"/>
        <v>0</v>
      </c>
      <c r="F36" s="171"/>
      <c r="G36" s="171">
        <f t="shared" si="4"/>
        <v>0</v>
      </c>
      <c r="H36" s="172">
        <f t="shared" si="5"/>
        <v>0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'[21]Sch C'!D22</f>
        <v>3608.2799999999997</v>
      </c>
      <c r="D37" s="501">
        <f>'[21]Sch C'!F22</f>
        <v>0</v>
      </c>
      <c r="E37" s="171">
        <f t="shared" si="3"/>
        <v>3608.2799999999997</v>
      </c>
      <c r="F37" s="171"/>
      <c r="G37" s="171">
        <f t="shared" si="4"/>
        <v>3608.2799999999997</v>
      </c>
      <c r="H37" s="172">
        <f t="shared" si="5"/>
        <v>3.1618092059657013E-3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'[21]Sch C'!D23</f>
        <v>616.79999999999995</v>
      </c>
      <c r="D38" s="501">
        <f>'[21]Sch C'!F23</f>
        <v>0</v>
      </c>
      <c r="E38" s="171">
        <f t="shared" si="3"/>
        <v>616.79999999999995</v>
      </c>
      <c r="F38" s="171"/>
      <c r="G38" s="171">
        <f t="shared" si="4"/>
        <v>616.79999999999995</v>
      </c>
      <c r="H38" s="172">
        <f t="shared" si="5"/>
        <v>5.4048020614798321E-4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'[21]Sch C'!D24</f>
        <v>68569.5</v>
      </c>
      <c r="D39" s="501">
        <f>'[21]Sch C'!F24</f>
        <v>0</v>
      </c>
      <c r="E39" s="171">
        <f t="shared" si="3"/>
        <v>68569.5</v>
      </c>
      <c r="F39" s="171"/>
      <c r="G39" s="171">
        <f t="shared" si="4"/>
        <v>68569.5</v>
      </c>
      <c r="H39" s="172">
        <f t="shared" si="5"/>
        <v>6.0085047820142887E-2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'[21]Sch C'!D25</f>
        <v>0</v>
      </c>
      <c r="D40" s="501">
        <f>'[21]Sch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'[21]Sch C'!D26</f>
        <v>67613.86</v>
      </c>
      <c r="D41" s="501">
        <f>'[21]Sch C'!F26</f>
        <v>0</v>
      </c>
      <c r="E41" s="171">
        <f t="shared" si="3"/>
        <v>67613.86</v>
      </c>
      <c r="F41" s="171"/>
      <c r="G41" s="171">
        <f t="shared" si="4"/>
        <v>67613.86</v>
      </c>
      <c r="H41" s="172">
        <f t="shared" si="5"/>
        <v>5.9247654006583779E-2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'[21]Sch C'!D27</f>
        <v>0</v>
      </c>
      <c r="D42" s="501">
        <f>'[21]Sch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'[21]Sch C'!D28</f>
        <v>0</v>
      </c>
      <c r="D43" s="501">
        <f>'[21]Sch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'[21]Sch C'!D29</f>
        <v>0</v>
      </c>
      <c r="D44" s="501">
        <f>'[21]Sch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'[21]Sch C'!D30</f>
        <v>0</v>
      </c>
      <c r="D45" s="501">
        <f>'[21]Sch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'[21]Sch C'!D31</f>
        <v>2090.8200000000002</v>
      </c>
      <c r="D46" s="501">
        <f>'[21]Sch C'!F31</f>
        <v>0</v>
      </c>
      <c r="E46" s="171">
        <f t="shared" si="3"/>
        <v>2090.8200000000002</v>
      </c>
      <c r="F46" s="171"/>
      <c r="G46" s="171">
        <f t="shared" si="4"/>
        <v>2090.8200000000002</v>
      </c>
      <c r="H46" s="172">
        <f t="shared" si="5"/>
        <v>1.8321122318714759E-3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'[21]Sch C'!D32</f>
        <v>4961.1599999999989</v>
      </c>
      <c r="D47" s="501">
        <f>'[21]Sch C'!F32</f>
        <v>0</v>
      </c>
      <c r="E47" s="171">
        <f t="shared" si="3"/>
        <v>4961.1599999999989</v>
      </c>
      <c r="F47" s="171"/>
      <c r="G47" s="171">
        <f t="shared" si="4"/>
        <v>4961.1599999999989</v>
      </c>
      <c r="H47" s="172">
        <f t="shared" si="5"/>
        <v>4.3472904985945651E-3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'[21]Sch C'!D33</f>
        <v>398.96</v>
      </c>
      <c r="D48" s="501">
        <f>'[21]Sch C'!F33</f>
        <v>-398.96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'[21]Sch C'!D34</f>
        <v>0</v>
      </c>
      <c r="D49" s="501">
        <f>'[21]Sch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'[21]Sch C'!D35</f>
        <v>0</v>
      </c>
      <c r="D50" s="501">
        <f>'[21]Sch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'[21]Sch C'!D36</f>
        <v>0</v>
      </c>
      <c r="D51" s="501">
        <f>'[21]Sch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'[21]Sch C'!D37</f>
        <v>0</v>
      </c>
      <c r="D52" s="501">
        <f>'[21]Sch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'[21]Sch C'!D38</f>
        <v>0</v>
      </c>
      <c r="D53" s="501">
        <f>'[21]Sch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'[21]Sch C'!D39</f>
        <v>0</v>
      </c>
      <c r="D54" s="501">
        <f>'[21]Sch C'!F39</f>
        <v>0</v>
      </c>
      <c r="E54" s="171">
        <f t="shared" si="3"/>
        <v>0</v>
      </c>
      <c r="F54" s="171"/>
      <c r="G54" s="171">
        <f t="shared" si="4"/>
        <v>0</v>
      </c>
      <c r="H54" s="172">
        <f t="shared" si="5"/>
        <v>0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'[21]Sch C'!D40</f>
        <v>0</v>
      </c>
      <c r="D55" s="501">
        <f>'[21]Sch C'!F40</f>
        <v>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'[21]Sch C'!D41</f>
        <v>58473.5</v>
      </c>
      <c r="D56" s="501">
        <f>'[21]Sch C'!F41</f>
        <v>0</v>
      </c>
      <c r="E56" s="171">
        <f t="shared" si="3"/>
        <v>58473.5</v>
      </c>
      <c r="F56" s="171"/>
      <c r="G56" s="171">
        <f t="shared" si="4"/>
        <v>58473.5</v>
      </c>
      <c r="H56" s="172">
        <f t="shared" si="5"/>
        <v>5.1238277130664873E-2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'[21]Sch C'!D42</f>
        <v>0</v>
      </c>
      <c r="D57" s="501">
        <f>'[21]Sch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'[21]Sch C'!D43</f>
        <v>0</v>
      </c>
      <c r="D58" s="501">
        <f>'[21]Sch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'[21]Sch C'!D44</f>
        <v>0</v>
      </c>
      <c r="D59" s="501">
        <f>'[21]Sch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'[21]Sch C'!D45</f>
        <v>702.84</v>
      </c>
      <c r="D60" s="501">
        <f>'[21]Sch C'!F45</f>
        <v>0</v>
      </c>
      <c r="E60" s="171">
        <f t="shared" si="3"/>
        <v>702.84</v>
      </c>
      <c r="F60" s="171"/>
      <c r="G60" s="171">
        <f t="shared" si="4"/>
        <v>702.84</v>
      </c>
      <c r="H60" s="172">
        <f t="shared" si="5"/>
        <v>6.1587404035189455E-4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242058.22</v>
      </c>
      <c r="D61" s="501">
        <f>SUM(D25:D60)</f>
        <v>-398.96</v>
      </c>
      <c r="E61" s="171">
        <f t="shared" ref="E61:F61" si="6">SUM(E25:E60)</f>
        <v>241659.26</v>
      </c>
      <c r="F61" s="171">
        <f t="shared" si="6"/>
        <v>0</v>
      </c>
      <c r="G61" s="171">
        <f>SUM(G25:G60)</f>
        <v>241659.26</v>
      </c>
      <c r="H61" s="186">
        <f t="shared" si="5"/>
        <v>0.21175753349930135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'[21]Sch C'!D57</f>
        <v>0</v>
      </c>
      <c r="D64" s="501">
        <f>'[21]Sch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'[21]Sch C'!D58</f>
        <v>56054.12</v>
      </c>
      <c r="D65" s="501">
        <f>'[21]Sch C'!F58</f>
        <v>0</v>
      </c>
      <c r="E65" s="171">
        <f t="shared" si="7"/>
        <v>56054.12</v>
      </c>
      <c r="F65" s="171"/>
      <c r="G65" s="171">
        <f t="shared" si="8"/>
        <v>56054.12</v>
      </c>
      <c r="H65" s="172">
        <f t="shared" si="9"/>
        <v>4.9118259294818077E-2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'[21]Sch C'!D59</f>
        <v>0</v>
      </c>
      <c r="D66" s="501">
        <f>'[21]Sch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'[21]Sch C'!D60</f>
        <v>0</v>
      </c>
      <c r="D67" s="501">
        <f>'[21]Sch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'[21]Sch C'!D61</f>
        <v>0</v>
      </c>
      <c r="D68" s="501">
        <f>'[21]Sch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'[21]Sch C'!D62</f>
        <v>0</v>
      </c>
      <c r="D69" s="501">
        <f>'[21]Sch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'[21]Sch C'!D63</f>
        <v>0</v>
      </c>
      <c r="D70" s="501">
        <f>'[21]Sch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'[21]Sch C'!D64</f>
        <v>0</v>
      </c>
      <c r="D71" s="501">
        <f>'[21]Sch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'[21]Sch C'!D65</f>
        <v>0</v>
      </c>
      <c r="D72" s="501">
        <f>'[21]Sch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'[21]Sch C'!D66</f>
        <v>0</v>
      </c>
      <c r="D73" s="501">
        <f>'[21]Sch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'[21]Sch C'!D67</f>
        <v>2568.91</v>
      </c>
      <c r="D74" s="501">
        <f>'[21]Sch C'!F67</f>
        <v>0</v>
      </c>
      <c r="E74" s="171">
        <f t="shared" si="7"/>
        <v>2568.91</v>
      </c>
      <c r="F74" s="171"/>
      <c r="G74" s="171">
        <f t="shared" si="8"/>
        <v>2568.91</v>
      </c>
      <c r="H74" s="172">
        <f t="shared" si="9"/>
        <v>2.2510457301809588E-3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'[21]Sch C'!D68</f>
        <v>0</v>
      </c>
      <c r="D75" s="501">
        <f>'[21]Sch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'[21]Sch C'!D69</f>
        <v>0</v>
      </c>
      <c r="D76" s="501">
        <f>'[21]Sch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'[21]Sch C'!D70</f>
        <v>0</v>
      </c>
      <c r="D77" s="501">
        <f>'[21]Sch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'[21]Sch C'!D71</f>
        <v>0</v>
      </c>
      <c r="D78" s="501">
        <f>'[21]Sch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58623.03</v>
      </c>
      <c r="D79" s="501">
        <f>SUM(D64:D78)</f>
        <v>0</v>
      </c>
      <c r="E79" s="171">
        <f t="shared" ref="E79:F79" si="10">SUM(E64:E78)</f>
        <v>58623.03</v>
      </c>
      <c r="F79" s="171">
        <f t="shared" si="10"/>
        <v>0</v>
      </c>
      <c r="G79" s="171">
        <f>SUM(G64:G78)</f>
        <v>58623.03</v>
      </c>
      <c r="H79" s="172">
        <f t="shared" si="9"/>
        <v>5.1369305024999035E-2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'[21]Sch C'!D75</f>
        <v>0</v>
      </c>
      <c r="D82" s="501">
        <f>'[21]Sch C'!F75</f>
        <v>0</v>
      </c>
      <c r="E82" s="171">
        <f t="shared" ref="E82:E92" si="11">C82+D82</f>
        <v>0</v>
      </c>
      <c r="F82" s="171"/>
      <c r="G82" s="171">
        <f t="shared" ref="G82:G92" si="12">E82+F82</f>
        <v>0</v>
      </c>
      <c r="H82" s="172">
        <f t="shared" ref="H82:H93" si="13">IF($G$208=0,0,G82/$G$208)</f>
        <v>0</v>
      </c>
      <c r="I82" s="473"/>
      <c r="J82" s="183">
        <v>0</v>
      </c>
      <c r="K82" s="183">
        <v>0</v>
      </c>
    </row>
    <row r="83" spans="1:11" s="167" customFormat="1">
      <c r="A83" s="169" t="s">
        <v>86</v>
      </c>
      <c r="B83" s="199" t="s">
        <v>45</v>
      </c>
      <c r="C83" s="501">
        <f>'[21]Sch C'!D76</f>
        <v>0</v>
      </c>
      <c r="D83" s="501">
        <f>'[21]Sch C'!F76</f>
        <v>0</v>
      </c>
      <c r="E83" s="171">
        <f t="shared" si="11"/>
        <v>0</v>
      </c>
      <c r="F83" s="171"/>
      <c r="G83" s="171">
        <f t="shared" si="12"/>
        <v>0</v>
      </c>
      <c r="H83" s="172">
        <f t="shared" si="13"/>
        <v>0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'[21]Sch C'!D77</f>
        <v>722.18</v>
      </c>
      <c r="D84" s="501">
        <f>'[21]Sch C'!F77</f>
        <v>0</v>
      </c>
      <c r="E84" s="171">
        <f t="shared" si="11"/>
        <v>722.18</v>
      </c>
      <c r="F84" s="171"/>
      <c r="G84" s="171">
        <f t="shared" si="12"/>
        <v>722.18</v>
      </c>
      <c r="H84" s="172">
        <f t="shared" si="13"/>
        <v>6.3282100401418687E-4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'[21]Sch C'!D78</f>
        <v>0</v>
      </c>
      <c r="D85" s="501">
        <f>'[21]Sch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'[21]Sch C'!D79</f>
        <v>176.94</v>
      </c>
      <c r="D86" s="501">
        <f>'[21]Sch C'!F79</f>
        <v>0</v>
      </c>
      <c r="E86" s="171">
        <f t="shared" si="11"/>
        <v>176.94</v>
      </c>
      <c r="F86" s="171"/>
      <c r="G86" s="171">
        <f>E86+F86</f>
        <v>176.94</v>
      </c>
      <c r="H86" s="172">
        <f t="shared" si="13"/>
        <v>1.5504631594653721E-4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'[21]Sch C'!D80</f>
        <v>76134.5</v>
      </c>
      <c r="D87" s="501">
        <f>'[21]Sch C'!F80</f>
        <v>0</v>
      </c>
      <c r="E87" s="171">
        <f t="shared" si="11"/>
        <v>76134.5</v>
      </c>
      <c r="F87" s="171"/>
      <c r="G87" s="171">
        <f t="shared" si="12"/>
        <v>76134.5</v>
      </c>
      <c r="H87" s="172">
        <f t="shared" si="13"/>
        <v>6.6713991982771767E-2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'[21]Sch C'!D81</f>
        <v>94.42</v>
      </c>
      <c r="D88" s="501">
        <f>'[21]Sch C'!F81</f>
        <v>0</v>
      </c>
      <c r="E88" s="171">
        <f t="shared" si="11"/>
        <v>94.42</v>
      </c>
      <c r="F88" s="171"/>
      <c r="G88" s="171">
        <f t="shared" si="12"/>
        <v>94.42</v>
      </c>
      <c r="H88" s="172">
        <f t="shared" si="13"/>
        <v>8.2736934280954239E-5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'[21]Sch C'!D82</f>
        <v>17.78</v>
      </c>
      <c r="D89" s="501">
        <f>'[21]Sch C'!F82</f>
        <v>0</v>
      </c>
      <c r="E89" s="171">
        <f t="shared" si="11"/>
        <v>17.78</v>
      </c>
      <c r="F89" s="171"/>
      <c r="G89" s="171">
        <f t="shared" si="12"/>
        <v>17.78</v>
      </c>
      <c r="H89" s="172">
        <f t="shared" si="13"/>
        <v>1.5579990378260607E-5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'[21]Sch C'!D83</f>
        <v>14.99</v>
      </c>
      <c r="D90" s="501">
        <f>'[21]Sch C'!F83</f>
        <v>0</v>
      </c>
      <c r="E90" s="171">
        <f t="shared" si="11"/>
        <v>14.99</v>
      </c>
      <c r="F90" s="171"/>
      <c r="G90" s="171">
        <f t="shared" si="12"/>
        <v>14.99</v>
      </c>
      <c r="H90" s="172">
        <f t="shared" si="13"/>
        <v>1.3135211235665157E-5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'[21]Sch C'!D84</f>
        <v>0</v>
      </c>
      <c r="D91" s="501">
        <f>'[21]Sch C'!F84</f>
        <v>0</v>
      </c>
      <c r="E91" s="171">
        <f t="shared" si="11"/>
        <v>0</v>
      </c>
      <c r="F91" s="171"/>
      <c r="G91" s="171">
        <f t="shared" si="12"/>
        <v>0</v>
      </c>
      <c r="H91" s="172">
        <f t="shared" si="13"/>
        <v>0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'[21]Sch C'!D85</f>
        <v>0</v>
      </c>
      <c r="D92" s="501">
        <f>'[21]Sch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77160.81</v>
      </c>
      <c r="D93" s="501">
        <f>SUM(D82:D92)</f>
        <v>0</v>
      </c>
      <c r="E93" s="171">
        <f t="shared" ref="E93:F93" si="14">SUM(E82:E92)</f>
        <v>77160.81</v>
      </c>
      <c r="F93" s="171">
        <f t="shared" si="14"/>
        <v>0</v>
      </c>
      <c r="G93" s="171">
        <f>SUM(G82:G92)</f>
        <v>77160.81</v>
      </c>
      <c r="H93" s="172">
        <f t="shared" si="13"/>
        <v>6.7613311438627366E-2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'[21]Sch C'!D89</f>
        <v>0</v>
      </c>
      <c r="D96" s="501">
        <f>'[21]Sch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'[21]Sch C'!D90</f>
        <v>0</v>
      </c>
      <c r="D97" s="501">
        <f>'[21]Sch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'[21]Sch C'!D91</f>
        <v>111002.44</v>
      </c>
      <c r="D98" s="501">
        <f>'[21]Sch C'!F91</f>
        <v>0</v>
      </c>
      <c r="E98" s="171">
        <f t="shared" si="15"/>
        <v>111002.44</v>
      </c>
      <c r="F98" s="171"/>
      <c r="G98" s="171">
        <f t="shared" si="16"/>
        <v>111002.44</v>
      </c>
      <c r="H98" s="172">
        <f t="shared" si="17"/>
        <v>9.7267544834839723E-2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'[21]Sch C'!D92</f>
        <v>219.03</v>
      </c>
      <c r="D99" s="501">
        <f>'[21]Sch C'!F92</f>
        <v>0</v>
      </c>
      <c r="E99" s="171">
        <f t="shared" si="15"/>
        <v>219.03</v>
      </c>
      <c r="F99" s="171"/>
      <c r="G99" s="171">
        <f t="shared" si="16"/>
        <v>219.03</v>
      </c>
      <c r="H99" s="172">
        <f t="shared" si="17"/>
        <v>1.9192830666762769E-4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'[21]Sch C'!D93</f>
        <v>0</v>
      </c>
      <c r="D100" s="501">
        <f>'[21]Sch C'!F93</f>
        <v>0</v>
      </c>
      <c r="E100" s="171">
        <f t="shared" si="15"/>
        <v>0</v>
      </c>
      <c r="F100" s="171"/>
      <c r="G100" s="171">
        <f t="shared" si="16"/>
        <v>0</v>
      </c>
      <c r="H100" s="172">
        <f t="shared" si="17"/>
        <v>0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'[21]Sch C'!D94</f>
        <v>0</v>
      </c>
      <c r="D101" s="501">
        <f>'[21]Sch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111221.47</v>
      </c>
      <c r="D102" s="501">
        <f>SUM(D96:D101)</f>
        <v>0</v>
      </c>
      <c r="E102" s="171">
        <f t="shared" ref="E102:F102" si="18">SUM(E96:E101)</f>
        <v>111221.47</v>
      </c>
      <c r="F102" s="171">
        <f t="shared" si="18"/>
        <v>0</v>
      </c>
      <c r="G102" s="171">
        <f>SUM(G96:G101)</f>
        <v>111221.47</v>
      </c>
      <c r="H102" s="172">
        <f t="shared" si="17"/>
        <v>9.7459473141507338E-2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'[21]Sch C'!D98</f>
        <v>0</v>
      </c>
      <c r="D105" s="501">
        <f>'[21]Sch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'[21]Sch C'!D99</f>
        <v>0</v>
      </c>
      <c r="D106" s="501">
        <f>'[21]Sch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'[21]Sch C'!D100</f>
        <v>447.49</v>
      </c>
      <c r="D107" s="501">
        <f>'[21]Sch C'!F100</f>
        <v>0</v>
      </c>
      <c r="E107" s="171">
        <f t="shared" si="19"/>
        <v>447.49</v>
      </c>
      <c r="F107" s="171"/>
      <c r="G107" s="171">
        <f t="shared" si="20"/>
        <v>447.49</v>
      </c>
      <c r="H107" s="172">
        <f t="shared" si="21"/>
        <v>3.9211979158424289E-4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'[21]Sch C'!D101</f>
        <v>19965.599999999999</v>
      </c>
      <c r="D108" s="501">
        <f>'[21]Sch C'!F101</f>
        <v>0</v>
      </c>
      <c r="E108" s="171">
        <f t="shared" si="19"/>
        <v>19965.599999999999</v>
      </c>
      <c r="F108" s="171"/>
      <c r="G108" s="171">
        <f t="shared" si="20"/>
        <v>19965.599999999999</v>
      </c>
      <c r="H108" s="172">
        <f t="shared" si="21"/>
        <v>1.7495154999786273E-2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'[21]Sch C'!D102</f>
        <v>0</v>
      </c>
      <c r="D109" s="501">
        <f>'[21]Sch C'!F102</f>
        <v>0</v>
      </c>
      <c r="E109" s="171">
        <f t="shared" si="19"/>
        <v>0</v>
      </c>
      <c r="F109" s="171"/>
      <c r="G109" s="171">
        <f t="shared" si="20"/>
        <v>0</v>
      </c>
      <c r="H109" s="172">
        <f t="shared" si="21"/>
        <v>0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'[21]Sch C'!D103</f>
        <v>0</v>
      </c>
      <c r="D110" s="501">
        <f>'[21]Sch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20413.09</v>
      </c>
      <c r="D111" s="501">
        <f>SUM(D105:D110)</f>
        <v>0</v>
      </c>
      <c r="E111" s="171">
        <f t="shared" ref="E111:F111" si="22">SUM(E105:E110)</f>
        <v>20413.09</v>
      </c>
      <c r="F111" s="171">
        <f t="shared" si="22"/>
        <v>0</v>
      </c>
      <c r="G111" s="171">
        <f>SUM(G105:G110)</f>
        <v>20413.09</v>
      </c>
      <c r="H111" s="172">
        <f t="shared" si="21"/>
        <v>1.7887274791370516E-2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'[21]Sch C'!D115</f>
        <v>13082.29</v>
      </c>
      <c r="D114" s="501">
        <f>'[21]Sch C'!F115</f>
        <v>0</v>
      </c>
      <c r="E114" s="171">
        <f t="shared" ref="E114:E118" si="23">C114+D114</f>
        <v>13082.29</v>
      </c>
      <c r="F114" s="171"/>
      <c r="G114" s="171">
        <f>E114+F114</f>
        <v>13082.29</v>
      </c>
      <c r="H114" s="172">
        <f t="shared" ref="H114:H119" si="24">IF($G$208=0,0,G114/$G$208)</f>
        <v>1.1463551874331549E-2</v>
      </c>
      <c r="I114" s="473"/>
      <c r="J114" s="183">
        <v>1057.75</v>
      </c>
      <c r="K114" s="183">
        <v>1057.75</v>
      </c>
    </row>
    <row r="115" spans="1:11" s="167" customFormat="1">
      <c r="A115" s="169" t="s">
        <v>86</v>
      </c>
      <c r="B115" s="170" t="s">
        <v>151</v>
      </c>
      <c r="C115" s="501">
        <f>'[21]Sch C'!D116</f>
        <v>4864.8100000000004</v>
      </c>
      <c r="D115" s="501">
        <f>'[21]Sch C'!F116</f>
        <v>0</v>
      </c>
      <c r="E115" s="171">
        <f t="shared" si="23"/>
        <v>4864.8100000000004</v>
      </c>
      <c r="F115" s="171"/>
      <c r="G115" s="171">
        <f>E115+F115</f>
        <v>4864.8100000000004</v>
      </c>
      <c r="H115" s="172">
        <f t="shared" si="24"/>
        <v>4.2628623730070854E-3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'[21]Sch C'!D117</f>
        <v>3537.69</v>
      </c>
      <c r="D116" s="501">
        <f>'[21]Sch C'!F117</f>
        <v>0</v>
      </c>
      <c r="E116" s="171">
        <f t="shared" si="23"/>
        <v>3537.69</v>
      </c>
      <c r="F116" s="171"/>
      <c r="G116" s="171">
        <f>E116+F116</f>
        <v>3537.69</v>
      </c>
      <c r="H116" s="172">
        <f t="shared" si="24"/>
        <v>3.0999536648632598E-3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'[21]Sch C'!D118</f>
        <v>21678.58</v>
      </c>
      <c r="D117" s="501">
        <f>'[21]Sch C'!F118</f>
        <v>0</v>
      </c>
      <c r="E117" s="171">
        <f t="shared" si="23"/>
        <v>21678.58</v>
      </c>
      <c r="F117" s="171"/>
      <c r="G117" s="171">
        <f>E117+F117</f>
        <v>21678.58</v>
      </c>
      <c r="H117" s="172">
        <f t="shared" si="24"/>
        <v>1.8996179292145827E-2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'[21]Sch C'!D119</f>
        <v>0</v>
      </c>
      <c r="D118" s="501">
        <f>'[21]Sch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43163.37</v>
      </c>
      <c r="D119" s="501">
        <f>SUM(D114:D118)</f>
        <v>0</v>
      </c>
      <c r="E119" s="171">
        <f t="shared" ref="E119:F119" si="25">SUM(E114:E118)</f>
        <v>43163.37</v>
      </c>
      <c r="F119" s="171">
        <f t="shared" si="25"/>
        <v>0</v>
      </c>
      <c r="G119" s="171">
        <f>SUM(G114:G118)</f>
        <v>43163.37</v>
      </c>
      <c r="H119" s="172">
        <f t="shared" si="24"/>
        <v>3.7822547204347724E-2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'[21]Sch C'!D124</f>
        <v>0</v>
      </c>
      <c r="D123" s="501">
        <f>'[21]Sch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'[21]Sch C'!D125</f>
        <v>39424.019999999997</v>
      </c>
      <c r="D124" s="501">
        <f>'[21]Sch C'!F125</f>
        <v>0</v>
      </c>
      <c r="E124" s="171">
        <f t="shared" si="26"/>
        <v>39424.019999999997</v>
      </c>
      <c r="F124" s="171"/>
      <c r="G124" s="171">
        <f>E124+F124</f>
        <v>39424.019999999997</v>
      </c>
      <c r="H124" s="172">
        <f>IF($G$208=0,0,G124/$G$208)</f>
        <v>3.454588595457557E-2</v>
      </c>
      <c r="I124" s="473"/>
      <c r="J124" s="183">
        <v>1059.5</v>
      </c>
      <c r="K124" s="183">
        <v>1248.45</v>
      </c>
    </row>
    <row r="125" spans="1:11" s="167" customFormat="1">
      <c r="A125" s="163" t="s">
        <v>198</v>
      </c>
      <c r="B125" s="163" t="s">
        <v>195</v>
      </c>
      <c r="C125" s="501">
        <f>'[21]Sch C'!D126</f>
        <v>0</v>
      </c>
      <c r="D125" s="501">
        <f>'[21]Sch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'[21]Sch C'!D127</f>
        <v>0</v>
      </c>
      <c r="D126" s="501">
        <f>'[21]Sch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'[21]Sch C'!D128</f>
        <v>0</v>
      </c>
      <c r="D127" s="501">
        <f>'[21]Sch C'!F128</f>
        <v>0</v>
      </c>
      <c r="E127" s="171">
        <f t="shared" si="26"/>
        <v>0</v>
      </c>
      <c r="F127" s="171"/>
      <c r="G127" s="171">
        <f>E127+F127</f>
        <v>0</v>
      </c>
      <c r="H127" s="172">
        <f>IF($G$208=0,0,G127/$G$208)</f>
        <v>0</v>
      </c>
      <c r="I127" s="473"/>
      <c r="J127" s="183">
        <v>0</v>
      </c>
      <c r="K127" s="183">
        <v>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'[21]Sch C'!D130</f>
        <v>0</v>
      </c>
      <c r="D129" s="501">
        <f>'[21]Sch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'[21]Sch C'!D131</f>
        <v>14660.3</v>
      </c>
      <c r="D130" s="501">
        <f>'[21]Sch C'!F131</f>
        <v>0</v>
      </c>
      <c r="E130" s="171">
        <f t="shared" si="27"/>
        <v>14660.3</v>
      </c>
      <c r="F130" s="171"/>
      <c r="G130" s="171">
        <f>E130+F130</f>
        <v>14660.3</v>
      </c>
      <c r="H130" s="172">
        <f>IF($G$208=0,0,G130/$G$208)</f>
        <v>1.2846306689674574E-2</v>
      </c>
      <c r="I130" s="473"/>
      <c r="J130" s="204"/>
      <c r="K130" s="204"/>
    </row>
    <row r="131" spans="1:11" s="167" customFormat="1">
      <c r="B131" s="163" t="s">
        <v>195</v>
      </c>
      <c r="C131" s="501">
        <f>'[21]Sch C'!D132</f>
        <v>0</v>
      </c>
      <c r="D131" s="501">
        <f>'[21]Sch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'[21]Sch C'!D133</f>
        <v>0</v>
      </c>
      <c r="D132" s="501">
        <f>'[21]Sch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'[21]Sch C'!D134</f>
        <v>0</v>
      </c>
      <c r="D133" s="501">
        <f>'[21]Sch C'!F134</f>
        <v>0</v>
      </c>
      <c r="E133" s="171">
        <f t="shared" si="27"/>
        <v>0</v>
      </c>
      <c r="F133" s="17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'[21]Sch C'!D136</f>
        <v>149276.99</v>
      </c>
      <c r="D135" s="501">
        <f>'[21]Sch C'!F136</f>
        <v>0</v>
      </c>
      <c r="E135" s="171">
        <f t="shared" ref="E135:E138" si="28">C135+D135</f>
        <v>149276.99</v>
      </c>
      <c r="F135" s="171"/>
      <c r="G135" s="171">
        <f>E135+F135</f>
        <v>149276.99</v>
      </c>
      <c r="H135" s="172">
        <f>IF($G$208=0,0,G135/$G$208)</f>
        <v>0.1308061905453152</v>
      </c>
      <c r="I135" s="473"/>
      <c r="J135" s="183">
        <v>4030.25</v>
      </c>
      <c r="K135" s="183">
        <v>4745.7</v>
      </c>
    </row>
    <row r="136" spans="1:11" s="167" customFormat="1">
      <c r="A136" s="169"/>
      <c r="B136" s="163" t="s">
        <v>195</v>
      </c>
      <c r="C136" s="501">
        <f>'[21]Sch C'!D137</f>
        <v>9998.2199999999993</v>
      </c>
      <c r="D136" s="501">
        <f>'[21]Sch C'!F137</f>
        <v>0</v>
      </c>
      <c r="E136" s="171">
        <f t="shared" si="28"/>
        <v>9998.2199999999993</v>
      </c>
      <c r="F136" s="171"/>
      <c r="G136" s="171">
        <f>E136+F136</f>
        <v>9998.2199999999993</v>
      </c>
      <c r="H136" s="172">
        <f>IF($G$208=0,0,G136/$G$208)</f>
        <v>8.7610895050468356E-3</v>
      </c>
      <c r="I136" s="473"/>
      <c r="J136" s="183">
        <v>432.25</v>
      </c>
      <c r="K136" s="183">
        <v>480.17</v>
      </c>
    </row>
    <row r="137" spans="1:11" s="167" customFormat="1">
      <c r="A137" s="169"/>
      <c r="B137" s="163" t="s">
        <v>196</v>
      </c>
      <c r="C137" s="501">
        <f>'[21]Sch C'!D138</f>
        <v>165161.06</v>
      </c>
      <c r="D137" s="501">
        <f>'[21]Sch C'!F138</f>
        <v>0</v>
      </c>
      <c r="E137" s="171">
        <f t="shared" si="28"/>
        <v>165161.06</v>
      </c>
      <c r="F137" s="171"/>
      <c r="G137" s="171">
        <f>E137+F137</f>
        <v>165161.06</v>
      </c>
      <c r="H137" s="172">
        <f>IF($G$208=0,0,G137/$G$208)</f>
        <v>0.14472484396306651</v>
      </c>
      <c r="I137" s="473"/>
      <c r="J137" s="183">
        <v>10268.75</v>
      </c>
      <c r="K137" s="183">
        <v>11060.33</v>
      </c>
    </row>
    <row r="138" spans="1:11" s="167" customFormat="1">
      <c r="A138" s="169"/>
      <c r="B138" s="163" t="s">
        <v>197</v>
      </c>
      <c r="C138" s="501">
        <f>'[21]Sch C'!D139</f>
        <v>30581.85</v>
      </c>
      <c r="D138" s="501">
        <f>'[21]Sch C'!F139</f>
        <v>0</v>
      </c>
      <c r="E138" s="171">
        <f t="shared" si="28"/>
        <v>30581.85</v>
      </c>
      <c r="F138" s="171"/>
      <c r="G138" s="171">
        <f>E138+F138</f>
        <v>30581.85</v>
      </c>
      <c r="H138" s="172">
        <f>IF($G$208=0,0,G138/$G$208)</f>
        <v>2.6797802516839657E-2</v>
      </c>
      <c r="I138" s="473"/>
      <c r="J138" s="183">
        <v>1800.5</v>
      </c>
      <c r="K138" s="183">
        <v>1947.07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'[21]Sch C'!D141</f>
        <v>55510.43</v>
      </c>
      <c r="D140" s="501">
        <f>'[21]Sch C'!F141</f>
        <v>0</v>
      </c>
      <c r="E140" s="171">
        <f t="shared" ref="E140:E143" si="29">C140+D140</f>
        <v>55510.43</v>
      </c>
      <c r="F140" s="171"/>
      <c r="G140" s="171">
        <f>E140+F140</f>
        <v>55510.43</v>
      </c>
      <c r="H140" s="172">
        <f>IF($G$208=0,0,G140/$G$208)</f>
        <v>4.8641842817385199E-2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'[21]Sch C'!D142</f>
        <v>3717.96</v>
      </c>
      <c r="D141" s="501">
        <f>'[21]Sch C'!F142</f>
        <v>0</v>
      </c>
      <c r="E141" s="171">
        <f t="shared" si="29"/>
        <v>3717.96</v>
      </c>
      <c r="F141" s="171"/>
      <c r="G141" s="171">
        <f>E141+F141</f>
        <v>3717.96</v>
      </c>
      <c r="H141" s="172">
        <f>IF($G$208=0,0,G141/$G$208)</f>
        <v>3.2579179430122498E-3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'[21]Sch C'!D143</f>
        <v>61417.55</v>
      </c>
      <c r="D142" s="501">
        <f>'[21]Sch C'!F143</f>
        <v>0</v>
      </c>
      <c r="E142" s="171">
        <f t="shared" si="29"/>
        <v>61417.55</v>
      </c>
      <c r="F142" s="171"/>
      <c r="G142" s="171">
        <f>E142+F142</f>
        <v>61417.55</v>
      </c>
      <c r="H142" s="172">
        <f>IF($G$208=0,0,G142/$G$208)</f>
        <v>5.3818044885058473E-2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'[21]Sch C'!D144</f>
        <v>11372.23</v>
      </c>
      <c r="D143" s="501">
        <f>'[21]Sch C'!F144</f>
        <v>0</v>
      </c>
      <c r="E143" s="171">
        <f t="shared" si="29"/>
        <v>11372.23</v>
      </c>
      <c r="F143" s="171"/>
      <c r="G143" s="171">
        <f>E143+F143</f>
        <v>11372.23</v>
      </c>
      <c r="H143" s="172">
        <f>IF($G$208=0,0,G143/$G$208)</f>
        <v>9.9650862755549276E-3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'[21]Sch C'!D146</f>
        <v>0</v>
      </c>
      <c r="D145" s="501">
        <f>'[21]Sch C'!F146</f>
        <v>0</v>
      </c>
      <c r="E145" s="171">
        <f t="shared" ref="E145:E153" si="30">C145+D145</f>
        <v>0</v>
      </c>
      <c r="F145" s="171"/>
      <c r="G145" s="171">
        <f t="shared" ref="G145:G153" si="31">E145+F145</f>
        <v>0</v>
      </c>
      <c r="H145" s="172">
        <f t="shared" ref="H145:H153" si="32">IF($G$208=0,0,G145/$G$208)</f>
        <v>0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'[21]Sch C'!D147</f>
        <v>0</v>
      </c>
      <c r="D146" s="501">
        <f>'[21]Sch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'[21]Sch C'!D148</f>
        <v>0</v>
      </c>
      <c r="D147" s="501">
        <f>'[21]Sch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'[21]Sch C'!D149</f>
        <v>0</v>
      </c>
      <c r="D148" s="501">
        <f>'[21]Sch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'[21]Sch C'!D150</f>
        <v>23749.040000000001</v>
      </c>
      <c r="D149" s="501">
        <f>'[21]Sch C'!F150</f>
        <v>0</v>
      </c>
      <c r="E149" s="171">
        <f t="shared" si="30"/>
        <v>23749.040000000001</v>
      </c>
      <c r="F149" s="171"/>
      <c r="G149" s="171">
        <f t="shared" si="31"/>
        <v>23749.040000000001</v>
      </c>
      <c r="H149" s="172">
        <f t="shared" si="32"/>
        <v>2.0810450770130835E-2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'[21]Sch C'!D151</f>
        <v>12817.4</v>
      </c>
      <c r="D150" s="501">
        <f>'[21]Sch C'!F151</f>
        <v>0</v>
      </c>
      <c r="E150" s="171">
        <f t="shared" si="30"/>
        <v>12817.4</v>
      </c>
      <c r="F150" s="171"/>
      <c r="G150" s="171">
        <f t="shared" si="31"/>
        <v>12817.4</v>
      </c>
      <c r="H150" s="172">
        <f t="shared" si="32"/>
        <v>1.1231438058173086E-2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'[21]Sch C'!D152</f>
        <v>536.85</v>
      </c>
      <c r="D151" s="501">
        <f>'[21]Sch C'!F152</f>
        <v>0</v>
      </c>
      <c r="E151" s="171">
        <f t="shared" si="30"/>
        <v>536.85</v>
      </c>
      <c r="F151" s="171"/>
      <c r="G151" s="171">
        <f t="shared" si="31"/>
        <v>536.85</v>
      </c>
      <c r="H151" s="172">
        <f t="shared" si="32"/>
        <v>4.7042282534135018E-4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'[21]Sch C'!D153</f>
        <v>0</v>
      </c>
      <c r="D152" s="501">
        <f>'[21]Sch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'[21]Sch C'!D154</f>
        <v>0</v>
      </c>
      <c r="D153" s="501">
        <f>'[21]Sch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'[21]Sch C'!D156</f>
        <v>0</v>
      </c>
      <c r="D155" s="501">
        <f>'[21]Sch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'[21]Sch C'!D157</f>
        <v>0</v>
      </c>
      <c r="D156" s="501">
        <f>'[21]Sch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'[21]Sch C'!D158</f>
        <v>0</v>
      </c>
      <c r="D157" s="501">
        <f>'[21]Sch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'[21]Sch C'!D159</f>
        <v>0</v>
      </c>
      <c r="D158" s="501">
        <f>'[21]Sch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'[21]Sch C'!D160</f>
        <v>0</v>
      </c>
      <c r="D159" s="501">
        <f>'[21]Sch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'[21]Sch C'!D161</f>
        <v>0</v>
      </c>
      <c r="D160" s="501">
        <f>'[21]Sch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578223.9</v>
      </c>
      <c r="D161" s="501">
        <f>SUM(D123:D160)</f>
        <v>0</v>
      </c>
      <c r="E161" s="171">
        <f t="shared" ref="E161:F161" si="36">SUM(E123:E160)</f>
        <v>578223.9</v>
      </c>
      <c r="F161" s="171">
        <f t="shared" si="36"/>
        <v>0</v>
      </c>
      <c r="G161" s="171">
        <f>SUM(G123:G160)</f>
        <v>578223.9</v>
      </c>
      <c r="H161" s="172">
        <f t="shared" si="35"/>
        <v>0.50667732274917454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'[21]Sch C'!D175</f>
        <v>0</v>
      </c>
      <c r="D164" s="501">
        <f>'[21]Sch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'[21]Sch C'!D176</f>
        <v>0</v>
      </c>
      <c r="D165" s="501">
        <f>'[21]Sch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'[21]Sch C'!D177</f>
        <v>0</v>
      </c>
      <c r="D166" s="501">
        <f>'[21]Sch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'[21]Sch C'!D178</f>
        <v>0</v>
      </c>
      <c r="D167" s="501">
        <f>'[21]Sch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'[21]Sch C'!D179</f>
        <v>0</v>
      </c>
      <c r="D168" s="501">
        <f>'[21]Sch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'[21]Sch C'!D180</f>
        <v>0</v>
      </c>
      <c r="D169" s="501">
        <f>'[21]Sch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'[21]Sch C'!D181</f>
        <v>0</v>
      </c>
      <c r="D170" s="501">
        <f>'[21]Sch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'[21]Sch C'!D182</f>
        <v>0</v>
      </c>
      <c r="D171" s="501">
        <f>'[21]Sch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'[21]Sch C'!D183</f>
        <v>0</v>
      </c>
      <c r="D172" s="501">
        <f>'[21]Sch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'[21]Sch C'!D184</f>
        <v>0</v>
      </c>
      <c r="D173" s="501">
        <f>'[21]Sch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'[21]Sch C'!D185</f>
        <v>0</v>
      </c>
      <c r="D174" s="501">
        <f>'[21]Sch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'[21]Sch C'!D186</f>
        <v>0</v>
      </c>
      <c r="D175" s="501">
        <f>'[21]Sch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'[21]Sch C'!D187</f>
        <v>0</v>
      </c>
      <c r="D176" s="501">
        <f>'[21]Sch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'[21]Sch C'!D188</f>
        <v>0</v>
      </c>
      <c r="D177" s="501">
        <f>'[21]Sch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'[21]Sch C'!D189</f>
        <v>0</v>
      </c>
      <c r="D178" s="501">
        <f>'[21]Sch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'[21]Sch C'!D190</f>
        <v>0</v>
      </c>
      <c r="D179" s="501">
        <f>'[21]Sch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'[21]Sch C'!D191</f>
        <v>0</v>
      </c>
      <c r="D180" s="501">
        <f>'[21]Sch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'[21]Sch C'!D192</f>
        <v>0</v>
      </c>
      <c r="D181" s="501">
        <f>'[21]Sch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'[21]Sch C'!D193</f>
        <v>0</v>
      </c>
      <c r="D182" s="501">
        <f>'[21]Sch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'[21]Sch C'!D194</f>
        <v>0</v>
      </c>
      <c r="D183" s="501">
        <f>'[21]Sch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'[21]Sch C'!D195</f>
        <v>0</v>
      </c>
      <c r="D184" s="501">
        <f>'[21]Sch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'[21]Sch C'!D196</f>
        <v>0</v>
      </c>
      <c r="D185" s="501">
        <f>'[21]Sch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'[21]Sch C'!D197</f>
        <v>0</v>
      </c>
      <c r="D186" s="501">
        <f>'[21]Sch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'[21]Sch C'!D198</f>
        <v>0</v>
      </c>
      <c r="D187" s="501">
        <f>'[21]Sch C'!F198</f>
        <v>0</v>
      </c>
      <c r="E187" s="171">
        <f t="shared" si="37"/>
        <v>0</v>
      </c>
      <c r="F187" s="216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'[21]Sch C'!D199</f>
        <v>0</v>
      </c>
      <c r="D188" s="501">
        <f>'[21]Sch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'[21]Sch C'!D200</f>
        <v>0</v>
      </c>
      <c r="D189" s="501">
        <f>'[21]Sch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'[21]Sch C'!D201</f>
        <v>0</v>
      </c>
      <c r="D190" s="501">
        <f>'[21]Sch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'[21]Sch C'!D202</f>
        <v>0</v>
      </c>
      <c r="D191" s="501">
        <f>'[21]Sch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'[21]Sch C'!D203</f>
        <v>0</v>
      </c>
      <c r="D192" s="501">
        <f>'[21]Sch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'[21]Sch C'!D204</f>
        <v>0</v>
      </c>
      <c r="D193" s="501">
        <f>'[21]Sch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'[21]Sch C'!D205</f>
        <v>0</v>
      </c>
      <c r="D194" s="501">
        <f>'[21]Sch C'!F205</f>
        <v>0</v>
      </c>
      <c r="E194" s="171">
        <f t="shared" si="37"/>
        <v>0</v>
      </c>
      <c r="F194" s="216"/>
      <c r="G194" s="171">
        <f t="shared" si="38"/>
        <v>0</v>
      </c>
      <c r="H194" s="172">
        <f t="shared" si="39"/>
        <v>0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'[21]Sch C'!D206</f>
        <v>0</v>
      </c>
      <c r="D195" s="501">
        <f>'[21]Sch C'!F206</f>
        <v>0</v>
      </c>
      <c r="E195" s="171">
        <f t="shared" si="37"/>
        <v>0</v>
      </c>
      <c r="F195" s="216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'[21]Sch C'!D207</f>
        <v>0</v>
      </c>
      <c r="D196" s="501">
        <f>'[21]Sch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0</v>
      </c>
      <c r="D197" s="501">
        <f>SUM(D164:D196)</f>
        <v>0</v>
      </c>
      <c r="E197" s="171">
        <f t="shared" ref="E197:F197" si="40">SUM(E164:E196)</f>
        <v>0</v>
      </c>
      <c r="F197" s="171">
        <f t="shared" si="40"/>
        <v>0</v>
      </c>
      <c r="G197" s="171">
        <f>SUM(G164:G196)</f>
        <v>0</v>
      </c>
      <c r="H197" s="172">
        <f>IF($G$208=0,0,G197/$G$208)</f>
        <v>0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'[21]Sch C'!D211</f>
        <v>0</v>
      </c>
      <c r="D200" s="501">
        <f>'[21]Sch C'!F211</f>
        <v>0</v>
      </c>
      <c r="E200" s="171">
        <f t="shared" ref="E200:E205" si="41">C200+D200</f>
        <v>0</v>
      </c>
      <c r="F200" s="171"/>
      <c r="G200" s="171">
        <f t="shared" ref="G200:G205" si="42">E200+F200</f>
        <v>0</v>
      </c>
      <c r="H200" s="172">
        <f t="shared" ref="H200:H206" si="43">IF($G$208=0,0,G200/$G$208)</f>
        <v>0</v>
      </c>
      <c r="I200" s="473"/>
      <c r="J200" s="183">
        <v>0</v>
      </c>
      <c r="K200" s="183">
        <v>0</v>
      </c>
    </row>
    <row r="201" spans="1:14" s="167" customFormat="1">
      <c r="A201" s="169" t="s">
        <v>86</v>
      </c>
      <c r="B201" s="170" t="s">
        <v>45</v>
      </c>
      <c r="C201" s="501">
        <f>'[21]Sch C'!D212</f>
        <v>0</v>
      </c>
      <c r="D201" s="501">
        <f>'[21]Sch C'!F212</f>
        <v>0</v>
      </c>
      <c r="E201" s="171">
        <f t="shared" si="41"/>
        <v>0</v>
      </c>
      <c r="F201" s="171"/>
      <c r="G201" s="171">
        <f t="shared" si="42"/>
        <v>0</v>
      </c>
      <c r="H201" s="172">
        <f t="shared" si="43"/>
        <v>0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'[21]Sch C'!D213</f>
        <v>10742.45</v>
      </c>
      <c r="D202" s="501">
        <f>'[21]Sch C'!F213</f>
        <v>0</v>
      </c>
      <c r="E202" s="171">
        <f t="shared" si="41"/>
        <v>10742.45</v>
      </c>
      <c r="F202" s="171"/>
      <c r="G202" s="171">
        <f t="shared" si="42"/>
        <v>10742.45</v>
      </c>
      <c r="H202" s="172">
        <f t="shared" si="43"/>
        <v>9.4132321506718592E-3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'[21]Sch C'!D214</f>
        <v>0</v>
      </c>
      <c r="D203" s="501">
        <f>'[21]Sch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'[21]Sch C'!D215</f>
        <v>0</v>
      </c>
      <c r="D204" s="501">
        <f>'[21]Sch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'[21]Sch C'!D216</f>
        <v>0</v>
      </c>
      <c r="D205" s="501">
        <f>'[21]Sch C'!F216</f>
        <v>0</v>
      </c>
      <c r="E205" s="171">
        <f t="shared" si="41"/>
        <v>0</v>
      </c>
      <c r="F205" s="171"/>
      <c r="G205" s="171">
        <f t="shared" si="42"/>
        <v>0</v>
      </c>
      <c r="H205" s="172">
        <f t="shared" si="43"/>
        <v>0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10742.45</v>
      </c>
      <c r="D206" s="501">
        <f>SUM(D200:D205)</f>
        <v>0</v>
      </c>
      <c r="E206" s="171">
        <f t="shared" ref="E206:F206" si="44">SUM(E200:E205)</f>
        <v>10742.45</v>
      </c>
      <c r="F206" s="171">
        <f t="shared" si="44"/>
        <v>0</v>
      </c>
      <c r="G206" s="171">
        <f>SUM(G200:G205)</f>
        <v>10742.45</v>
      </c>
      <c r="H206" s="172">
        <f t="shared" si="43"/>
        <v>9.4132321506718592E-3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1141606.3400000003</v>
      </c>
      <c r="D208" s="501">
        <f>SUM(D25:D206)/2</f>
        <v>-398.96</v>
      </c>
      <c r="E208" s="171">
        <f t="shared" ref="E208:F208" si="45">SUM(E25:E206)/2</f>
        <v>1141207.3800000004</v>
      </c>
      <c r="F208" s="171">
        <f t="shared" si="45"/>
        <v>0</v>
      </c>
      <c r="G208" s="171">
        <f>SUM(G25:G206)/2</f>
        <v>1141207.3800000004</v>
      </c>
      <c r="H208" s="172">
        <f>IF($G$208=0,0,G208/$G$208)</f>
        <v>1</v>
      </c>
      <c r="I208" s="473"/>
      <c r="J208" s="183">
        <f>SUM(J25:J200)</f>
        <v>18691.75</v>
      </c>
      <c r="K208" s="183">
        <f>SUM(K25:K200)</f>
        <v>20584.849999999999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'[21]Sch C'!D221</f>
        <v>1141605.8500000001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0.49000000022351742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-350737.31000000041</v>
      </c>
      <c r="D215" s="501">
        <f>D21-D208</f>
        <v>-356959.07</v>
      </c>
      <c r="E215" s="171">
        <f t="shared" ref="E215:F215" si="46">E21-E208</f>
        <v>-707696.38000000035</v>
      </c>
      <c r="F215" s="171">
        <f t="shared" si="46"/>
        <v>0</v>
      </c>
      <c r="G215" s="171">
        <f>G21-G208</f>
        <v>-707696.38000000035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'[21]Sch D'!C9</f>
        <v>1700</v>
      </c>
      <c r="D219" s="530"/>
      <c r="E219" s="234">
        <f t="shared" ref="E219:G227" si="47">C219+D219</f>
        <v>1700</v>
      </c>
      <c r="F219" s="233"/>
      <c r="G219" s="234">
        <f t="shared" si="47"/>
        <v>1700</v>
      </c>
      <c r="H219" s="172">
        <f t="shared" ref="H219:H228" si="48">IF($G$228=0,0,G219/$G$228)</f>
        <v>0.47605712685522261</v>
      </c>
      <c r="I219" s="473"/>
      <c r="J219" s="168"/>
      <c r="K219" s="168"/>
    </row>
    <row r="220" spans="1:11">
      <c r="A220" s="163"/>
      <c r="B220" s="170" t="s">
        <v>217</v>
      </c>
      <c r="C220" s="530">
        <f>'[21]Sch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'[21]Sch D'!E9</f>
        <v>0</v>
      </c>
      <c r="D221" s="530"/>
      <c r="E221" s="234">
        <f t="shared" si="49"/>
        <v>0</v>
      </c>
      <c r="F221" s="233"/>
      <c r="G221" s="234">
        <f t="shared" si="47"/>
        <v>0</v>
      </c>
      <c r="H221" s="172">
        <f t="shared" si="48"/>
        <v>0</v>
      </c>
      <c r="I221" s="473"/>
      <c r="J221" s="168"/>
      <c r="K221" s="168"/>
    </row>
    <row r="222" spans="1:11">
      <c r="A222" s="163"/>
      <c r="B222" s="202" t="s">
        <v>334</v>
      </c>
      <c r="C222" s="530">
        <f>'[21]Sch D'!F9</f>
        <v>0</v>
      </c>
      <c r="D222" s="530"/>
      <c r="E222" s="234">
        <f>C222+D222</f>
        <v>0</v>
      </c>
      <c r="F222" s="233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'[21]Sch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'[21]Sch D'!H9</f>
        <v>550</v>
      </c>
      <c r="D224" s="530"/>
      <c r="E224" s="234">
        <f t="shared" si="49"/>
        <v>550</v>
      </c>
      <c r="F224" s="233"/>
      <c r="G224" s="234">
        <f t="shared" si="47"/>
        <v>550</v>
      </c>
      <c r="H224" s="172">
        <f t="shared" si="48"/>
        <v>0.15401848221786615</v>
      </c>
      <c r="I224" s="473"/>
      <c r="J224" s="168"/>
      <c r="K224" s="168"/>
    </row>
    <row r="225" spans="1:11">
      <c r="A225" s="163"/>
      <c r="B225" s="170" t="s">
        <v>236</v>
      </c>
      <c r="C225" s="530">
        <f>'[21]Sch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'[21]Sch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'[21]Sch D'!K9</f>
        <v>1321</v>
      </c>
      <c r="D227" s="530"/>
      <c r="E227" s="234">
        <f t="shared" si="49"/>
        <v>1321</v>
      </c>
      <c r="F227" s="233"/>
      <c r="G227" s="234">
        <f t="shared" si="47"/>
        <v>1321</v>
      </c>
      <c r="H227" s="172">
        <f t="shared" si="48"/>
        <v>0.36992439092691121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3571</v>
      </c>
      <c r="D228" s="530">
        <f>SUM(D219:D227)</f>
        <v>0</v>
      </c>
      <c r="E228" s="236">
        <f>SUM(E219:E227)</f>
        <v>3571</v>
      </c>
      <c r="F228" s="236">
        <f>SUM(F219:F227)</f>
        <v>0</v>
      </c>
      <c r="G228" s="236">
        <f>SUM(G219:G227)</f>
        <v>3571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'[21]Sch D'!N22</f>
        <v>21</v>
      </c>
      <c r="D231" s="502"/>
      <c r="E231" s="234">
        <f>C231+D231</f>
        <v>21</v>
      </c>
      <c r="F231" s="234"/>
      <c r="G231" s="234">
        <f>E231+F231</f>
        <v>21</v>
      </c>
      <c r="H231" s="167"/>
      <c r="I231" s="475"/>
      <c r="J231" s="168"/>
      <c r="K231" s="168"/>
    </row>
    <row r="232" spans="1:11">
      <c r="A232" s="334" t="s">
        <v>359</v>
      </c>
      <c r="B232" s="202" t="s">
        <v>290</v>
      </c>
      <c r="C232" s="531">
        <f>'[21]Sch D'!N24</f>
        <v>21</v>
      </c>
      <c r="D232" s="502"/>
      <c r="E232" s="234">
        <f>C232+D232</f>
        <v>21</v>
      </c>
      <c r="F232" s="234"/>
      <c r="G232" s="234">
        <f>E232+F232</f>
        <v>21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181</v>
      </c>
      <c r="D233" s="438"/>
      <c r="E233" s="234">
        <f>C233+D233</f>
        <v>181</v>
      </c>
      <c r="F233" s="238"/>
      <c r="G233" s="234">
        <f>E233+F233</f>
        <v>181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'[21]Sch D'!N28</f>
        <v>3801</v>
      </c>
      <c r="D235" s="438"/>
      <c r="E235" s="233">
        <f>E231*E233</f>
        <v>3801</v>
      </c>
      <c r="F235" s="238"/>
      <c r="G235" s="233">
        <f>G231*G233</f>
        <v>3801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'[21]Sch D'!N30</f>
        <v>0.93948960799789527</v>
      </c>
      <c r="D236" s="238"/>
      <c r="E236" s="242">
        <f>E228/E235</f>
        <v>0.93948960799789527</v>
      </c>
      <c r="F236" s="243"/>
      <c r="G236" s="242">
        <f>G228/G235</f>
        <v>0.93948960799789527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'[21]Sch D'!N32</f>
        <v>0.44725072349381739</v>
      </c>
      <c r="D237" s="238"/>
      <c r="E237" s="242">
        <f>(E219+E220)/E235</f>
        <v>0.44725072349381739</v>
      </c>
      <c r="F237" s="243"/>
      <c r="G237" s="242">
        <f>(G219+G220)/G235</f>
        <v>0.44725072349381739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'[21]Sch D'!N34</f>
        <v>0.47605712685522261</v>
      </c>
      <c r="D238" s="238"/>
      <c r="E238" s="242">
        <f>(E237/E236)</f>
        <v>0.47605712685522261</v>
      </c>
      <c r="F238" s="243"/>
      <c r="G238" s="242">
        <f>(G237/G236)</f>
        <v>0.47605712685522261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/>
      <c r="I241" s="475"/>
    </row>
    <row r="242" spans="2:9">
      <c r="F242" s="142" t="s">
        <v>341</v>
      </c>
      <c r="G242" s="501"/>
      <c r="I242" s="475"/>
    </row>
    <row r="243" spans="2:9">
      <c r="F243" s="142" t="s">
        <v>342</v>
      </c>
      <c r="G243" s="501">
        <f>'[21]Sch B'!G85</f>
        <v>199.83434482758619</v>
      </c>
      <c r="I243" s="475"/>
    </row>
    <row r="244" spans="2:9">
      <c r="F244" s="142" t="s">
        <v>343</v>
      </c>
      <c r="G244" s="501">
        <f>'[21]Sch B'!I85</f>
        <v>199.18846153846152</v>
      </c>
      <c r="I244" s="475"/>
    </row>
    <row r="245" spans="2:9">
      <c r="F245" s="142"/>
      <c r="I245" s="475"/>
    </row>
    <row r="246" spans="2:9">
      <c r="I246" s="475"/>
    </row>
  </sheetData>
  <phoneticPr fontId="16" type="noConversion"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E28CAB"/>
  </sheetPr>
  <dimension ref="A1:O246"/>
  <sheetViews>
    <sheetView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567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  <c r="F3" s="420" t="s">
        <v>573</v>
      </c>
    </row>
    <row r="4" spans="1:11">
      <c r="A4" s="145"/>
      <c r="B4" s="148" t="s">
        <v>80</v>
      </c>
      <c r="C4" s="441">
        <v>42704</v>
      </c>
      <c r="D4" s="144"/>
      <c r="E4" s="149"/>
      <c r="F4" s="420" t="s">
        <v>574</v>
      </c>
      <c r="G4" s="150"/>
    </row>
    <row r="5" spans="1:11">
      <c r="A5" s="145"/>
      <c r="B5" s="148"/>
      <c r="C5" s="151"/>
      <c r="D5" s="144"/>
      <c r="F5" s="420" t="s">
        <v>568</v>
      </c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652" t="s">
        <v>619</v>
      </c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652" t="s">
        <v>709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'[22]Sch B'!E10</f>
        <v>712638</v>
      </c>
      <c r="D11" s="501">
        <f>'[22]Sch B'!G10</f>
        <v>0</v>
      </c>
      <c r="E11" s="171">
        <f>C11+D11</f>
        <v>712638</v>
      </c>
      <c r="F11" s="653">
        <f>1180869-273666+27327</f>
        <v>934530</v>
      </c>
      <c r="G11" s="171">
        <f t="shared" ref="G11:G20" si="0">E11+F11</f>
        <v>1647168</v>
      </c>
      <c r="H11" s="172">
        <f t="shared" ref="H11:H21" si="1">IF($G$21=0,0,G11/$G$21)</f>
        <v>0.51306340499187497</v>
      </c>
      <c r="I11" s="472"/>
      <c r="J11" s="336" t="s">
        <v>344</v>
      </c>
      <c r="K11" s="337">
        <f>G21</f>
        <v>3210457</v>
      </c>
    </row>
    <row r="12" spans="1:11" s="167" customFormat="1">
      <c r="A12" s="169" t="s">
        <v>15</v>
      </c>
      <c r="B12" s="170" t="s">
        <v>212</v>
      </c>
      <c r="C12" s="501">
        <f>'[22]Sch B'!E15</f>
        <v>0</v>
      </c>
      <c r="D12" s="501">
        <f>'[22]Sch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3395861</v>
      </c>
    </row>
    <row r="13" spans="1:11" s="167" customFormat="1">
      <c r="A13" s="169" t="s">
        <v>16</v>
      </c>
      <c r="B13" s="170" t="s">
        <v>170</v>
      </c>
      <c r="C13" s="501">
        <f>'[22]Sch B'!E21</f>
        <v>286347</v>
      </c>
      <c r="D13" s="501">
        <f>'[22]Sch B'!G21</f>
        <v>0</v>
      </c>
      <c r="E13" s="171">
        <f t="shared" si="2"/>
        <v>286347</v>
      </c>
      <c r="F13" s="171">
        <v>373355</v>
      </c>
      <c r="G13" s="171">
        <f t="shared" si="0"/>
        <v>659702</v>
      </c>
      <c r="H13" s="172">
        <f t="shared" si="1"/>
        <v>0.20548538728286969</v>
      </c>
      <c r="I13" s="473"/>
      <c r="J13" s="338" t="s">
        <v>346</v>
      </c>
      <c r="K13" s="339">
        <f>G228</f>
        <v>13720</v>
      </c>
    </row>
    <row r="14" spans="1:11" s="167" customFormat="1">
      <c r="A14" s="173" t="s">
        <v>18</v>
      </c>
      <c r="B14" s="174" t="s">
        <v>306</v>
      </c>
      <c r="C14" s="501">
        <f>'[22]Sch B'!E27</f>
        <v>192340</v>
      </c>
      <c r="D14" s="501">
        <f>'[22]Sch B'!G27</f>
        <v>0</v>
      </c>
      <c r="E14" s="171">
        <f t="shared" si="2"/>
        <v>192340</v>
      </c>
      <c r="F14" s="175">
        <v>322539</v>
      </c>
      <c r="G14" s="175">
        <f>E14+F14</f>
        <v>514879</v>
      </c>
      <c r="H14" s="176">
        <f t="shared" si="1"/>
        <v>0.16037561007669623</v>
      </c>
      <c r="I14" s="479"/>
      <c r="J14" s="338" t="s">
        <v>347</v>
      </c>
      <c r="K14" s="339">
        <f>G231</f>
        <v>63</v>
      </c>
    </row>
    <row r="15" spans="1:11" s="167" customFormat="1">
      <c r="A15" s="169" t="s">
        <v>19</v>
      </c>
      <c r="B15" s="170" t="s">
        <v>171</v>
      </c>
      <c r="C15" s="501">
        <f>'[22]Sch B'!E32</f>
        <v>222</v>
      </c>
      <c r="D15" s="501">
        <f>'[22]Sch B'!G32</f>
        <v>0</v>
      </c>
      <c r="E15" s="171">
        <f t="shared" si="2"/>
        <v>222</v>
      </c>
      <c r="F15" s="171">
        <v>-1637</v>
      </c>
      <c r="G15" s="171">
        <f t="shared" si="0"/>
        <v>-1415</v>
      </c>
      <c r="H15" s="172">
        <f t="shared" si="1"/>
        <v>-4.4074722072278181E-4</v>
      </c>
      <c r="I15" s="473"/>
      <c r="J15" s="338" t="s">
        <v>348</v>
      </c>
      <c r="K15" s="339">
        <f>G235</f>
        <v>22995</v>
      </c>
    </row>
    <row r="16" spans="1:11" s="167" customFormat="1">
      <c r="A16" s="169" t="s">
        <v>21</v>
      </c>
      <c r="B16" s="170" t="s">
        <v>172</v>
      </c>
      <c r="C16" s="501">
        <f>'[22]Sch B'!E37</f>
        <v>50454</v>
      </c>
      <c r="D16" s="501">
        <f>'[22]Sch B'!G37</f>
        <v>0</v>
      </c>
      <c r="E16" s="171">
        <f t="shared" si="2"/>
        <v>50454</v>
      </c>
      <c r="F16" s="171">
        <v>74099</v>
      </c>
      <c r="G16" s="171">
        <f t="shared" si="0"/>
        <v>124553</v>
      </c>
      <c r="H16" s="172">
        <f t="shared" si="1"/>
        <v>3.8796034334052751E-2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'[22]Sch B'!E42</f>
        <v>0</v>
      </c>
      <c r="D17" s="501">
        <f>'[22]Sch B'!G42</f>
        <v>0</v>
      </c>
      <c r="E17" s="171">
        <f t="shared" si="2"/>
        <v>0</v>
      </c>
      <c r="F17" s="171">
        <v>0</v>
      </c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82237</v>
      </c>
    </row>
    <row r="18" spans="1:11" s="167" customFormat="1" ht="13.5" thickBot="1">
      <c r="A18" s="169" t="s">
        <v>216</v>
      </c>
      <c r="B18" s="170" t="s">
        <v>229</v>
      </c>
      <c r="C18" s="501">
        <f>'[22]Sch B'!E47</f>
        <v>131647</v>
      </c>
      <c r="D18" s="501">
        <f>'[22]Sch B'!G47</f>
        <v>0</v>
      </c>
      <c r="E18" s="171">
        <f t="shared" si="2"/>
        <v>131647</v>
      </c>
      <c r="F18" s="171">
        <v>131308</v>
      </c>
      <c r="G18" s="171">
        <f>E18+F18</f>
        <v>262955</v>
      </c>
      <c r="H18" s="172">
        <f t="shared" si="1"/>
        <v>8.1905784752762612E-2</v>
      </c>
      <c r="I18" s="473"/>
      <c r="J18" s="341" t="s">
        <v>252</v>
      </c>
      <c r="K18" s="342">
        <f>K208</f>
        <v>86378</v>
      </c>
    </row>
    <row r="19" spans="1:11" s="167" customFormat="1">
      <c r="A19" s="169" t="s">
        <v>227</v>
      </c>
      <c r="B19" s="177" t="s">
        <v>173</v>
      </c>
      <c r="C19" s="501">
        <f>'[22]Sch B'!E52</f>
        <v>0</v>
      </c>
      <c r="D19" s="501">
        <f>'[22]Sch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'[22]Sch B'!E67</f>
        <v>1420</v>
      </c>
      <c r="D20" s="501">
        <f>'[22]Sch B'!G67</f>
        <v>0</v>
      </c>
      <c r="E20" s="171">
        <f t="shared" si="2"/>
        <v>1420</v>
      </c>
      <c r="F20" s="171">
        <v>1195</v>
      </c>
      <c r="G20" s="171">
        <f t="shared" si="0"/>
        <v>2615</v>
      </c>
      <c r="H20" s="172">
        <f t="shared" si="1"/>
        <v>8.1452578246648372E-4</v>
      </c>
      <c r="I20" s="472"/>
      <c r="J20" s="168"/>
      <c r="K20" s="168"/>
    </row>
    <row r="21" spans="1:11" s="167" customFormat="1">
      <c r="A21" s="169"/>
      <c r="B21" s="178" t="s">
        <v>77</v>
      </c>
      <c r="C21" s="501">
        <f>SUM(C11:C20)</f>
        <v>1375068</v>
      </c>
      <c r="D21" s="501">
        <f>SUM(D11:D20)</f>
        <v>0</v>
      </c>
      <c r="E21" s="171">
        <f>SUM(E11:E20)</f>
        <v>1375068</v>
      </c>
      <c r="F21" s="171">
        <f>SUM(F11:F20)</f>
        <v>1835389</v>
      </c>
      <c r="G21" s="171">
        <f>SUM(G11:G20)</f>
        <v>3210457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 t="s">
        <v>655</v>
      </c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'[22]Sch C'!D10</f>
        <v>16296</v>
      </c>
      <c r="D25" s="501">
        <f>'[22]Sch C'!F10</f>
        <v>957</v>
      </c>
      <c r="E25" s="171">
        <f t="shared" ref="E25:E60" si="3">C25+D25</f>
        <v>17253</v>
      </c>
      <c r="F25" s="171">
        <v>61965</v>
      </c>
      <c r="G25" s="182">
        <f>E25+F25</f>
        <v>79218</v>
      </c>
      <c r="H25" s="172">
        <f>IF($G$208=0,0,G25/$G$208)</f>
        <v>2.3327809942750896E-2</v>
      </c>
      <c r="I25" s="473"/>
      <c r="J25" s="183">
        <f>484+1762</f>
        <v>2246</v>
      </c>
      <c r="K25" s="183">
        <f>512+1841</f>
        <v>2353</v>
      </c>
    </row>
    <row r="26" spans="1:11" s="167" customFormat="1">
      <c r="A26" s="169" t="s">
        <v>84</v>
      </c>
      <c r="B26" s="170" t="s">
        <v>176</v>
      </c>
      <c r="C26" s="501">
        <f>'[22]Sch C'!D11</f>
        <v>0</v>
      </c>
      <c r="D26" s="501">
        <f>'[22]Sch C'!F11</f>
        <v>0</v>
      </c>
      <c r="E26" s="171">
        <f t="shared" si="3"/>
        <v>0</v>
      </c>
      <c r="F26" s="171">
        <v>0</v>
      </c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'[22]Sch C'!D12</f>
        <v>62284</v>
      </c>
      <c r="D27" s="501">
        <f>'[22]Sch C'!F12</f>
        <v>3655</v>
      </c>
      <c r="E27" s="171">
        <f t="shared" si="3"/>
        <v>65939</v>
      </c>
      <c r="F27" s="171">
        <v>75924</v>
      </c>
      <c r="G27" s="171">
        <f t="shared" si="4"/>
        <v>141863</v>
      </c>
      <c r="H27" s="172">
        <f t="shared" si="5"/>
        <v>4.1775267008867557E-2</v>
      </c>
      <c r="I27" s="473"/>
      <c r="J27" s="183">
        <f>3370+3932</f>
        <v>7302</v>
      </c>
      <c r="K27" s="183">
        <f>3568+4108</f>
        <v>7676</v>
      </c>
    </row>
    <row r="28" spans="1:11" s="167" customFormat="1">
      <c r="A28" s="169" t="s">
        <v>86</v>
      </c>
      <c r="B28" s="170" t="s">
        <v>45</v>
      </c>
      <c r="C28" s="501">
        <f>'[22]Sch C'!D13</f>
        <v>181841</v>
      </c>
      <c r="D28" s="501">
        <f>'[22]Sch C'!F13</f>
        <v>-166129</v>
      </c>
      <c r="E28" s="171">
        <f t="shared" si="3"/>
        <v>15712</v>
      </c>
      <c r="F28" s="171">
        <v>21472</v>
      </c>
      <c r="G28" s="171">
        <f t="shared" si="4"/>
        <v>37184</v>
      </c>
      <c r="H28" s="172">
        <f t="shared" si="5"/>
        <v>1.0949800359908723E-2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'[22]Sch C'!D14</f>
        <v>0</v>
      </c>
      <c r="D29" s="501">
        <f>'[22]Sch C'!F14</f>
        <v>0</v>
      </c>
      <c r="E29" s="171">
        <f t="shared" si="3"/>
        <v>0</v>
      </c>
      <c r="F29" s="171">
        <v>0</v>
      </c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'[22]Sch C'!D15</f>
        <v>0</v>
      </c>
      <c r="D30" s="501">
        <f>'[22]Sch C'!F15</f>
        <v>0</v>
      </c>
      <c r="E30" s="171">
        <f t="shared" si="3"/>
        <v>0</v>
      </c>
      <c r="F30" s="171">
        <v>0</v>
      </c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'[22]Sch C'!D16</f>
        <v>65720</v>
      </c>
      <c r="D31" s="501">
        <f>'[22]Sch C'!F16</f>
        <v>38863</v>
      </c>
      <c r="E31" s="171">
        <f t="shared" si="3"/>
        <v>104583</v>
      </c>
      <c r="F31" s="442">
        <f>165619+25463</f>
        <v>191082</v>
      </c>
      <c r="G31" s="171">
        <f t="shared" si="4"/>
        <v>295665</v>
      </c>
      <c r="H31" s="172">
        <f t="shared" si="5"/>
        <v>8.7066284515178921E-2</v>
      </c>
      <c r="I31" s="473" t="s">
        <v>402</v>
      </c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'[22]Sch C'!D17</f>
        <v>0</v>
      </c>
      <c r="D32" s="501">
        <f>'[22]Sch C'!F17</f>
        <v>0</v>
      </c>
      <c r="E32" s="171">
        <f t="shared" si="3"/>
        <v>0</v>
      </c>
      <c r="F32" s="171">
        <v>0</v>
      </c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'[22]Sch C'!D18</f>
        <v>8376</v>
      </c>
      <c r="D33" s="501">
        <f>'[22]Sch C'!F18</f>
        <v>0</v>
      </c>
      <c r="E33" s="171">
        <f t="shared" si="3"/>
        <v>8376</v>
      </c>
      <c r="F33" s="171">
        <v>13753</v>
      </c>
      <c r="G33" s="171">
        <f t="shared" si="4"/>
        <v>22129</v>
      </c>
      <c r="H33" s="172">
        <f t="shared" si="5"/>
        <v>6.5164622462462393E-3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'[22]Sch C'!D19</f>
        <v>3848</v>
      </c>
      <c r="D34" s="501">
        <f>'[22]Sch C'!F19</f>
        <v>-434</v>
      </c>
      <c r="E34" s="171">
        <f t="shared" si="3"/>
        <v>3414</v>
      </c>
      <c r="F34" s="171">
        <v>10883</v>
      </c>
      <c r="G34" s="171">
        <f t="shared" si="4"/>
        <v>14297</v>
      </c>
      <c r="H34" s="172">
        <f t="shared" si="5"/>
        <v>4.2101252083050515E-3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'[22]Sch C'!D20</f>
        <v>10744</v>
      </c>
      <c r="D35" s="501">
        <f>'[22]Sch C'!F20</f>
        <v>0</v>
      </c>
      <c r="E35" s="171">
        <f t="shared" si="3"/>
        <v>10744</v>
      </c>
      <c r="F35" s="171">
        <v>7546</v>
      </c>
      <c r="G35" s="171">
        <f t="shared" si="4"/>
        <v>18290</v>
      </c>
      <c r="H35" s="172">
        <f t="shared" si="5"/>
        <v>5.3859683891655163E-3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'[22]Sch C'!D21</f>
        <v>282</v>
      </c>
      <c r="D36" s="501">
        <f>'[22]Sch C'!F21</f>
        <v>0</v>
      </c>
      <c r="E36" s="171">
        <f t="shared" si="3"/>
        <v>282</v>
      </c>
      <c r="F36" s="171">
        <v>5108</v>
      </c>
      <c r="G36" s="171">
        <f t="shared" si="4"/>
        <v>5390</v>
      </c>
      <c r="H36" s="172">
        <f t="shared" si="5"/>
        <v>1.5872263322909859E-3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'[22]Sch C'!D22</f>
        <v>0</v>
      </c>
      <c r="D37" s="501">
        <f>'[22]Sch C'!F22</f>
        <v>0</v>
      </c>
      <c r="E37" s="171">
        <f t="shared" si="3"/>
        <v>0</v>
      </c>
      <c r="F37" s="171">
        <v>0</v>
      </c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'[22]Sch C'!D23</f>
        <v>677</v>
      </c>
      <c r="D38" s="501">
        <f>'[22]Sch C'!F23</f>
        <v>0</v>
      </c>
      <c r="E38" s="171">
        <f t="shared" si="3"/>
        <v>677</v>
      </c>
      <c r="F38" s="171">
        <v>413</v>
      </c>
      <c r="G38" s="171">
        <f t="shared" si="4"/>
        <v>1090</v>
      </c>
      <c r="H38" s="172">
        <f t="shared" si="5"/>
        <v>3.2097897999947586E-4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'[22]Sch C'!D24</f>
        <v>17038</v>
      </c>
      <c r="D39" s="501">
        <f>'[22]Sch C'!F24</f>
        <v>-3150</v>
      </c>
      <c r="E39" s="171">
        <f t="shared" si="3"/>
        <v>13888</v>
      </c>
      <c r="F39" s="171">
        <v>20118</v>
      </c>
      <c r="G39" s="171">
        <f t="shared" si="4"/>
        <v>34006</v>
      </c>
      <c r="H39" s="172">
        <f t="shared" si="5"/>
        <v>1.0013955223726766E-2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'[22]Sch C'!D25</f>
        <v>0</v>
      </c>
      <c r="D40" s="501">
        <f>'[22]Sch C'!F25</f>
        <v>0</v>
      </c>
      <c r="E40" s="171">
        <f t="shared" si="3"/>
        <v>0</v>
      </c>
      <c r="F40" s="171">
        <v>0</v>
      </c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'[22]Sch C'!D26</f>
        <v>87853</v>
      </c>
      <c r="D41" s="501">
        <f>'[22]Sch C'!F26</f>
        <v>0</v>
      </c>
      <c r="E41" s="171">
        <f t="shared" si="3"/>
        <v>87853</v>
      </c>
      <c r="F41" s="171">
        <v>119010</v>
      </c>
      <c r="G41" s="171">
        <f t="shared" si="4"/>
        <v>206863</v>
      </c>
      <c r="H41" s="172">
        <f t="shared" si="5"/>
        <v>6.0916215357460154E-2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'[22]Sch C'!D27</f>
        <v>0</v>
      </c>
      <c r="D42" s="501">
        <f>'[22]Sch C'!F27</f>
        <v>0</v>
      </c>
      <c r="E42" s="171">
        <f t="shared" si="3"/>
        <v>0</v>
      </c>
      <c r="F42" s="171">
        <v>0</v>
      </c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'[22]Sch C'!D28</f>
        <v>0</v>
      </c>
      <c r="D43" s="501">
        <f>'[22]Sch C'!F28</f>
        <v>0</v>
      </c>
      <c r="E43" s="171">
        <f t="shared" si="3"/>
        <v>0</v>
      </c>
      <c r="F43" s="171">
        <v>0</v>
      </c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'[22]Sch C'!D29</f>
        <v>154399</v>
      </c>
      <c r="D44" s="501">
        <f>'[22]Sch C'!F29</f>
        <v>-154399</v>
      </c>
      <c r="E44" s="171">
        <f t="shared" si="3"/>
        <v>0</v>
      </c>
      <c r="F44" s="171">
        <v>0</v>
      </c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'[22]Sch C'!D30</f>
        <v>0</v>
      </c>
      <c r="D45" s="501">
        <f>'[22]Sch C'!F30</f>
        <v>0</v>
      </c>
      <c r="E45" s="171">
        <f t="shared" si="3"/>
        <v>0</v>
      </c>
      <c r="F45" s="171">
        <v>0</v>
      </c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'[22]Sch C'!D31</f>
        <v>20483</v>
      </c>
      <c r="D46" s="501">
        <f>'[22]Sch C'!F31</f>
        <v>0</v>
      </c>
      <c r="E46" s="171">
        <f t="shared" si="3"/>
        <v>20483</v>
      </c>
      <c r="F46" s="171">
        <v>26793</v>
      </c>
      <c r="G46" s="171">
        <f t="shared" si="4"/>
        <v>47276</v>
      </c>
      <c r="H46" s="172">
        <f t="shared" si="5"/>
        <v>1.3921653448124054E-2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'[22]Sch C'!D32</f>
        <v>25200</v>
      </c>
      <c r="D47" s="501">
        <f>'[22]Sch C'!F32</f>
        <v>-9113</v>
      </c>
      <c r="E47" s="171">
        <f t="shared" si="3"/>
        <v>16087</v>
      </c>
      <c r="F47" s="171">
        <v>22521</v>
      </c>
      <c r="G47" s="171">
        <f t="shared" si="4"/>
        <v>38608</v>
      </c>
      <c r="H47" s="172">
        <f t="shared" si="5"/>
        <v>1.1369134366807122E-2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'[22]Sch C'!D33</f>
        <v>0</v>
      </c>
      <c r="D48" s="501">
        <f>'[22]Sch C'!F33</f>
        <v>0</v>
      </c>
      <c r="E48" s="171">
        <f t="shared" si="3"/>
        <v>0</v>
      </c>
      <c r="F48" s="171">
        <v>0</v>
      </c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'[22]Sch C'!D34</f>
        <v>0</v>
      </c>
      <c r="D49" s="501">
        <f>'[22]Sch C'!F34</f>
        <v>0</v>
      </c>
      <c r="E49" s="171">
        <f t="shared" si="3"/>
        <v>0</v>
      </c>
      <c r="F49" s="171">
        <v>0</v>
      </c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'[22]Sch C'!D35</f>
        <v>0</v>
      </c>
      <c r="D50" s="501">
        <f>'[22]Sch C'!F35</f>
        <v>0</v>
      </c>
      <c r="E50" s="171">
        <f t="shared" si="3"/>
        <v>0</v>
      </c>
      <c r="F50" s="171">
        <v>0</v>
      </c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'[22]Sch C'!D36</f>
        <v>0</v>
      </c>
      <c r="D51" s="501">
        <f>'[22]Sch C'!F36</f>
        <v>0</v>
      </c>
      <c r="E51" s="171">
        <f t="shared" si="3"/>
        <v>0</v>
      </c>
      <c r="F51" s="171">
        <v>0</v>
      </c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'[22]Sch C'!D37</f>
        <v>0</v>
      </c>
      <c r="D52" s="501">
        <f>'[22]Sch C'!F37</f>
        <v>0</v>
      </c>
      <c r="E52" s="171">
        <f t="shared" si="3"/>
        <v>0</v>
      </c>
      <c r="F52" s="171">
        <v>0</v>
      </c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'[22]Sch C'!D38</f>
        <v>0</v>
      </c>
      <c r="D53" s="501">
        <f>'[22]Sch C'!F38</f>
        <v>0</v>
      </c>
      <c r="E53" s="171">
        <f t="shared" si="3"/>
        <v>0</v>
      </c>
      <c r="F53" s="171">
        <v>0</v>
      </c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'[22]Sch C'!D39</f>
        <v>2702</v>
      </c>
      <c r="D54" s="501">
        <f>'[22]Sch C'!F39</f>
        <v>0</v>
      </c>
      <c r="E54" s="171">
        <f t="shared" si="3"/>
        <v>2702</v>
      </c>
      <c r="F54" s="171">
        <v>1345</v>
      </c>
      <c r="G54" s="171">
        <f t="shared" si="4"/>
        <v>4047</v>
      </c>
      <c r="H54" s="172">
        <f t="shared" si="5"/>
        <v>1.1917448917962189E-3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'[22]Sch C'!D40</f>
        <v>523</v>
      </c>
      <c r="D55" s="501">
        <f>'[22]Sch C'!F40</f>
        <v>0</v>
      </c>
      <c r="E55" s="171">
        <f t="shared" si="3"/>
        <v>523</v>
      </c>
      <c r="F55" s="171">
        <v>5759</v>
      </c>
      <c r="G55" s="171">
        <f t="shared" si="4"/>
        <v>6282</v>
      </c>
      <c r="H55" s="172">
        <f t="shared" si="5"/>
        <v>1.8498990388593644E-3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'[22]Sch C'!D41</f>
        <v>4246</v>
      </c>
      <c r="D56" s="501">
        <f>'[22]Sch C'!F41</f>
        <v>0</v>
      </c>
      <c r="E56" s="171">
        <f t="shared" si="3"/>
        <v>4246</v>
      </c>
      <c r="F56" s="171">
        <v>5824</v>
      </c>
      <c r="G56" s="171">
        <f t="shared" si="4"/>
        <v>10070</v>
      </c>
      <c r="H56" s="172">
        <f t="shared" si="5"/>
        <v>2.9653746133896527E-3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'[22]Sch C'!D42</f>
        <v>2294</v>
      </c>
      <c r="D57" s="501">
        <f>'[22]Sch C'!F42</f>
        <v>0</v>
      </c>
      <c r="E57" s="171">
        <f t="shared" si="3"/>
        <v>2294</v>
      </c>
      <c r="F57" s="171">
        <v>2329</v>
      </c>
      <c r="G57" s="171">
        <f t="shared" si="4"/>
        <v>4623</v>
      </c>
      <c r="H57" s="172">
        <f t="shared" si="5"/>
        <v>1.3613631417775933E-3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'[22]Sch C'!D43</f>
        <v>2360</v>
      </c>
      <c r="D58" s="501">
        <f>'[22]Sch C'!F43</f>
        <v>0</v>
      </c>
      <c r="E58" s="171">
        <f t="shared" si="3"/>
        <v>2360</v>
      </c>
      <c r="F58" s="171">
        <v>4059</v>
      </c>
      <c r="G58" s="171">
        <f t="shared" si="4"/>
        <v>6419</v>
      </c>
      <c r="H58" s="172">
        <f t="shared" si="5"/>
        <v>1.8902422684556287E-3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'[22]Sch C'!D44</f>
        <v>0</v>
      </c>
      <c r="D59" s="501">
        <f>'[22]Sch C'!F44</f>
        <v>0</v>
      </c>
      <c r="E59" s="171">
        <f t="shared" si="3"/>
        <v>0</v>
      </c>
      <c r="F59" s="171">
        <v>0</v>
      </c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'[22]Sch C'!D45</f>
        <v>1875</v>
      </c>
      <c r="D60" s="501">
        <f>'[22]Sch C'!F45</f>
        <v>-1301</v>
      </c>
      <c r="E60" s="171">
        <f t="shared" si="3"/>
        <v>574</v>
      </c>
      <c r="F60" s="171">
        <v>1936</v>
      </c>
      <c r="G60" s="171">
        <f t="shared" si="4"/>
        <v>2510</v>
      </c>
      <c r="H60" s="172">
        <f t="shared" si="5"/>
        <v>7.391350823841141E-4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669041</v>
      </c>
      <c r="D61" s="501">
        <f>SUM(D25:D60)</f>
        <v>-291051</v>
      </c>
      <c r="E61" s="171">
        <f t="shared" ref="E61:F61" si="6">SUM(E25:E60)</f>
        <v>377990</v>
      </c>
      <c r="F61" s="171">
        <f t="shared" si="6"/>
        <v>597840</v>
      </c>
      <c r="G61" s="171">
        <f>SUM(G25:G60)</f>
        <v>975830</v>
      </c>
      <c r="H61" s="186">
        <f t="shared" si="5"/>
        <v>0.28735864041549403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'[22]Sch C'!D57</f>
        <v>97056</v>
      </c>
      <c r="D64" s="501">
        <f>'[22]Sch C'!F57</f>
        <v>-97056</v>
      </c>
      <c r="E64" s="171">
        <f t="shared" ref="E64:E78" si="7">C64+D64</f>
        <v>0</v>
      </c>
      <c r="F64" s="171">
        <v>0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'[22]Sch C'!D58</f>
        <v>0</v>
      </c>
      <c r="D65" s="501">
        <f>'[22]Sch C'!F58</f>
        <v>18664</v>
      </c>
      <c r="E65" s="171">
        <f t="shared" si="7"/>
        <v>18664</v>
      </c>
      <c r="F65" s="171">
        <v>29082</v>
      </c>
      <c r="G65" s="171">
        <f t="shared" si="8"/>
        <v>47746</v>
      </c>
      <c r="H65" s="172">
        <f t="shared" si="9"/>
        <v>1.4060057228490802E-2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'[22]Sch C'!D59</f>
        <v>0</v>
      </c>
      <c r="D66" s="501">
        <f>'[22]Sch C'!F59</f>
        <v>0</v>
      </c>
      <c r="E66" s="171">
        <f t="shared" si="7"/>
        <v>0</v>
      </c>
      <c r="F66" s="171">
        <v>0</v>
      </c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'[22]Sch C'!D60</f>
        <v>5268</v>
      </c>
      <c r="D67" s="501">
        <f>'[22]Sch C'!F60</f>
        <v>0</v>
      </c>
      <c r="E67" s="171">
        <f t="shared" si="7"/>
        <v>5268</v>
      </c>
      <c r="F67" s="171">
        <v>7939</v>
      </c>
      <c r="G67" s="171">
        <f t="shared" si="8"/>
        <v>13207</v>
      </c>
      <c r="H67" s="172">
        <f t="shared" si="9"/>
        <v>3.8891462283055754E-3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'[22]Sch C'!D61</f>
        <v>1599</v>
      </c>
      <c r="D68" s="501">
        <f>'[22]Sch C'!F61</f>
        <v>0</v>
      </c>
      <c r="E68" s="171">
        <f t="shared" si="7"/>
        <v>1599</v>
      </c>
      <c r="F68" s="171">
        <v>2548</v>
      </c>
      <c r="G68" s="171">
        <f t="shared" si="8"/>
        <v>4147</v>
      </c>
      <c r="H68" s="172">
        <f t="shared" si="9"/>
        <v>1.2211925046402075E-3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'[22]Sch C'!D62</f>
        <v>0</v>
      </c>
      <c r="D69" s="501">
        <f>'[22]Sch C'!F62</f>
        <v>0</v>
      </c>
      <c r="E69" s="171">
        <f t="shared" si="7"/>
        <v>0</v>
      </c>
      <c r="F69" s="171">
        <v>0</v>
      </c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'[22]Sch C'!D63</f>
        <v>0</v>
      </c>
      <c r="D70" s="501">
        <f>'[22]Sch C'!F63</f>
        <v>0</v>
      </c>
      <c r="E70" s="171">
        <f t="shared" si="7"/>
        <v>0</v>
      </c>
      <c r="F70" s="171">
        <v>0</v>
      </c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'[22]Sch C'!D64</f>
        <v>0</v>
      </c>
      <c r="D71" s="501">
        <f>'[22]Sch C'!F64</f>
        <v>0</v>
      </c>
      <c r="E71" s="171">
        <f t="shared" si="7"/>
        <v>0</v>
      </c>
      <c r="F71" s="171">
        <v>0</v>
      </c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'[22]Sch C'!D65</f>
        <v>730</v>
      </c>
      <c r="D72" s="501">
        <f>'[22]Sch C'!F65</f>
        <v>0</v>
      </c>
      <c r="E72" s="171">
        <f t="shared" si="7"/>
        <v>730</v>
      </c>
      <c r="F72" s="171">
        <v>1848</v>
      </c>
      <c r="G72" s="171">
        <f t="shared" si="8"/>
        <v>2578</v>
      </c>
      <c r="H72" s="172">
        <f t="shared" si="9"/>
        <v>7.5915945911802628E-4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'[22]Sch C'!D66</f>
        <v>1723</v>
      </c>
      <c r="D73" s="501">
        <f>'[22]Sch C'!F66</f>
        <v>0</v>
      </c>
      <c r="E73" s="171">
        <f t="shared" si="7"/>
        <v>1723</v>
      </c>
      <c r="F73" s="171">
        <v>1401</v>
      </c>
      <c r="G73" s="171">
        <f t="shared" si="8"/>
        <v>3124</v>
      </c>
      <c r="H73" s="172">
        <f t="shared" si="9"/>
        <v>9.1994342524620413E-4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'[22]Sch C'!D67</f>
        <v>0</v>
      </c>
      <c r="D74" s="501">
        <f>'[22]Sch C'!F67</f>
        <v>23476</v>
      </c>
      <c r="E74" s="171">
        <f t="shared" si="7"/>
        <v>23476</v>
      </c>
      <c r="F74" s="171">
        <v>35938</v>
      </c>
      <c r="G74" s="171">
        <f t="shared" si="8"/>
        <v>59414</v>
      </c>
      <c r="H74" s="172">
        <f t="shared" si="9"/>
        <v>1.7496004695127392E-2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'[22]Sch C'!D68</f>
        <v>0</v>
      </c>
      <c r="D75" s="501">
        <f>'[22]Sch C'!F68</f>
        <v>0</v>
      </c>
      <c r="E75" s="171">
        <f t="shared" si="7"/>
        <v>0</v>
      </c>
      <c r="F75" s="171">
        <v>0</v>
      </c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'[22]Sch C'!D69</f>
        <v>1936</v>
      </c>
      <c r="D76" s="501">
        <f>'[22]Sch C'!F69</f>
        <v>0</v>
      </c>
      <c r="E76" s="171">
        <f t="shared" si="7"/>
        <v>1936</v>
      </c>
      <c r="F76" s="171">
        <v>2778</v>
      </c>
      <c r="G76" s="171">
        <f t="shared" si="8"/>
        <v>4714</v>
      </c>
      <c r="H76" s="172">
        <f t="shared" si="9"/>
        <v>1.3881604694656231E-3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'[22]Sch C'!D70</f>
        <v>0</v>
      </c>
      <c r="D77" s="501">
        <f>'[22]Sch C'!F70</f>
        <v>0</v>
      </c>
      <c r="E77" s="171">
        <f t="shared" si="7"/>
        <v>0</v>
      </c>
      <c r="F77" s="171">
        <v>0</v>
      </c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'[22]Sch C'!D71</f>
        <v>0</v>
      </c>
      <c r="D78" s="501">
        <f>'[22]Sch C'!F71</f>
        <v>0</v>
      </c>
      <c r="E78" s="171">
        <f t="shared" si="7"/>
        <v>0</v>
      </c>
      <c r="F78" s="171">
        <v>0</v>
      </c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108312</v>
      </c>
      <c r="D79" s="501">
        <f>SUM(D64:D78)</f>
        <v>-54916</v>
      </c>
      <c r="E79" s="171">
        <f t="shared" ref="E79:F79" si="10">SUM(E64:E78)</f>
        <v>53396</v>
      </c>
      <c r="F79" s="171">
        <f t="shared" si="10"/>
        <v>81534</v>
      </c>
      <c r="G79" s="171">
        <f>SUM(G64:G78)</f>
        <v>134930</v>
      </c>
      <c r="H79" s="172">
        <f t="shared" si="9"/>
        <v>3.9733664010393827E-2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'[22]Sch C'!D75</f>
        <v>18595</v>
      </c>
      <c r="D82" s="501">
        <f>'[22]Sch C'!F75</f>
        <v>1092</v>
      </c>
      <c r="E82" s="171">
        <f t="shared" ref="E82:E92" si="11">C82+D82</f>
        <v>19687</v>
      </c>
      <c r="F82" s="171">
        <v>25913</v>
      </c>
      <c r="G82" s="171">
        <f t="shared" ref="G82:G92" si="12">E82+F82</f>
        <v>45600</v>
      </c>
      <c r="H82" s="172">
        <f t="shared" ref="H82:H93" si="13">IF($G$208=0,0,G82/$G$208)</f>
        <v>1.3428111456858806E-2</v>
      </c>
      <c r="I82" s="473"/>
      <c r="J82" s="183">
        <f>911+1215</f>
        <v>2126</v>
      </c>
      <c r="K82" s="183">
        <f>965+1269</f>
        <v>2234</v>
      </c>
    </row>
    <row r="83" spans="1:11" s="167" customFormat="1">
      <c r="A83" s="169" t="s">
        <v>86</v>
      </c>
      <c r="B83" s="199" t="s">
        <v>45</v>
      </c>
      <c r="C83" s="501">
        <f>'[22]Sch C'!D76</f>
        <v>0</v>
      </c>
      <c r="D83" s="501">
        <f>'[22]Sch C'!F76</f>
        <v>3615</v>
      </c>
      <c r="E83" s="171">
        <f t="shared" si="11"/>
        <v>3615</v>
      </c>
      <c r="F83" s="171">
        <v>4031</v>
      </c>
      <c r="G83" s="171">
        <f t="shared" si="12"/>
        <v>7646</v>
      </c>
      <c r="H83" s="172">
        <f t="shared" si="13"/>
        <v>2.2515644780513691E-3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'[22]Sch C'!D77</f>
        <v>2753</v>
      </c>
      <c r="D84" s="501">
        <f>'[22]Sch C'!F77</f>
        <v>0</v>
      </c>
      <c r="E84" s="171">
        <f t="shared" si="11"/>
        <v>2753</v>
      </c>
      <c r="F84" s="171">
        <v>4747</v>
      </c>
      <c r="G84" s="171">
        <f t="shared" si="12"/>
        <v>7500</v>
      </c>
      <c r="H84" s="172">
        <f t="shared" si="13"/>
        <v>2.2085709632991457E-3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'[22]Sch C'!D78</f>
        <v>0</v>
      </c>
      <c r="D85" s="501">
        <f>'[22]Sch C'!F78</f>
        <v>0</v>
      </c>
      <c r="E85" s="171">
        <f t="shared" si="11"/>
        <v>0</v>
      </c>
      <c r="F85" s="171">
        <v>0</v>
      </c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'[22]Sch C'!D79</f>
        <v>3902</v>
      </c>
      <c r="D86" s="501">
        <f>'[22]Sch C'!F79</f>
        <v>0</v>
      </c>
      <c r="E86" s="171">
        <f t="shared" si="11"/>
        <v>3902</v>
      </c>
      <c r="F86" s="171">
        <v>2937</v>
      </c>
      <c r="G86" s="171">
        <f>E86+F86</f>
        <v>6839</v>
      </c>
      <c r="H86" s="172">
        <f t="shared" si="13"/>
        <v>2.013922242400381E-3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'[22]Sch C'!D80</f>
        <v>6420</v>
      </c>
      <c r="D87" s="501">
        <f>'[22]Sch C'!F80</f>
        <v>0</v>
      </c>
      <c r="E87" s="171">
        <f t="shared" si="11"/>
        <v>6420</v>
      </c>
      <c r="F87" s="171">
        <v>11634</v>
      </c>
      <c r="G87" s="171">
        <f t="shared" si="12"/>
        <v>18054</v>
      </c>
      <c r="H87" s="172">
        <f t="shared" si="13"/>
        <v>5.3164720228537033E-3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'[22]Sch C'!D81</f>
        <v>5109</v>
      </c>
      <c r="D88" s="501">
        <f>'[22]Sch C'!F81</f>
        <v>0</v>
      </c>
      <c r="E88" s="171">
        <f t="shared" si="11"/>
        <v>5109</v>
      </c>
      <c r="F88" s="171">
        <v>6664</v>
      </c>
      <c r="G88" s="171">
        <f t="shared" si="12"/>
        <v>11773</v>
      </c>
      <c r="H88" s="172">
        <f t="shared" si="13"/>
        <v>3.4668674601227791E-3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'[22]Sch C'!D82</f>
        <v>1899</v>
      </c>
      <c r="D89" s="501">
        <f>'[22]Sch C'!F82</f>
        <v>0</v>
      </c>
      <c r="E89" s="171">
        <f t="shared" si="11"/>
        <v>1899</v>
      </c>
      <c r="F89" s="171">
        <v>0</v>
      </c>
      <c r="G89" s="171">
        <f t="shared" si="12"/>
        <v>1899</v>
      </c>
      <c r="H89" s="172">
        <f t="shared" si="13"/>
        <v>5.5921016790734372E-4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'[22]Sch C'!D83</f>
        <v>0</v>
      </c>
      <c r="D90" s="501">
        <f>'[22]Sch C'!F83</f>
        <v>0</v>
      </c>
      <c r="E90" s="171">
        <f t="shared" si="11"/>
        <v>0</v>
      </c>
      <c r="F90" s="171">
        <v>0</v>
      </c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'[22]Sch C'!D84</f>
        <v>26230</v>
      </c>
      <c r="D91" s="501">
        <f>'[22]Sch C'!F84</f>
        <v>0</v>
      </c>
      <c r="E91" s="171">
        <f t="shared" si="11"/>
        <v>26230</v>
      </c>
      <c r="F91" s="171">
        <v>38217</v>
      </c>
      <c r="G91" s="171">
        <f t="shared" si="12"/>
        <v>64447</v>
      </c>
      <c r="H91" s="172">
        <f t="shared" si="13"/>
        <v>1.8978103049565338E-2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'[22]Sch C'!D85</f>
        <v>0</v>
      </c>
      <c r="D92" s="501">
        <f>'[22]Sch C'!F85</f>
        <v>0</v>
      </c>
      <c r="E92" s="171">
        <f t="shared" si="11"/>
        <v>0</v>
      </c>
      <c r="F92" s="171">
        <v>0</v>
      </c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64908</v>
      </c>
      <c r="D93" s="501">
        <f>SUM(D82:D92)</f>
        <v>4707</v>
      </c>
      <c r="E93" s="171">
        <f t="shared" ref="E93:F93" si="14">SUM(E82:E92)</f>
        <v>69615</v>
      </c>
      <c r="F93" s="171">
        <f t="shared" si="14"/>
        <v>94143</v>
      </c>
      <c r="G93" s="171">
        <f>SUM(G82:G92)</f>
        <v>163758</v>
      </c>
      <c r="H93" s="172">
        <f t="shared" si="13"/>
        <v>4.8222821841058867E-2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'[22]Sch C'!D89</f>
        <v>45215</v>
      </c>
      <c r="D96" s="501">
        <f>'[22]Sch C'!F89</f>
        <v>2655</v>
      </c>
      <c r="E96" s="171">
        <f t="shared" ref="E96:E101" si="15">C96+D96</f>
        <v>47870</v>
      </c>
      <c r="F96" s="171">
        <v>64393</v>
      </c>
      <c r="G96" s="171">
        <f t="shared" ref="G96:G101" si="16">E96+F96</f>
        <v>112263</v>
      </c>
      <c r="H96" s="172">
        <f t="shared" ref="H96:H102" si="17">IF($G$208=0,0,G96/$G$208)</f>
        <v>3.3058773607046933E-2</v>
      </c>
      <c r="I96" s="473"/>
      <c r="J96" s="183">
        <f>3620+4934</f>
        <v>8554</v>
      </c>
      <c r="K96" s="183">
        <f>3833+5155</f>
        <v>8988</v>
      </c>
    </row>
    <row r="97" spans="1:11" s="167" customFormat="1">
      <c r="A97" s="169" t="s">
        <v>86</v>
      </c>
      <c r="B97" s="170" t="s">
        <v>45</v>
      </c>
      <c r="C97" s="501">
        <f>'[22]Sch C'!D90</f>
        <v>0</v>
      </c>
      <c r="D97" s="501">
        <f>'[22]Sch C'!F90</f>
        <v>8789</v>
      </c>
      <c r="E97" s="171">
        <f t="shared" si="15"/>
        <v>8789</v>
      </c>
      <c r="F97" s="171">
        <v>10017</v>
      </c>
      <c r="G97" s="171">
        <f t="shared" si="16"/>
        <v>18806</v>
      </c>
      <c r="H97" s="172">
        <f t="shared" si="17"/>
        <v>5.5379180714404978E-3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'[22]Sch C'!D91</f>
        <v>7912</v>
      </c>
      <c r="D98" s="501">
        <f>'[22]Sch C'!F91</f>
        <v>0</v>
      </c>
      <c r="E98" s="171">
        <f t="shared" si="15"/>
        <v>7912</v>
      </c>
      <c r="F98" s="171">
        <v>9049</v>
      </c>
      <c r="G98" s="171">
        <f t="shared" si="16"/>
        <v>16961</v>
      </c>
      <c r="H98" s="172">
        <f t="shared" si="17"/>
        <v>4.9946096144689077E-3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'[22]Sch C'!D92</f>
        <v>40852</v>
      </c>
      <c r="D99" s="501">
        <f>'[22]Sch C'!F92</f>
        <v>0</v>
      </c>
      <c r="E99" s="171">
        <f t="shared" si="15"/>
        <v>40852</v>
      </c>
      <c r="F99" s="171">
        <v>53966</v>
      </c>
      <c r="G99" s="171">
        <f t="shared" si="16"/>
        <v>94818</v>
      </c>
      <c r="H99" s="172">
        <f t="shared" si="17"/>
        <v>2.7921637546413119E-2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'[22]Sch C'!D93</f>
        <v>5301</v>
      </c>
      <c r="D100" s="501">
        <f>'[22]Sch C'!F93</f>
        <v>0</v>
      </c>
      <c r="E100" s="171">
        <f t="shared" si="15"/>
        <v>5301</v>
      </c>
      <c r="F100" s="171">
        <v>3380</v>
      </c>
      <c r="G100" s="171">
        <f t="shared" si="16"/>
        <v>8681</v>
      </c>
      <c r="H100" s="172">
        <f t="shared" si="17"/>
        <v>2.5563472709866511E-3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'[22]Sch C'!D94</f>
        <v>472</v>
      </c>
      <c r="D101" s="501">
        <f>'[22]Sch C'!F94</f>
        <v>0</v>
      </c>
      <c r="E101" s="171">
        <f t="shared" si="15"/>
        <v>472</v>
      </c>
      <c r="F101" s="171">
        <v>0</v>
      </c>
      <c r="G101" s="171">
        <f t="shared" si="16"/>
        <v>472</v>
      </c>
      <c r="H101" s="172">
        <f t="shared" si="17"/>
        <v>1.3899273262362623E-4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99752</v>
      </c>
      <c r="D102" s="501">
        <f>SUM(D96:D101)</f>
        <v>11444</v>
      </c>
      <c r="E102" s="171">
        <f t="shared" ref="E102:F102" si="18">SUM(E96:E101)</f>
        <v>111196</v>
      </c>
      <c r="F102" s="171">
        <f t="shared" si="18"/>
        <v>140805</v>
      </c>
      <c r="G102" s="171">
        <f>SUM(G96:G101)</f>
        <v>252001</v>
      </c>
      <c r="H102" s="172">
        <f t="shared" si="17"/>
        <v>7.420827884297973E-2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'[22]Sch C'!D98</f>
        <v>4889</v>
      </c>
      <c r="D105" s="501">
        <f>'[22]Sch C'!F98</f>
        <v>287</v>
      </c>
      <c r="E105" s="171">
        <f t="shared" ref="E105:E110" si="19">C105+D105</f>
        <v>5176</v>
      </c>
      <c r="F105" s="171">
        <v>670</v>
      </c>
      <c r="G105" s="171">
        <f t="shared" ref="G105:G110" si="20">E105+F105</f>
        <v>5846</v>
      </c>
      <c r="H105" s="172">
        <f t="shared" ref="H105:H111" si="21">IF($G$208=0,0,G105/$G$208)</f>
        <v>1.721507446859574E-3</v>
      </c>
      <c r="I105" s="473"/>
      <c r="J105" s="183">
        <f>573+75</f>
        <v>648</v>
      </c>
      <c r="K105" s="183">
        <f>607+78</f>
        <v>685</v>
      </c>
    </row>
    <row r="106" spans="1:11" s="167" customFormat="1">
      <c r="A106" s="169" t="s">
        <v>86</v>
      </c>
      <c r="B106" s="170" t="s">
        <v>45</v>
      </c>
      <c r="C106" s="501">
        <f>'[22]Sch C'!D99</f>
        <v>0</v>
      </c>
      <c r="D106" s="501">
        <f>'[22]Sch C'!F99</f>
        <v>950</v>
      </c>
      <c r="E106" s="171">
        <f t="shared" si="19"/>
        <v>950</v>
      </c>
      <c r="F106" s="171">
        <v>105</v>
      </c>
      <c r="G106" s="171">
        <f t="shared" si="20"/>
        <v>1055</v>
      </c>
      <c r="H106" s="172">
        <f t="shared" si="21"/>
        <v>3.1067231550407979E-4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'[22]Sch C'!D100</f>
        <v>716</v>
      </c>
      <c r="D107" s="501">
        <f>'[22]Sch C'!F100</f>
        <v>0</v>
      </c>
      <c r="E107" s="171">
        <f t="shared" si="19"/>
        <v>716</v>
      </c>
      <c r="F107" s="171">
        <v>1071</v>
      </c>
      <c r="G107" s="171">
        <f t="shared" si="20"/>
        <v>1787</v>
      </c>
      <c r="H107" s="172">
        <f t="shared" si="21"/>
        <v>5.2622884152207642E-4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'[22]Sch C'!D101</f>
        <v>1608</v>
      </c>
      <c r="D108" s="501">
        <f>'[22]Sch C'!F101</f>
        <v>0</v>
      </c>
      <c r="E108" s="171">
        <f t="shared" si="19"/>
        <v>1608</v>
      </c>
      <c r="F108" s="171">
        <v>-140</v>
      </c>
      <c r="G108" s="171">
        <f t="shared" si="20"/>
        <v>1468</v>
      </c>
      <c r="H108" s="172">
        <f t="shared" si="21"/>
        <v>4.3229095654975276E-4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'[22]Sch C'!D102</f>
        <v>3882</v>
      </c>
      <c r="D109" s="501">
        <f>'[22]Sch C'!F102</f>
        <v>0</v>
      </c>
      <c r="E109" s="171">
        <f t="shared" si="19"/>
        <v>3882</v>
      </c>
      <c r="F109" s="171">
        <v>1537</v>
      </c>
      <c r="G109" s="171">
        <f t="shared" si="20"/>
        <v>5419</v>
      </c>
      <c r="H109" s="172">
        <f t="shared" si="21"/>
        <v>1.5957661400157427E-3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'[22]Sch C'!D103</f>
        <v>0</v>
      </c>
      <c r="D110" s="501">
        <f>'[22]Sch C'!F103</f>
        <v>0</v>
      </c>
      <c r="E110" s="171">
        <f t="shared" si="19"/>
        <v>0</v>
      </c>
      <c r="F110" s="171">
        <v>0</v>
      </c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11095</v>
      </c>
      <c r="D111" s="501">
        <f>SUM(D105:D110)</f>
        <v>1237</v>
      </c>
      <c r="E111" s="171">
        <f t="shared" ref="E111:F111" si="22">SUM(E105:E110)</f>
        <v>12332</v>
      </c>
      <c r="F111" s="171">
        <f t="shared" si="22"/>
        <v>3243</v>
      </c>
      <c r="G111" s="171">
        <f>SUM(G105:G110)</f>
        <v>15575</v>
      </c>
      <c r="H111" s="172">
        <f t="shared" si="21"/>
        <v>4.5864657004512262E-3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'[22]Sch C'!D115</f>
        <v>8771</v>
      </c>
      <c r="D114" s="501">
        <f>'[22]Sch C'!F115</f>
        <v>515</v>
      </c>
      <c r="E114" s="171">
        <f t="shared" ref="E114:E118" si="23">C114+D114</f>
        <v>9286</v>
      </c>
      <c r="F114" s="171">
        <v>19713</v>
      </c>
      <c r="G114" s="171">
        <f>E114+F114</f>
        <v>28999</v>
      </c>
      <c r="H114" s="172">
        <f t="shared" ref="H114:H119" si="24">IF($G$208=0,0,G114/$G$208)</f>
        <v>8.5395132486282572E-3</v>
      </c>
      <c r="I114" s="473"/>
      <c r="J114" s="183">
        <f>935+2011</f>
        <v>2946</v>
      </c>
      <c r="K114" s="183">
        <f>990+2101</f>
        <v>3091</v>
      </c>
    </row>
    <row r="115" spans="1:11" s="167" customFormat="1">
      <c r="A115" s="169" t="s">
        <v>86</v>
      </c>
      <c r="B115" s="170" t="s">
        <v>151</v>
      </c>
      <c r="C115" s="501">
        <f>'[22]Sch C'!D116</f>
        <v>0</v>
      </c>
      <c r="D115" s="501">
        <f>'[22]Sch C'!F116</f>
        <v>1705</v>
      </c>
      <c r="E115" s="171">
        <f t="shared" si="23"/>
        <v>1705</v>
      </c>
      <c r="F115" s="171">
        <v>3067</v>
      </c>
      <c r="G115" s="171">
        <f>E115+F115</f>
        <v>4772</v>
      </c>
      <c r="H115" s="172">
        <f t="shared" si="24"/>
        <v>1.4052400849151364E-3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'[22]Sch C'!D117</f>
        <v>5224</v>
      </c>
      <c r="D116" s="501">
        <f>'[22]Sch C'!F117</f>
        <v>0</v>
      </c>
      <c r="E116" s="171">
        <f t="shared" si="23"/>
        <v>5224</v>
      </c>
      <c r="F116" s="171">
        <v>4894</v>
      </c>
      <c r="G116" s="171">
        <f>E116+F116</f>
        <v>10118</v>
      </c>
      <c r="H116" s="172">
        <f t="shared" si="24"/>
        <v>2.9795094675547674E-3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'[22]Sch C'!D118</f>
        <v>1350</v>
      </c>
      <c r="D117" s="501">
        <f>'[22]Sch C'!F118</f>
        <v>0</v>
      </c>
      <c r="E117" s="171">
        <f t="shared" si="23"/>
        <v>1350</v>
      </c>
      <c r="F117" s="171">
        <v>1035</v>
      </c>
      <c r="G117" s="171">
        <f>E117+F117</f>
        <v>2385</v>
      </c>
      <c r="H117" s="172">
        <f t="shared" si="24"/>
        <v>7.023255663291283E-4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'[22]Sch C'!D119</f>
        <v>0</v>
      </c>
      <c r="D118" s="501">
        <f>'[22]Sch C'!F119</f>
        <v>0</v>
      </c>
      <c r="E118" s="171">
        <f t="shared" si="23"/>
        <v>0</v>
      </c>
      <c r="F118" s="171">
        <v>0</v>
      </c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15345</v>
      </c>
      <c r="D119" s="501">
        <f>SUM(D114:D118)</f>
        <v>2220</v>
      </c>
      <c r="E119" s="171">
        <f t="shared" ref="E119:F119" si="25">SUM(E114:E118)</f>
        <v>17565</v>
      </c>
      <c r="F119" s="171">
        <f t="shared" si="25"/>
        <v>28709</v>
      </c>
      <c r="G119" s="171">
        <f>SUM(G114:G118)</f>
        <v>46274</v>
      </c>
      <c r="H119" s="172">
        <f t="shared" si="24"/>
        <v>1.3626588367427288E-2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 t="s">
        <v>654</v>
      </c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'[22]Sch C'!D124</f>
        <v>0</v>
      </c>
      <c r="D123" s="501">
        <f>'[22]Sch C'!F124</f>
        <v>0</v>
      </c>
      <c r="E123" s="171">
        <f t="shared" ref="E123:E127" si="26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'[22]Sch C'!D125</f>
        <v>80503</v>
      </c>
      <c r="D124" s="501">
        <f>'[22]Sch C'!F125</f>
        <v>4728</v>
      </c>
      <c r="E124" s="171">
        <f t="shared" si="26"/>
        <v>85231</v>
      </c>
      <c r="F124" s="442">
        <f>114731+22617</f>
        <v>137348</v>
      </c>
      <c r="G124" s="171">
        <f>E124+F124</f>
        <v>222579</v>
      </c>
      <c r="H124" s="172">
        <f>IF($G$208=0,0,G124/$G$208)</f>
        <v>6.5544202192021409E-2</v>
      </c>
      <c r="I124" s="473" t="s">
        <v>402</v>
      </c>
      <c r="J124" s="183">
        <f>1754+2393</f>
        <v>4147</v>
      </c>
      <c r="K124" s="183">
        <f>1857+2500</f>
        <v>4357</v>
      </c>
    </row>
    <row r="125" spans="1:11" s="167" customFormat="1">
      <c r="A125" s="163" t="s">
        <v>198</v>
      </c>
      <c r="B125" s="163" t="s">
        <v>195</v>
      </c>
      <c r="C125" s="501">
        <f>'[22]Sch C'!D126</f>
        <v>0</v>
      </c>
      <c r="D125" s="501">
        <f>'[22]Sch C'!F126</f>
        <v>0</v>
      </c>
      <c r="E125" s="171">
        <f t="shared" si="26"/>
        <v>0</v>
      </c>
      <c r="F125" s="171">
        <v>258</v>
      </c>
      <c r="G125" s="171">
        <f>E125+F125</f>
        <v>258</v>
      </c>
      <c r="H125" s="172">
        <f>IF($G$208=0,0,G125/$G$208)</f>
        <v>7.5974841137490607E-5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'[22]Sch C'!D127</f>
        <v>0</v>
      </c>
      <c r="D126" s="501">
        <f>'[22]Sch C'!F127</f>
        <v>0</v>
      </c>
      <c r="E126" s="171">
        <f t="shared" si="26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'[22]Sch C'!D128</f>
        <v>10185</v>
      </c>
      <c r="D127" s="501">
        <f>'[22]Sch C'!F128</f>
        <v>598</v>
      </c>
      <c r="E127" s="171">
        <f t="shared" si="26"/>
        <v>10783</v>
      </c>
      <c r="F127" s="171">
        <v>5203</v>
      </c>
      <c r="G127" s="171">
        <f>E127+F127</f>
        <v>15986</v>
      </c>
      <c r="H127" s="172">
        <f>IF($G$208=0,0,G127/$G$208)</f>
        <v>4.7074953892400186E-3</v>
      </c>
      <c r="I127" s="473"/>
      <c r="J127" s="183">
        <f>235+115</f>
        <v>350</v>
      </c>
      <c r="K127" s="183">
        <f>249+120</f>
        <v>369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'[22]Sch C'!D130</f>
        <v>0</v>
      </c>
      <c r="D129" s="501">
        <f>'[22]Sch C'!F130</f>
        <v>0</v>
      </c>
      <c r="E129" s="171">
        <f t="shared" ref="E129:E133" si="27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'[22]Sch C'!D131</f>
        <v>0</v>
      </c>
      <c r="D130" s="501">
        <f>'[22]Sch C'!F131</f>
        <v>15648</v>
      </c>
      <c r="E130" s="171">
        <f t="shared" si="27"/>
        <v>15648</v>
      </c>
      <c r="F130" s="442">
        <f>17849+2846</f>
        <v>20695</v>
      </c>
      <c r="G130" s="171">
        <f>E130+F130</f>
        <v>36343</v>
      </c>
      <c r="H130" s="172">
        <f>IF($G$208=0,0,G130/$G$208)</f>
        <v>1.070214593589078E-2</v>
      </c>
      <c r="I130" s="473" t="s">
        <v>402</v>
      </c>
      <c r="J130" s="204"/>
      <c r="K130" s="204"/>
    </row>
    <row r="131" spans="1:11" s="167" customFormat="1">
      <c r="B131" s="163" t="s">
        <v>195</v>
      </c>
      <c r="C131" s="501">
        <f>'[22]Sch C'!D132</f>
        <v>0</v>
      </c>
      <c r="D131" s="501">
        <f>'[22]Sch C'!F132</f>
        <v>0</v>
      </c>
      <c r="E131" s="171">
        <f t="shared" si="27"/>
        <v>0</v>
      </c>
      <c r="F131" s="171">
        <v>40</v>
      </c>
      <c r="G131" s="171">
        <f>E131+F131</f>
        <v>40</v>
      </c>
      <c r="H131" s="172">
        <f>IF($G$208=0,0,G131/$G$208)</f>
        <v>1.1779045137595444E-5</v>
      </c>
      <c r="I131" s="473"/>
      <c r="J131" s="168"/>
      <c r="K131" s="168"/>
    </row>
    <row r="132" spans="1:11" s="167" customFormat="1">
      <c r="B132" s="163" t="s">
        <v>196</v>
      </c>
      <c r="C132" s="501">
        <f>'[22]Sch C'!D133</f>
        <v>0</v>
      </c>
      <c r="D132" s="501">
        <f>'[22]Sch C'!F133</f>
        <v>0</v>
      </c>
      <c r="E132" s="171">
        <f t="shared" si="27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'[22]Sch C'!D134</f>
        <v>0</v>
      </c>
      <c r="D133" s="501">
        <f>'[22]Sch C'!F134</f>
        <v>1980</v>
      </c>
      <c r="E133" s="171">
        <f t="shared" si="27"/>
        <v>1980</v>
      </c>
      <c r="F133" s="171">
        <v>810</v>
      </c>
      <c r="G133" s="171">
        <f>E133+F133</f>
        <v>2790</v>
      </c>
      <c r="H133" s="172">
        <f>IF($G$208=0,0,G133/$G$208)</f>
        <v>8.2158839834728218E-4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'[22]Sch C'!D136</f>
        <v>98926</v>
      </c>
      <c r="D135" s="501">
        <f>'[22]Sch C'!F136</f>
        <v>5810</v>
      </c>
      <c r="E135" s="171">
        <f t="shared" ref="E135:E138" si="28">C135+D135</f>
        <v>104736</v>
      </c>
      <c r="F135" s="171">
        <v>109023</v>
      </c>
      <c r="G135" s="171">
        <f>E135+F135</f>
        <v>213759</v>
      </c>
      <c r="H135" s="172">
        <f>IF($G$208=0,0,G135/$G$208)</f>
        <v>6.2946922739181607E-2</v>
      </c>
      <c r="I135" s="473"/>
      <c r="J135" s="183">
        <f>3360+3544</f>
        <v>6904</v>
      </c>
      <c r="K135" s="183">
        <f>3557+3703</f>
        <v>7260</v>
      </c>
    </row>
    <row r="136" spans="1:11" s="167" customFormat="1">
      <c r="A136" s="169"/>
      <c r="B136" s="163" t="s">
        <v>195</v>
      </c>
      <c r="C136" s="501">
        <f>'[22]Sch C'!D137</f>
        <v>80565</v>
      </c>
      <c r="D136" s="501">
        <f>'[22]Sch C'!F137</f>
        <v>4731</v>
      </c>
      <c r="E136" s="171">
        <f t="shared" si="28"/>
        <v>85296</v>
      </c>
      <c r="F136" s="171">
        <v>135614</v>
      </c>
      <c r="G136" s="171">
        <f>E136+F136</f>
        <v>220910</v>
      </c>
      <c r="H136" s="172">
        <f>IF($G$208=0,0,G136/$G$208)</f>
        <v>6.5052721533655239E-2</v>
      </c>
      <c r="I136" s="473"/>
      <c r="J136" s="183">
        <f>3228+5200</f>
        <v>8428</v>
      </c>
      <c r="K136" s="183">
        <f>3418+5433</f>
        <v>8851</v>
      </c>
    </row>
    <row r="137" spans="1:11" s="167" customFormat="1">
      <c r="A137" s="169"/>
      <c r="B137" s="163" t="s">
        <v>196</v>
      </c>
      <c r="C137" s="501">
        <f>'[22]Sch C'!D138</f>
        <v>138085</v>
      </c>
      <c r="D137" s="501">
        <f>'[22]Sch C'!F138</f>
        <v>8109</v>
      </c>
      <c r="E137" s="171">
        <f t="shared" si="28"/>
        <v>146194</v>
      </c>
      <c r="F137" s="171">
        <v>195607</v>
      </c>
      <c r="G137" s="171">
        <f>E137+F137</f>
        <v>341801</v>
      </c>
      <c r="H137" s="172">
        <f>IF($G$208=0,0,G137/$G$208)</f>
        <v>0.1006522351768815</v>
      </c>
      <c r="I137" s="473"/>
      <c r="J137" s="183">
        <f>10968+14870</f>
        <v>25838</v>
      </c>
      <c r="K137" s="183">
        <f>11612+15537</f>
        <v>27149</v>
      </c>
    </row>
    <row r="138" spans="1:11" s="167" customFormat="1">
      <c r="A138" s="169"/>
      <c r="B138" s="163" t="s">
        <v>197</v>
      </c>
      <c r="C138" s="501">
        <f>'[22]Sch C'!D139</f>
        <v>4442</v>
      </c>
      <c r="D138" s="501">
        <f>'[22]Sch C'!F139</f>
        <v>261</v>
      </c>
      <c r="E138" s="171">
        <f t="shared" si="28"/>
        <v>4703</v>
      </c>
      <c r="F138" s="171">
        <v>3416</v>
      </c>
      <c r="G138" s="171">
        <f>E138+F138</f>
        <v>8119</v>
      </c>
      <c r="H138" s="172">
        <f>IF($G$208=0,0,G138/$G$208)</f>
        <v>2.3908516868034351E-3</v>
      </c>
      <c r="I138" s="473"/>
      <c r="J138" s="183">
        <f>387+285</f>
        <v>672</v>
      </c>
      <c r="K138" s="183">
        <f>410+298</f>
        <v>708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'[22]Sch C'!D141</f>
        <v>0</v>
      </c>
      <c r="D140" s="501">
        <f>'[22]Sch C'!F141</f>
        <v>19229</v>
      </c>
      <c r="E140" s="171">
        <f t="shared" ref="E140:E143" si="29">C140+D140</f>
        <v>19229</v>
      </c>
      <c r="F140" s="171">
        <v>16960</v>
      </c>
      <c r="G140" s="171">
        <f>E140+F140</f>
        <v>36189</v>
      </c>
      <c r="H140" s="172">
        <f>IF($G$208=0,0,G140/$G$208)</f>
        <v>1.0656796612111037E-2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'[22]Sch C'!D142</f>
        <v>0</v>
      </c>
      <c r="D141" s="501">
        <f>'[22]Sch C'!F142</f>
        <v>15660</v>
      </c>
      <c r="E141" s="171">
        <f t="shared" si="29"/>
        <v>15660</v>
      </c>
      <c r="F141" s="171">
        <v>21097</v>
      </c>
      <c r="G141" s="171">
        <f>E141+F141</f>
        <v>36757</v>
      </c>
      <c r="H141" s="172">
        <f>IF($G$208=0,0,G141/$G$208)</f>
        <v>1.0824059053064893E-2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'[22]Sch C'!D143</f>
        <v>0</v>
      </c>
      <c r="D142" s="501">
        <f>'[22]Sch C'!F143</f>
        <v>26841</v>
      </c>
      <c r="E142" s="171">
        <f t="shared" si="29"/>
        <v>26841</v>
      </c>
      <c r="F142" s="171">
        <v>30430</v>
      </c>
      <c r="G142" s="171">
        <f>E142+F142</f>
        <v>57271</v>
      </c>
      <c r="H142" s="172">
        <f>IF($G$208=0,0,G142/$G$208)</f>
        <v>1.6864942351880716E-2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'[22]Sch C'!D144</f>
        <v>0</v>
      </c>
      <c r="D143" s="501">
        <f>'[22]Sch C'!F144</f>
        <v>863</v>
      </c>
      <c r="E143" s="171">
        <f t="shared" si="29"/>
        <v>863</v>
      </c>
      <c r="F143" s="171">
        <v>531</v>
      </c>
      <c r="G143" s="171">
        <f>E143+F143</f>
        <v>1394</v>
      </c>
      <c r="H143" s="172">
        <f>IF($G$208=0,0,G143/$G$208)</f>
        <v>4.1049972304520123E-4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'[22]Sch C'!D146</f>
        <v>14000</v>
      </c>
      <c r="D145" s="501">
        <f>'[22]Sch C'!F146</f>
        <v>0</v>
      </c>
      <c r="E145" s="171">
        <f t="shared" ref="E145:E153" si="30">C145+D145</f>
        <v>14000</v>
      </c>
      <c r="F145" s="171">
        <v>19600</v>
      </c>
      <c r="G145" s="171">
        <f t="shared" ref="G145:G153" si="31">E145+F145</f>
        <v>33600</v>
      </c>
      <c r="H145" s="172">
        <f t="shared" ref="H145:H153" si="32">IF($G$208=0,0,G145/$G$208)</f>
        <v>9.8943979155801717E-3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'[22]Sch C'!D147</f>
        <v>7549</v>
      </c>
      <c r="D146" s="501">
        <f>'[22]Sch C'!F147</f>
        <v>0</v>
      </c>
      <c r="E146" s="171">
        <f t="shared" si="30"/>
        <v>7549</v>
      </c>
      <c r="F146" s="171">
        <v>1972</v>
      </c>
      <c r="G146" s="171">
        <f t="shared" si="31"/>
        <v>9521</v>
      </c>
      <c r="H146" s="172">
        <f t="shared" si="32"/>
        <v>2.8037072188761554E-3</v>
      </c>
      <c r="I146" s="473"/>
      <c r="J146" s="183">
        <f>252+66</f>
        <v>318</v>
      </c>
      <c r="K146" s="183">
        <f>252+66</f>
        <v>318</v>
      </c>
    </row>
    <row r="147" spans="1:11" s="167" customFormat="1">
      <c r="A147" s="169"/>
      <c r="B147" s="163" t="s">
        <v>195</v>
      </c>
      <c r="C147" s="501">
        <f>'[22]Sch C'!D148</f>
        <v>0</v>
      </c>
      <c r="D147" s="501">
        <f>'[22]Sch C'!F148</f>
        <v>0</v>
      </c>
      <c r="E147" s="171">
        <f t="shared" si="30"/>
        <v>0</v>
      </c>
      <c r="F147" s="171">
        <v>532</v>
      </c>
      <c r="G147" s="171">
        <f t="shared" si="31"/>
        <v>532</v>
      </c>
      <c r="H147" s="172">
        <f t="shared" si="32"/>
        <v>1.566613003300194E-4</v>
      </c>
      <c r="I147" s="473"/>
      <c r="J147" s="183">
        <f>0+21</f>
        <v>21</v>
      </c>
      <c r="K147" s="183">
        <f>0+21</f>
        <v>21</v>
      </c>
    </row>
    <row r="148" spans="1:11" s="167" customFormat="1">
      <c r="A148" s="169"/>
      <c r="B148" s="163" t="s">
        <v>196</v>
      </c>
      <c r="C148" s="501">
        <f>'[22]Sch C'!D149</f>
        <v>5293</v>
      </c>
      <c r="D148" s="501">
        <f>'[22]Sch C'!F149</f>
        <v>0</v>
      </c>
      <c r="E148" s="171">
        <f t="shared" si="30"/>
        <v>5293</v>
      </c>
      <c r="F148" s="171">
        <v>400</v>
      </c>
      <c r="G148" s="171">
        <f t="shared" si="31"/>
        <v>5693</v>
      </c>
      <c r="H148" s="172">
        <f t="shared" si="32"/>
        <v>1.6764525992082715E-3</v>
      </c>
      <c r="I148" s="473"/>
      <c r="J148" s="183">
        <f>246+19</f>
        <v>265</v>
      </c>
      <c r="K148" s="183">
        <f>246+19</f>
        <v>265</v>
      </c>
    </row>
    <row r="149" spans="1:11" s="167" customFormat="1">
      <c r="A149" s="169"/>
      <c r="B149" s="163" t="s">
        <v>197</v>
      </c>
      <c r="C149" s="501">
        <f>'[22]Sch C'!D150</f>
        <v>710</v>
      </c>
      <c r="D149" s="501">
        <f>'[22]Sch C'!F150</f>
        <v>0</v>
      </c>
      <c r="E149" s="171">
        <f t="shared" si="30"/>
        <v>710</v>
      </c>
      <c r="F149" s="171">
        <v>2332</v>
      </c>
      <c r="G149" s="171">
        <f t="shared" si="31"/>
        <v>3042</v>
      </c>
      <c r="H149" s="172">
        <f t="shared" si="32"/>
        <v>8.9579638271413352E-4</v>
      </c>
      <c r="I149" s="473"/>
      <c r="J149" s="183">
        <f>47+155</f>
        <v>202</v>
      </c>
      <c r="K149" s="183">
        <f>47+155</f>
        <v>202</v>
      </c>
    </row>
    <row r="150" spans="1:11" s="167" customFormat="1">
      <c r="A150" s="169">
        <v>110</v>
      </c>
      <c r="B150" s="167" t="s">
        <v>65</v>
      </c>
      <c r="C150" s="501">
        <f>'[22]Sch C'!D151</f>
        <v>20927</v>
      </c>
      <c r="D150" s="501">
        <f>'[22]Sch C'!F151</f>
        <v>0</v>
      </c>
      <c r="E150" s="171">
        <f t="shared" si="30"/>
        <v>20927</v>
      </c>
      <c r="F150" s="171">
        <v>28842</v>
      </c>
      <c r="G150" s="171">
        <f t="shared" si="31"/>
        <v>49769</v>
      </c>
      <c r="H150" s="172">
        <f t="shared" si="32"/>
        <v>1.4655782436324691E-2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'[22]Sch C'!D152</f>
        <v>1133</v>
      </c>
      <c r="D151" s="501">
        <f>'[22]Sch C'!F152</f>
        <v>0</v>
      </c>
      <c r="E151" s="171">
        <f t="shared" si="30"/>
        <v>1133</v>
      </c>
      <c r="F151" s="171">
        <v>0</v>
      </c>
      <c r="G151" s="171">
        <f t="shared" si="31"/>
        <v>1133</v>
      </c>
      <c r="H151" s="172">
        <f t="shared" si="32"/>
        <v>3.3364145352239095E-4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'[22]Sch C'!D153</f>
        <v>0</v>
      </c>
      <c r="D152" s="501">
        <f>'[22]Sch C'!F153</f>
        <v>0</v>
      </c>
      <c r="E152" s="171">
        <f t="shared" si="30"/>
        <v>0</v>
      </c>
      <c r="F152" s="171">
        <v>0</v>
      </c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'[22]Sch C'!D154</f>
        <v>0</v>
      </c>
      <c r="D153" s="501">
        <f>'[22]Sch C'!F154</f>
        <v>0</v>
      </c>
      <c r="E153" s="171">
        <f t="shared" si="30"/>
        <v>0</v>
      </c>
      <c r="F153" s="171">
        <v>0</v>
      </c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'[22]Sch C'!D156</f>
        <v>0</v>
      </c>
      <c r="D155" s="501">
        <f>'[22]Sch C'!F156</f>
        <v>0</v>
      </c>
      <c r="E155" s="171">
        <f t="shared" ref="E155:E160" si="33">C155+D155</f>
        <v>0</v>
      </c>
      <c r="F155" s="171">
        <v>0</v>
      </c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'[22]Sch C'!D157</f>
        <v>0</v>
      </c>
      <c r="D156" s="501">
        <f>'[22]Sch C'!F157</f>
        <v>0</v>
      </c>
      <c r="E156" s="171">
        <f t="shared" si="33"/>
        <v>0</v>
      </c>
      <c r="F156" s="171">
        <v>0</v>
      </c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'[22]Sch C'!D158</f>
        <v>0</v>
      </c>
      <c r="D157" s="501">
        <f>'[22]Sch C'!F158</f>
        <v>0</v>
      </c>
      <c r="E157" s="171">
        <f t="shared" si="33"/>
        <v>0</v>
      </c>
      <c r="F157" s="171">
        <v>0</v>
      </c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'[22]Sch C'!D159</f>
        <v>0</v>
      </c>
      <c r="D158" s="501">
        <f>'[22]Sch C'!F159</f>
        <v>0</v>
      </c>
      <c r="E158" s="171">
        <f t="shared" si="33"/>
        <v>0</v>
      </c>
      <c r="F158" s="171">
        <v>0</v>
      </c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'[22]Sch C'!D160</f>
        <v>0</v>
      </c>
      <c r="D159" s="501">
        <f>'[22]Sch C'!F160</f>
        <v>0</v>
      </c>
      <c r="E159" s="171">
        <f t="shared" si="33"/>
        <v>0</v>
      </c>
      <c r="F159" s="171">
        <v>0</v>
      </c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'[22]Sch C'!D161</f>
        <v>7355</v>
      </c>
      <c r="D160" s="501">
        <f>'[22]Sch C'!F161</f>
        <v>0</v>
      </c>
      <c r="E160" s="171">
        <f t="shared" si="33"/>
        <v>7355</v>
      </c>
      <c r="F160" s="171">
        <v>1914</v>
      </c>
      <c r="G160" s="171">
        <f t="shared" si="34"/>
        <v>9269</v>
      </c>
      <c r="H160" s="172">
        <f t="shared" si="35"/>
        <v>2.7294992345093042E-3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469673</v>
      </c>
      <c r="D161" s="501">
        <f>SUM(D123:D160)</f>
        <v>104458</v>
      </c>
      <c r="E161" s="171">
        <f t="shared" ref="E161:F161" si="36">SUM(E123:E160)</f>
        <v>574131</v>
      </c>
      <c r="F161" s="171">
        <f t="shared" si="36"/>
        <v>732624</v>
      </c>
      <c r="G161" s="171">
        <f>SUM(G123:G160)</f>
        <v>1306755</v>
      </c>
      <c r="H161" s="172">
        <f t="shared" si="35"/>
        <v>0.38480815321946332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'[22]Sch C'!D175</f>
        <v>0</v>
      </c>
      <c r="D164" s="501">
        <f>'[22]Sch C'!F175</f>
        <v>0</v>
      </c>
      <c r="E164" s="171">
        <f t="shared" ref="E164:E196" si="37">C164+D164</f>
        <v>0</v>
      </c>
      <c r="F164" s="216">
        <v>0</v>
      </c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'[22]Sch C'!D176</f>
        <v>0</v>
      </c>
      <c r="D165" s="501">
        <f>'[22]Sch C'!F176</f>
        <v>0</v>
      </c>
      <c r="E165" s="171">
        <f t="shared" si="37"/>
        <v>0</v>
      </c>
      <c r="F165" s="216">
        <v>0</v>
      </c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'[22]Sch C'!D177</f>
        <v>52876</v>
      </c>
      <c r="D166" s="501">
        <f>'[22]Sch C'!F177</f>
        <v>3105</v>
      </c>
      <c r="E166" s="171">
        <f t="shared" si="37"/>
        <v>55981</v>
      </c>
      <c r="F166" s="216">
        <v>61082</v>
      </c>
      <c r="G166" s="171">
        <f t="shared" si="38"/>
        <v>117063</v>
      </c>
      <c r="H166" s="172">
        <f t="shared" si="39"/>
        <v>3.4472259023558383E-2</v>
      </c>
      <c r="I166" s="483"/>
      <c r="J166" s="183">
        <f>1846+2041</f>
        <v>3887</v>
      </c>
      <c r="K166" s="183">
        <f>1954+2133</f>
        <v>4087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'[22]Sch C'!D178</f>
        <v>0</v>
      </c>
      <c r="D167" s="501">
        <f>'[22]Sch C'!F178</f>
        <v>10278</v>
      </c>
      <c r="E167" s="171">
        <f t="shared" si="37"/>
        <v>10278</v>
      </c>
      <c r="F167" s="216">
        <v>9502</v>
      </c>
      <c r="G167" s="171">
        <f t="shared" si="38"/>
        <v>19780</v>
      </c>
      <c r="H167" s="172">
        <f t="shared" si="39"/>
        <v>5.8247378205409468E-3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'[22]Sch C'!D179</f>
        <v>4068</v>
      </c>
      <c r="D168" s="501">
        <f>'[22]Sch C'!F179</f>
        <v>239</v>
      </c>
      <c r="E168" s="171">
        <f t="shared" si="37"/>
        <v>4307</v>
      </c>
      <c r="F168" s="216">
        <v>4749</v>
      </c>
      <c r="G168" s="171">
        <f t="shared" si="38"/>
        <v>9056</v>
      </c>
      <c r="H168" s="172">
        <f t="shared" si="39"/>
        <v>2.6667758191516082E-3</v>
      </c>
      <c r="I168" s="483"/>
      <c r="J168" s="183">
        <f>85+95</f>
        <v>180</v>
      </c>
      <c r="K168" s="183">
        <f>90+99</f>
        <v>189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'[22]Sch C'!D180</f>
        <v>0</v>
      </c>
      <c r="D169" s="501">
        <f>'[22]Sch C'!F180</f>
        <v>790</v>
      </c>
      <c r="E169" s="171">
        <f t="shared" si="37"/>
        <v>790</v>
      </c>
      <c r="F169" s="216">
        <v>739</v>
      </c>
      <c r="G169" s="171">
        <f t="shared" si="38"/>
        <v>1529</v>
      </c>
      <c r="H169" s="172">
        <f t="shared" si="39"/>
        <v>4.5025400038458584E-4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'[22]Sch C'!D181</f>
        <v>0</v>
      </c>
      <c r="D170" s="501">
        <f>'[22]Sch C'!F181</f>
        <v>0</v>
      </c>
      <c r="E170" s="171">
        <f t="shared" si="37"/>
        <v>0</v>
      </c>
      <c r="F170" s="216">
        <v>0</v>
      </c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'[22]Sch C'!D182</f>
        <v>0</v>
      </c>
      <c r="D171" s="501">
        <f>'[22]Sch C'!F182</f>
        <v>0</v>
      </c>
      <c r="E171" s="171">
        <f t="shared" si="37"/>
        <v>0</v>
      </c>
      <c r="F171" s="216">
        <v>0</v>
      </c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'[22]Sch C'!D183</f>
        <v>50841</v>
      </c>
      <c r="D172" s="501">
        <f>'[22]Sch C'!F183</f>
        <v>2986</v>
      </c>
      <c r="E172" s="171">
        <f t="shared" si="37"/>
        <v>53827</v>
      </c>
      <c r="F172" s="216">
        <v>70853</v>
      </c>
      <c r="G172" s="171">
        <f t="shared" si="38"/>
        <v>124680</v>
      </c>
      <c r="H172" s="172">
        <f t="shared" si="39"/>
        <v>3.6715283693884999E-2</v>
      </c>
      <c r="I172" s="483"/>
      <c r="J172" s="183">
        <f>1461+1949</f>
        <v>3410</v>
      </c>
      <c r="K172" s="183">
        <f>1547+2036</f>
        <v>3583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'[22]Sch C'!D184</f>
        <v>0</v>
      </c>
      <c r="D173" s="501">
        <f>'[22]Sch C'!F184</f>
        <v>9882</v>
      </c>
      <c r="E173" s="171">
        <f t="shared" si="37"/>
        <v>9882</v>
      </c>
      <c r="F173" s="216">
        <v>11022</v>
      </c>
      <c r="G173" s="171">
        <f t="shared" si="38"/>
        <v>20904</v>
      </c>
      <c r="H173" s="172">
        <f t="shared" si="39"/>
        <v>6.1557289889073788E-3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'[22]Sch C'!D185</f>
        <v>0</v>
      </c>
      <c r="D174" s="501">
        <f>'[22]Sch C'!F185</f>
        <v>0</v>
      </c>
      <c r="E174" s="171">
        <f t="shared" si="37"/>
        <v>0</v>
      </c>
      <c r="F174" s="216">
        <v>0</v>
      </c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'[22]Sch C'!D186</f>
        <v>0</v>
      </c>
      <c r="D175" s="501">
        <f>'[22]Sch C'!F186</f>
        <v>0</v>
      </c>
      <c r="E175" s="171">
        <f t="shared" si="37"/>
        <v>0</v>
      </c>
      <c r="F175" s="216">
        <v>0</v>
      </c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'[22]Sch C'!D187</f>
        <v>0</v>
      </c>
      <c r="D176" s="501">
        <f>'[22]Sch C'!F187</f>
        <v>0</v>
      </c>
      <c r="E176" s="171">
        <f t="shared" si="37"/>
        <v>0</v>
      </c>
      <c r="F176" s="216">
        <v>0</v>
      </c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'[22]Sch C'!D188</f>
        <v>14</v>
      </c>
      <c r="D177" s="501">
        <f>'[22]Sch C'!F188</f>
        <v>0</v>
      </c>
      <c r="E177" s="171">
        <f t="shared" si="37"/>
        <v>14</v>
      </c>
      <c r="F177" s="216">
        <v>462</v>
      </c>
      <c r="G177" s="171">
        <f t="shared" si="38"/>
        <v>476</v>
      </c>
      <c r="H177" s="172">
        <f t="shared" si="39"/>
        <v>1.4017063713738577E-4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'[22]Sch C'!D189</f>
        <v>0</v>
      </c>
      <c r="D178" s="501">
        <f>'[22]Sch C'!F189</f>
        <v>0</v>
      </c>
      <c r="E178" s="171">
        <f t="shared" si="37"/>
        <v>0</v>
      </c>
      <c r="F178" s="216">
        <v>0</v>
      </c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'[22]Sch C'!D190</f>
        <v>0</v>
      </c>
      <c r="D179" s="501">
        <f>'[22]Sch C'!F190</f>
        <v>0</v>
      </c>
      <c r="E179" s="171">
        <f t="shared" si="37"/>
        <v>0</v>
      </c>
      <c r="F179" s="216">
        <v>0</v>
      </c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'[22]Sch C'!D191</f>
        <v>0</v>
      </c>
      <c r="D180" s="501">
        <f>'[22]Sch C'!F191</f>
        <v>0</v>
      </c>
      <c r="E180" s="171">
        <f t="shared" si="37"/>
        <v>0</v>
      </c>
      <c r="F180" s="216">
        <v>86</v>
      </c>
      <c r="G180" s="171">
        <f t="shared" si="38"/>
        <v>86</v>
      </c>
      <c r="H180" s="172">
        <f t="shared" si="39"/>
        <v>2.5324947045830202E-5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'[22]Sch C'!D192</f>
        <v>0</v>
      </c>
      <c r="D181" s="501">
        <f>'[22]Sch C'!F192</f>
        <v>0</v>
      </c>
      <c r="E181" s="171">
        <f t="shared" si="37"/>
        <v>0</v>
      </c>
      <c r="F181" s="216">
        <v>0</v>
      </c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'[22]Sch C'!D193</f>
        <v>0</v>
      </c>
      <c r="D182" s="501">
        <f>'[22]Sch C'!F193</f>
        <v>0</v>
      </c>
      <c r="E182" s="171">
        <f t="shared" si="37"/>
        <v>0</v>
      </c>
      <c r="F182" s="216">
        <v>0</v>
      </c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'[22]Sch C'!D194</f>
        <v>0</v>
      </c>
      <c r="D183" s="501">
        <f>'[22]Sch C'!F194</f>
        <v>0</v>
      </c>
      <c r="E183" s="171">
        <f t="shared" si="37"/>
        <v>0</v>
      </c>
      <c r="F183" s="216">
        <v>0</v>
      </c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'[22]Sch C'!D195</f>
        <v>0</v>
      </c>
      <c r="D184" s="501">
        <f>'[22]Sch C'!F195</f>
        <v>0</v>
      </c>
      <c r="E184" s="171">
        <f t="shared" si="37"/>
        <v>0</v>
      </c>
      <c r="F184" s="216">
        <v>0</v>
      </c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'[22]Sch C'!D196</f>
        <v>0</v>
      </c>
      <c r="D185" s="501">
        <f>'[22]Sch C'!F196</f>
        <v>0</v>
      </c>
      <c r="E185" s="171">
        <f t="shared" si="37"/>
        <v>0</v>
      </c>
      <c r="F185" s="216">
        <v>0</v>
      </c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'[22]Sch C'!D197</f>
        <v>0</v>
      </c>
      <c r="D186" s="501">
        <f>'[22]Sch C'!F197</f>
        <v>0</v>
      </c>
      <c r="E186" s="171">
        <f t="shared" si="37"/>
        <v>0</v>
      </c>
      <c r="F186" s="216">
        <v>0</v>
      </c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'[22]Sch C'!D198</f>
        <v>13304</v>
      </c>
      <c r="D187" s="501">
        <f>'[22]Sch C'!F198</f>
        <v>-807</v>
      </c>
      <c r="E187" s="171">
        <f t="shared" si="37"/>
        <v>12497</v>
      </c>
      <c r="F187" s="216">
        <v>14557</v>
      </c>
      <c r="G187" s="171">
        <f t="shared" si="38"/>
        <v>27054</v>
      </c>
      <c r="H187" s="172">
        <f t="shared" si="39"/>
        <v>7.9667571788126779E-3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'[22]Sch C'!D199</f>
        <v>0</v>
      </c>
      <c r="D188" s="501">
        <f>'[22]Sch C'!F199</f>
        <v>0</v>
      </c>
      <c r="E188" s="171">
        <f t="shared" si="37"/>
        <v>0</v>
      </c>
      <c r="F188" s="216">
        <v>0</v>
      </c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'[22]Sch C'!D200</f>
        <v>0</v>
      </c>
      <c r="D189" s="501">
        <f>'[22]Sch C'!F200</f>
        <v>0</v>
      </c>
      <c r="E189" s="171">
        <f t="shared" si="37"/>
        <v>0</v>
      </c>
      <c r="F189" s="216">
        <v>0</v>
      </c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'[22]Sch C'!D201</f>
        <v>0</v>
      </c>
      <c r="D190" s="501">
        <f>'[22]Sch C'!F201</f>
        <v>0</v>
      </c>
      <c r="E190" s="171">
        <f t="shared" si="37"/>
        <v>0</v>
      </c>
      <c r="F190" s="216">
        <v>0</v>
      </c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'[22]Sch C'!D202</f>
        <v>0</v>
      </c>
      <c r="D191" s="501">
        <f>'[22]Sch C'!F202</f>
        <v>0</v>
      </c>
      <c r="E191" s="171">
        <f t="shared" si="37"/>
        <v>0</v>
      </c>
      <c r="F191" s="216">
        <v>0</v>
      </c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'[22]Sch C'!D203</f>
        <v>0</v>
      </c>
      <c r="D192" s="501">
        <f>'[22]Sch C'!F203</f>
        <v>0</v>
      </c>
      <c r="E192" s="171">
        <f t="shared" si="37"/>
        <v>0</v>
      </c>
      <c r="F192" s="216">
        <v>0</v>
      </c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'[22]Sch C'!D204</f>
        <v>0</v>
      </c>
      <c r="D193" s="501">
        <f>'[22]Sch C'!F204</f>
        <v>0</v>
      </c>
      <c r="E193" s="171">
        <f t="shared" si="37"/>
        <v>0</v>
      </c>
      <c r="F193" s="216">
        <v>0</v>
      </c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'[22]Sch C'!D205</f>
        <v>34878</v>
      </c>
      <c r="D194" s="501">
        <f>'[22]Sch C'!F205</f>
        <v>0</v>
      </c>
      <c r="E194" s="171">
        <f t="shared" si="37"/>
        <v>34878</v>
      </c>
      <c r="F194" s="216">
        <v>52889</v>
      </c>
      <c r="G194" s="171">
        <f t="shared" si="38"/>
        <v>87767</v>
      </c>
      <c r="H194" s="172">
        <f t="shared" si="39"/>
        <v>2.5845286364783483E-2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'[22]Sch C'!D206</f>
        <v>184</v>
      </c>
      <c r="D195" s="501">
        <f>'[22]Sch C'!F206</f>
        <v>0</v>
      </c>
      <c r="E195" s="171">
        <f t="shared" si="37"/>
        <v>184</v>
      </c>
      <c r="F195" s="216">
        <v>1241</v>
      </c>
      <c r="G195" s="171">
        <f t="shared" si="38"/>
        <v>1425</v>
      </c>
      <c r="H195" s="172">
        <f t="shared" si="39"/>
        <v>4.1962848302683767E-4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'[22]Sch C'!D207</f>
        <v>5714</v>
      </c>
      <c r="D196" s="501">
        <f>'[22]Sch C'!F207</f>
        <v>0</v>
      </c>
      <c r="E196" s="171">
        <f t="shared" si="37"/>
        <v>5714</v>
      </c>
      <c r="F196" s="216">
        <v>9660</v>
      </c>
      <c r="G196" s="171">
        <f t="shared" si="38"/>
        <v>15374</v>
      </c>
      <c r="H196" s="172">
        <f t="shared" si="39"/>
        <v>4.5272759986348084E-3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161879</v>
      </c>
      <c r="D197" s="501">
        <f>SUM(D164:D196)</f>
        <v>26473</v>
      </c>
      <c r="E197" s="171">
        <f t="shared" ref="E197:F197" si="40">SUM(E164:E196)</f>
        <v>188352</v>
      </c>
      <c r="F197" s="171">
        <f t="shared" si="40"/>
        <v>236842</v>
      </c>
      <c r="G197" s="171">
        <f>SUM(G164:G196)</f>
        <v>425194</v>
      </c>
      <c r="H197" s="172">
        <f>IF($G$208=0,0,G197/$G$208)</f>
        <v>0.12520948295586892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'[22]Sch C'!D211</f>
        <v>30094</v>
      </c>
      <c r="D200" s="501">
        <f>'[22]Sch C'!F211</f>
        <v>1767</v>
      </c>
      <c r="E200" s="171">
        <f t="shared" ref="E200:E205" si="41">C200+D200</f>
        <v>31861</v>
      </c>
      <c r="F200" s="171">
        <v>26346</v>
      </c>
      <c r="G200" s="171">
        <f t="shared" ref="G200:G205" si="42">E200+F200</f>
        <v>58207</v>
      </c>
      <c r="H200" s="172">
        <f t="shared" ref="H200:H206" si="43">IF($G$208=0,0,G200/$G$208)</f>
        <v>1.7140572008100451E-2</v>
      </c>
      <c r="I200" s="473"/>
      <c r="J200" s="183">
        <f>2064+1729</f>
        <v>3793</v>
      </c>
      <c r="K200" s="183">
        <f>2185+1807</f>
        <v>3992</v>
      </c>
    </row>
    <row r="201" spans="1:14" s="167" customFormat="1">
      <c r="A201" s="169" t="s">
        <v>86</v>
      </c>
      <c r="B201" s="170" t="s">
        <v>45</v>
      </c>
      <c r="C201" s="501">
        <f>'[22]Sch C'!D212</f>
        <v>0</v>
      </c>
      <c r="D201" s="501">
        <f>'[22]Sch C'!F212</f>
        <v>5849</v>
      </c>
      <c r="E201" s="171">
        <f t="shared" si="41"/>
        <v>5849</v>
      </c>
      <c r="F201" s="171">
        <v>4098</v>
      </c>
      <c r="G201" s="171">
        <f t="shared" si="42"/>
        <v>9947</v>
      </c>
      <c r="H201" s="172">
        <f t="shared" si="43"/>
        <v>2.9291540495915468E-3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'[22]Sch C'!D213</f>
        <v>1334</v>
      </c>
      <c r="D202" s="501">
        <f>'[22]Sch C'!F213</f>
        <v>0</v>
      </c>
      <c r="E202" s="171">
        <f t="shared" si="41"/>
        <v>1334</v>
      </c>
      <c r="F202" s="171">
        <v>2559</v>
      </c>
      <c r="G202" s="171">
        <f t="shared" si="42"/>
        <v>3893</v>
      </c>
      <c r="H202" s="172">
        <f t="shared" si="43"/>
        <v>1.1463955680164764E-3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'[22]Sch C'!D214</f>
        <v>0</v>
      </c>
      <c r="D203" s="501">
        <f>'[22]Sch C'!F214</f>
        <v>0</v>
      </c>
      <c r="E203" s="171">
        <f t="shared" si="41"/>
        <v>0</v>
      </c>
      <c r="F203" s="171">
        <v>0</v>
      </c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'[22]Sch C'!D215</f>
        <v>0</v>
      </c>
      <c r="D204" s="501">
        <f>'[22]Sch C'!F215</f>
        <v>0</v>
      </c>
      <c r="E204" s="171">
        <f t="shared" si="41"/>
        <v>0</v>
      </c>
      <c r="F204" s="171">
        <v>0</v>
      </c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'[22]Sch C'!D216</f>
        <v>1101</v>
      </c>
      <c r="D205" s="501">
        <f>'[22]Sch C'!F216</f>
        <v>0</v>
      </c>
      <c r="E205" s="171">
        <f t="shared" si="41"/>
        <v>1101</v>
      </c>
      <c r="F205" s="171">
        <v>2396</v>
      </c>
      <c r="G205" s="171">
        <f t="shared" si="42"/>
        <v>3497</v>
      </c>
      <c r="H205" s="172">
        <f t="shared" si="43"/>
        <v>1.0297830211542817E-3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32529</v>
      </c>
      <c r="D206" s="501">
        <f>SUM(D200:D205)</f>
        <v>7616</v>
      </c>
      <c r="E206" s="171">
        <f t="shared" ref="E206:F206" si="44">SUM(E200:E205)</f>
        <v>40145</v>
      </c>
      <c r="F206" s="171">
        <f t="shared" si="44"/>
        <v>35399</v>
      </c>
      <c r="G206" s="171">
        <f>SUM(G200:G205)</f>
        <v>75544</v>
      </c>
      <c r="H206" s="172">
        <f t="shared" si="43"/>
        <v>2.2245904646862755E-2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1632534</v>
      </c>
      <c r="D208" s="501">
        <f>SUM(D25:D206)/2</f>
        <v>-187812</v>
      </c>
      <c r="E208" s="171">
        <f t="shared" ref="E208:F208" si="45">SUM(E25:E206)/2</f>
        <v>1444722</v>
      </c>
      <c r="F208" s="171">
        <f t="shared" si="45"/>
        <v>1951139</v>
      </c>
      <c r="G208" s="171">
        <f>SUM(G25:G206)/2</f>
        <v>3395861</v>
      </c>
      <c r="H208" s="172">
        <f>IF($G$208=0,0,G208/$G$208)</f>
        <v>1</v>
      </c>
      <c r="I208" s="473"/>
      <c r="J208" s="183">
        <f>SUM(J25:J200)</f>
        <v>82237</v>
      </c>
      <c r="K208" s="183">
        <f>SUM(K25:K200)</f>
        <v>86378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'[22]Sch C'!D221</f>
        <v>1632534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-257466</v>
      </c>
      <c r="D215" s="501">
        <f>D21-D208</f>
        <v>187812</v>
      </c>
      <c r="E215" s="171">
        <f t="shared" ref="E215:F215" si="46">E21-E208</f>
        <v>-69654</v>
      </c>
      <c r="F215" s="171">
        <f t="shared" si="46"/>
        <v>-115750</v>
      </c>
      <c r="G215" s="171">
        <f>G21-G208</f>
        <v>-185404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'[22]Sch D'!C9</f>
        <v>3703</v>
      </c>
      <c r="D219" s="530"/>
      <c r="E219" s="234">
        <f t="shared" ref="E219:G227" si="47">C219+D219</f>
        <v>3703</v>
      </c>
      <c r="F219" s="233">
        <v>5049</v>
      </c>
      <c r="G219" s="234">
        <f t="shared" si="47"/>
        <v>8752</v>
      </c>
      <c r="H219" s="172">
        <f t="shared" ref="H219:H228" si="48">IF($G$228=0,0,G219/$G$228)</f>
        <v>0.63790087463556855</v>
      </c>
      <c r="I219" s="473"/>
      <c r="J219" s="168"/>
      <c r="K219" s="168"/>
    </row>
    <row r="220" spans="1:11">
      <c r="A220" s="163"/>
      <c r="B220" s="170" t="s">
        <v>217</v>
      </c>
      <c r="C220" s="530">
        <f>'[22]Sch D'!D9</f>
        <v>0</v>
      </c>
      <c r="D220" s="530"/>
      <c r="E220" s="234">
        <f t="shared" si="47"/>
        <v>0</v>
      </c>
      <c r="F220" s="233">
        <v>0</v>
      </c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'[22]Sch D'!E9</f>
        <v>548</v>
      </c>
      <c r="D221" s="530"/>
      <c r="E221" s="234">
        <f t="shared" si="47"/>
        <v>548</v>
      </c>
      <c r="F221" s="233">
        <v>733</v>
      </c>
      <c r="G221" s="234">
        <f t="shared" si="47"/>
        <v>1281</v>
      </c>
      <c r="H221" s="172">
        <f t="shared" si="48"/>
        <v>9.3367346938775506E-2</v>
      </c>
      <c r="I221" s="473"/>
      <c r="J221" s="168"/>
      <c r="K221" s="168"/>
    </row>
    <row r="222" spans="1:11">
      <c r="A222" s="163"/>
      <c r="B222" s="202" t="s">
        <v>334</v>
      </c>
      <c r="C222" s="530">
        <f>'[22]Sch D'!F9</f>
        <v>556</v>
      </c>
      <c r="D222" s="530"/>
      <c r="E222" s="234">
        <f>C222+D222</f>
        <v>556</v>
      </c>
      <c r="F222" s="233">
        <v>880</v>
      </c>
      <c r="G222" s="234">
        <f>E222+F222</f>
        <v>1436</v>
      </c>
      <c r="H222" s="172">
        <f t="shared" si="48"/>
        <v>0.10466472303206997</v>
      </c>
      <c r="I222" s="473"/>
      <c r="J222" s="168"/>
      <c r="K222" s="168"/>
    </row>
    <row r="223" spans="1:11">
      <c r="A223" s="163"/>
      <c r="B223" s="170" t="s">
        <v>73</v>
      </c>
      <c r="C223" s="530">
        <f>'[22]Sch D'!G9</f>
        <v>0</v>
      </c>
      <c r="D223" s="530"/>
      <c r="E223" s="234">
        <f t="shared" si="47"/>
        <v>0</v>
      </c>
      <c r="F223" s="233">
        <v>41</v>
      </c>
      <c r="G223" s="234">
        <f t="shared" si="47"/>
        <v>41</v>
      </c>
      <c r="H223" s="172">
        <f t="shared" si="48"/>
        <v>2.988338192419825E-3</v>
      </c>
      <c r="I223" s="473"/>
      <c r="J223" s="168"/>
      <c r="K223" s="168"/>
    </row>
    <row r="224" spans="1:11">
      <c r="A224" s="163"/>
      <c r="B224" s="170" t="s">
        <v>74</v>
      </c>
      <c r="C224" s="530">
        <f>'[22]Sch D'!H9</f>
        <v>359</v>
      </c>
      <c r="D224" s="530"/>
      <c r="E224" s="234">
        <f t="shared" si="47"/>
        <v>359</v>
      </c>
      <c r="F224" s="233">
        <v>400</v>
      </c>
      <c r="G224" s="234">
        <f t="shared" si="47"/>
        <v>759</v>
      </c>
      <c r="H224" s="172">
        <f t="shared" si="48"/>
        <v>5.532069970845481E-2</v>
      </c>
      <c r="I224" s="473"/>
      <c r="J224" s="168"/>
      <c r="K224" s="168"/>
    </row>
    <row r="225" spans="1:11">
      <c r="A225" s="163"/>
      <c r="B225" s="170" t="s">
        <v>236</v>
      </c>
      <c r="C225" s="530">
        <f>'[22]Sch D'!I9</f>
        <v>0</v>
      </c>
      <c r="D225" s="530"/>
      <c r="E225" s="234">
        <f t="shared" si="47"/>
        <v>0</v>
      </c>
      <c r="F225" s="233">
        <v>0</v>
      </c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'[22]Sch D'!J9</f>
        <v>731</v>
      </c>
      <c r="D226" s="530"/>
      <c r="E226" s="234">
        <f>C226+D226</f>
        <v>731</v>
      </c>
      <c r="F226" s="233">
        <v>720</v>
      </c>
      <c r="G226" s="234">
        <f>E226+F226</f>
        <v>1451</v>
      </c>
      <c r="H226" s="172">
        <f t="shared" si="48"/>
        <v>0.10575801749271137</v>
      </c>
      <c r="I226" s="473"/>
      <c r="J226" s="168"/>
      <c r="K226" s="168"/>
    </row>
    <row r="227" spans="1:11">
      <c r="A227" s="163"/>
      <c r="B227" s="170" t="s">
        <v>179</v>
      </c>
      <c r="C227" s="530">
        <f>'[22]Sch D'!K9</f>
        <v>0</v>
      </c>
      <c r="D227" s="530"/>
      <c r="E227" s="234">
        <f t="shared" si="47"/>
        <v>0</v>
      </c>
      <c r="F227" s="233">
        <v>0</v>
      </c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5897</v>
      </c>
      <c r="D228" s="530">
        <f>SUM(D219:D227)</f>
        <v>0</v>
      </c>
      <c r="E228" s="236">
        <f>SUM(E219:E227)</f>
        <v>5897</v>
      </c>
      <c r="F228" s="236">
        <f>SUM(F219:F227)</f>
        <v>7823</v>
      </c>
      <c r="G228" s="236">
        <f>SUM(G219:G227)</f>
        <v>13720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'[22]Sch D'!N22</f>
        <v>63</v>
      </c>
      <c r="D231" s="502"/>
      <c r="E231" s="234">
        <f>C231+D231</f>
        <v>63</v>
      </c>
      <c r="F231" s="234"/>
      <c r="G231" s="234">
        <f>E231+F231</f>
        <v>63</v>
      </c>
      <c r="H231" s="167"/>
      <c r="I231" s="475"/>
      <c r="J231" s="168"/>
      <c r="K231" s="168"/>
    </row>
    <row r="232" spans="1:11">
      <c r="A232" s="334" t="s">
        <v>359</v>
      </c>
      <c r="B232" s="202" t="s">
        <v>290</v>
      </c>
      <c r="C232" s="531">
        <f>'[22]Sch D'!N24</f>
        <v>63</v>
      </c>
      <c r="D232" s="502"/>
      <c r="E232" s="234">
        <f>C232+D232</f>
        <v>63</v>
      </c>
      <c r="F232" s="234"/>
      <c r="G232" s="234">
        <f>E232+F232</f>
        <v>63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153</v>
      </c>
      <c r="D233" s="438"/>
      <c r="E233" s="234">
        <f>C233+D233</f>
        <v>153</v>
      </c>
      <c r="F233" s="540">
        <v>212</v>
      </c>
      <c r="G233" s="234">
        <f>E233+F233</f>
        <v>365</v>
      </c>
      <c r="H233" s="167" t="s">
        <v>569</v>
      </c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'[22]Sch D'!N28</f>
        <v>9639</v>
      </c>
      <c r="D235" s="438"/>
      <c r="E235" s="233">
        <f>E231*E233</f>
        <v>9639</v>
      </c>
      <c r="F235" s="238"/>
      <c r="G235" s="233">
        <f>G231*G233</f>
        <v>22995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'[22]Sch D'!N30</f>
        <v>0.61178545492270986</v>
      </c>
      <c r="D236" s="238"/>
      <c r="E236" s="242">
        <f>E228/E235</f>
        <v>0.61178545492270986</v>
      </c>
      <c r="F236" s="243"/>
      <c r="G236" s="242">
        <f>G228/G235</f>
        <v>0.59665144596651443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'[22]Sch D'!N32</f>
        <v>0.38416848220769789</v>
      </c>
      <c r="D237" s="238"/>
      <c r="E237" s="242">
        <f>(E219+E220)/E235</f>
        <v>0.38416848220769789</v>
      </c>
      <c r="F237" s="243"/>
      <c r="G237" s="242">
        <f>(G219+G220)/G235</f>
        <v>0.38060447923461621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'[22]Sch D'!N34</f>
        <v>0.6279464134305579</v>
      </c>
      <c r="D238" s="238"/>
      <c r="E238" s="242">
        <f>(E237/E236)</f>
        <v>0.6279464134305579</v>
      </c>
      <c r="F238" s="243"/>
      <c r="G238" s="242">
        <f>(G237/G236)</f>
        <v>0.63790087463556855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v>112.19907407407408</v>
      </c>
      <c r="I241" s="475"/>
    </row>
    <row r="242" spans="2:9">
      <c r="F242" s="142" t="s">
        <v>341</v>
      </c>
      <c r="G242" s="501">
        <f>((183.34965034965*2)+182.915492957746)/3</f>
        <v>183.20493121901532</v>
      </c>
      <c r="H242" s="140" t="s">
        <v>575</v>
      </c>
      <c r="I242" s="475"/>
    </row>
    <row r="243" spans="2:9">
      <c r="F243" s="142" t="s">
        <v>342</v>
      </c>
      <c r="G243" s="501">
        <v>172.11111111111111</v>
      </c>
      <c r="I243" s="475"/>
    </row>
    <row r="244" spans="2:9">
      <c r="F244" s="142" t="s">
        <v>343</v>
      </c>
      <c r="G244" s="501">
        <v>215.25961538461539</v>
      </c>
      <c r="I244" s="475"/>
    </row>
    <row r="245" spans="2:9">
      <c r="F245" s="142"/>
      <c r="I245" s="475"/>
    </row>
    <row r="246" spans="2:9">
      <c r="I246" s="475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tabColor rgb="FFE28CAB"/>
  </sheetPr>
  <dimension ref="A1:O246"/>
  <sheetViews>
    <sheetView showGridLines="0" topLeftCell="A31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363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'[23]Sch B'!E10</f>
        <v>1873357</v>
      </c>
      <c r="D11" s="501">
        <f>'[23]Sch B'!G10</f>
        <v>0</v>
      </c>
      <c r="E11" s="171">
        <f>C11+D11</f>
        <v>1873357</v>
      </c>
      <c r="F11" s="171"/>
      <c r="G11" s="171">
        <f t="shared" ref="G11:G20" si="0">E11+F11</f>
        <v>1873357</v>
      </c>
      <c r="H11" s="172">
        <f t="shared" ref="H11:H21" si="1">IF($G$21=0,0,G11/$G$21)</f>
        <v>0.39015477008164406</v>
      </c>
      <c r="I11" s="473"/>
      <c r="J11" s="336" t="s">
        <v>344</v>
      </c>
      <c r="K11" s="337">
        <f>G21</f>
        <v>4801574</v>
      </c>
    </row>
    <row r="12" spans="1:11" s="167" customFormat="1">
      <c r="A12" s="169" t="s">
        <v>15</v>
      </c>
      <c r="B12" s="170" t="s">
        <v>212</v>
      </c>
      <c r="C12" s="501">
        <f>'[23]Sch B'!E15</f>
        <v>0</v>
      </c>
      <c r="D12" s="501">
        <f>'[23]Sch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5601056.2999999998</v>
      </c>
    </row>
    <row r="13" spans="1:11" s="167" customFormat="1">
      <c r="A13" s="169" t="s">
        <v>16</v>
      </c>
      <c r="B13" s="170" t="s">
        <v>170</v>
      </c>
      <c r="C13" s="501">
        <f>'[23]Sch B'!E21</f>
        <v>567750</v>
      </c>
      <c r="D13" s="501">
        <f>'[23]Sch B'!G21</f>
        <v>0</v>
      </c>
      <c r="E13" s="171">
        <f t="shared" si="2"/>
        <v>567750</v>
      </c>
      <c r="F13" s="171"/>
      <c r="G13" s="171">
        <f t="shared" si="0"/>
        <v>567750</v>
      </c>
      <c r="H13" s="172">
        <f t="shared" si="1"/>
        <v>0.1182424763213063</v>
      </c>
      <c r="I13" s="473"/>
      <c r="J13" s="338" t="s">
        <v>346</v>
      </c>
      <c r="K13" s="339">
        <f>G228</f>
        <v>21857</v>
      </c>
    </row>
    <row r="14" spans="1:11" s="167" customFormat="1">
      <c r="A14" s="173" t="s">
        <v>18</v>
      </c>
      <c r="B14" s="174" t="s">
        <v>306</v>
      </c>
      <c r="C14" s="501">
        <f>'[23]Sch B'!E27</f>
        <v>440585</v>
      </c>
      <c r="D14" s="501">
        <f>'[23]Sch B'!G27</f>
        <v>0</v>
      </c>
      <c r="E14" s="171">
        <f t="shared" si="2"/>
        <v>440585</v>
      </c>
      <c r="F14" s="175"/>
      <c r="G14" s="175">
        <f>E14+F14</f>
        <v>440585</v>
      </c>
      <c r="H14" s="176">
        <f t="shared" si="1"/>
        <v>9.1758452540771002E-2</v>
      </c>
      <c r="I14" s="479"/>
      <c r="J14" s="338" t="s">
        <v>347</v>
      </c>
      <c r="K14" s="339">
        <f>G231</f>
        <v>106</v>
      </c>
    </row>
    <row r="15" spans="1:11" s="167" customFormat="1">
      <c r="A15" s="169" t="s">
        <v>19</v>
      </c>
      <c r="B15" s="170" t="s">
        <v>171</v>
      </c>
      <c r="C15" s="501">
        <f>'[23]Sch B'!E32</f>
        <v>484765</v>
      </c>
      <c r="D15" s="501">
        <f>'[23]Sch B'!G32</f>
        <v>0</v>
      </c>
      <c r="E15" s="171">
        <f t="shared" si="2"/>
        <v>484765</v>
      </c>
      <c r="F15" s="171"/>
      <c r="G15" s="171">
        <f t="shared" si="0"/>
        <v>484765</v>
      </c>
      <c r="H15" s="172">
        <f t="shared" si="1"/>
        <v>0.10095960199717842</v>
      </c>
      <c r="I15" s="473"/>
      <c r="J15" s="338" t="s">
        <v>348</v>
      </c>
      <c r="K15" s="339">
        <f>G235</f>
        <v>38690</v>
      </c>
    </row>
    <row r="16" spans="1:11" s="167" customFormat="1">
      <c r="A16" s="169" t="s">
        <v>21</v>
      </c>
      <c r="B16" s="170" t="s">
        <v>172</v>
      </c>
      <c r="C16" s="501">
        <f>'[23]Sch B'!E37</f>
        <v>463495</v>
      </c>
      <c r="D16" s="501">
        <f>'[23]Sch B'!G37</f>
        <v>0</v>
      </c>
      <c r="E16" s="171">
        <f t="shared" si="2"/>
        <v>463495</v>
      </c>
      <c r="F16" s="171"/>
      <c r="G16" s="171">
        <f t="shared" si="0"/>
        <v>463495</v>
      </c>
      <c r="H16" s="172">
        <f t="shared" si="1"/>
        <v>9.6529804601574398E-2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'[23]Sch B'!E42</f>
        <v>740703</v>
      </c>
      <c r="D17" s="501">
        <f>'[23]Sch B'!G42</f>
        <v>0</v>
      </c>
      <c r="E17" s="171">
        <f t="shared" si="2"/>
        <v>740703</v>
      </c>
      <c r="F17" s="171"/>
      <c r="G17" s="171">
        <f>E17+F17</f>
        <v>740703</v>
      </c>
      <c r="H17" s="172">
        <f t="shared" si="1"/>
        <v>0.15426253974217621</v>
      </c>
      <c r="I17" s="473"/>
      <c r="J17" s="338" t="s">
        <v>156</v>
      </c>
      <c r="K17" s="339">
        <f>J208</f>
        <v>127088.5</v>
      </c>
    </row>
    <row r="18" spans="1:11" s="167" customFormat="1" ht="13.5" thickBot="1">
      <c r="A18" s="169" t="s">
        <v>216</v>
      </c>
      <c r="B18" s="170" t="s">
        <v>229</v>
      </c>
      <c r="C18" s="501">
        <f>'[23]Sch B'!E47</f>
        <v>0</v>
      </c>
      <c r="D18" s="501">
        <f>'[23]Sch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134907.5</v>
      </c>
    </row>
    <row r="19" spans="1:11" s="167" customFormat="1">
      <c r="A19" s="169" t="s">
        <v>227</v>
      </c>
      <c r="B19" s="177" t="s">
        <v>173</v>
      </c>
      <c r="C19" s="501">
        <f>'[23]Sch B'!E52</f>
        <v>223949</v>
      </c>
      <c r="D19" s="501">
        <f>'[23]Sch B'!G52</f>
        <v>-97130</v>
      </c>
      <c r="E19" s="171">
        <f t="shared" si="2"/>
        <v>126819</v>
      </c>
      <c r="F19" s="171"/>
      <c r="G19" s="171">
        <f t="shared" si="0"/>
        <v>126819</v>
      </c>
      <c r="H19" s="172">
        <f t="shared" si="1"/>
        <v>2.6411964076779822E-2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'[23]Sch B'!E67</f>
        <v>112532</v>
      </c>
      <c r="D20" s="501">
        <f>'[23]Sch B'!G67</f>
        <v>-8432</v>
      </c>
      <c r="E20" s="171">
        <f t="shared" si="2"/>
        <v>104100</v>
      </c>
      <c r="F20" s="171"/>
      <c r="G20" s="171">
        <f t="shared" si="0"/>
        <v>104100</v>
      </c>
      <c r="H20" s="172">
        <f t="shared" si="1"/>
        <v>2.1680390638569767E-2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4907136</v>
      </c>
      <c r="D21" s="501">
        <f>SUM(D11:D20)</f>
        <v>-105562</v>
      </c>
      <c r="E21" s="171">
        <f>SUM(E11:E20)</f>
        <v>4801574</v>
      </c>
      <c r="F21" s="171">
        <f>SUM(F11:F20)</f>
        <v>0</v>
      </c>
      <c r="G21" s="171">
        <f>SUM(G11:G20)</f>
        <v>4801574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'[23]Sch C'!D10</f>
        <v>0</v>
      </c>
      <c r="D25" s="501">
        <f>'[23]Sch C'!F10</f>
        <v>123200</v>
      </c>
      <c r="E25" s="171">
        <f t="shared" ref="E25:E60" si="3">C25+D25</f>
        <v>123200</v>
      </c>
      <c r="F25" s="171"/>
      <c r="G25" s="182">
        <f>E25+F25</f>
        <v>123200</v>
      </c>
      <c r="H25" s="172">
        <f>IF($G$208=0,0,G25/$G$208)</f>
        <v>2.1995851032598976E-2</v>
      </c>
      <c r="I25" s="473"/>
      <c r="J25" s="183">
        <v>1796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'[23]Sch C'!D11</f>
        <v>0</v>
      </c>
      <c r="D26" s="501">
        <f>'[23]Sch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'[23]Sch C'!D12</f>
        <v>250906</v>
      </c>
      <c r="D27" s="501">
        <f>'[23]Sch C'!F12</f>
        <v>-123200</v>
      </c>
      <c r="E27" s="171">
        <f t="shared" si="3"/>
        <v>127706</v>
      </c>
      <c r="F27" s="171"/>
      <c r="G27" s="171">
        <f t="shared" si="4"/>
        <v>127706</v>
      </c>
      <c r="H27" s="172">
        <f t="shared" si="5"/>
        <v>2.2800342142606209E-2</v>
      </c>
      <c r="I27" s="473"/>
      <c r="J27" s="183">
        <v>7067</v>
      </c>
      <c r="K27" s="183">
        <v>7859</v>
      </c>
    </row>
    <row r="28" spans="1:11" s="167" customFormat="1">
      <c r="A28" s="169" t="s">
        <v>86</v>
      </c>
      <c r="B28" s="170" t="s">
        <v>45</v>
      </c>
      <c r="C28" s="501">
        <f>'[23]Sch C'!D13</f>
        <v>53276</v>
      </c>
      <c r="D28" s="501">
        <f>'[23]Sch C'!F13</f>
        <v>0</v>
      </c>
      <c r="E28" s="171">
        <f t="shared" si="3"/>
        <v>53276</v>
      </c>
      <c r="F28" s="171"/>
      <c r="G28" s="171">
        <f t="shared" si="4"/>
        <v>53276</v>
      </c>
      <c r="H28" s="172">
        <f t="shared" si="5"/>
        <v>9.5117772695839532E-3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'[23]Sch C'!D14</f>
        <v>0</v>
      </c>
      <c r="D29" s="501">
        <f>'[23]Sch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'[23]Sch C'!D15</f>
        <v>0</v>
      </c>
      <c r="D30" s="501">
        <f>'[23]Sch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'[23]Sch C'!D16</f>
        <v>245587</v>
      </c>
      <c r="D31" s="501">
        <f>'[23]Sch C'!F16</f>
        <v>26554</v>
      </c>
      <c r="E31" s="171">
        <f t="shared" si="3"/>
        <v>272141</v>
      </c>
      <c r="F31" s="171"/>
      <c r="G31" s="171">
        <f t="shared" si="4"/>
        <v>272141</v>
      </c>
      <c r="H31" s="172">
        <f t="shared" si="5"/>
        <v>4.858744233654641E-2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'[23]Sch C'!D17</f>
        <v>1061</v>
      </c>
      <c r="D32" s="501">
        <f>'[23]Sch C'!F17</f>
        <v>-1061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'[23]Sch C'!D18</f>
        <v>16810</v>
      </c>
      <c r="D33" s="501">
        <f>'[23]Sch C'!F18</f>
        <v>0</v>
      </c>
      <c r="E33" s="171">
        <f t="shared" si="3"/>
        <v>16810</v>
      </c>
      <c r="F33" s="171"/>
      <c r="G33" s="171">
        <f t="shared" si="4"/>
        <v>16810</v>
      </c>
      <c r="H33" s="172">
        <f t="shared" si="5"/>
        <v>3.001219609236922E-3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'[23]Sch C'!D19</f>
        <v>10201</v>
      </c>
      <c r="D34" s="501">
        <f>'[23]Sch C'!F19</f>
        <v>0</v>
      </c>
      <c r="E34" s="171">
        <f t="shared" si="3"/>
        <v>10201</v>
      </c>
      <c r="F34" s="171"/>
      <c r="G34" s="171">
        <f t="shared" si="4"/>
        <v>10201</v>
      </c>
      <c r="H34" s="172">
        <f t="shared" si="5"/>
        <v>1.8212636070092708E-3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'[23]Sch C'!D20</f>
        <v>12177</v>
      </c>
      <c r="D35" s="501">
        <f>'[23]Sch C'!F20</f>
        <v>0</v>
      </c>
      <c r="E35" s="171">
        <f t="shared" si="3"/>
        <v>12177</v>
      </c>
      <c r="F35" s="171"/>
      <c r="G35" s="171">
        <f t="shared" si="4"/>
        <v>12177</v>
      </c>
      <c r="H35" s="172">
        <f t="shared" si="5"/>
        <v>2.1740542047399168E-3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'[23]Sch C'!D21</f>
        <v>20275</v>
      </c>
      <c r="D36" s="501">
        <f>'[23]Sch C'!F21</f>
        <v>0</v>
      </c>
      <c r="E36" s="171">
        <f t="shared" si="3"/>
        <v>20275</v>
      </c>
      <c r="F36" s="171"/>
      <c r="G36" s="171">
        <f t="shared" si="4"/>
        <v>20275</v>
      </c>
      <c r="H36" s="172">
        <f t="shared" si="5"/>
        <v>3.6198529195287685E-3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'[23]Sch C'!D22</f>
        <v>0</v>
      </c>
      <c r="D37" s="501">
        <f>'[23]Sch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'[23]Sch C'!D23</f>
        <v>5370</v>
      </c>
      <c r="D38" s="501">
        <f>'[23]Sch C'!F23</f>
        <v>0</v>
      </c>
      <c r="E38" s="171">
        <f t="shared" si="3"/>
        <v>5370</v>
      </c>
      <c r="F38" s="171"/>
      <c r="G38" s="171">
        <f t="shared" si="4"/>
        <v>5370</v>
      </c>
      <c r="H38" s="172">
        <f t="shared" si="5"/>
        <v>9.5874772763844562E-4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'[23]Sch C'!D24</f>
        <v>0</v>
      </c>
      <c r="D39" s="501">
        <f>'[23]Sch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'[23]Sch C'!D25</f>
        <v>7680</v>
      </c>
      <c r="D40" s="501">
        <f>'[23]Sch C'!F25</f>
        <v>0</v>
      </c>
      <c r="E40" s="171">
        <f t="shared" si="3"/>
        <v>7680</v>
      </c>
      <c r="F40" s="171"/>
      <c r="G40" s="171">
        <f t="shared" si="4"/>
        <v>7680</v>
      </c>
      <c r="H40" s="172">
        <f t="shared" si="5"/>
        <v>1.3711699344996764E-3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'[23]Sch C'!D26</f>
        <v>367079</v>
      </c>
      <c r="D41" s="501">
        <f>'[23]Sch C'!F26</f>
        <v>0</v>
      </c>
      <c r="E41" s="171">
        <f t="shared" si="3"/>
        <v>367079</v>
      </c>
      <c r="F41" s="171"/>
      <c r="G41" s="171">
        <f t="shared" si="4"/>
        <v>367079</v>
      </c>
      <c r="H41" s="172">
        <f t="shared" si="5"/>
        <v>6.5537459425287339E-2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'[23]Sch C'!D27</f>
        <v>57238</v>
      </c>
      <c r="D42" s="501">
        <f>'[23]Sch C'!F27</f>
        <v>0</v>
      </c>
      <c r="E42" s="171">
        <f t="shared" si="3"/>
        <v>57238</v>
      </c>
      <c r="F42" s="171"/>
      <c r="G42" s="171">
        <f t="shared" si="4"/>
        <v>57238</v>
      </c>
      <c r="H42" s="172">
        <f t="shared" si="5"/>
        <v>1.0219143842564126E-2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'[23]Sch C'!D28</f>
        <v>0</v>
      </c>
      <c r="D43" s="501">
        <f>'[23]Sch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'[23]Sch C'!D29</f>
        <v>125190</v>
      </c>
      <c r="D44" s="501">
        <f>'[23]Sch C'!F29</f>
        <v>-125190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'[23]Sch C'!D30</f>
        <v>0</v>
      </c>
      <c r="D45" s="501">
        <f>'[23]Sch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'[23]Sch C'!D31</f>
        <v>0</v>
      </c>
      <c r="D46" s="501">
        <f>'[23]Sch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'[23]Sch C'!D32</f>
        <v>66350</v>
      </c>
      <c r="D47" s="501">
        <f>'[23]Sch C'!F32</f>
        <v>0</v>
      </c>
      <c r="E47" s="171">
        <f t="shared" si="3"/>
        <v>66350</v>
      </c>
      <c r="F47" s="171"/>
      <c r="G47" s="171">
        <f t="shared" si="4"/>
        <v>66350</v>
      </c>
      <c r="H47" s="172">
        <f t="shared" si="5"/>
        <v>1.1845979837767388E-2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'[23]Sch C'!D33</f>
        <v>0</v>
      </c>
      <c r="D48" s="501">
        <f>'[23]Sch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'[23]Sch C'!D34</f>
        <v>119</v>
      </c>
      <c r="D49" s="501">
        <f>'[23]Sch C'!F34</f>
        <v>0</v>
      </c>
      <c r="E49" s="171">
        <f t="shared" si="3"/>
        <v>119</v>
      </c>
      <c r="F49" s="171"/>
      <c r="G49" s="171">
        <f t="shared" si="4"/>
        <v>119</v>
      </c>
      <c r="H49" s="172">
        <f t="shared" si="5"/>
        <v>2.1245992474669465E-5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'[23]Sch C'!D35</f>
        <v>0</v>
      </c>
      <c r="D50" s="501">
        <f>'[23]Sch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'[23]Sch C'!D36</f>
        <v>24964</v>
      </c>
      <c r="D51" s="501">
        <f>'[23]Sch C'!F36</f>
        <v>0</v>
      </c>
      <c r="E51" s="171">
        <f t="shared" si="3"/>
        <v>24964</v>
      </c>
      <c r="F51" s="171"/>
      <c r="G51" s="171">
        <f t="shared" si="4"/>
        <v>24964</v>
      </c>
      <c r="H51" s="172">
        <f t="shared" si="5"/>
        <v>4.4570164381315001E-3</v>
      </c>
      <c r="I51" s="473"/>
      <c r="J51" s="183">
        <v>1856</v>
      </c>
      <c r="K51" s="183">
        <v>1964</v>
      </c>
    </row>
    <row r="52" spans="1:11" s="167" customFormat="1">
      <c r="A52" s="163">
        <v>290</v>
      </c>
      <c r="B52" s="170" t="s">
        <v>205</v>
      </c>
      <c r="C52" s="501">
        <f>'[23]Sch C'!D37</f>
        <v>8734</v>
      </c>
      <c r="D52" s="501">
        <f>'[23]Sch C'!F37</f>
        <v>0</v>
      </c>
      <c r="E52" s="171">
        <f t="shared" si="3"/>
        <v>8734</v>
      </c>
      <c r="F52" s="171"/>
      <c r="G52" s="171">
        <f t="shared" si="4"/>
        <v>8734</v>
      </c>
      <c r="H52" s="172">
        <f t="shared" si="5"/>
        <v>1.559348724989606E-3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'[23]Sch C'!D38</f>
        <v>22</v>
      </c>
      <c r="D53" s="501">
        <f>'[23]Sch C'!F38</f>
        <v>-22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'[23]Sch C'!D39</f>
        <v>2977</v>
      </c>
      <c r="D54" s="501">
        <f>'[23]Sch C'!F39</f>
        <v>0</v>
      </c>
      <c r="E54" s="171">
        <f t="shared" si="3"/>
        <v>2977</v>
      </c>
      <c r="F54" s="171"/>
      <c r="G54" s="171">
        <f t="shared" si="4"/>
        <v>2977</v>
      </c>
      <c r="H54" s="172">
        <f t="shared" si="5"/>
        <v>5.3150688737051263E-4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'[23]Sch C'!D40</f>
        <v>2203</v>
      </c>
      <c r="D55" s="501">
        <f>'[23]Sch C'!F40</f>
        <v>-2203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'[23]Sch C'!D41</f>
        <v>94476</v>
      </c>
      <c r="D56" s="501">
        <f>'[23]Sch C'!F41</f>
        <v>0</v>
      </c>
      <c r="E56" s="171">
        <f t="shared" si="3"/>
        <v>94476</v>
      </c>
      <c r="F56" s="171"/>
      <c r="G56" s="171">
        <f t="shared" si="4"/>
        <v>94476</v>
      </c>
      <c r="H56" s="172">
        <f t="shared" si="5"/>
        <v>1.6867532647368677E-2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'[23]Sch C'!D42</f>
        <v>233</v>
      </c>
      <c r="D57" s="501">
        <f>'[23]Sch C'!F42</f>
        <v>0</v>
      </c>
      <c r="E57" s="171">
        <f t="shared" si="3"/>
        <v>233</v>
      </c>
      <c r="F57" s="171"/>
      <c r="G57" s="171">
        <f t="shared" si="4"/>
        <v>233</v>
      </c>
      <c r="H57" s="172">
        <f t="shared" si="5"/>
        <v>4.1599296189899036E-5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'[23]Sch C'!D43</f>
        <v>17002</v>
      </c>
      <c r="D58" s="501">
        <f>'[23]Sch C'!F43</f>
        <v>-17002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'[23]Sch C'!D44</f>
        <v>0</v>
      </c>
      <c r="D59" s="501">
        <f>'[23]Sch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'[23]Sch C'!D45</f>
        <v>7477</v>
      </c>
      <c r="D60" s="501">
        <f>'[23]Sch C'!F45</f>
        <v>-3079</v>
      </c>
      <c r="E60" s="171">
        <f t="shared" si="3"/>
        <v>4398</v>
      </c>
      <c r="F60" s="171">
        <v>-253.74</v>
      </c>
      <c r="G60" s="171">
        <f t="shared" si="4"/>
        <v>4144.26</v>
      </c>
      <c r="H60" s="172">
        <f t="shared" si="5"/>
        <v>7.3990686363927471E-4</v>
      </c>
      <c r="I60" s="473" t="s">
        <v>666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1397407</v>
      </c>
      <c r="D61" s="501">
        <f>SUM(D25:D60)</f>
        <v>-122003</v>
      </c>
      <c r="E61" s="171">
        <f t="shared" ref="E61:F61" si="6">SUM(E25:E60)</f>
        <v>1275404</v>
      </c>
      <c r="F61" s="171">
        <f t="shared" si="6"/>
        <v>-253.74</v>
      </c>
      <c r="G61" s="171">
        <f>SUM(G25:G60)</f>
        <v>1275150.26</v>
      </c>
      <c r="H61" s="186">
        <f t="shared" si="5"/>
        <v>0.22766246073977153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'[23]Sch C'!D57</f>
        <v>0</v>
      </c>
      <c r="D64" s="501">
        <f>'[23]Sch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'[23]Sch C'!D58</f>
        <v>127151</v>
      </c>
      <c r="D65" s="501">
        <f>'[23]Sch C'!F58</f>
        <v>-4200</v>
      </c>
      <c r="E65" s="171">
        <f t="shared" si="7"/>
        <v>122951</v>
      </c>
      <c r="F65" s="171"/>
      <c r="G65" s="171">
        <f t="shared" si="8"/>
        <v>122951</v>
      </c>
      <c r="H65" s="172">
        <f t="shared" si="9"/>
        <v>2.195139513237887E-2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'[23]Sch C'!D59</f>
        <v>55473</v>
      </c>
      <c r="D66" s="501">
        <f>'[23]Sch C'!F59</f>
        <v>0</v>
      </c>
      <c r="E66" s="171">
        <f t="shared" si="7"/>
        <v>55473</v>
      </c>
      <c r="F66" s="171"/>
      <c r="G66" s="171">
        <f t="shared" si="8"/>
        <v>55473</v>
      </c>
      <c r="H66" s="172">
        <f t="shared" si="9"/>
        <v>9.9040247104818426E-3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'[23]Sch C'!D60</f>
        <v>27995</v>
      </c>
      <c r="D67" s="501">
        <f>'[23]Sch C'!F60</f>
        <v>0</v>
      </c>
      <c r="E67" s="171">
        <f t="shared" si="7"/>
        <v>27995</v>
      </c>
      <c r="F67" s="171"/>
      <c r="G67" s="171">
        <f t="shared" si="8"/>
        <v>27995</v>
      </c>
      <c r="H67" s="172">
        <f t="shared" si="9"/>
        <v>4.9981643641039642E-3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'[23]Sch C'!D61</f>
        <v>18191</v>
      </c>
      <c r="D68" s="501">
        <f>'[23]Sch C'!F61</f>
        <v>0</v>
      </c>
      <c r="E68" s="171">
        <f t="shared" si="7"/>
        <v>18191</v>
      </c>
      <c r="F68" s="171"/>
      <c r="G68" s="171">
        <f t="shared" si="8"/>
        <v>18191</v>
      </c>
      <c r="H68" s="172">
        <f t="shared" si="9"/>
        <v>3.2477802445942208E-3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'[23]Sch C'!D62</f>
        <v>0</v>
      </c>
      <c r="D69" s="501">
        <f>'[23]Sch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'[23]Sch C'!D63</f>
        <v>0</v>
      </c>
      <c r="D70" s="501">
        <f>'[23]Sch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'[23]Sch C'!D64</f>
        <v>0</v>
      </c>
      <c r="D71" s="501">
        <f>'[23]Sch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'[23]Sch C'!D65</f>
        <v>3733</v>
      </c>
      <c r="D72" s="501">
        <f>'[23]Sch C'!F65</f>
        <v>0</v>
      </c>
      <c r="E72" s="171">
        <f t="shared" si="7"/>
        <v>3733</v>
      </c>
      <c r="F72" s="171"/>
      <c r="G72" s="171">
        <f t="shared" si="8"/>
        <v>3733</v>
      </c>
      <c r="H72" s="172">
        <f t="shared" si="9"/>
        <v>6.6648142779782453E-4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'[23]Sch C'!D66</f>
        <v>36573</v>
      </c>
      <c r="D73" s="501">
        <f>'[23]Sch C'!F66</f>
        <v>-888</v>
      </c>
      <c r="E73" s="171">
        <f t="shared" si="7"/>
        <v>35685</v>
      </c>
      <c r="F73" s="171"/>
      <c r="G73" s="171">
        <f t="shared" si="8"/>
        <v>35685</v>
      </c>
      <c r="H73" s="172">
        <f t="shared" si="9"/>
        <v>6.3711196761225206E-3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'[23]Sch C'!D67</f>
        <v>39478</v>
      </c>
      <c r="D74" s="501">
        <f>'[23]Sch C'!F67</f>
        <v>0</v>
      </c>
      <c r="E74" s="171">
        <f t="shared" si="7"/>
        <v>39478</v>
      </c>
      <c r="F74" s="171"/>
      <c r="G74" s="171">
        <f t="shared" si="8"/>
        <v>39478</v>
      </c>
      <c r="H74" s="172">
        <f t="shared" si="9"/>
        <v>7.0483133690336236E-3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'[23]Sch C'!D68</f>
        <v>0</v>
      </c>
      <c r="D75" s="501">
        <f>'[23]Sch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'[23]Sch C'!D69</f>
        <v>2964</v>
      </c>
      <c r="D76" s="501">
        <f>'[23]Sch C'!F69</f>
        <v>0</v>
      </c>
      <c r="E76" s="171">
        <f t="shared" si="7"/>
        <v>2964</v>
      </c>
      <c r="F76" s="171"/>
      <c r="G76" s="171">
        <f t="shared" si="8"/>
        <v>2964</v>
      </c>
      <c r="H76" s="172">
        <f t="shared" si="9"/>
        <v>5.2918589659596885E-4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'[23]Sch C'!D70</f>
        <v>-567</v>
      </c>
      <c r="D77" s="501">
        <f>'[23]Sch C'!F70</f>
        <v>0</v>
      </c>
      <c r="E77" s="171">
        <f t="shared" si="7"/>
        <v>-567</v>
      </c>
      <c r="F77" s="171"/>
      <c r="G77" s="171">
        <f t="shared" si="8"/>
        <v>-567</v>
      </c>
      <c r="H77" s="172">
        <f t="shared" si="9"/>
        <v>-1.0123090532048392E-4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'[23]Sch C'!D71</f>
        <v>0</v>
      </c>
      <c r="D78" s="501">
        <f>'[23]Sch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310991</v>
      </c>
      <c r="D79" s="501">
        <f>SUM(D64:D78)</f>
        <v>-5088</v>
      </c>
      <c r="E79" s="171">
        <f t="shared" ref="E79:F79" si="10">SUM(E64:E78)</f>
        <v>305903</v>
      </c>
      <c r="F79" s="171">
        <f t="shared" si="10"/>
        <v>0</v>
      </c>
      <c r="G79" s="171">
        <f>SUM(G64:G78)</f>
        <v>305903</v>
      </c>
      <c r="H79" s="172">
        <f t="shared" si="9"/>
        <v>5.4615233915788347E-2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'[23]Sch C'!D75</f>
        <v>75381</v>
      </c>
      <c r="D82" s="501">
        <f>'[23]Sch C'!F75</f>
        <v>0</v>
      </c>
      <c r="E82" s="171">
        <f t="shared" ref="E82:E92" si="11">C82+D82</f>
        <v>75381</v>
      </c>
      <c r="F82" s="171"/>
      <c r="G82" s="171">
        <f t="shared" ref="G82:G92" si="12">E82+F82</f>
        <v>75381</v>
      </c>
      <c r="H82" s="172">
        <f t="shared" ref="H82:H93" si="13">IF($G$208=0,0,G82/$G$208)</f>
        <v>1.3458354275067723E-2</v>
      </c>
      <c r="I82" s="473"/>
      <c r="J82" s="183">
        <v>3745</v>
      </c>
      <c r="K82" s="183">
        <v>4082</v>
      </c>
    </row>
    <row r="83" spans="1:11" s="167" customFormat="1">
      <c r="A83" s="169" t="s">
        <v>86</v>
      </c>
      <c r="B83" s="199" t="s">
        <v>45</v>
      </c>
      <c r="C83" s="501">
        <f>'[23]Sch C'!D76</f>
        <v>16573</v>
      </c>
      <c r="D83" s="501">
        <f>'[23]Sch C'!F76</f>
        <v>0</v>
      </c>
      <c r="E83" s="171">
        <f t="shared" si="11"/>
        <v>16573</v>
      </c>
      <c r="F83" s="171"/>
      <c r="G83" s="171">
        <f t="shared" si="12"/>
        <v>16573</v>
      </c>
      <c r="H83" s="172">
        <f t="shared" si="13"/>
        <v>2.9589061620394711E-3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'[23]Sch C'!D77</f>
        <v>12128</v>
      </c>
      <c r="D84" s="501">
        <f>'[23]Sch C'!F77</f>
        <v>0</v>
      </c>
      <c r="E84" s="171">
        <f t="shared" si="11"/>
        <v>12128</v>
      </c>
      <c r="F84" s="171"/>
      <c r="G84" s="171">
        <f t="shared" si="12"/>
        <v>12128</v>
      </c>
      <c r="H84" s="172">
        <f t="shared" si="13"/>
        <v>2.1653058548974057E-3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'[23]Sch C'!D78</f>
        <v>0</v>
      </c>
      <c r="D85" s="501">
        <f>'[23]Sch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'[23]Sch C'!D79</f>
        <v>2054</v>
      </c>
      <c r="D86" s="501">
        <f>'[23]Sch C'!F79</f>
        <v>0</v>
      </c>
      <c r="E86" s="171">
        <f t="shared" si="11"/>
        <v>2054</v>
      </c>
      <c r="F86" s="171"/>
      <c r="G86" s="171">
        <f>E86+F86</f>
        <v>2054</v>
      </c>
      <c r="H86" s="172">
        <f t="shared" si="13"/>
        <v>3.6671654237790827E-4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'[23]Sch C'!D80</f>
        <v>16737</v>
      </c>
      <c r="D87" s="501">
        <f>'[23]Sch C'!F80</f>
        <v>0</v>
      </c>
      <c r="E87" s="171">
        <f t="shared" si="11"/>
        <v>16737</v>
      </c>
      <c r="F87" s="171"/>
      <c r="G87" s="171">
        <f t="shared" si="12"/>
        <v>16737</v>
      </c>
      <c r="H87" s="172">
        <f t="shared" si="13"/>
        <v>2.9881863533490994E-3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'[23]Sch C'!D81</f>
        <v>18295</v>
      </c>
      <c r="D88" s="501">
        <f>'[23]Sch C'!F81</f>
        <v>0</v>
      </c>
      <c r="E88" s="171">
        <f t="shared" si="11"/>
        <v>18295</v>
      </c>
      <c r="F88" s="171"/>
      <c r="G88" s="171">
        <f t="shared" si="12"/>
        <v>18295</v>
      </c>
      <c r="H88" s="172">
        <f t="shared" si="13"/>
        <v>3.2663481707905706E-3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'[23]Sch C'!D82</f>
        <v>2757</v>
      </c>
      <c r="D89" s="501">
        <f>'[23]Sch C'!F82</f>
        <v>0</v>
      </c>
      <c r="E89" s="171">
        <f t="shared" si="11"/>
        <v>2757</v>
      </c>
      <c r="F89" s="171"/>
      <c r="G89" s="171">
        <f t="shared" si="12"/>
        <v>2757</v>
      </c>
      <c r="H89" s="172">
        <f t="shared" si="13"/>
        <v>4.9222858195515729E-4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'[23]Sch C'!D83</f>
        <v>5380</v>
      </c>
      <c r="D90" s="501">
        <f>'[23]Sch C'!F83</f>
        <v>0</v>
      </c>
      <c r="E90" s="171">
        <f t="shared" si="11"/>
        <v>5380</v>
      </c>
      <c r="F90" s="171"/>
      <c r="G90" s="171">
        <f t="shared" si="12"/>
        <v>5380</v>
      </c>
      <c r="H90" s="172">
        <f t="shared" si="13"/>
        <v>9.6053310515732541E-4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'[23]Sch C'!D84</f>
        <v>121043</v>
      </c>
      <c r="D91" s="501">
        <f>'[23]Sch C'!F84</f>
        <v>0</v>
      </c>
      <c r="E91" s="171">
        <f t="shared" si="11"/>
        <v>121043</v>
      </c>
      <c r="F91" s="171"/>
      <c r="G91" s="171">
        <f t="shared" si="12"/>
        <v>121043</v>
      </c>
      <c r="H91" s="172">
        <f t="shared" si="13"/>
        <v>2.1610745101776605E-2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'[23]Sch C'!D85</f>
        <v>0</v>
      </c>
      <c r="D92" s="501">
        <f>'[23]Sch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270348</v>
      </c>
      <c r="D93" s="501">
        <f>SUM(D82:D92)</f>
        <v>0</v>
      </c>
      <c r="E93" s="171">
        <f t="shared" ref="E93:F93" si="14">SUM(E82:E92)</f>
        <v>270348</v>
      </c>
      <c r="F93" s="171">
        <f t="shared" si="14"/>
        <v>0</v>
      </c>
      <c r="G93" s="171">
        <f>SUM(G82:G92)</f>
        <v>270348</v>
      </c>
      <c r="H93" s="172">
        <f t="shared" si="13"/>
        <v>4.8267324147411271E-2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'[23]Sch C'!D89</f>
        <v>0</v>
      </c>
      <c r="D96" s="501">
        <f>'[23]Sch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'[23]Sch C'!D90</f>
        <v>0</v>
      </c>
      <c r="D97" s="501">
        <f>'[23]Sch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'[23]Sch C'!D91</f>
        <v>539927</v>
      </c>
      <c r="D98" s="501">
        <f>'[23]Sch C'!F91</f>
        <v>0</v>
      </c>
      <c r="E98" s="171">
        <f t="shared" si="15"/>
        <v>539927</v>
      </c>
      <c r="F98" s="171"/>
      <c r="G98" s="171">
        <f t="shared" si="16"/>
        <v>539927</v>
      </c>
      <c r="H98" s="172">
        <f t="shared" si="17"/>
        <v>9.6397352763620686E-2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'[23]Sch C'!D92</f>
        <v>2602</v>
      </c>
      <c r="D99" s="501">
        <f>'[23]Sch C'!F92</f>
        <v>-4053</v>
      </c>
      <c r="E99" s="171">
        <f t="shared" si="15"/>
        <v>-1451</v>
      </c>
      <c r="F99" s="171"/>
      <c r="G99" s="171">
        <f t="shared" si="16"/>
        <v>-1451</v>
      </c>
      <c r="H99" s="172">
        <f t="shared" si="17"/>
        <v>-2.5905827798945708E-4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'[23]Sch C'!D93</f>
        <v>3669</v>
      </c>
      <c r="D100" s="501">
        <f>'[23]Sch C'!F93</f>
        <v>0</v>
      </c>
      <c r="E100" s="171">
        <f t="shared" si="15"/>
        <v>3669</v>
      </c>
      <c r="F100" s="171"/>
      <c r="G100" s="171">
        <f t="shared" si="16"/>
        <v>3669</v>
      </c>
      <c r="H100" s="172">
        <f t="shared" si="17"/>
        <v>6.5505501167699388E-4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'[23]Sch C'!D94</f>
        <v>0</v>
      </c>
      <c r="D101" s="501">
        <f>'[23]Sch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546198</v>
      </c>
      <c r="D102" s="501">
        <f>SUM(D96:D101)</f>
        <v>-4053</v>
      </c>
      <c r="E102" s="171">
        <f t="shared" ref="E102:F102" si="18">SUM(E96:E101)</f>
        <v>542145</v>
      </c>
      <c r="F102" s="171">
        <f t="shared" si="18"/>
        <v>0</v>
      </c>
      <c r="G102" s="171">
        <f>SUM(G96:G101)</f>
        <v>542145</v>
      </c>
      <c r="H102" s="172">
        <f t="shared" si="17"/>
        <v>9.6793349497308223E-2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'[23]Sch C'!D98</f>
        <v>0</v>
      </c>
      <c r="D105" s="501">
        <f>'[23]Sch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'[23]Sch C'!D99</f>
        <v>0</v>
      </c>
      <c r="D106" s="501">
        <f>'[23]Sch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'[23]Sch C'!D100</f>
        <v>0</v>
      </c>
      <c r="D107" s="501">
        <f>'[23]Sch C'!F100</f>
        <v>0</v>
      </c>
      <c r="E107" s="171">
        <f t="shared" si="19"/>
        <v>0</v>
      </c>
      <c r="F107" s="171"/>
      <c r="G107" s="171">
        <f t="shared" si="20"/>
        <v>0</v>
      </c>
      <c r="H107" s="172">
        <f t="shared" si="21"/>
        <v>0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'[23]Sch C'!D101</f>
        <v>65416</v>
      </c>
      <c r="D108" s="501">
        <f>'[23]Sch C'!F101</f>
        <v>0</v>
      </c>
      <c r="E108" s="171">
        <f t="shared" si="19"/>
        <v>65416</v>
      </c>
      <c r="F108" s="171"/>
      <c r="G108" s="171">
        <f t="shared" si="20"/>
        <v>65416</v>
      </c>
      <c r="H108" s="172">
        <f t="shared" si="21"/>
        <v>1.1679225577504015E-2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'[23]Sch C'!D102</f>
        <v>6366</v>
      </c>
      <c r="D109" s="501">
        <f>'[23]Sch C'!F102</f>
        <v>0</v>
      </c>
      <c r="E109" s="171">
        <f t="shared" si="19"/>
        <v>6366</v>
      </c>
      <c r="F109" s="171"/>
      <c r="G109" s="171">
        <f t="shared" si="20"/>
        <v>6366</v>
      </c>
      <c r="H109" s="172">
        <f t="shared" si="21"/>
        <v>1.1365713285188725E-3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'[23]Sch C'!D103</f>
        <v>0</v>
      </c>
      <c r="D110" s="501">
        <f>'[23]Sch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71782</v>
      </c>
      <c r="D111" s="501">
        <f>SUM(D105:D110)</f>
        <v>0</v>
      </c>
      <c r="E111" s="171">
        <f t="shared" ref="E111:F111" si="22">SUM(E105:E110)</f>
        <v>71782</v>
      </c>
      <c r="F111" s="171">
        <f t="shared" si="22"/>
        <v>0</v>
      </c>
      <c r="G111" s="171">
        <f>SUM(G105:G110)</f>
        <v>71782</v>
      </c>
      <c r="H111" s="172">
        <f t="shared" si="21"/>
        <v>1.2815796906022888E-2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'[23]Sch C'!D115</f>
        <v>0</v>
      </c>
      <c r="D114" s="501">
        <f>'[23]Sch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'[23]Sch C'!D116</f>
        <v>0</v>
      </c>
      <c r="D115" s="501">
        <f>'[23]Sch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'[23]Sch C'!D117</f>
        <v>11277</v>
      </c>
      <c r="D116" s="501">
        <f>'[23]Sch C'!F117</f>
        <v>0</v>
      </c>
      <c r="E116" s="171">
        <f t="shared" si="23"/>
        <v>11277</v>
      </c>
      <c r="F116" s="171"/>
      <c r="G116" s="171">
        <f>E116+F116</f>
        <v>11277</v>
      </c>
      <c r="H116" s="172">
        <f t="shared" si="24"/>
        <v>2.013370228040736E-3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'[23]Sch C'!D118</f>
        <v>120960</v>
      </c>
      <c r="D117" s="501">
        <f>'[23]Sch C'!F118</f>
        <v>0</v>
      </c>
      <c r="E117" s="171">
        <f t="shared" si="23"/>
        <v>120960</v>
      </c>
      <c r="F117" s="171"/>
      <c r="G117" s="171">
        <f>E117+F117</f>
        <v>120960</v>
      </c>
      <c r="H117" s="172">
        <f t="shared" si="24"/>
        <v>2.1595926468369903E-2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'[23]Sch C'!D119</f>
        <v>0</v>
      </c>
      <c r="D118" s="501">
        <f>'[23]Sch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132237</v>
      </c>
      <c r="D119" s="501">
        <f>SUM(D114:D118)</f>
        <v>0</v>
      </c>
      <c r="E119" s="171">
        <f t="shared" ref="E119:F119" si="25">SUM(E114:E118)</f>
        <v>132237</v>
      </c>
      <c r="F119" s="171">
        <f t="shared" si="25"/>
        <v>0</v>
      </c>
      <c r="G119" s="171">
        <f>SUM(G114:G118)</f>
        <v>132237</v>
      </c>
      <c r="H119" s="172">
        <f t="shared" si="24"/>
        <v>2.3609296696410639E-2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'[23]Sch C'!D124</f>
        <v>403</v>
      </c>
      <c r="D123" s="501">
        <f>'[23]Sch C'!F124</f>
        <v>0</v>
      </c>
      <c r="E123" s="171">
        <f t="shared" ref="E123:E127" si="26">C123+D123</f>
        <v>403</v>
      </c>
      <c r="F123" s="171"/>
      <c r="G123" s="171">
        <f>E123+F123</f>
        <v>403</v>
      </c>
      <c r="H123" s="172">
        <f>IF($G$208=0,0,G123/$G$208)</f>
        <v>7.1950714010855419E-5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'[23]Sch C'!D125</f>
        <v>158924</v>
      </c>
      <c r="D124" s="501">
        <f>'[23]Sch C'!F125</f>
        <v>0</v>
      </c>
      <c r="E124" s="171">
        <f t="shared" si="26"/>
        <v>158924</v>
      </c>
      <c r="F124" s="171"/>
      <c r="G124" s="171">
        <f>E124+F124</f>
        <v>158924</v>
      </c>
      <c r="H124" s="172">
        <f>IF($G$208=0,0,G124/$G$208)</f>
        <v>2.8373933681045127E-2</v>
      </c>
      <c r="I124" s="473"/>
      <c r="J124" s="183">
        <v>3699</v>
      </c>
      <c r="K124" s="183">
        <v>3907</v>
      </c>
    </row>
    <row r="125" spans="1:11" s="167" customFormat="1">
      <c r="A125" s="163" t="s">
        <v>198</v>
      </c>
      <c r="B125" s="163" t="s">
        <v>195</v>
      </c>
      <c r="C125" s="501">
        <f>'[23]Sch C'!D126</f>
        <v>0</v>
      </c>
      <c r="D125" s="501">
        <f>'[23]Sch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'[23]Sch C'!D127</f>
        <v>0</v>
      </c>
      <c r="D126" s="501">
        <f>'[23]Sch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'[23]Sch C'!D128</f>
        <v>31737</v>
      </c>
      <c r="D127" s="501">
        <f>'[23]Sch C'!F128</f>
        <v>0</v>
      </c>
      <c r="E127" s="171">
        <f t="shared" si="26"/>
        <v>31737</v>
      </c>
      <c r="F127" s="171"/>
      <c r="G127" s="171">
        <f>E127+F127</f>
        <v>31737</v>
      </c>
      <c r="H127" s="172">
        <f>IF($G$208=0,0,G127/$G$208)</f>
        <v>5.6662526316687799E-3</v>
      </c>
      <c r="I127" s="473"/>
      <c r="J127" s="183">
        <v>1933</v>
      </c>
      <c r="K127" s="183">
        <v>2159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'[23]Sch C'!D130</f>
        <v>0</v>
      </c>
      <c r="D129" s="501">
        <f>'[23]Sch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'[23]Sch C'!D131</f>
        <v>33709</v>
      </c>
      <c r="D130" s="501">
        <f>'[23]Sch C'!F131</f>
        <v>0</v>
      </c>
      <c r="E130" s="171">
        <f t="shared" si="27"/>
        <v>33709</v>
      </c>
      <c r="F130" s="171"/>
      <c r="G130" s="171">
        <f>E130+F130</f>
        <v>33709</v>
      </c>
      <c r="H130" s="172">
        <f>IF($G$208=0,0,G130/$G$208)</f>
        <v>6.0183290783918739E-3</v>
      </c>
      <c r="I130" s="473"/>
      <c r="J130" s="204"/>
      <c r="K130" s="204"/>
    </row>
    <row r="131" spans="1:11" s="167" customFormat="1">
      <c r="B131" s="163" t="s">
        <v>195</v>
      </c>
      <c r="C131" s="501">
        <f>'[23]Sch C'!D132</f>
        <v>0</v>
      </c>
      <c r="D131" s="501">
        <f>'[23]Sch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'[23]Sch C'!D133</f>
        <v>0</v>
      </c>
      <c r="D132" s="501">
        <f>'[23]Sch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'[23]Sch C'!D134</f>
        <v>36444</v>
      </c>
      <c r="D133" s="501">
        <f>'[23]Sch C'!F134</f>
        <v>0</v>
      </c>
      <c r="E133" s="171">
        <f t="shared" si="27"/>
        <v>36444</v>
      </c>
      <c r="F133" s="171"/>
      <c r="G133" s="171">
        <f>E133+F133</f>
        <v>36444</v>
      </c>
      <c r="H133" s="172">
        <f>IF($G$208=0,0,G133/$G$208)</f>
        <v>6.5066298298054959E-3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'[23]Sch C'!D136</f>
        <v>441558</v>
      </c>
      <c r="D135" s="501">
        <f>'[23]Sch C'!F136</f>
        <v>0</v>
      </c>
      <c r="E135" s="171">
        <f t="shared" ref="E135:E138" si="28">C135+D135</f>
        <v>441558</v>
      </c>
      <c r="F135" s="171"/>
      <c r="G135" s="171">
        <f>E135+F135</f>
        <v>441558</v>
      </c>
      <c r="H135" s="172">
        <f>IF($G$208=0,0,G135/$G$208)</f>
        <v>7.8834772648152099E-2</v>
      </c>
      <c r="I135" s="473"/>
      <c r="J135" s="183">
        <v>16118</v>
      </c>
      <c r="K135" s="183">
        <v>16592</v>
      </c>
    </row>
    <row r="136" spans="1:11" s="167" customFormat="1">
      <c r="A136" s="169"/>
      <c r="B136" s="163" t="s">
        <v>195</v>
      </c>
      <c r="C136" s="501">
        <f>'[23]Sch C'!D137</f>
        <v>399902</v>
      </c>
      <c r="D136" s="501">
        <f>'[23]Sch C'!F137</f>
        <v>0</v>
      </c>
      <c r="E136" s="171">
        <f t="shared" si="28"/>
        <v>399902</v>
      </c>
      <c r="F136" s="171"/>
      <c r="G136" s="171">
        <f>E136+F136</f>
        <v>399902</v>
      </c>
      <c r="H136" s="172">
        <f>IF($G$208=0,0,G136/$G$208)</f>
        <v>7.1397604055506464E-2</v>
      </c>
      <c r="I136" s="473"/>
      <c r="J136" s="183">
        <v>22076</v>
      </c>
      <c r="K136" s="183">
        <v>23159</v>
      </c>
    </row>
    <row r="137" spans="1:11" s="167" customFormat="1">
      <c r="A137" s="169"/>
      <c r="B137" s="163" t="s">
        <v>196</v>
      </c>
      <c r="C137" s="501">
        <f>'[23]Sch C'!D138</f>
        <v>586903</v>
      </c>
      <c r="D137" s="501">
        <f>'[23]Sch C'!F138</f>
        <v>23116</v>
      </c>
      <c r="E137" s="171">
        <f t="shared" si="28"/>
        <v>610019</v>
      </c>
      <c r="F137" s="171"/>
      <c r="G137" s="171">
        <f>E137+F137</f>
        <v>610019</v>
      </c>
      <c r="H137" s="172">
        <f>IF($G$208=0,0,G137/$G$208)</f>
        <v>0.10891142086895288</v>
      </c>
      <c r="I137" s="473"/>
      <c r="J137" s="183">
        <v>53227</v>
      </c>
      <c r="K137" s="183">
        <v>57220</v>
      </c>
    </row>
    <row r="138" spans="1:11" s="167" customFormat="1">
      <c r="A138" s="169"/>
      <c r="B138" s="163" t="s">
        <v>197</v>
      </c>
      <c r="C138" s="501">
        <f>'[23]Sch C'!D139</f>
        <v>23116</v>
      </c>
      <c r="D138" s="501">
        <f>'[23]Sch C'!F139</f>
        <v>-23116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'[23]Sch C'!D141</f>
        <v>274594</v>
      </c>
      <c r="D140" s="501">
        <f>'[23]Sch C'!F141</f>
        <v>-191059</v>
      </c>
      <c r="E140" s="171">
        <f t="shared" ref="E140:E143" si="29">C140+D140</f>
        <v>83535</v>
      </c>
      <c r="F140" s="171"/>
      <c r="G140" s="171">
        <f>E140+F140</f>
        <v>83535</v>
      </c>
      <c r="H140" s="172">
        <f>IF($G$208=0,0,G140/$G$208)</f>
        <v>1.4914151103962301E-2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'[23]Sch C'!D142</f>
        <v>0</v>
      </c>
      <c r="D141" s="501">
        <f>'[23]Sch C'!F142</f>
        <v>75654</v>
      </c>
      <c r="E141" s="171">
        <f t="shared" si="29"/>
        <v>75654</v>
      </c>
      <c r="F141" s="171"/>
      <c r="G141" s="171">
        <f>E141+F141</f>
        <v>75654</v>
      </c>
      <c r="H141" s="172">
        <f>IF($G$208=0,0,G141/$G$208)</f>
        <v>1.3507095081333142E-2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'[23]Sch C'!D143</f>
        <v>0</v>
      </c>
      <c r="D142" s="501">
        <f>'[23]Sch C'!F143</f>
        <v>115405</v>
      </c>
      <c r="E142" s="171">
        <f t="shared" si="29"/>
        <v>115405</v>
      </c>
      <c r="F142" s="171"/>
      <c r="G142" s="171">
        <f>E142+F142</f>
        <v>115405</v>
      </c>
      <c r="H142" s="172">
        <f>IF($G$208=0,0,G142/$G$208)</f>
        <v>2.0604149256632183E-2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'[23]Sch C'!D144</f>
        <v>0</v>
      </c>
      <c r="D143" s="501">
        <f>'[23]Sch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'[23]Sch C'!D146</f>
        <v>27040</v>
      </c>
      <c r="D145" s="501">
        <f>'[23]Sch C'!F146</f>
        <v>0</v>
      </c>
      <c r="E145" s="171">
        <f t="shared" ref="E145:E153" si="30">C145+D145</f>
        <v>27040</v>
      </c>
      <c r="F145" s="171"/>
      <c r="G145" s="171">
        <f t="shared" ref="G145:G153" si="31">E145+F145</f>
        <v>27040</v>
      </c>
      <c r="H145" s="172">
        <f t="shared" ref="H145:H153" si="32">IF($G$208=0,0,G145/$G$208)</f>
        <v>4.8276608110509444E-3</v>
      </c>
      <c r="I145" s="473"/>
      <c r="J145" s="183">
        <v>168.5</v>
      </c>
      <c r="K145" s="183">
        <v>168.5</v>
      </c>
    </row>
    <row r="146" spans="1:11" s="167" customFormat="1">
      <c r="A146" s="169"/>
      <c r="B146" s="163" t="s">
        <v>194</v>
      </c>
      <c r="C146" s="501">
        <f>'[23]Sch C'!D147</f>
        <v>25487</v>
      </c>
      <c r="D146" s="501">
        <f>'[23]Sch C'!F147</f>
        <v>0</v>
      </c>
      <c r="E146" s="171">
        <f t="shared" si="30"/>
        <v>25487</v>
      </c>
      <c r="F146" s="171"/>
      <c r="G146" s="171">
        <f t="shared" si="31"/>
        <v>25487</v>
      </c>
      <c r="H146" s="172">
        <f t="shared" si="32"/>
        <v>4.5503916823689131E-3</v>
      </c>
      <c r="I146" s="473"/>
      <c r="J146" s="183">
        <v>598</v>
      </c>
      <c r="K146" s="183">
        <v>598</v>
      </c>
    </row>
    <row r="147" spans="1:11" s="167" customFormat="1">
      <c r="A147" s="169"/>
      <c r="B147" s="163" t="s">
        <v>195</v>
      </c>
      <c r="C147" s="501">
        <f>'[23]Sch C'!D148</f>
        <v>350</v>
      </c>
      <c r="D147" s="501">
        <f>'[23]Sch C'!F148</f>
        <v>0</v>
      </c>
      <c r="E147" s="171">
        <f t="shared" si="30"/>
        <v>350</v>
      </c>
      <c r="F147" s="171"/>
      <c r="G147" s="171">
        <f t="shared" si="31"/>
        <v>350</v>
      </c>
      <c r="H147" s="172">
        <f t="shared" si="32"/>
        <v>6.2488213160792554E-5</v>
      </c>
      <c r="I147" s="473"/>
      <c r="J147" s="183">
        <v>14</v>
      </c>
      <c r="K147" s="183">
        <v>14</v>
      </c>
    </row>
    <row r="148" spans="1:11" s="167" customFormat="1">
      <c r="A148" s="169"/>
      <c r="B148" s="163" t="s">
        <v>196</v>
      </c>
      <c r="C148" s="501">
        <f>'[23]Sch C'!D149</f>
        <v>279612</v>
      </c>
      <c r="D148" s="501">
        <f>'[23]Sch C'!F149</f>
        <v>0</v>
      </c>
      <c r="E148" s="171">
        <f t="shared" si="30"/>
        <v>279612</v>
      </c>
      <c r="F148" s="171"/>
      <c r="G148" s="171">
        <f t="shared" si="31"/>
        <v>279612</v>
      </c>
      <c r="H148" s="172">
        <f t="shared" si="32"/>
        <v>4.9921297880901501E-2</v>
      </c>
      <c r="I148" s="473"/>
      <c r="J148" s="183">
        <v>8563</v>
      </c>
      <c r="K148" s="183">
        <v>8563</v>
      </c>
    </row>
    <row r="149" spans="1:11" s="167" customFormat="1">
      <c r="A149" s="169"/>
      <c r="B149" s="163" t="s">
        <v>197</v>
      </c>
      <c r="C149" s="501">
        <f>'[23]Sch C'!D150</f>
        <v>2788</v>
      </c>
      <c r="D149" s="501">
        <f>'[23]Sch C'!F150</f>
        <v>0</v>
      </c>
      <c r="E149" s="171">
        <f t="shared" si="30"/>
        <v>2788</v>
      </c>
      <c r="F149" s="171"/>
      <c r="G149" s="171">
        <f t="shared" si="31"/>
        <v>2788</v>
      </c>
      <c r="H149" s="172">
        <f t="shared" si="32"/>
        <v>4.9776325226368468E-4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'[23]Sch C'!D151</f>
        <v>98719</v>
      </c>
      <c r="D150" s="501">
        <f>'[23]Sch C'!F151</f>
        <v>589.04</v>
      </c>
      <c r="E150" s="171">
        <f t="shared" si="30"/>
        <v>99308.04</v>
      </c>
      <c r="F150" s="171"/>
      <c r="G150" s="171">
        <f t="shared" si="31"/>
        <v>99308.04</v>
      </c>
      <c r="H150" s="172">
        <f t="shared" si="32"/>
        <v>1.7730234206001463E-2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'[23]Sch C'!D152</f>
        <v>1943</v>
      </c>
      <c r="D151" s="501">
        <f>'[23]Sch C'!F152</f>
        <v>0</v>
      </c>
      <c r="E151" s="171">
        <f t="shared" si="30"/>
        <v>1943</v>
      </c>
      <c r="F151" s="171"/>
      <c r="G151" s="171">
        <f t="shared" si="31"/>
        <v>1943</v>
      </c>
      <c r="H151" s="172">
        <f t="shared" si="32"/>
        <v>3.4689885191834262E-4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'[23]Sch C'!D153</f>
        <v>0</v>
      </c>
      <c r="D152" s="501">
        <f>'[23]Sch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'[23]Sch C'!D154</f>
        <v>0</v>
      </c>
      <c r="D153" s="501">
        <f>'[23]Sch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'[23]Sch C'!D156</f>
        <v>0</v>
      </c>
      <c r="D155" s="501">
        <f>'[23]Sch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'[23]Sch C'!D157</f>
        <v>0</v>
      </c>
      <c r="D156" s="501">
        <f>'[23]Sch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'[23]Sch C'!D158</f>
        <v>1750</v>
      </c>
      <c r="D157" s="501">
        <f>'[23]Sch C'!F158</f>
        <v>0</v>
      </c>
      <c r="E157" s="171">
        <f t="shared" si="33"/>
        <v>1750</v>
      </c>
      <c r="F157" s="171"/>
      <c r="G157" s="171">
        <f t="shared" si="34"/>
        <v>1750</v>
      </c>
      <c r="H157" s="172">
        <f t="shared" si="35"/>
        <v>3.1244106580396276E-4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'[23]Sch C'!D159</f>
        <v>0</v>
      </c>
      <c r="D158" s="501">
        <f>'[23]Sch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'[23]Sch C'!D160</f>
        <v>0</v>
      </c>
      <c r="D159" s="501">
        <f>'[23]Sch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'[23]Sch C'!D161</f>
        <v>14799</v>
      </c>
      <c r="D160" s="501">
        <f>'[23]Sch C'!F161</f>
        <v>-96445</v>
      </c>
      <c r="E160" s="171">
        <f t="shared" si="33"/>
        <v>-81646</v>
      </c>
      <c r="F160" s="171"/>
      <c r="G160" s="171">
        <f t="shared" si="34"/>
        <v>-81646</v>
      </c>
      <c r="H160" s="172">
        <f t="shared" si="35"/>
        <v>-1.4576893290645909E-2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2439778</v>
      </c>
      <c r="D161" s="501">
        <f>SUM(D123:D160)</f>
        <v>-95855.96</v>
      </c>
      <c r="E161" s="171">
        <f t="shared" ref="E161:F161" si="36">SUM(E123:E160)</f>
        <v>2343922.04</v>
      </c>
      <c r="F161" s="171">
        <f t="shared" si="36"/>
        <v>0</v>
      </c>
      <c r="G161" s="171">
        <f>SUM(G123:G160)</f>
        <v>2343922.04</v>
      </c>
      <c r="H161" s="172">
        <f t="shared" si="35"/>
        <v>0.41847857162228491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'[23]Sch C'!D175</f>
        <v>0</v>
      </c>
      <c r="D164" s="501">
        <f>'[23]Sch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'[23]Sch C'!D176</f>
        <v>0</v>
      </c>
      <c r="D165" s="501">
        <f>'[23]Sch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'[23]Sch C'!D177</f>
        <v>0</v>
      </c>
      <c r="D166" s="501">
        <f>'[23]Sch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'[23]Sch C'!D178</f>
        <v>0</v>
      </c>
      <c r="D167" s="501">
        <f>'[23]Sch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'[23]Sch C'!D179</f>
        <v>0</v>
      </c>
      <c r="D168" s="501">
        <f>'[23]Sch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'[23]Sch C'!D180</f>
        <v>0</v>
      </c>
      <c r="D169" s="501">
        <f>'[23]Sch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'[23]Sch C'!D181</f>
        <v>0</v>
      </c>
      <c r="D170" s="501">
        <f>'[23]Sch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'[23]Sch C'!D182</f>
        <v>0</v>
      </c>
      <c r="D171" s="501">
        <f>'[23]Sch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'[23]Sch C'!D183</f>
        <v>0</v>
      </c>
      <c r="D172" s="501">
        <f>'[23]Sch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'[23]Sch C'!D184</f>
        <v>0</v>
      </c>
      <c r="D173" s="501">
        <f>'[23]Sch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'[23]Sch C'!D185</f>
        <v>0</v>
      </c>
      <c r="D174" s="501">
        <f>'[23]Sch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'[23]Sch C'!D186</f>
        <v>0</v>
      </c>
      <c r="D175" s="501">
        <f>'[23]Sch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'[23]Sch C'!D187</f>
        <v>0</v>
      </c>
      <c r="D176" s="501">
        <f>'[23]Sch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'[23]Sch C'!D188</f>
        <v>276</v>
      </c>
      <c r="D177" s="501">
        <f>'[23]Sch C'!F188</f>
        <v>0</v>
      </c>
      <c r="E177" s="171">
        <f t="shared" si="37"/>
        <v>276</v>
      </c>
      <c r="F177" s="216"/>
      <c r="G177" s="171">
        <f t="shared" si="38"/>
        <v>276</v>
      </c>
      <c r="H177" s="172">
        <f t="shared" si="39"/>
        <v>4.9276419521082126E-5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'[23]Sch C'!D189</f>
        <v>0</v>
      </c>
      <c r="D178" s="501">
        <f>'[23]Sch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'[23]Sch C'!D190</f>
        <v>0</v>
      </c>
      <c r="D179" s="501">
        <f>'[23]Sch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'[23]Sch C'!D191</f>
        <v>0</v>
      </c>
      <c r="D180" s="501">
        <f>'[23]Sch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'[23]Sch C'!D192</f>
        <v>0</v>
      </c>
      <c r="D181" s="501">
        <f>'[23]Sch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'[23]Sch C'!D193</f>
        <v>8217</v>
      </c>
      <c r="D182" s="501">
        <f>'[23]Sch C'!F193</f>
        <v>0</v>
      </c>
      <c r="E182" s="171">
        <f t="shared" si="37"/>
        <v>8217</v>
      </c>
      <c r="F182" s="216"/>
      <c r="G182" s="171">
        <f t="shared" si="38"/>
        <v>8217</v>
      </c>
      <c r="H182" s="172">
        <f t="shared" si="39"/>
        <v>1.467044707263521E-3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'[23]Sch C'!D194</f>
        <v>173576</v>
      </c>
      <c r="D183" s="501">
        <f>'[23]Sch C'!F194</f>
        <v>-6717</v>
      </c>
      <c r="E183" s="171">
        <f t="shared" si="37"/>
        <v>166859</v>
      </c>
      <c r="F183" s="216"/>
      <c r="G183" s="171">
        <f t="shared" si="38"/>
        <v>166859</v>
      </c>
      <c r="H183" s="172">
        <f t="shared" si="39"/>
        <v>2.9790630742276239E-2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'[23]Sch C'!D195</f>
        <v>27862</v>
      </c>
      <c r="D184" s="501">
        <f>'[23]Sch C'!F195</f>
        <v>-1078</v>
      </c>
      <c r="E184" s="171">
        <f t="shared" si="37"/>
        <v>26784</v>
      </c>
      <c r="F184" s="216"/>
      <c r="G184" s="171">
        <f t="shared" si="38"/>
        <v>26784</v>
      </c>
      <c r="H184" s="172">
        <f t="shared" si="39"/>
        <v>4.7819551465676218E-3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'[23]Sch C'!D196</f>
        <v>0</v>
      </c>
      <c r="D185" s="501">
        <f>'[23]Sch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'[23]Sch C'!D197</f>
        <v>127495</v>
      </c>
      <c r="D186" s="501">
        <f>'[23]Sch C'!F197</f>
        <v>-4934</v>
      </c>
      <c r="E186" s="171">
        <f t="shared" si="37"/>
        <v>122561</v>
      </c>
      <c r="F186" s="216"/>
      <c r="G186" s="171">
        <f t="shared" si="38"/>
        <v>122561</v>
      </c>
      <c r="H186" s="172">
        <f t="shared" si="39"/>
        <v>2.1881765409142558E-2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'[23]Sch C'!D198</f>
        <v>28121</v>
      </c>
      <c r="D187" s="501">
        <f>'[23]Sch C'!F198</f>
        <v>0</v>
      </c>
      <c r="E187" s="171">
        <f t="shared" si="37"/>
        <v>28121</v>
      </c>
      <c r="F187" s="216"/>
      <c r="G187" s="171">
        <f t="shared" si="38"/>
        <v>28121</v>
      </c>
      <c r="H187" s="172">
        <f t="shared" si="39"/>
        <v>5.0206601208418493E-3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'[23]Sch C'!D199</f>
        <v>0</v>
      </c>
      <c r="D188" s="501">
        <f>'[23]Sch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'[23]Sch C'!D200</f>
        <v>0</v>
      </c>
      <c r="D189" s="501">
        <f>'[23]Sch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'[23]Sch C'!D201</f>
        <v>0</v>
      </c>
      <c r="D190" s="501">
        <f>'[23]Sch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'[23]Sch C'!D202</f>
        <v>0</v>
      </c>
      <c r="D191" s="501">
        <f>'[23]Sch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'[23]Sch C'!D203</f>
        <v>0</v>
      </c>
      <c r="D192" s="501">
        <f>'[23]Sch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'[23]Sch C'!D204</f>
        <v>0</v>
      </c>
      <c r="D193" s="501">
        <f>'[23]Sch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'[23]Sch C'!D205</f>
        <v>168321</v>
      </c>
      <c r="D194" s="501">
        <f>'[23]Sch C'!F205</f>
        <v>11520</v>
      </c>
      <c r="E194" s="171">
        <f t="shared" si="37"/>
        <v>179841</v>
      </c>
      <c r="F194" s="216"/>
      <c r="G194" s="171">
        <f t="shared" si="38"/>
        <v>179841</v>
      </c>
      <c r="H194" s="172">
        <f t="shared" si="39"/>
        <v>3.2108407837285982E-2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'[23]Sch C'!D206</f>
        <v>0</v>
      </c>
      <c r="D195" s="501">
        <f>'[23]Sch C'!F206</f>
        <v>0</v>
      </c>
      <c r="E195" s="171">
        <f t="shared" si="37"/>
        <v>0</v>
      </c>
      <c r="F195" s="216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'[23]Sch C'!D207</f>
        <v>4991</v>
      </c>
      <c r="D196" s="501">
        <f>'[23]Sch C'!F207</f>
        <v>369</v>
      </c>
      <c r="E196" s="171">
        <f t="shared" si="37"/>
        <v>5360</v>
      </c>
      <c r="F196" s="216"/>
      <c r="G196" s="171">
        <f t="shared" si="38"/>
        <v>5360</v>
      </c>
      <c r="H196" s="172">
        <f t="shared" si="39"/>
        <v>9.5696235011956583E-4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538859</v>
      </c>
      <c r="D197" s="501">
        <f>SUM(D164:D196)</f>
        <v>-840</v>
      </c>
      <c r="E197" s="171">
        <f t="shared" ref="E197:F197" si="40">SUM(E164:E196)</f>
        <v>538019</v>
      </c>
      <c r="F197" s="171">
        <f t="shared" si="40"/>
        <v>0</v>
      </c>
      <c r="G197" s="171">
        <f>SUM(G164:G196)</f>
        <v>538019</v>
      </c>
      <c r="H197" s="172">
        <f>IF($G$208=0,0,G197/$G$208)</f>
        <v>9.6056702733018418E-2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'[23]Sch C'!D211</f>
        <v>97316</v>
      </c>
      <c r="D200" s="501">
        <f>'[23]Sch C'!F211</f>
        <v>0</v>
      </c>
      <c r="E200" s="171">
        <f t="shared" ref="E200:E205" si="41">C200+D200</f>
        <v>97316</v>
      </c>
      <c r="F200" s="171"/>
      <c r="G200" s="171">
        <f t="shared" ref="G200:G205" si="42">E200+F200</f>
        <v>97316</v>
      </c>
      <c r="H200" s="172">
        <f t="shared" ref="H200:H206" si="43">IF($G$208=0,0,G200/$G$208)</f>
        <v>1.7374579862730537E-2</v>
      </c>
      <c r="I200" s="473"/>
      <c r="J200" s="183">
        <v>6228</v>
      </c>
      <c r="K200" s="183">
        <v>6542</v>
      </c>
    </row>
    <row r="201" spans="1:14" s="167" customFormat="1">
      <c r="A201" s="169" t="s">
        <v>86</v>
      </c>
      <c r="B201" s="170" t="s">
        <v>45</v>
      </c>
      <c r="C201" s="501">
        <f>'[23]Sch C'!D212</f>
        <v>21366</v>
      </c>
      <c r="D201" s="501">
        <f>'[23]Sch C'!F212</f>
        <v>0</v>
      </c>
      <c r="E201" s="171">
        <f t="shared" si="41"/>
        <v>21366</v>
      </c>
      <c r="F201" s="171"/>
      <c r="G201" s="171">
        <f t="shared" si="42"/>
        <v>21366</v>
      </c>
      <c r="H201" s="172">
        <f t="shared" si="43"/>
        <v>3.814637606838553E-3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'[23]Sch C'!D213</f>
        <v>2457</v>
      </c>
      <c r="D202" s="501">
        <f>'[23]Sch C'!F213</f>
        <v>0</v>
      </c>
      <c r="E202" s="171">
        <f t="shared" si="41"/>
        <v>2457</v>
      </c>
      <c r="F202" s="171"/>
      <c r="G202" s="171">
        <f t="shared" si="42"/>
        <v>2457</v>
      </c>
      <c r="H202" s="172">
        <f t="shared" si="43"/>
        <v>4.3866725638876369E-4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'[23]Sch C'!D214</f>
        <v>0</v>
      </c>
      <c r="D203" s="501">
        <f>'[23]Sch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'[23]Sch C'!D215</f>
        <v>0</v>
      </c>
      <c r="D204" s="501">
        <f>'[23]Sch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'[23]Sch C'!D216</f>
        <v>411</v>
      </c>
      <c r="D205" s="501">
        <f>'[23]Sch C'!F216</f>
        <v>0</v>
      </c>
      <c r="E205" s="171">
        <f t="shared" si="41"/>
        <v>411</v>
      </c>
      <c r="F205" s="171"/>
      <c r="G205" s="171">
        <f t="shared" si="42"/>
        <v>411</v>
      </c>
      <c r="H205" s="172">
        <f t="shared" si="43"/>
        <v>7.337901602595925E-5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121550</v>
      </c>
      <c r="D206" s="501">
        <f>SUM(D200:D205)</f>
        <v>0</v>
      </c>
      <c r="E206" s="171">
        <f t="shared" ref="E206:F206" si="44">SUM(E200:E205)</f>
        <v>121550</v>
      </c>
      <c r="F206" s="171">
        <f t="shared" si="44"/>
        <v>0</v>
      </c>
      <c r="G206" s="171">
        <f>SUM(G200:G205)</f>
        <v>121550</v>
      </c>
      <c r="H206" s="172">
        <f t="shared" si="43"/>
        <v>2.1701263741983813E-2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5829150</v>
      </c>
      <c r="D208" s="501">
        <f>SUM(D25:D206)/2</f>
        <v>-227839.96</v>
      </c>
      <c r="E208" s="171">
        <f t="shared" ref="E208:F208" si="45">SUM(E25:E206)/2</f>
        <v>5601310.04</v>
      </c>
      <c r="F208" s="171">
        <f t="shared" si="45"/>
        <v>-253.74</v>
      </c>
      <c r="G208" s="171">
        <f>SUM(G25:G206)/2</f>
        <v>5601056.2999999998</v>
      </c>
      <c r="H208" s="172">
        <f>IF($G$208=0,0,G208/$G$208)</f>
        <v>1</v>
      </c>
      <c r="I208" s="473"/>
      <c r="J208" s="183">
        <f>SUM(J25:J200)</f>
        <v>127088.5</v>
      </c>
      <c r="K208" s="183">
        <f>SUM(K25:K200)</f>
        <v>134907.5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'[23]Sch C'!D221</f>
        <v>5829150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-922014</v>
      </c>
      <c r="D215" s="501">
        <f>D21-D208</f>
        <v>122277.95999999999</v>
      </c>
      <c r="E215" s="171">
        <f t="shared" ref="E215:F215" si="46">E21-E208</f>
        <v>-799736.04</v>
      </c>
      <c r="F215" s="171">
        <f t="shared" si="46"/>
        <v>253.74</v>
      </c>
      <c r="G215" s="171">
        <f>G21-G208</f>
        <v>-799482.29999999981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'[23]Sch D'!C9</f>
        <v>10504</v>
      </c>
      <c r="D219" s="530"/>
      <c r="E219" s="234">
        <f t="shared" ref="E219:G227" si="47">C219+D219</f>
        <v>10504</v>
      </c>
      <c r="F219" s="233"/>
      <c r="G219" s="234">
        <f t="shared" si="47"/>
        <v>10504</v>
      </c>
      <c r="H219" s="172">
        <f t="shared" ref="H219:H228" si="48">IF($G$228=0,0,G219/$G$228)</f>
        <v>0.4805783044333623</v>
      </c>
      <c r="I219" s="473"/>
      <c r="J219" s="168"/>
      <c r="K219" s="168"/>
    </row>
    <row r="220" spans="1:11">
      <c r="A220" s="163"/>
      <c r="B220" s="170" t="s">
        <v>217</v>
      </c>
      <c r="C220" s="530">
        <f>'[23]Sch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'[23]Sch D'!E9</f>
        <v>1076</v>
      </c>
      <c r="D221" s="530"/>
      <c r="E221" s="234">
        <f t="shared" si="49"/>
        <v>1076</v>
      </c>
      <c r="F221" s="233"/>
      <c r="G221" s="234">
        <f t="shared" si="47"/>
        <v>1076</v>
      </c>
      <c r="H221" s="172">
        <f t="shared" si="48"/>
        <v>4.9229079928626983E-2</v>
      </c>
      <c r="I221" s="473"/>
      <c r="J221" s="168"/>
      <c r="K221" s="168"/>
    </row>
    <row r="222" spans="1:11">
      <c r="A222" s="163"/>
      <c r="B222" s="202" t="s">
        <v>334</v>
      </c>
      <c r="C222" s="530">
        <f>'[23]Sch D'!F9</f>
        <v>1164</v>
      </c>
      <c r="D222" s="530"/>
      <c r="E222" s="234">
        <f>C222+D222</f>
        <v>1164</v>
      </c>
      <c r="F222" s="233"/>
      <c r="G222" s="234">
        <f>E222+F222</f>
        <v>1164</v>
      </c>
      <c r="H222" s="172">
        <f t="shared" si="48"/>
        <v>5.3255250034313951E-2</v>
      </c>
      <c r="I222" s="473"/>
      <c r="J222" s="168"/>
      <c r="K222" s="168"/>
    </row>
    <row r="223" spans="1:11">
      <c r="A223" s="163"/>
      <c r="B223" s="170" t="s">
        <v>73</v>
      </c>
      <c r="C223" s="530">
        <f>'[23]Sch D'!G9</f>
        <v>2115</v>
      </c>
      <c r="D223" s="530"/>
      <c r="E223" s="234">
        <f t="shared" si="49"/>
        <v>2115</v>
      </c>
      <c r="F223" s="233"/>
      <c r="G223" s="234">
        <f t="shared" si="47"/>
        <v>2115</v>
      </c>
      <c r="H223" s="172">
        <f t="shared" si="48"/>
        <v>9.6765338335544682E-2</v>
      </c>
      <c r="I223" s="473"/>
      <c r="J223" s="168"/>
      <c r="K223" s="168"/>
    </row>
    <row r="224" spans="1:11">
      <c r="A224" s="163"/>
      <c r="B224" s="170" t="s">
        <v>74</v>
      </c>
      <c r="C224" s="530">
        <f>'[23]Sch D'!H9</f>
        <v>2344</v>
      </c>
      <c r="D224" s="530"/>
      <c r="E224" s="234">
        <f t="shared" si="49"/>
        <v>2344</v>
      </c>
      <c r="F224" s="233"/>
      <c r="G224" s="234">
        <f t="shared" si="47"/>
        <v>2344</v>
      </c>
      <c r="H224" s="172">
        <f t="shared" si="48"/>
        <v>0.10724253099693462</v>
      </c>
      <c r="I224" s="473"/>
      <c r="J224" s="168"/>
      <c r="K224" s="168"/>
    </row>
    <row r="225" spans="1:11">
      <c r="A225" s="163"/>
      <c r="B225" s="170" t="s">
        <v>236</v>
      </c>
      <c r="C225" s="530">
        <f>'[23]Sch D'!I9</f>
        <v>4244</v>
      </c>
      <c r="D225" s="530"/>
      <c r="E225" s="234">
        <f t="shared" si="49"/>
        <v>4244</v>
      </c>
      <c r="F225" s="233"/>
      <c r="G225" s="234">
        <f t="shared" si="47"/>
        <v>4244</v>
      </c>
      <c r="H225" s="172">
        <f t="shared" si="48"/>
        <v>0.19417120373335772</v>
      </c>
      <c r="I225" s="473"/>
      <c r="J225" s="168"/>
      <c r="K225" s="168"/>
    </row>
    <row r="226" spans="1:11">
      <c r="A226" s="163"/>
      <c r="B226" s="170" t="s">
        <v>235</v>
      </c>
      <c r="C226" s="530">
        <f>'[23]Sch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'[23]Sch D'!K9</f>
        <v>410</v>
      </c>
      <c r="D227" s="530"/>
      <c r="E227" s="234">
        <f t="shared" si="49"/>
        <v>410</v>
      </c>
      <c r="F227" s="233"/>
      <c r="G227" s="234">
        <f t="shared" si="47"/>
        <v>410</v>
      </c>
      <c r="H227" s="172">
        <f t="shared" si="48"/>
        <v>1.8758292537859725E-2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21857</v>
      </c>
      <c r="D228" s="530">
        <f>SUM(D219:D227)</f>
        <v>0</v>
      </c>
      <c r="E228" s="236">
        <f>SUM(E219:E227)</f>
        <v>21857</v>
      </c>
      <c r="F228" s="236">
        <f>SUM(F219:F227)</f>
        <v>0</v>
      </c>
      <c r="G228" s="236">
        <f>SUM(G219:G227)</f>
        <v>21857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'[23]Sch D'!N22</f>
        <v>106</v>
      </c>
      <c r="D231" s="502"/>
      <c r="E231" s="234">
        <f>C231+D231</f>
        <v>106</v>
      </c>
      <c r="F231" s="234"/>
      <c r="G231" s="234">
        <f>E231+F231</f>
        <v>106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'[23]Sch D'!N24</f>
        <v>106</v>
      </c>
      <c r="D232" s="502"/>
      <c r="E232" s="234">
        <f>C232+D232</f>
        <v>106</v>
      </c>
      <c r="F232" s="234"/>
      <c r="G232" s="234">
        <f>E232+F232</f>
        <v>106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'[23]Sch D'!N28</f>
        <v>38690</v>
      </c>
      <c r="D235" s="438"/>
      <c r="E235" s="233">
        <f>E231*E233</f>
        <v>38690</v>
      </c>
      <c r="F235" s="238"/>
      <c r="G235" s="233">
        <f>G231*G233</f>
        <v>38690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'[23]Sch D'!N30</f>
        <v>0.56492633755492372</v>
      </c>
      <c r="D236" s="238"/>
      <c r="E236" s="242">
        <f>E228/E235</f>
        <v>0.56492633755492372</v>
      </c>
      <c r="F236" s="243"/>
      <c r="G236" s="242">
        <f>G228/G235</f>
        <v>0.56492633755492372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'[23]Sch D'!N32</f>
        <v>0.27149134143189457</v>
      </c>
      <c r="D237" s="238"/>
      <c r="E237" s="242">
        <f>(E219+E220)/E235</f>
        <v>0.27149134143189457</v>
      </c>
      <c r="F237" s="243"/>
      <c r="G237" s="242">
        <f>(G219+G220)/G235</f>
        <v>0.27149134143189457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'[23]Sch D'!N34</f>
        <v>0.48057830443336236</v>
      </c>
      <c r="D238" s="238"/>
      <c r="E238" s="242">
        <f>(E237/E236)</f>
        <v>0.48057830443336236</v>
      </c>
      <c r="F238" s="243"/>
      <c r="G238" s="242">
        <f>(G237/G236)</f>
        <v>0.48057830443336236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'[23]Sch B'!C85</f>
        <v>197.84983677910773</v>
      </c>
      <c r="I241" s="475"/>
    </row>
    <row r="242" spans="2:9">
      <c r="F242" s="142" t="s">
        <v>341</v>
      </c>
      <c r="G242" s="501">
        <f>'[23]Sch B'!E85</f>
        <v>197.71858407079645</v>
      </c>
      <c r="I242" s="475"/>
    </row>
    <row r="243" spans="2:9">
      <c r="F243" s="142" t="s">
        <v>342</v>
      </c>
      <c r="G243" s="501">
        <f>'[23]Sch B'!G85</f>
        <v>197.49820788530465</v>
      </c>
      <c r="I243" s="475"/>
    </row>
    <row r="244" spans="2:9">
      <c r="F244" s="142" t="s">
        <v>343</v>
      </c>
      <c r="G244" s="501">
        <f>'[23]Sch B'!I85</f>
        <v>197.69018932874354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E28CAB"/>
  </sheetPr>
  <dimension ref="A1:O246"/>
  <sheetViews>
    <sheetView showGridLines="0" topLeftCell="A49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364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'[24]Sch B'!E10</f>
        <v>2216674</v>
      </c>
      <c r="D11" s="501">
        <f>'[24]Sch B'!G10</f>
        <v>0</v>
      </c>
      <c r="E11" s="171">
        <f>C11+D11</f>
        <v>2216674</v>
      </c>
      <c r="F11" s="171"/>
      <c r="G11" s="171">
        <f t="shared" ref="G11:G20" si="0">E11+F11</f>
        <v>2216674</v>
      </c>
      <c r="H11" s="172">
        <f t="shared" ref="H11:H21" si="1">IF($G$21=0,0,G11/$G$21)</f>
        <v>0.61799020214624967</v>
      </c>
      <c r="I11" s="473"/>
      <c r="J11" s="336" t="s">
        <v>344</v>
      </c>
      <c r="K11" s="337">
        <f>G21</f>
        <v>3586908</v>
      </c>
    </row>
    <row r="12" spans="1:11" s="167" customFormat="1">
      <c r="A12" s="169" t="s">
        <v>15</v>
      </c>
      <c r="B12" s="170" t="s">
        <v>212</v>
      </c>
      <c r="C12" s="501">
        <f>'[24]Sch B'!E15</f>
        <v>71200</v>
      </c>
      <c r="D12" s="501">
        <f>'[24]Sch B'!G15</f>
        <v>0</v>
      </c>
      <c r="E12" s="171">
        <f t="shared" ref="E12:E20" si="2">C12+D12</f>
        <v>71200</v>
      </c>
      <c r="F12" s="171"/>
      <c r="G12" s="171">
        <f>E12+F12</f>
        <v>71200</v>
      </c>
      <c r="H12" s="172">
        <f t="shared" si="1"/>
        <v>1.9849965485593719E-2</v>
      </c>
      <c r="I12" s="473"/>
      <c r="J12" s="338" t="s">
        <v>345</v>
      </c>
      <c r="K12" s="339">
        <f>G208</f>
        <v>3765709.6100000003</v>
      </c>
    </row>
    <row r="13" spans="1:11" s="167" customFormat="1">
      <c r="A13" s="169" t="s">
        <v>16</v>
      </c>
      <c r="B13" s="170" t="s">
        <v>170</v>
      </c>
      <c r="C13" s="501">
        <f>'[24]Sch B'!E21</f>
        <v>697424</v>
      </c>
      <c r="D13" s="501">
        <f>'[24]Sch B'!G21</f>
        <v>0</v>
      </c>
      <c r="E13" s="171">
        <f t="shared" si="2"/>
        <v>697424</v>
      </c>
      <c r="F13" s="171"/>
      <c r="G13" s="171">
        <f t="shared" si="0"/>
        <v>697424</v>
      </c>
      <c r="H13" s="172">
        <f t="shared" si="1"/>
        <v>0.19443598776439205</v>
      </c>
      <c r="I13" s="473"/>
      <c r="J13" s="338" t="s">
        <v>346</v>
      </c>
      <c r="K13" s="339">
        <f>G228</f>
        <v>14966</v>
      </c>
    </row>
    <row r="14" spans="1:11" s="167" customFormat="1">
      <c r="A14" s="173" t="s">
        <v>18</v>
      </c>
      <c r="B14" s="174" t="s">
        <v>306</v>
      </c>
      <c r="C14" s="501">
        <f>'[24]Sch B'!E27</f>
        <v>47437</v>
      </c>
      <c r="D14" s="501">
        <f>'[24]Sch B'!G27</f>
        <v>0</v>
      </c>
      <c r="E14" s="171">
        <f t="shared" si="2"/>
        <v>47437</v>
      </c>
      <c r="F14" s="175"/>
      <c r="G14" s="175">
        <f>E14+F14</f>
        <v>47437</v>
      </c>
      <c r="H14" s="176">
        <f t="shared" si="1"/>
        <v>1.3225039504776817E-2</v>
      </c>
      <c r="I14" s="479"/>
      <c r="J14" s="338" t="s">
        <v>347</v>
      </c>
      <c r="K14" s="339">
        <f>G231</f>
        <v>80</v>
      </c>
    </row>
    <row r="15" spans="1:11" s="167" customFormat="1">
      <c r="A15" s="169" t="s">
        <v>19</v>
      </c>
      <c r="B15" s="170" t="s">
        <v>171</v>
      </c>
      <c r="C15" s="501">
        <f>'[24]Sch B'!E32</f>
        <v>176193</v>
      </c>
      <c r="D15" s="501">
        <f>'[24]Sch B'!G32</f>
        <v>0</v>
      </c>
      <c r="E15" s="171">
        <f t="shared" si="2"/>
        <v>176193</v>
      </c>
      <c r="F15" s="171"/>
      <c r="G15" s="171">
        <f t="shared" si="0"/>
        <v>176193</v>
      </c>
      <c r="H15" s="172">
        <f t="shared" si="1"/>
        <v>4.9121137202292338E-2</v>
      </c>
      <c r="I15" s="473"/>
      <c r="J15" s="338" t="s">
        <v>348</v>
      </c>
      <c r="K15" s="339">
        <f>G235</f>
        <v>29200</v>
      </c>
    </row>
    <row r="16" spans="1:11" s="167" customFormat="1">
      <c r="A16" s="169" t="s">
        <v>21</v>
      </c>
      <c r="B16" s="170" t="s">
        <v>172</v>
      </c>
      <c r="C16" s="501">
        <f>'[24]Sch B'!E37</f>
        <v>124720</v>
      </c>
      <c r="D16" s="501">
        <f>'[24]Sch B'!G37</f>
        <v>0</v>
      </c>
      <c r="E16" s="171">
        <f t="shared" si="2"/>
        <v>124720</v>
      </c>
      <c r="F16" s="171"/>
      <c r="G16" s="171">
        <f t="shared" si="0"/>
        <v>124720</v>
      </c>
      <c r="H16" s="172">
        <f t="shared" si="1"/>
        <v>3.4770894597798439E-2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'[24]Sch B'!E42</f>
        <v>162575</v>
      </c>
      <c r="D17" s="501">
        <f>'[24]Sch B'!G42</f>
        <v>0</v>
      </c>
      <c r="E17" s="171">
        <f t="shared" si="2"/>
        <v>162575</v>
      </c>
      <c r="F17" s="171"/>
      <c r="G17" s="171">
        <f>E17+F17</f>
        <v>162575</v>
      </c>
      <c r="H17" s="172">
        <f t="shared" si="1"/>
        <v>4.532455251152246E-2</v>
      </c>
      <c r="I17" s="473"/>
      <c r="J17" s="338" t="s">
        <v>156</v>
      </c>
      <c r="K17" s="339">
        <f>J208</f>
        <v>86402</v>
      </c>
    </row>
    <row r="18" spans="1:11" s="167" customFormat="1" ht="13.5" thickBot="1">
      <c r="A18" s="169" t="s">
        <v>216</v>
      </c>
      <c r="B18" s="170" t="s">
        <v>229</v>
      </c>
      <c r="C18" s="501">
        <f>'[24]Sch B'!E47</f>
        <v>0</v>
      </c>
      <c r="D18" s="501">
        <f>'[24]Sch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91722</v>
      </c>
    </row>
    <row r="19" spans="1:11" s="167" customFormat="1">
      <c r="A19" s="169" t="s">
        <v>227</v>
      </c>
      <c r="B19" s="177" t="s">
        <v>173</v>
      </c>
      <c r="C19" s="501">
        <f>'[24]Sch B'!E52</f>
        <v>13045</v>
      </c>
      <c r="D19" s="501">
        <f>'[24]Sch B'!G52</f>
        <v>0</v>
      </c>
      <c r="E19" s="171">
        <f t="shared" si="2"/>
        <v>13045</v>
      </c>
      <c r="F19" s="171"/>
      <c r="G19" s="171">
        <f t="shared" si="0"/>
        <v>13045</v>
      </c>
      <c r="H19" s="172">
        <f t="shared" si="1"/>
        <v>3.6368370752748605E-3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'[24]Sch B'!E67</f>
        <v>79568</v>
      </c>
      <c r="D20" s="501">
        <f>'[24]Sch B'!G67</f>
        <v>-1928</v>
      </c>
      <c r="E20" s="171">
        <f t="shared" si="2"/>
        <v>77640</v>
      </c>
      <c r="F20" s="171"/>
      <c r="G20" s="171">
        <f t="shared" si="0"/>
        <v>77640</v>
      </c>
      <c r="H20" s="172">
        <f t="shared" si="1"/>
        <v>2.1645383712099668E-2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3588836</v>
      </c>
      <c r="D21" s="501">
        <f>SUM(D11:D20)</f>
        <v>-1928</v>
      </c>
      <c r="E21" s="171">
        <f>SUM(E11:E20)</f>
        <v>3586908</v>
      </c>
      <c r="F21" s="171">
        <f>SUM(F11:F20)</f>
        <v>0</v>
      </c>
      <c r="G21" s="171">
        <f>SUM(G11:G20)</f>
        <v>3586908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'[24]Sch C'!D10</f>
        <v>0</v>
      </c>
      <c r="D25" s="501">
        <f>'[24]Sch C'!F10</f>
        <v>97444</v>
      </c>
      <c r="E25" s="171">
        <f t="shared" ref="E25:E60" si="3">C25+D25</f>
        <v>97444</v>
      </c>
      <c r="F25" s="171"/>
      <c r="G25" s="182">
        <f>E25+F25</f>
        <v>97444</v>
      </c>
      <c r="H25" s="172">
        <f>IF($G$208=0,0,G25/$G$208)</f>
        <v>2.5876663389347219E-2</v>
      </c>
      <c r="I25" s="473"/>
      <c r="J25" s="183">
        <v>2048</v>
      </c>
      <c r="K25" s="183">
        <v>2236</v>
      </c>
    </row>
    <row r="26" spans="1:11" s="167" customFormat="1">
      <c r="A26" s="169" t="s">
        <v>84</v>
      </c>
      <c r="B26" s="170" t="s">
        <v>176</v>
      </c>
      <c r="C26" s="501">
        <f>'[24]Sch C'!D11</f>
        <v>0</v>
      </c>
      <c r="D26" s="501">
        <f>'[24]Sch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'[24]Sch C'!D12</f>
        <v>196968</v>
      </c>
      <c r="D27" s="501">
        <f>'[24]Sch C'!F12</f>
        <v>-97444</v>
      </c>
      <c r="E27" s="171">
        <f t="shared" si="3"/>
        <v>99524</v>
      </c>
      <c r="F27" s="171"/>
      <c r="G27" s="171">
        <f t="shared" si="4"/>
        <v>99524</v>
      </c>
      <c r="H27" s="172">
        <f t="shared" si="5"/>
        <v>2.6429016123736635E-2</v>
      </c>
      <c r="I27" s="473"/>
      <c r="J27" s="183">
        <v>5544</v>
      </c>
      <c r="K27" s="183">
        <v>5969</v>
      </c>
    </row>
    <row r="28" spans="1:11" s="167" customFormat="1">
      <c r="A28" s="169" t="s">
        <v>86</v>
      </c>
      <c r="B28" s="170" t="s">
        <v>45</v>
      </c>
      <c r="C28" s="501">
        <f>'[24]Sch C'!D13</f>
        <v>308</v>
      </c>
      <c r="D28" s="501">
        <f>'[24]Sch C'!F13</f>
        <v>0</v>
      </c>
      <c r="E28" s="171">
        <f t="shared" si="3"/>
        <v>308</v>
      </c>
      <c r="F28" s="171"/>
      <c r="G28" s="171">
        <f t="shared" si="4"/>
        <v>308</v>
      </c>
      <c r="H28" s="172">
        <f t="shared" si="5"/>
        <v>8.179069336150962E-5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'[24]Sch C'!D14</f>
        <v>0</v>
      </c>
      <c r="D29" s="501">
        <f>'[24]Sch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'[24]Sch C'!D15</f>
        <v>0</v>
      </c>
      <c r="D30" s="501">
        <f>'[24]Sch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'[24]Sch C'!D16</f>
        <v>179478</v>
      </c>
      <c r="D31" s="501">
        <f>'[24]Sch C'!F16</f>
        <v>317308</v>
      </c>
      <c r="E31" s="171">
        <f t="shared" si="3"/>
        <v>496786</v>
      </c>
      <c r="F31" s="171"/>
      <c r="G31" s="171">
        <f t="shared" si="4"/>
        <v>496786</v>
      </c>
      <c r="H31" s="172">
        <f t="shared" si="5"/>
        <v>0.13192360841652895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'[24]Sch C'!D17</f>
        <v>563</v>
      </c>
      <c r="D32" s="501">
        <f>'[24]Sch C'!F17</f>
        <v>-563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'[24]Sch C'!D18</f>
        <v>20275</v>
      </c>
      <c r="D33" s="501">
        <f>'[24]Sch C'!F18</f>
        <v>0</v>
      </c>
      <c r="E33" s="171">
        <f t="shared" si="3"/>
        <v>20275</v>
      </c>
      <c r="F33" s="171"/>
      <c r="G33" s="171">
        <f t="shared" si="4"/>
        <v>20275</v>
      </c>
      <c r="H33" s="172">
        <f t="shared" si="5"/>
        <v>5.3841113893006737E-3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'[24]Sch C'!D19</f>
        <v>9617</v>
      </c>
      <c r="D34" s="501">
        <f>'[24]Sch C'!F19</f>
        <v>0</v>
      </c>
      <c r="E34" s="171">
        <f t="shared" si="3"/>
        <v>9617</v>
      </c>
      <c r="F34" s="171"/>
      <c r="G34" s="171">
        <f t="shared" si="4"/>
        <v>9617</v>
      </c>
      <c r="H34" s="172">
        <f t="shared" si="5"/>
        <v>2.5538347339533699E-3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'[24]Sch C'!D20</f>
        <v>7299</v>
      </c>
      <c r="D35" s="501">
        <f>'[24]Sch C'!F20</f>
        <v>0</v>
      </c>
      <c r="E35" s="171">
        <f t="shared" si="3"/>
        <v>7299</v>
      </c>
      <c r="F35" s="171"/>
      <c r="G35" s="171">
        <f t="shared" si="4"/>
        <v>7299</v>
      </c>
      <c r="H35" s="172">
        <f t="shared" si="5"/>
        <v>1.9382801001482425E-3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'[24]Sch C'!D21</f>
        <v>12799</v>
      </c>
      <c r="D36" s="501">
        <f>'[24]Sch C'!F21</f>
        <v>0</v>
      </c>
      <c r="E36" s="171">
        <f t="shared" si="3"/>
        <v>12799</v>
      </c>
      <c r="F36" s="171"/>
      <c r="G36" s="171">
        <f t="shared" si="4"/>
        <v>12799</v>
      </c>
      <c r="H36" s="172">
        <f t="shared" si="5"/>
        <v>3.3988281958894856E-3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'[24]Sch C'!D22</f>
        <v>0</v>
      </c>
      <c r="D37" s="501">
        <f>'[24]Sch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'[24]Sch C'!D23</f>
        <v>8048</v>
      </c>
      <c r="D38" s="501">
        <f>'[24]Sch C'!F23</f>
        <v>0</v>
      </c>
      <c r="E38" s="171">
        <f t="shared" si="3"/>
        <v>8048</v>
      </c>
      <c r="F38" s="171"/>
      <c r="G38" s="171">
        <f t="shared" si="4"/>
        <v>8048</v>
      </c>
      <c r="H38" s="172">
        <f t="shared" si="5"/>
        <v>2.1371801953682774E-3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'[24]Sch C'!D24</f>
        <v>9256</v>
      </c>
      <c r="D39" s="501">
        <f>'[24]Sch C'!F24</f>
        <v>0</v>
      </c>
      <c r="E39" s="171">
        <f t="shared" si="3"/>
        <v>9256</v>
      </c>
      <c r="F39" s="171"/>
      <c r="G39" s="171">
        <f t="shared" si="4"/>
        <v>9256</v>
      </c>
      <c r="H39" s="172">
        <f t="shared" si="5"/>
        <v>2.4579696680328993E-3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'[24]Sch C'!D25</f>
        <v>5356</v>
      </c>
      <c r="D40" s="501">
        <f>'[24]Sch C'!F25</f>
        <v>0</v>
      </c>
      <c r="E40" s="171">
        <f t="shared" si="3"/>
        <v>5356</v>
      </c>
      <c r="F40" s="171"/>
      <c r="G40" s="171">
        <f t="shared" si="4"/>
        <v>5356</v>
      </c>
      <c r="H40" s="172">
        <f t="shared" si="5"/>
        <v>1.4223082910527452E-3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'[24]Sch C'!D26</f>
        <v>254077</v>
      </c>
      <c r="D41" s="501">
        <f>'[24]Sch C'!F26</f>
        <v>0</v>
      </c>
      <c r="E41" s="171">
        <f t="shared" si="3"/>
        <v>254077</v>
      </c>
      <c r="F41" s="171"/>
      <c r="G41" s="171">
        <f t="shared" si="4"/>
        <v>254077</v>
      </c>
      <c r="H41" s="172">
        <f t="shared" si="5"/>
        <v>6.7471214276663249E-2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'[24]Sch C'!D27</f>
        <v>15415</v>
      </c>
      <c r="D42" s="501">
        <f>'[24]Sch C'!F27</f>
        <v>0</v>
      </c>
      <c r="E42" s="171">
        <f t="shared" si="3"/>
        <v>15415</v>
      </c>
      <c r="F42" s="171"/>
      <c r="G42" s="171">
        <f t="shared" si="4"/>
        <v>15415</v>
      </c>
      <c r="H42" s="172">
        <f t="shared" si="5"/>
        <v>4.0935179810638661E-3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'[24]Sch C'!D28</f>
        <v>54564</v>
      </c>
      <c r="D43" s="501">
        <f>'[24]Sch C'!F28</f>
        <v>-54564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'[24]Sch C'!D29</f>
        <v>41668</v>
      </c>
      <c r="D44" s="501">
        <f>'[24]Sch C'!F29</f>
        <v>-41668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'[24]Sch C'!D30</f>
        <v>0</v>
      </c>
      <c r="D45" s="501">
        <f>'[24]Sch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'[24]Sch C'!D31</f>
        <v>0</v>
      </c>
      <c r="D46" s="501">
        <f>'[24]Sch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'[24]Sch C'!D32</f>
        <v>44710</v>
      </c>
      <c r="D47" s="501">
        <f>'[24]Sch C'!F32</f>
        <v>0</v>
      </c>
      <c r="E47" s="171">
        <f t="shared" si="3"/>
        <v>44710</v>
      </c>
      <c r="F47" s="171"/>
      <c r="G47" s="171">
        <f t="shared" si="4"/>
        <v>44710</v>
      </c>
      <c r="H47" s="172">
        <f t="shared" si="5"/>
        <v>1.1872928247380178E-2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'[24]Sch C'!D33</f>
        <v>0</v>
      </c>
      <c r="D48" s="501">
        <f>'[24]Sch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'[24]Sch C'!D34</f>
        <v>45</v>
      </c>
      <c r="D49" s="501">
        <f>'[24]Sch C'!F34</f>
        <v>0</v>
      </c>
      <c r="E49" s="171">
        <f t="shared" si="3"/>
        <v>45</v>
      </c>
      <c r="F49" s="171"/>
      <c r="G49" s="171">
        <f t="shared" si="4"/>
        <v>45</v>
      </c>
      <c r="H49" s="172">
        <f t="shared" si="5"/>
        <v>1.1949938965155627E-5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'[24]Sch C'!D35</f>
        <v>3291</v>
      </c>
      <c r="D50" s="501">
        <f>'[24]Sch C'!F35</f>
        <v>-3291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'[24]Sch C'!D36</f>
        <v>25722</v>
      </c>
      <c r="D51" s="501">
        <f>'[24]Sch C'!F36</f>
        <v>0</v>
      </c>
      <c r="E51" s="171">
        <f t="shared" si="3"/>
        <v>25722</v>
      </c>
      <c r="F51" s="171"/>
      <c r="G51" s="171">
        <f t="shared" si="4"/>
        <v>25722</v>
      </c>
      <c r="H51" s="172">
        <f t="shared" si="5"/>
        <v>6.8305851124829562E-3</v>
      </c>
      <c r="I51" s="473"/>
      <c r="J51" s="183">
        <v>1597</v>
      </c>
      <c r="K51" s="183">
        <v>1819</v>
      </c>
    </row>
    <row r="52" spans="1:11" s="167" customFormat="1">
      <c r="A52" s="163">
        <v>290</v>
      </c>
      <c r="B52" s="170" t="s">
        <v>205</v>
      </c>
      <c r="C52" s="501">
        <f>'[24]Sch C'!D37</f>
        <v>647</v>
      </c>
      <c r="D52" s="501">
        <f>'[24]Sch C'!F37</f>
        <v>0</v>
      </c>
      <c r="E52" s="171">
        <f t="shared" si="3"/>
        <v>647</v>
      </c>
      <c r="F52" s="171"/>
      <c r="G52" s="171">
        <f t="shared" si="4"/>
        <v>647</v>
      </c>
      <c r="H52" s="172">
        <f t="shared" si="5"/>
        <v>1.7181356689901532E-4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'[24]Sch C'!D38</f>
        <v>475</v>
      </c>
      <c r="D53" s="501">
        <f>'[24]Sch C'!F38</f>
        <v>-475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'[24]Sch C'!D39</f>
        <v>2382</v>
      </c>
      <c r="D54" s="501">
        <f>'[24]Sch C'!F39</f>
        <v>0</v>
      </c>
      <c r="E54" s="171">
        <f t="shared" si="3"/>
        <v>2382</v>
      </c>
      <c r="F54" s="171"/>
      <c r="G54" s="171">
        <f t="shared" si="4"/>
        <v>2382</v>
      </c>
      <c r="H54" s="172">
        <f t="shared" si="5"/>
        <v>6.3255010255557108E-4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'[24]Sch C'!D40</f>
        <v>906</v>
      </c>
      <c r="D55" s="501">
        <f>'[24]Sch C'!F40</f>
        <v>-906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'[24]Sch C'!D41</f>
        <v>48482</v>
      </c>
      <c r="D56" s="501">
        <f>'[24]Sch C'!F41</f>
        <v>0</v>
      </c>
      <c r="E56" s="171">
        <f t="shared" si="3"/>
        <v>48482</v>
      </c>
      <c r="F56" s="171"/>
      <c r="G56" s="171">
        <f t="shared" si="4"/>
        <v>48482</v>
      </c>
      <c r="H56" s="172">
        <f t="shared" si="5"/>
        <v>1.2874598686859445E-2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'[24]Sch C'!D42</f>
        <v>700</v>
      </c>
      <c r="D57" s="501">
        <f>'[24]Sch C'!F42</f>
        <v>0</v>
      </c>
      <c r="E57" s="171">
        <f t="shared" si="3"/>
        <v>700</v>
      </c>
      <c r="F57" s="171"/>
      <c r="G57" s="171">
        <f t="shared" si="4"/>
        <v>700</v>
      </c>
      <c r="H57" s="172">
        <f t="shared" si="5"/>
        <v>1.858879394579764E-4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'[24]Sch C'!D43</f>
        <v>7291</v>
      </c>
      <c r="D58" s="501">
        <f>'[24]Sch C'!F43</f>
        <v>-7291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'[24]Sch C'!D44</f>
        <v>0</v>
      </c>
      <c r="D59" s="501">
        <f>'[24]Sch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'[24]Sch C'!D45</f>
        <v>2633</v>
      </c>
      <c r="D60" s="501">
        <f>'[24]Sch C'!F45</f>
        <v>-1750</v>
      </c>
      <c r="E60" s="171">
        <f t="shared" si="3"/>
        <v>883</v>
      </c>
      <c r="F60" s="171">
        <f>-1112.82-23.57</f>
        <v>-1136.3899999999999</v>
      </c>
      <c r="G60" s="171">
        <f t="shared" si="4"/>
        <v>-253.38999999999987</v>
      </c>
      <c r="H60" s="172">
        <f t="shared" si="5"/>
        <v>-6.728877854179517E-5</v>
      </c>
      <c r="I60" s="473" t="s">
        <v>667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952975</v>
      </c>
      <c r="D61" s="501">
        <f>SUM(D25:D60)</f>
        <v>206800</v>
      </c>
      <c r="E61" s="171">
        <f t="shared" ref="E61:F61" si="6">SUM(E25:E60)</f>
        <v>1159775</v>
      </c>
      <c r="F61" s="171">
        <f t="shared" si="6"/>
        <v>-1136.3899999999999</v>
      </c>
      <c r="G61" s="171">
        <f>SUM(G25:G60)</f>
        <v>1158638.6100000001</v>
      </c>
      <c r="H61" s="186">
        <f t="shared" si="5"/>
        <v>0.30768134827050564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'[24]Sch C'!D57</f>
        <v>0</v>
      </c>
      <c r="D64" s="501">
        <f>'[24]Sch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'[24]Sch C'!D58</f>
        <v>83730</v>
      </c>
      <c r="D65" s="501">
        <f>'[24]Sch C'!F58</f>
        <v>0</v>
      </c>
      <c r="E65" s="171">
        <f t="shared" si="7"/>
        <v>83730</v>
      </c>
      <c r="F65" s="171"/>
      <c r="G65" s="171">
        <f t="shared" si="8"/>
        <v>83730</v>
      </c>
      <c r="H65" s="172">
        <f t="shared" si="9"/>
        <v>2.2234853101166234E-2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'[24]Sch C'!D59</f>
        <v>60095</v>
      </c>
      <c r="D66" s="501">
        <f>'[24]Sch C'!F59</f>
        <v>0</v>
      </c>
      <c r="E66" s="171">
        <f t="shared" si="7"/>
        <v>60095</v>
      </c>
      <c r="F66" s="171"/>
      <c r="G66" s="171">
        <f t="shared" si="8"/>
        <v>60095</v>
      </c>
      <c r="H66" s="172">
        <f t="shared" si="9"/>
        <v>1.5958479602467275E-2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'[24]Sch C'!D60</f>
        <v>10192</v>
      </c>
      <c r="D67" s="501">
        <f>'[24]Sch C'!F60</f>
        <v>0</v>
      </c>
      <c r="E67" s="171">
        <f t="shared" si="7"/>
        <v>10192</v>
      </c>
      <c r="F67" s="171"/>
      <c r="G67" s="171">
        <f t="shared" si="8"/>
        <v>10192</v>
      </c>
      <c r="H67" s="172">
        <f t="shared" si="9"/>
        <v>2.7065283985081364E-3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'[24]Sch C'!D61</f>
        <v>3419</v>
      </c>
      <c r="D68" s="501">
        <f>'[24]Sch C'!F61</f>
        <v>0</v>
      </c>
      <c r="E68" s="171">
        <f t="shared" si="7"/>
        <v>3419</v>
      </c>
      <c r="F68" s="171"/>
      <c r="G68" s="171">
        <f t="shared" si="8"/>
        <v>3419</v>
      </c>
      <c r="H68" s="172">
        <f t="shared" si="9"/>
        <v>9.0792980715260195E-4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'[24]Sch C'!D62</f>
        <v>0</v>
      </c>
      <c r="D69" s="501">
        <f>'[24]Sch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'[24]Sch C'!D63</f>
        <v>0</v>
      </c>
      <c r="D70" s="501">
        <f>'[24]Sch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'[24]Sch C'!D64</f>
        <v>0</v>
      </c>
      <c r="D71" s="501">
        <f>'[24]Sch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'[24]Sch C'!D65</f>
        <v>2946</v>
      </c>
      <c r="D72" s="501">
        <f>'[24]Sch C'!F65</f>
        <v>0</v>
      </c>
      <c r="E72" s="171">
        <f t="shared" si="7"/>
        <v>2946</v>
      </c>
      <c r="F72" s="171"/>
      <c r="G72" s="171">
        <f t="shared" si="8"/>
        <v>2946</v>
      </c>
      <c r="H72" s="172">
        <f t="shared" si="9"/>
        <v>7.8232267091885499E-4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'[24]Sch C'!D66</f>
        <v>37368</v>
      </c>
      <c r="D73" s="501">
        <f>'[24]Sch C'!F66</f>
        <v>-606</v>
      </c>
      <c r="E73" s="171">
        <f t="shared" si="7"/>
        <v>36762</v>
      </c>
      <c r="F73" s="171"/>
      <c r="G73" s="171">
        <f t="shared" si="8"/>
        <v>36762</v>
      </c>
      <c r="H73" s="172">
        <f t="shared" si="9"/>
        <v>9.7623034719344689E-3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'[24]Sch C'!D67</f>
        <v>27486</v>
      </c>
      <c r="D74" s="501">
        <f>'[24]Sch C'!F67</f>
        <v>0</v>
      </c>
      <c r="E74" s="171">
        <f t="shared" si="7"/>
        <v>27486</v>
      </c>
      <c r="F74" s="171"/>
      <c r="G74" s="171">
        <f t="shared" si="8"/>
        <v>27486</v>
      </c>
      <c r="H74" s="172">
        <f t="shared" si="9"/>
        <v>7.2990227199170562E-3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'[24]Sch C'!D68</f>
        <v>0</v>
      </c>
      <c r="D75" s="501">
        <f>'[24]Sch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'[24]Sch C'!D69</f>
        <v>4349</v>
      </c>
      <c r="D76" s="501">
        <f>'[24]Sch C'!F69</f>
        <v>0</v>
      </c>
      <c r="E76" s="171">
        <f t="shared" si="7"/>
        <v>4349</v>
      </c>
      <c r="F76" s="171"/>
      <c r="G76" s="171">
        <f t="shared" si="8"/>
        <v>4349</v>
      </c>
      <c r="H76" s="172">
        <f t="shared" si="9"/>
        <v>1.1548952124324848E-3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'[24]Sch C'!D70</f>
        <v>-429</v>
      </c>
      <c r="D77" s="501">
        <f>'[24]Sch C'!F70</f>
        <v>0</v>
      </c>
      <c r="E77" s="171">
        <f t="shared" si="7"/>
        <v>-429</v>
      </c>
      <c r="F77" s="171"/>
      <c r="G77" s="171">
        <f t="shared" si="8"/>
        <v>-429</v>
      </c>
      <c r="H77" s="172">
        <f t="shared" si="9"/>
        <v>-1.1392275146781697E-4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'[24]Sch C'!D71</f>
        <v>0</v>
      </c>
      <c r="D78" s="501">
        <f>'[24]Sch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229156</v>
      </c>
      <c r="D79" s="501">
        <f>SUM(D64:D78)</f>
        <v>-606</v>
      </c>
      <c r="E79" s="171">
        <f t="shared" ref="E79:F79" si="10">SUM(E64:E78)</f>
        <v>228550</v>
      </c>
      <c r="F79" s="171">
        <f t="shared" si="10"/>
        <v>0</v>
      </c>
      <c r="G79" s="171">
        <f>SUM(G64:G78)</f>
        <v>228550</v>
      </c>
      <c r="H79" s="172">
        <f t="shared" si="9"/>
        <v>6.0692412233029298E-2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'[24]Sch C'!D75</f>
        <v>41580</v>
      </c>
      <c r="D82" s="501">
        <f>'[24]Sch C'!F75</f>
        <v>0</v>
      </c>
      <c r="E82" s="171">
        <f t="shared" ref="E82:E92" si="11">C82+D82</f>
        <v>41580</v>
      </c>
      <c r="F82" s="171"/>
      <c r="G82" s="171">
        <f t="shared" ref="G82:G92" si="12">E82+F82</f>
        <v>41580</v>
      </c>
      <c r="H82" s="172">
        <f t="shared" ref="H82:H93" si="13">IF($G$208=0,0,G82/$G$208)</f>
        <v>1.1041743603803798E-2</v>
      </c>
      <c r="I82" s="473"/>
      <c r="J82" s="183">
        <v>1871</v>
      </c>
      <c r="K82" s="183">
        <v>2109</v>
      </c>
    </row>
    <row r="83" spans="1:11" s="167" customFormat="1">
      <c r="A83" s="169" t="s">
        <v>86</v>
      </c>
      <c r="B83" s="199" t="s">
        <v>45</v>
      </c>
      <c r="C83" s="501">
        <f>'[24]Sch C'!D76</f>
        <v>6246</v>
      </c>
      <c r="D83" s="501">
        <f>'[24]Sch C'!F76</f>
        <v>0</v>
      </c>
      <c r="E83" s="171">
        <f t="shared" si="11"/>
        <v>6246</v>
      </c>
      <c r="F83" s="171"/>
      <c r="G83" s="171">
        <f t="shared" si="12"/>
        <v>6246</v>
      </c>
      <c r="H83" s="172">
        <f t="shared" si="13"/>
        <v>1.6586515283636008E-3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'[24]Sch C'!D77</f>
        <v>3483</v>
      </c>
      <c r="D84" s="501">
        <f>'[24]Sch C'!F77</f>
        <v>0</v>
      </c>
      <c r="E84" s="171">
        <f t="shared" si="11"/>
        <v>3483</v>
      </c>
      <c r="F84" s="171"/>
      <c r="G84" s="171">
        <f t="shared" si="12"/>
        <v>3483</v>
      </c>
      <c r="H84" s="172">
        <f t="shared" si="13"/>
        <v>9.2492527590304547E-4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'[24]Sch C'!D78</f>
        <v>0</v>
      </c>
      <c r="D85" s="501">
        <f>'[24]Sch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'[24]Sch C'!D79</f>
        <v>774</v>
      </c>
      <c r="D86" s="501">
        <f>'[24]Sch C'!F79</f>
        <v>0</v>
      </c>
      <c r="E86" s="171">
        <f t="shared" si="11"/>
        <v>774</v>
      </c>
      <c r="F86" s="171"/>
      <c r="G86" s="171">
        <f>E86+F86</f>
        <v>774</v>
      </c>
      <c r="H86" s="172">
        <f t="shared" si="13"/>
        <v>2.0553895020067678E-4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'[24]Sch C'!D80</f>
        <v>12629</v>
      </c>
      <c r="D87" s="501">
        <f>'[24]Sch C'!F80</f>
        <v>0</v>
      </c>
      <c r="E87" s="171">
        <f t="shared" si="11"/>
        <v>12629</v>
      </c>
      <c r="F87" s="171"/>
      <c r="G87" s="171">
        <f t="shared" si="12"/>
        <v>12629</v>
      </c>
      <c r="H87" s="172">
        <f t="shared" si="13"/>
        <v>3.3536839820211199E-3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'[24]Sch C'!D81</f>
        <v>11044</v>
      </c>
      <c r="D88" s="501">
        <f>'[24]Sch C'!F81</f>
        <v>0</v>
      </c>
      <c r="E88" s="171">
        <f t="shared" si="11"/>
        <v>11044</v>
      </c>
      <c r="F88" s="171"/>
      <c r="G88" s="171">
        <f t="shared" si="12"/>
        <v>11044</v>
      </c>
      <c r="H88" s="172">
        <f t="shared" si="13"/>
        <v>2.9327805762484165E-3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'[24]Sch C'!D82</f>
        <v>12547</v>
      </c>
      <c r="D89" s="501">
        <f>'[24]Sch C'!F82</f>
        <v>0</v>
      </c>
      <c r="E89" s="171">
        <f t="shared" si="11"/>
        <v>12547</v>
      </c>
      <c r="F89" s="171"/>
      <c r="G89" s="171">
        <f t="shared" si="12"/>
        <v>12547</v>
      </c>
      <c r="H89" s="172">
        <f t="shared" si="13"/>
        <v>3.331908537684614E-3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'[24]Sch C'!D83</f>
        <v>5186</v>
      </c>
      <c r="D90" s="501">
        <f>'[24]Sch C'!F83</f>
        <v>0</v>
      </c>
      <c r="E90" s="171">
        <f t="shared" si="11"/>
        <v>5186</v>
      </c>
      <c r="F90" s="171"/>
      <c r="G90" s="171">
        <f t="shared" si="12"/>
        <v>5186</v>
      </c>
      <c r="H90" s="172">
        <f t="shared" si="13"/>
        <v>1.3771640771843795E-3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'[24]Sch C'!D84</f>
        <v>40316</v>
      </c>
      <c r="D91" s="501">
        <f>'[24]Sch C'!F84</f>
        <v>0</v>
      </c>
      <c r="E91" s="171">
        <f t="shared" si="11"/>
        <v>40316</v>
      </c>
      <c r="F91" s="171"/>
      <c r="G91" s="171">
        <f t="shared" si="12"/>
        <v>40316</v>
      </c>
      <c r="H91" s="172">
        <f t="shared" si="13"/>
        <v>1.0706083095982538E-2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'[24]Sch C'!D85</f>
        <v>0</v>
      </c>
      <c r="D92" s="501">
        <f>'[24]Sch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133805</v>
      </c>
      <c r="D93" s="501">
        <f>SUM(D82:D92)</f>
        <v>0</v>
      </c>
      <c r="E93" s="171">
        <f t="shared" ref="E93:F93" si="14">SUM(E82:E92)</f>
        <v>133805</v>
      </c>
      <c r="F93" s="171">
        <f t="shared" si="14"/>
        <v>0</v>
      </c>
      <c r="G93" s="171">
        <f>SUM(G82:G92)</f>
        <v>133805</v>
      </c>
      <c r="H93" s="172">
        <f t="shared" si="13"/>
        <v>3.5532479627392193E-2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'[24]Sch C'!D89</f>
        <v>0</v>
      </c>
      <c r="D96" s="501">
        <f>'[24]Sch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'[24]Sch C'!D90</f>
        <v>0</v>
      </c>
      <c r="D97" s="501">
        <f>'[24]Sch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'[24]Sch C'!D91</f>
        <v>276861</v>
      </c>
      <c r="D98" s="501">
        <f>'[24]Sch C'!F91</f>
        <v>0</v>
      </c>
      <c r="E98" s="171">
        <f t="shared" si="15"/>
        <v>276861</v>
      </c>
      <c r="F98" s="171"/>
      <c r="G98" s="171">
        <f t="shared" si="16"/>
        <v>276861</v>
      </c>
      <c r="H98" s="172">
        <f t="shared" si="17"/>
        <v>7.3521601151821145E-2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'[24]Sch C'!D92</f>
        <v>2316</v>
      </c>
      <c r="D99" s="501">
        <f>'[24]Sch C'!F92</f>
        <v>-1878</v>
      </c>
      <c r="E99" s="171">
        <f t="shared" si="15"/>
        <v>438</v>
      </c>
      <c r="F99" s="171"/>
      <c r="G99" s="171">
        <f t="shared" si="16"/>
        <v>438</v>
      </c>
      <c r="H99" s="172">
        <f t="shared" si="17"/>
        <v>1.1631273926084809E-4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'[24]Sch C'!D93</f>
        <v>1441</v>
      </c>
      <c r="D100" s="501">
        <f>'[24]Sch C'!F93</f>
        <v>0</v>
      </c>
      <c r="E100" s="171">
        <f t="shared" si="15"/>
        <v>1441</v>
      </c>
      <c r="F100" s="171"/>
      <c r="G100" s="171">
        <f t="shared" si="16"/>
        <v>1441</v>
      </c>
      <c r="H100" s="172">
        <f t="shared" si="17"/>
        <v>3.8266360108420573E-4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'[24]Sch C'!D94</f>
        <v>0</v>
      </c>
      <c r="D101" s="501">
        <f>'[24]Sch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280618</v>
      </c>
      <c r="D102" s="501">
        <f>SUM(D96:D101)</f>
        <v>-1878</v>
      </c>
      <c r="E102" s="171">
        <f t="shared" ref="E102:F102" si="18">SUM(E96:E101)</f>
        <v>278740</v>
      </c>
      <c r="F102" s="171">
        <f t="shared" si="18"/>
        <v>0</v>
      </c>
      <c r="G102" s="171">
        <f>SUM(G96:G101)</f>
        <v>278740</v>
      </c>
      <c r="H102" s="172">
        <f t="shared" si="17"/>
        <v>7.4020577492166201E-2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'[24]Sch C'!D98</f>
        <v>0</v>
      </c>
      <c r="D105" s="501">
        <f>'[24]Sch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'[24]Sch C'!D99</f>
        <v>0</v>
      </c>
      <c r="D106" s="501">
        <f>'[24]Sch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'[24]Sch C'!D100</f>
        <v>0</v>
      </c>
      <c r="D107" s="501">
        <f>'[24]Sch C'!F100</f>
        <v>0</v>
      </c>
      <c r="E107" s="171">
        <f t="shared" si="19"/>
        <v>0</v>
      </c>
      <c r="F107" s="171"/>
      <c r="G107" s="171">
        <f t="shared" si="20"/>
        <v>0</v>
      </c>
      <c r="H107" s="172">
        <f t="shared" si="21"/>
        <v>0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'[24]Sch C'!D101</f>
        <v>45783</v>
      </c>
      <c r="D108" s="501">
        <f>'[24]Sch C'!F101</f>
        <v>0</v>
      </c>
      <c r="E108" s="171">
        <f t="shared" si="19"/>
        <v>45783</v>
      </c>
      <c r="F108" s="171"/>
      <c r="G108" s="171">
        <f t="shared" si="20"/>
        <v>45783</v>
      </c>
      <c r="H108" s="172">
        <f t="shared" si="21"/>
        <v>1.2157867903149334E-2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'[24]Sch C'!D102</f>
        <v>2545</v>
      </c>
      <c r="D109" s="501">
        <f>'[24]Sch C'!F102</f>
        <v>0</v>
      </c>
      <c r="E109" s="171">
        <f t="shared" si="19"/>
        <v>2545</v>
      </c>
      <c r="F109" s="171"/>
      <c r="G109" s="171">
        <f t="shared" si="20"/>
        <v>2545</v>
      </c>
      <c r="H109" s="172">
        <f t="shared" si="21"/>
        <v>6.758354370293571E-4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'[24]Sch C'!D103</f>
        <v>0</v>
      </c>
      <c r="D110" s="501">
        <f>'[24]Sch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48328</v>
      </c>
      <c r="D111" s="501">
        <f>SUM(D105:D110)</f>
        <v>0</v>
      </c>
      <c r="E111" s="171">
        <f t="shared" ref="E111:F111" si="22">SUM(E105:E110)</f>
        <v>48328</v>
      </c>
      <c r="F111" s="171">
        <f t="shared" si="22"/>
        <v>0</v>
      </c>
      <c r="G111" s="171">
        <f>SUM(G105:G110)</f>
        <v>48328</v>
      </c>
      <c r="H111" s="172">
        <f t="shared" si="21"/>
        <v>1.2833703340178691E-2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'[24]Sch C'!D115</f>
        <v>0</v>
      </c>
      <c r="D114" s="501">
        <f>'[24]Sch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'[24]Sch C'!D116</f>
        <v>0</v>
      </c>
      <c r="D115" s="501">
        <f>'[24]Sch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'[24]Sch C'!D117</f>
        <v>7235</v>
      </c>
      <c r="D116" s="501">
        <f>'[24]Sch C'!F117</f>
        <v>0</v>
      </c>
      <c r="E116" s="171">
        <f t="shared" si="23"/>
        <v>7235</v>
      </c>
      <c r="F116" s="171"/>
      <c r="G116" s="171">
        <f>E116+F116</f>
        <v>7235</v>
      </c>
      <c r="H116" s="172">
        <f t="shared" si="24"/>
        <v>1.9212846313977989E-3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'[24]Sch C'!D118</f>
        <v>86787</v>
      </c>
      <c r="D117" s="501">
        <f>'[24]Sch C'!F118</f>
        <v>0</v>
      </c>
      <c r="E117" s="171">
        <f t="shared" si="23"/>
        <v>86787</v>
      </c>
      <c r="F117" s="171"/>
      <c r="G117" s="171">
        <f>E117+F117</f>
        <v>86787</v>
      </c>
      <c r="H117" s="172">
        <f t="shared" si="24"/>
        <v>2.3046652288199139E-2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'[24]Sch C'!D119</f>
        <v>0</v>
      </c>
      <c r="D118" s="501">
        <f>'[24]Sch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94022</v>
      </c>
      <c r="D119" s="501">
        <f>SUM(D114:D118)</f>
        <v>0</v>
      </c>
      <c r="E119" s="171">
        <f t="shared" ref="E119:F119" si="25">SUM(E114:E118)</f>
        <v>94022</v>
      </c>
      <c r="F119" s="171">
        <f t="shared" si="25"/>
        <v>0</v>
      </c>
      <c r="G119" s="171">
        <f>SUM(G114:G118)</f>
        <v>94022</v>
      </c>
      <c r="H119" s="172">
        <f t="shared" si="24"/>
        <v>2.496793691959694E-2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'[24]Sch C'!D124</f>
        <v>83</v>
      </c>
      <c r="D123" s="501">
        <f>'[24]Sch C'!F124</f>
        <v>0</v>
      </c>
      <c r="E123" s="171">
        <f t="shared" ref="E123:E127" si="26">C123+D123</f>
        <v>83</v>
      </c>
      <c r="F123" s="171"/>
      <c r="G123" s="171">
        <f>E123+F123</f>
        <v>83</v>
      </c>
      <c r="H123" s="172">
        <f>IF($G$208=0,0,G123/$G$208)</f>
        <v>2.2040998535731489E-5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'[24]Sch C'!D125</f>
        <v>137192</v>
      </c>
      <c r="D124" s="501">
        <f>'[24]Sch C'!F125</f>
        <v>0</v>
      </c>
      <c r="E124" s="171">
        <f t="shared" si="26"/>
        <v>137192</v>
      </c>
      <c r="F124" s="171"/>
      <c r="G124" s="171">
        <f>E124+F124</f>
        <v>137192</v>
      </c>
      <c r="H124" s="172">
        <f>IF($G$208=0,0,G124/$G$208)</f>
        <v>3.6431911700169572E-2</v>
      </c>
      <c r="I124" s="473"/>
      <c r="J124" s="183">
        <v>2930</v>
      </c>
      <c r="K124" s="183">
        <v>3084</v>
      </c>
    </row>
    <row r="125" spans="1:11" s="167" customFormat="1">
      <c r="A125" s="163" t="s">
        <v>198</v>
      </c>
      <c r="B125" s="163" t="s">
        <v>195</v>
      </c>
      <c r="C125" s="501">
        <f>'[24]Sch C'!D126</f>
        <v>0</v>
      </c>
      <c r="D125" s="501">
        <f>'[24]Sch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'[24]Sch C'!D127</f>
        <v>0</v>
      </c>
      <c r="D126" s="501">
        <f>'[24]Sch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'[24]Sch C'!D128</f>
        <v>25996</v>
      </c>
      <c r="D127" s="501">
        <f>'[24]Sch C'!F128</f>
        <v>0</v>
      </c>
      <c r="E127" s="171">
        <f t="shared" si="26"/>
        <v>25996</v>
      </c>
      <c r="F127" s="171"/>
      <c r="G127" s="171">
        <f>E127+F127</f>
        <v>25996</v>
      </c>
      <c r="H127" s="172">
        <f>IF($G$208=0,0,G127/$G$208)</f>
        <v>6.9033469630707927E-3</v>
      </c>
      <c r="I127" s="473"/>
      <c r="J127" s="183">
        <v>1776</v>
      </c>
      <c r="K127" s="183">
        <v>1909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'[24]Sch C'!D130</f>
        <v>0</v>
      </c>
      <c r="D129" s="501">
        <f>'[24]Sch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'[24]Sch C'!D131</f>
        <v>36443</v>
      </c>
      <c r="D130" s="501">
        <f>'[24]Sch C'!F131</f>
        <v>0</v>
      </c>
      <c r="E130" s="171">
        <f t="shared" si="27"/>
        <v>36443</v>
      </c>
      <c r="F130" s="171"/>
      <c r="G130" s="171">
        <f>E130+F130</f>
        <v>36443</v>
      </c>
      <c r="H130" s="172">
        <f>IF($G$208=0,0,G130/$G$208)</f>
        <v>9.677591682381477E-3</v>
      </c>
      <c r="I130" s="473"/>
      <c r="J130" s="204"/>
      <c r="K130" s="204"/>
    </row>
    <row r="131" spans="1:11" s="167" customFormat="1">
      <c r="B131" s="163" t="s">
        <v>195</v>
      </c>
      <c r="C131" s="501">
        <f>'[24]Sch C'!D132</f>
        <v>0</v>
      </c>
      <c r="D131" s="501">
        <f>'[24]Sch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'[24]Sch C'!D133</f>
        <v>0</v>
      </c>
      <c r="D132" s="501">
        <f>'[24]Sch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'[24]Sch C'!D134</f>
        <v>12828</v>
      </c>
      <c r="D133" s="501">
        <f>'[24]Sch C'!F134</f>
        <v>0</v>
      </c>
      <c r="E133" s="171">
        <f t="shared" si="27"/>
        <v>12828</v>
      </c>
      <c r="F133" s="171"/>
      <c r="G133" s="171">
        <f>E133+F133</f>
        <v>12828</v>
      </c>
      <c r="H133" s="172">
        <f>IF($G$208=0,0,G133/$G$208)</f>
        <v>3.4065292676670306E-3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'[24]Sch C'!D136</f>
        <v>241188</v>
      </c>
      <c r="D135" s="501">
        <f>'[24]Sch C'!F136</f>
        <v>0</v>
      </c>
      <c r="E135" s="171">
        <f t="shared" ref="E135:E138" si="28">C135+D135</f>
        <v>241188</v>
      </c>
      <c r="F135" s="171"/>
      <c r="G135" s="171">
        <f>E135+F135</f>
        <v>241188</v>
      </c>
      <c r="H135" s="172">
        <f>IF($G$208=0,0,G135/$G$208)</f>
        <v>6.4048486202843452E-2</v>
      </c>
      <c r="I135" s="473"/>
      <c r="J135" s="183">
        <v>11492</v>
      </c>
      <c r="K135" s="183">
        <v>12127</v>
      </c>
    </row>
    <row r="136" spans="1:11" s="167" customFormat="1">
      <c r="A136" s="169"/>
      <c r="B136" s="163" t="s">
        <v>195</v>
      </c>
      <c r="C136" s="501">
        <f>'[24]Sch C'!D137</f>
        <v>204189</v>
      </c>
      <c r="D136" s="501">
        <f>'[24]Sch C'!F137</f>
        <v>0</v>
      </c>
      <c r="E136" s="171">
        <f t="shared" si="28"/>
        <v>204189</v>
      </c>
      <c r="F136" s="171"/>
      <c r="G136" s="171">
        <f>E136+F136</f>
        <v>204189</v>
      </c>
      <c r="H136" s="172">
        <f>IF($G$208=0,0,G136/$G$208)</f>
        <v>5.4223246385692495E-2</v>
      </c>
      <c r="I136" s="473"/>
      <c r="J136" s="183">
        <v>12013</v>
      </c>
      <c r="K136" s="183">
        <v>12579</v>
      </c>
    </row>
    <row r="137" spans="1:11" s="167" customFormat="1">
      <c r="A137" s="169"/>
      <c r="B137" s="163" t="s">
        <v>196</v>
      </c>
      <c r="C137" s="501">
        <f>'[24]Sch C'!D138</f>
        <v>360027</v>
      </c>
      <c r="D137" s="501">
        <f>'[24]Sch C'!F138</f>
        <v>6467</v>
      </c>
      <c r="E137" s="171">
        <f t="shared" si="28"/>
        <v>366494</v>
      </c>
      <c r="F137" s="171"/>
      <c r="G137" s="171">
        <f>E137+F137</f>
        <v>366494</v>
      </c>
      <c r="H137" s="172">
        <f>IF($G$208=0,0,G137/$G$208)</f>
        <v>9.7324020691016574E-2</v>
      </c>
      <c r="I137" s="473"/>
      <c r="J137" s="183">
        <v>37326</v>
      </c>
      <c r="K137" s="183">
        <v>39707</v>
      </c>
    </row>
    <row r="138" spans="1:11" s="167" customFormat="1">
      <c r="A138" s="169"/>
      <c r="B138" s="163" t="s">
        <v>197</v>
      </c>
      <c r="C138" s="501">
        <f>'[24]Sch C'!D139</f>
        <v>6467</v>
      </c>
      <c r="D138" s="501">
        <f>'[24]Sch C'!F139</f>
        <v>-6467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'[24]Sch C'!D141</f>
        <v>179978</v>
      </c>
      <c r="D140" s="501">
        <f>'[24]Sch C'!F141</f>
        <v>-126510</v>
      </c>
      <c r="E140" s="171">
        <f t="shared" ref="E140:E143" si="29">C140+D140</f>
        <v>53468</v>
      </c>
      <c r="F140" s="171"/>
      <c r="G140" s="171">
        <f>E140+F140</f>
        <v>53468</v>
      </c>
      <c r="H140" s="172">
        <f>IF($G$208=0,0,G140/$G$208)</f>
        <v>1.4198651924198689E-2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'[24]Sch C'!D142</f>
        <v>0</v>
      </c>
      <c r="D141" s="501">
        <f>'[24]Sch C'!F142</f>
        <v>45265</v>
      </c>
      <c r="E141" s="171">
        <f t="shared" si="29"/>
        <v>45265</v>
      </c>
      <c r="F141" s="171"/>
      <c r="G141" s="171">
        <f>E141+F141</f>
        <v>45265</v>
      </c>
      <c r="H141" s="172">
        <f>IF($G$208=0,0,G141/$G$208)</f>
        <v>1.2020310827950432E-2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'[24]Sch C'!D143</f>
        <v>0</v>
      </c>
      <c r="D142" s="501">
        <f>'[24]Sch C'!F143</f>
        <v>81245</v>
      </c>
      <c r="E142" s="171">
        <f t="shared" si="29"/>
        <v>81245</v>
      </c>
      <c r="F142" s="171"/>
      <c r="G142" s="171">
        <f>E142+F142</f>
        <v>81245</v>
      </c>
      <c r="H142" s="172">
        <f>IF($G$208=0,0,G142/$G$208)</f>
        <v>2.1574950916090418E-2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'[24]Sch C'!D144</f>
        <v>0</v>
      </c>
      <c r="D143" s="501">
        <f>'[24]Sch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'[24]Sch C'!D146</f>
        <v>14775</v>
      </c>
      <c r="D145" s="501">
        <f>'[24]Sch C'!F146</f>
        <v>0</v>
      </c>
      <c r="E145" s="171">
        <f t="shared" ref="E145:E153" si="30">C145+D145</f>
        <v>14775</v>
      </c>
      <c r="F145" s="171"/>
      <c r="G145" s="171">
        <f t="shared" ref="G145:G153" si="31">E145+F145</f>
        <v>14775</v>
      </c>
      <c r="H145" s="172">
        <f t="shared" ref="H145:H153" si="32">IF($G$208=0,0,G145/$G$208)</f>
        <v>3.9235632935594308E-3</v>
      </c>
      <c r="I145" s="473"/>
      <c r="J145" s="183">
        <v>99</v>
      </c>
      <c r="K145" s="183">
        <v>99</v>
      </c>
    </row>
    <row r="146" spans="1:11" s="167" customFormat="1">
      <c r="A146" s="169"/>
      <c r="B146" s="163" t="s">
        <v>194</v>
      </c>
      <c r="C146" s="501">
        <f>'[24]Sch C'!D147</f>
        <v>17477</v>
      </c>
      <c r="D146" s="501">
        <f>'[24]Sch C'!F147</f>
        <v>0</v>
      </c>
      <c r="E146" s="171">
        <f t="shared" si="30"/>
        <v>17477</v>
      </c>
      <c r="F146" s="171"/>
      <c r="G146" s="171">
        <f t="shared" si="31"/>
        <v>17477</v>
      </c>
      <c r="H146" s="172">
        <f t="shared" si="32"/>
        <v>4.6410907398672192E-3</v>
      </c>
      <c r="I146" s="473"/>
      <c r="J146" s="183">
        <v>825</v>
      </c>
      <c r="K146" s="183">
        <v>825</v>
      </c>
    </row>
    <row r="147" spans="1:11" s="167" customFormat="1">
      <c r="A147" s="169"/>
      <c r="B147" s="163" t="s">
        <v>195</v>
      </c>
      <c r="C147" s="501">
        <f>'[24]Sch C'!D148</f>
        <v>62884</v>
      </c>
      <c r="D147" s="501">
        <f>'[24]Sch C'!F148</f>
        <v>0</v>
      </c>
      <c r="E147" s="171">
        <f t="shared" si="30"/>
        <v>62884</v>
      </c>
      <c r="F147" s="171"/>
      <c r="G147" s="171">
        <f t="shared" si="31"/>
        <v>62884</v>
      </c>
      <c r="H147" s="172">
        <f t="shared" si="32"/>
        <v>1.6699110264107697E-2</v>
      </c>
      <c r="I147" s="473"/>
      <c r="J147" s="183">
        <v>3756</v>
      </c>
      <c r="K147" s="183">
        <v>3756</v>
      </c>
    </row>
    <row r="148" spans="1:11" s="167" customFormat="1">
      <c r="A148" s="169"/>
      <c r="B148" s="163" t="s">
        <v>196</v>
      </c>
      <c r="C148" s="501">
        <f>'[24]Sch C'!D149</f>
        <v>0</v>
      </c>
      <c r="D148" s="501">
        <f>'[24]Sch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'[24]Sch C'!D150</f>
        <v>2022</v>
      </c>
      <c r="D149" s="501">
        <f>'[24]Sch C'!F150</f>
        <v>0</v>
      </c>
      <c r="E149" s="171">
        <f t="shared" si="30"/>
        <v>2022</v>
      </c>
      <c r="F149" s="171"/>
      <c r="G149" s="171">
        <f t="shared" si="31"/>
        <v>2022</v>
      </c>
      <c r="H149" s="172">
        <f t="shared" si="32"/>
        <v>5.3695059083432614E-4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'[24]Sch C'!D151</f>
        <v>53571</v>
      </c>
      <c r="D150" s="501">
        <f>'[24]Sch C'!F151</f>
        <v>2561</v>
      </c>
      <c r="E150" s="171">
        <f t="shared" si="30"/>
        <v>56132</v>
      </c>
      <c r="F150" s="171"/>
      <c r="G150" s="171">
        <f t="shared" si="31"/>
        <v>56132</v>
      </c>
      <c r="H150" s="172">
        <f t="shared" si="32"/>
        <v>1.4906088310935902E-2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'[24]Sch C'!D152</f>
        <v>2173</v>
      </c>
      <c r="D151" s="501">
        <f>'[24]Sch C'!F152</f>
        <v>23</v>
      </c>
      <c r="E151" s="171">
        <f t="shared" si="30"/>
        <v>2196</v>
      </c>
      <c r="F151" s="171"/>
      <c r="G151" s="171">
        <f t="shared" si="31"/>
        <v>2196</v>
      </c>
      <c r="H151" s="172">
        <f t="shared" si="32"/>
        <v>5.8315702149959459E-4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'[24]Sch C'!D153</f>
        <v>0</v>
      </c>
      <c r="D152" s="501">
        <f>'[24]Sch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'[24]Sch C'!D154</f>
        <v>0</v>
      </c>
      <c r="D153" s="501">
        <f>'[24]Sch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'[24]Sch C'!D156</f>
        <v>0</v>
      </c>
      <c r="D155" s="501">
        <f>'[24]Sch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'[24]Sch C'!D157</f>
        <v>0</v>
      </c>
      <c r="D156" s="501">
        <f>'[24]Sch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'[24]Sch C'!D158</f>
        <v>2150</v>
      </c>
      <c r="D157" s="501">
        <f>'[24]Sch C'!F158</f>
        <v>0</v>
      </c>
      <c r="E157" s="171">
        <f t="shared" si="33"/>
        <v>2150</v>
      </c>
      <c r="F157" s="171"/>
      <c r="G157" s="171">
        <f t="shared" si="34"/>
        <v>2150</v>
      </c>
      <c r="H157" s="172">
        <f t="shared" si="35"/>
        <v>5.7094152833521319E-4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'[24]Sch C'!D159</f>
        <v>0</v>
      </c>
      <c r="D158" s="501">
        <f>'[24]Sch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'[24]Sch C'!D160</f>
        <v>0</v>
      </c>
      <c r="D159" s="501">
        <f>'[24]Sch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'[24]Sch C'!D161</f>
        <v>9252</v>
      </c>
      <c r="D160" s="501">
        <f>'[24]Sch C'!F161</f>
        <v>397</v>
      </c>
      <c r="E160" s="171">
        <f t="shared" si="33"/>
        <v>9649</v>
      </c>
      <c r="F160" s="171"/>
      <c r="G160" s="171">
        <f t="shared" si="34"/>
        <v>9649</v>
      </c>
      <c r="H160" s="172">
        <f t="shared" si="35"/>
        <v>2.5623324683285917E-3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1368695</v>
      </c>
      <c r="D161" s="501">
        <f>SUM(D123:D160)</f>
        <v>2981</v>
      </c>
      <c r="E161" s="171">
        <f t="shared" ref="E161:F161" si="36">SUM(E123:E160)</f>
        <v>1371676</v>
      </c>
      <c r="F161" s="171">
        <f t="shared" si="36"/>
        <v>0</v>
      </c>
      <c r="G161" s="171">
        <f>SUM(G123:G160)</f>
        <v>1371676</v>
      </c>
      <c r="H161" s="172">
        <f t="shared" si="35"/>
        <v>0.36425432177708461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'[24]Sch C'!D175</f>
        <v>0</v>
      </c>
      <c r="D164" s="501">
        <f>'[24]Sch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'[24]Sch C'!D176</f>
        <v>0</v>
      </c>
      <c r="D165" s="501">
        <f>'[24]Sch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'[24]Sch C'!D177</f>
        <v>0</v>
      </c>
      <c r="D166" s="501">
        <f>'[24]Sch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'[24]Sch C'!D178</f>
        <v>0</v>
      </c>
      <c r="D167" s="501">
        <f>'[24]Sch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'[24]Sch C'!D179</f>
        <v>0</v>
      </c>
      <c r="D168" s="501">
        <f>'[24]Sch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'[24]Sch C'!D180</f>
        <v>0</v>
      </c>
      <c r="D169" s="501">
        <f>'[24]Sch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'[24]Sch C'!D181</f>
        <v>0</v>
      </c>
      <c r="D170" s="501">
        <f>'[24]Sch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'[24]Sch C'!D182</f>
        <v>0</v>
      </c>
      <c r="D171" s="501">
        <f>'[24]Sch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'[24]Sch C'!D183</f>
        <v>0</v>
      </c>
      <c r="D172" s="501">
        <f>'[24]Sch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'[24]Sch C'!D184</f>
        <v>0</v>
      </c>
      <c r="D173" s="501">
        <f>'[24]Sch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'[24]Sch C'!D185</f>
        <v>0</v>
      </c>
      <c r="D174" s="501">
        <f>'[24]Sch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'[24]Sch C'!D186</f>
        <v>0</v>
      </c>
      <c r="D175" s="501">
        <f>'[24]Sch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'[24]Sch C'!D187</f>
        <v>0</v>
      </c>
      <c r="D176" s="501">
        <f>'[24]Sch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'[24]Sch C'!D188</f>
        <v>42</v>
      </c>
      <c r="D177" s="501">
        <f>'[24]Sch C'!F188</f>
        <v>0</v>
      </c>
      <c r="E177" s="171">
        <f t="shared" si="37"/>
        <v>42</v>
      </c>
      <c r="F177" s="216"/>
      <c r="G177" s="171">
        <f t="shared" si="38"/>
        <v>42</v>
      </c>
      <c r="H177" s="172">
        <f t="shared" si="39"/>
        <v>1.1153276367478585E-5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'[24]Sch C'!D189</f>
        <v>0</v>
      </c>
      <c r="D178" s="501">
        <f>'[24]Sch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'[24]Sch C'!D190</f>
        <v>0</v>
      </c>
      <c r="D179" s="501">
        <f>'[24]Sch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'[24]Sch C'!D191</f>
        <v>0</v>
      </c>
      <c r="D180" s="501">
        <f>'[24]Sch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'[24]Sch C'!D192</f>
        <v>0</v>
      </c>
      <c r="D181" s="501">
        <f>'[24]Sch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'[24]Sch C'!D193</f>
        <v>2020</v>
      </c>
      <c r="D182" s="501">
        <f>'[24]Sch C'!F193</f>
        <v>0</v>
      </c>
      <c r="E182" s="171">
        <f t="shared" si="37"/>
        <v>2020</v>
      </c>
      <c r="F182" s="216"/>
      <c r="G182" s="171">
        <f t="shared" si="38"/>
        <v>2020</v>
      </c>
      <c r="H182" s="172">
        <f t="shared" si="39"/>
        <v>5.3641948243587478E-4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'[24]Sch C'!D194</f>
        <v>90088</v>
      </c>
      <c r="D183" s="501">
        <f>'[24]Sch C'!F194</f>
        <v>-3486</v>
      </c>
      <c r="E183" s="171">
        <f t="shared" si="37"/>
        <v>86602</v>
      </c>
      <c r="F183" s="216"/>
      <c r="G183" s="171">
        <f t="shared" si="38"/>
        <v>86602</v>
      </c>
      <c r="H183" s="172">
        <f t="shared" si="39"/>
        <v>2.299752476134239E-2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'[24]Sch C'!D195</f>
        <v>23451</v>
      </c>
      <c r="D184" s="501">
        <f>'[24]Sch C'!F195</f>
        <v>-908</v>
      </c>
      <c r="E184" s="171">
        <f t="shared" si="37"/>
        <v>22543</v>
      </c>
      <c r="F184" s="216"/>
      <c r="G184" s="171">
        <f t="shared" si="38"/>
        <v>22543</v>
      </c>
      <c r="H184" s="172">
        <f t="shared" si="39"/>
        <v>5.9863883131445169E-3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'[24]Sch C'!D196</f>
        <v>0</v>
      </c>
      <c r="D185" s="501">
        <f>'[24]Sch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'[24]Sch C'!D197</f>
        <v>77105</v>
      </c>
      <c r="D186" s="501">
        <f>'[24]Sch C'!F197</f>
        <v>-2984</v>
      </c>
      <c r="E186" s="171">
        <f t="shared" si="37"/>
        <v>74121</v>
      </c>
      <c r="F186" s="216"/>
      <c r="G186" s="171">
        <f t="shared" si="38"/>
        <v>74121</v>
      </c>
      <c r="H186" s="172">
        <f t="shared" si="39"/>
        <v>1.9683142800806672E-2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'[24]Sch C'!D198</f>
        <v>8979</v>
      </c>
      <c r="D187" s="501">
        <f>'[24]Sch C'!F198</f>
        <v>0</v>
      </c>
      <c r="E187" s="171">
        <f t="shared" si="37"/>
        <v>8979</v>
      </c>
      <c r="F187" s="216"/>
      <c r="G187" s="171">
        <f t="shared" si="38"/>
        <v>8979</v>
      </c>
      <c r="H187" s="172">
        <f t="shared" si="39"/>
        <v>2.3844111548473861E-3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'[24]Sch C'!D199</f>
        <v>0</v>
      </c>
      <c r="D188" s="501">
        <f>'[24]Sch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'[24]Sch C'!D200</f>
        <v>0</v>
      </c>
      <c r="D189" s="501">
        <f>'[24]Sch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'[24]Sch C'!D201</f>
        <v>0</v>
      </c>
      <c r="D190" s="501">
        <f>'[24]Sch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'[24]Sch C'!D202</f>
        <v>0</v>
      </c>
      <c r="D191" s="501">
        <f>'[24]Sch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'[24]Sch C'!D203</f>
        <v>0</v>
      </c>
      <c r="D192" s="501">
        <f>'[24]Sch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'[24]Sch C'!D204</f>
        <v>0</v>
      </c>
      <c r="D193" s="501">
        <f>'[24]Sch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'[24]Sch C'!D205</f>
        <v>115702</v>
      </c>
      <c r="D194" s="501">
        <f>'[24]Sch C'!F205</f>
        <v>4877</v>
      </c>
      <c r="E194" s="171">
        <f t="shared" si="37"/>
        <v>120579</v>
      </c>
      <c r="F194" s="216"/>
      <c r="G194" s="171">
        <f t="shared" si="38"/>
        <v>120579</v>
      </c>
      <c r="H194" s="172">
        <f t="shared" si="39"/>
        <v>3.2020259788433342E-2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'[24]Sch C'!D206</f>
        <v>3133</v>
      </c>
      <c r="D195" s="501">
        <f>'[24]Sch C'!F206</f>
        <v>0</v>
      </c>
      <c r="E195" s="171">
        <f t="shared" si="37"/>
        <v>3133</v>
      </c>
      <c r="F195" s="216"/>
      <c r="G195" s="171">
        <f t="shared" si="38"/>
        <v>3133</v>
      </c>
      <c r="H195" s="172">
        <f t="shared" si="39"/>
        <v>8.3198130617405722E-4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'[24]Sch C'!D207</f>
        <v>395</v>
      </c>
      <c r="D196" s="501">
        <f>'[24]Sch C'!F207</f>
        <v>0</v>
      </c>
      <c r="E196" s="171">
        <f t="shared" si="37"/>
        <v>395</v>
      </c>
      <c r="F196" s="216"/>
      <c r="G196" s="171">
        <f t="shared" si="38"/>
        <v>395</v>
      </c>
      <c r="H196" s="172">
        <f t="shared" si="39"/>
        <v>1.0489390869414383E-4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320915</v>
      </c>
      <c r="D197" s="501">
        <f>SUM(D164:D196)</f>
        <v>-2501</v>
      </c>
      <c r="E197" s="171">
        <f t="shared" ref="E197:F197" si="40">SUM(E164:E196)</f>
        <v>318414</v>
      </c>
      <c r="F197" s="171">
        <f t="shared" si="40"/>
        <v>0</v>
      </c>
      <c r="G197" s="171">
        <f>SUM(G164:G196)</f>
        <v>318414</v>
      </c>
      <c r="H197" s="172">
        <f>IF($G$208=0,0,G197/$G$208)</f>
        <v>8.455617479224585E-2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'[24]Sch C'!D211</f>
        <v>88779</v>
      </c>
      <c r="D200" s="501">
        <f>'[24]Sch C'!F211</f>
        <v>0</v>
      </c>
      <c r="E200" s="171">
        <f t="shared" ref="E200:E205" si="41">C200+D200</f>
        <v>88779</v>
      </c>
      <c r="F200" s="171"/>
      <c r="G200" s="171">
        <f t="shared" ref="G200:G205" si="42">E200+F200</f>
        <v>88779</v>
      </c>
      <c r="H200" s="172">
        <f t="shared" ref="H200:H206" si="43">IF($G$208=0,0,G200/$G$208)</f>
        <v>2.3575636253056698E-2</v>
      </c>
      <c r="I200" s="473"/>
      <c r="J200" s="183">
        <v>5125</v>
      </c>
      <c r="K200" s="183">
        <v>5503</v>
      </c>
    </row>
    <row r="201" spans="1:14" s="167" customFormat="1">
      <c r="A201" s="169" t="s">
        <v>86</v>
      </c>
      <c r="B201" s="170" t="s">
        <v>45</v>
      </c>
      <c r="C201" s="501">
        <f>'[24]Sch C'!D212</f>
        <v>39375</v>
      </c>
      <c r="D201" s="501">
        <f>'[24]Sch C'!F212</f>
        <v>0</v>
      </c>
      <c r="E201" s="171">
        <f t="shared" si="41"/>
        <v>39375</v>
      </c>
      <c r="F201" s="171"/>
      <c r="G201" s="171">
        <f t="shared" si="42"/>
        <v>39375</v>
      </c>
      <c r="H201" s="172">
        <f t="shared" si="43"/>
        <v>1.0456196594511172E-2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'[24]Sch C'!D213</f>
        <v>3452</v>
      </c>
      <c r="D202" s="501">
        <f>'[24]Sch C'!F213</f>
        <v>0</v>
      </c>
      <c r="E202" s="171">
        <f t="shared" si="41"/>
        <v>3452</v>
      </c>
      <c r="F202" s="171"/>
      <c r="G202" s="171">
        <f t="shared" si="42"/>
        <v>3452</v>
      </c>
      <c r="H202" s="172">
        <f t="shared" si="43"/>
        <v>9.1669309572704933E-4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'[24]Sch C'!D214</f>
        <v>0</v>
      </c>
      <c r="D203" s="501">
        <f>'[24]Sch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'[24]Sch C'!D215</f>
        <v>0</v>
      </c>
      <c r="D204" s="501">
        <f>'[24]Sch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'[24]Sch C'!D216</f>
        <v>1930</v>
      </c>
      <c r="D205" s="501">
        <f>'[24]Sch C'!F216</f>
        <v>0</v>
      </c>
      <c r="E205" s="171">
        <f t="shared" si="41"/>
        <v>1930</v>
      </c>
      <c r="F205" s="171"/>
      <c r="G205" s="171">
        <f t="shared" si="42"/>
        <v>1930</v>
      </c>
      <c r="H205" s="172">
        <f t="shared" si="43"/>
        <v>5.1251960450556346E-4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133536</v>
      </c>
      <c r="D206" s="501">
        <f>SUM(D200:D205)</f>
        <v>0</v>
      </c>
      <c r="E206" s="171">
        <f t="shared" ref="E206:F206" si="44">SUM(E200:E205)</f>
        <v>133536</v>
      </c>
      <c r="F206" s="171">
        <f t="shared" si="44"/>
        <v>0</v>
      </c>
      <c r="G206" s="171">
        <f>SUM(G200:G205)</f>
        <v>133536</v>
      </c>
      <c r="H206" s="172">
        <f t="shared" si="43"/>
        <v>3.5461045547800482E-2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3562050</v>
      </c>
      <c r="D208" s="501">
        <f>SUM(D25:D206)/2</f>
        <v>204796</v>
      </c>
      <c r="E208" s="171">
        <f t="shared" ref="E208:F208" si="45">SUM(E25:E206)/2</f>
        <v>3766846</v>
      </c>
      <c r="F208" s="171">
        <f t="shared" si="45"/>
        <v>-1136.3899999999999</v>
      </c>
      <c r="G208" s="171">
        <f>SUM(G25:G206)/2</f>
        <v>3765709.6100000003</v>
      </c>
      <c r="H208" s="172">
        <f>IF($G$208=0,0,G208/$G$208)</f>
        <v>1</v>
      </c>
      <c r="I208" s="473"/>
      <c r="J208" s="183">
        <f>SUM(J25:J200)</f>
        <v>86402</v>
      </c>
      <c r="K208" s="183">
        <f>SUM(K25:K200)</f>
        <v>91722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'[24]Sch C'!D221</f>
        <v>3562050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26786</v>
      </c>
      <c r="D215" s="501">
        <f>D21-D208</f>
        <v>-206724</v>
      </c>
      <c r="E215" s="171">
        <f t="shared" ref="E215:F215" si="46">E21-E208</f>
        <v>-179938</v>
      </c>
      <c r="F215" s="171">
        <f t="shared" si="46"/>
        <v>1136.3899999999999</v>
      </c>
      <c r="G215" s="171">
        <f>G21-G208</f>
        <v>-178801.61000000034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'[24]Sch D'!C9</f>
        <v>10886</v>
      </c>
      <c r="D219" s="530"/>
      <c r="E219" s="234">
        <f t="shared" ref="E219:G227" si="47">C219+D219</f>
        <v>10886</v>
      </c>
      <c r="F219" s="233"/>
      <c r="G219" s="234">
        <f t="shared" si="47"/>
        <v>10886</v>
      </c>
      <c r="H219" s="172">
        <f t="shared" ref="H219:H228" si="48">IF($G$228=0,0,G219/$G$228)</f>
        <v>0.72738206601630362</v>
      </c>
      <c r="I219" s="473"/>
      <c r="J219" s="168"/>
      <c r="K219" s="168"/>
    </row>
    <row r="220" spans="1:11">
      <c r="A220" s="163"/>
      <c r="B220" s="170" t="s">
        <v>217</v>
      </c>
      <c r="C220" s="530">
        <f>'[24]Sch D'!D9</f>
        <v>335</v>
      </c>
      <c r="D220" s="530"/>
      <c r="E220" s="234">
        <f t="shared" ref="E220:E227" si="49">C220+D220</f>
        <v>335</v>
      </c>
      <c r="F220" s="233"/>
      <c r="G220" s="234">
        <f t="shared" si="47"/>
        <v>335</v>
      </c>
      <c r="H220" s="172">
        <f t="shared" si="48"/>
        <v>2.2384070559935854E-2</v>
      </c>
      <c r="I220" s="473"/>
      <c r="J220" s="168"/>
      <c r="K220" s="168"/>
    </row>
    <row r="221" spans="1:11">
      <c r="A221" s="163"/>
      <c r="B221" s="170" t="s">
        <v>72</v>
      </c>
      <c r="C221" s="530">
        <f>'[24]Sch D'!E9</f>
        <v>1317</v>
      </c>
      <c r="D221" s="530"/>
      <c r="E221" s="234">
        <f t="shared" si="49"/>
        <v>1317</v>
      </c>
      <c r="F221" s="233"/>
      <c r="G221" s="234">
        <f t="shared" si="47"/>
        <v>1317</v>
      </c>
      <c r="H221" s="172">
        <f t="shared" si="48"/>
        <v>8.79994654550314E-2</v>
      </c>
      <c r="I221" s="473"/>
      <c r="J221" s="168"/>
      <c r="K221" s="168"/>
    </row>
    <row r="222" spans="1:11">
      <c r="A222" s="163"/>
      <c r="B222" s="202" t="s">
        <v>334</v>
      </c>
      <c r="C222" s="530">
        <f>'[24]Sch D'!F9</f>
        <v>90</v>
      </c>
      <c r="D222" s="530"/>
      <c r="E222" s="234">
        <f>C222+D222</f>
        <v>90</v>
      </c>
      <c r="F222" s="233"/>
      <c r="G222" s="234">
        <f>E222+F222</f>
        <v>90</v>
      </c>
      <c r="H222" s="172">
        <f t="shared" si="48"/>
        <v>6.0136308966991852E-3</v>
      </c>
      <c r="I222" s="473"/>
      <c r="J222" s="168"/>
      <c r="K222" s="168"/>
    </row>
    <row r="223" spans="1:11">
      <c r="A223" s="163"/>
      <c r="B223" s="170" t="s">
        <v>73</v>
      </c>
      <c r="C223" s="530">
        <f>'[24]Sch D'!G9</f>
        <v>766</v>
      </c>
      <c r="D223" s="530"/>
      <c r="E223" s="234">
        <f t="shared" si="49"/>
        <v>766</v>
      </c>
      <c r="F223" s="233"/>
      <c r="G223" s="234">
        <f t="shared" si="47"/>
        <v>766</v>
      </c>
      <c r="H223" s="172">
        <f t="shared" si="48"/>
        <v>5.1182680743017503E-2</v>
      </c>
      <c r="I223" s="473"/>
      <c r="J223" s="168"/>
      <c r="K223" s="168"/>
    </row>
    <row r="224" spans="1:11">
      <c r="A224" s="163"/>
      <c r="B224" s="170" t="s">
        <v>74</v>
      </c>
      <c r="C224" s="530">
        <f>'[24]Sch D'!H9</f>
        <v>734</v>
      </c>
      <c r="D224" s="530"/>
      <c r="E224" s="234">
        <f t="shared" si="49"/>
        <v>734</v>
      </c>
      <c r="F224" s="233"/>
      <c r="G224" s="234">
        <f t="shared" si="47"/>
        <v>734</v>
      </c>
      <c r="H224" s="172">
        <f t="shared" si="48"/>
        <v>4.9044500868635571E-2</v>
      </c>
      <c r="I224" s="473"/>
      <c r="J224" s="168"/>
      <c r="K224" s="168"/>
    </row>
    <row r="225" spans="1:11">
      <c r="A225" s="163"/>
      <c r="B225" s="170" t="s">
        <v>236</v>
      </c>
      <c r="C225" s="530">
        <f>'[24]Sch D'!I9</f>
        <v>795</v>
      </c>
      <c r="D225" s="530"/>
      <c r="E225" s="234">
        <f t="shared" si="49"/>
        <v>795</v>
      </c>
      <c r="F225" s="233"/>
      <c r="G225" s="234">
        <f t="shared" si="47"/>
        <v>795</v>
      </c>
      <c r="H225" s="172">
        <f t="shared" si="48"/>
        <v>5.3120406254176133E-2</v>
      </c>
      <c r="I225" s="473"/>
      <c r="J225" s="168"/>
      <c r="K225" s="168"/>
    </row>
    <row r="226" spans="1:11">
      <c r="A226" s="163"/>
      <c r="B226" s="170" t="s">
        <v>235</v>
      </c>
      <c r="C226" s="530">
        <f>'[24]Sch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'[24]Sch D'!K9</f>
        <v>43</v>
      </c>
      <c r="D227" s="530"/>
      <c r="E227" s="234">
        <f t="shared" si="49"/>
        <v>43</v>
      </c>
      <c r="F227" s="233"/>
      <c r="G227" s="234">
        <f t="shared" si="47"/>
        <v>43</v>
      </c>
      <c r="H227" s="172">
        <f t="shared" si="48"/>
        <v>2.8731792062007214E-3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14966</v>
      </c>
      <c r="D228" s="530">
        <f>SUM(D219:D227)</f>
        <v>0</v>
      </c>
      <c r="E228" s="236">
        <f>SUM(E219:E227)</f>
        <v>14966</v>
      </c>
      <c r="F228" s="236">
        <f>SUM(F219:F227)</f>
        <v>0</v>
      </c>
      <c r="G228" s="236">
        <f>SUM(G219:G227)</f>
        <v>14966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'[24]Sch D'!N22</f>
        <v>80</v>
      </c>
      <c r="D231" s="502"/>
      <c r="E231" s="234">
        <f>C231+D231</f>
        <v>80</v>
      </c>
      <c r="F231" s="234"/>
      <c r="G231" s="234">
        <f>E231+F231</f>
        <v>80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'[24]Sch D'!N24</f>
        <v>80</v>
      </c>
      <c r="D232" s="502"/>
      <c r="E232" s="234">
        <f>C232+D232</f>
        <v>80</v>
      </c>
      <c r="F232" s="234"/>
      <c r="G232" s="234">
        <f>E232+F232</f>
        <v>80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'[24]Sch D'!N28</f>
        <v>29200</v>
      </c>
      <c r="D235" s="438"/>
      <c r="E235" s="233">
        <f>E231*E233</f>
        <v>29200</v>
      </c>
      <c r="F235" s="238"/>
      <c r="G235" s="233">
        <f>G231*G233</f>
        <v>29200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'[24]Sch D'!N30</f>
        <v>0.51253424657534241</v>
      </c>
      <c r="D236" s="238"/>
      <c r="E236" s="242">
        <f>E228/E235</f>
        <v>0.51253424657534241</v>
      </c>
      <c r="F236" s="243"/>
      <c r="G236" s="242">
        <f>G228/G235</f>
        <v>0.51253424657534241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'[24]Sch D'!N32</f>
        <v>0.38428082191780821</v>
      </c>
      <c r="D237" s="238"/>
      <c r="E237" s="242">
        <f>(E219+E220)/E235</f>
        <v>0.38428082191780821</v>
      </c>
      <c r="F237" s="243"/>
      <c r="G237" s="242">
        <f>(G219+G220)/G235</f>
        <v>0.38428082191780821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'[24]Sch D'!N34</f>
        <v>0.74976613657623958</v>
      </c>
      <c r="D238" s="238"/>
      <c r="E238" s="242">
        <f>(E237/E236)</f>
        <v>0.74976613657623958</v>
      </c>
      <c r="F238" s="243"/>
      <c r="G238" s="242">
        <f>(G237/G236)</f>
        <v>0.74976613657623958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'[24]Sch B'!C85</f>
        <v>169.91390728476821</v>
      </c>
      <c r="I241" s="475"/>
    </row>
    <row r="242" spans="2:9">
      <c r="F242" s="142" t="s">
        <v>341</v>
      </c>
      <c r="G242" s="501">
        <f>'[24]Sch B'!E85</f>
        <v>169.91812865497076</v>
      </c>
      <c r="I242" s="475"/>
    </row>
    <row r="243" spans="2:9">
      <c r="F243" s="142" t="s">
        <v>342</v>
      </c>
      <c r="G243" s="501">
        <f>'[24]Sch B'!G85</f>
        <v>169.92156862745097</v>
      </c>
      <c r="I243" s="475"/>
    </row>
    <row r="244" spans="2:9">
      <c r="F244" s="142" t="s">
        <v>343</v>
      </c>
      <c r="G244" s="501">
        <f>'[24]Sch B'!I85</f>
        <v>169.91826923076923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E28CAB"/>
  </sheetPr>
  <dimension ref="A1:O246"/>
  <sheetViews>
    <sheetView showGridLines="0" zoomScale="120" zoomScaleNormal="12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561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  <c r="F3" s="409" t="s">
        <v>562</v>
      </c>
    </row>
    <row r="4" spans="1:11">
      <c r="A4" s="145"/>
      <c r="B4" s="148" t="s">
        <v>80</v>
      </c>
      <c r="C4" s="441">
        <v>42886</v>
      </c>
      <c r="D4" s="144"/>
      <c r="E4" s="149"/>
      <c r="F4" s="409" t="s">
        <v>563</v>
      </c>
      <c r="G4" s="150"/>
    </row>
    <row r="5" spans="1:11">
      <c r="A5" s="145"/>
      <c r="B5" s="148"/>
      <c r="C5" s="151"/>
      <c r="D5" s="144"/>
      <c r="F5" s="409" t="s">
        <v>543</v>
      </c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652" t="s">
        <v>710</v>
      </c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652" t="s">
        <v>709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'[25]Sch B'!E10</f>
        <v>4864251</v>
      </c>
      <c r="D11" s="501">
        <f>'[25]Sch B'!G10</f>
        <v>15344</v>
      </c>
      <c r="E11" s="171">
        <f>C11+D11</f>
        <v>4879595</v>
      </c>
      <c r="F11" s="506">
        <f>533903-66498+6650</f>
        <v>474055</v>
      </c>
      <c r="G11" s="171">
        <f t="shared" ref="G11:G20" si="0">E11+F11</f>
        <v>5353650</v>
      </c>
      <c r="H11" s="172">
        <f t="shared" ref="H11:H21" si="1">IF($G$21=0,0,G11/$G$21)</f>
        <v>0.54198260763927553</v>
      </c>
      <c r="I11" s="473"/>
      <c r="J11" s="336" t="s">
        <v>344</v>
      </c>
      <c r="K11" s="337">
        <f>G21</f>
        <v>9877900</v>
      </c>
    </row>
    <row r="12" spans="1:11" s="167" customFormat="1">
      <c r="A12" s="169" t="s">
        <v>15</v>
      </c>
      <c r="B12" s="170" t="s">
        <v>212</v>
      </c>
      <c r="C12" s="501">
        <f>'[25]Sch B'!E15</f>
        <v>0</v>
      </c>
      <c r="D12" s="501">
        <f>'[25]Sch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10963884</v>
      </c>
    </row>
    <row r="13" spans="1:11" s="167" customFormat="1">
      <c r="A13" s="169" t="s">
        <v>16</v>
      </c>
      <c r="B13" s="170" t="s">
        <v>170</v>
      </c>
      <c r="C13" s="501">
        <f>'[25]Sch B'!E21</f>
        <v>1618485</v>
      </c>
      <c r="D13" s="501">
        <f>'[25]Sch B'!G21</f>
        <v>-5937</v>
      </c>
      <c r="E13" s="171">
        <f t="shared" si="2"/>
        <v>1612548</v>
      </c>
      <c r="F13" s="171">
        <v>119107</v>
      </c>
      <c r="G13" s="171">
        <f t="shared" si="0"/>
        <v>1731655</v>
      </c>
      <c r="H13" s="172">
        <f t="shared" si="1"/>
        <v>0.17530598609016088</v>
      </c>
      <c r="I13" s="473"/>
      <c r="J13" s="338" t="s">
        <v>346</v>
      </c>
      <c r="K13" s="339">
        <f>G228</f>
        <v>35536</v>
      </c>
    </row>
    <row r="14" spans="1:11" s="167" customFormat="1">
      <c r="A14" s="173" t="s">
        <v>18</v>
      </c>
      <c r="B14" s="174" t="s">
        <v>306</v>
      </c>
      <c r="C14" s="501">
        <f>'[25]Sch B'!E27</f>
        <v>605522</v>
      </c>
      <c r="D14" s="501">
        <f>'[25]Sch B'!G27</f>
        <v>5480</v>
      </c>
      <c r="E14" s="171">
        <f t="shared" si="2"/>
        <v>611002</v>
      </c>
      <c r="F14" s="175">
        <v>53990</v>
      </c>
      <c r="G14" s="175">
        <f>E14+F14</f>
        <v>664992</v>
      </c>
      <c r="H14" s="176">
        <f t="shared" si="1"/>
        <v>6.7321191751283163E-2</v>
      </c>
      <c r="I14" s="479"/>
      <c r="J14" s="338" t="s">
        <v>347</v>
      </c>
      <c r="K14" s="339">
        <f>G231</f>
        <v>176</v>
      </c>
    </row>
    <row r="15" spans="1:11" s="167" customFormat="1">
      <c r="A15" s="169" t="s">
        <v>19</v>
      </c>
      <c r="B15" s="170" t="s">
        <v>171</v>
      </c>
      <c r="C15" s="501">
        <f>'[25]Sch B'!E32</f>
        <v>1158511</v>
      </c>
      <c r="D15" s="501">
        <f>'[25]Sch B'!G32</f>
        <v>12586</v>
      </c>
      <c r="E15" s="171">
        <f t="shared" si="2"/>
        <v>1171097</v>
      </c>
      <c r="F15" s="171">
        <v>104344</v>
      </c>
      <c r="G15" s="171">
        <f>E15+F15</f>
        <v>1275441</v>
      </c>
      <c r="H15" s="172">
        <f t="shared" si="1"/>
        <v>0.12912066329887931</v>
      </c>
      <c r="I15" s="473"/>
      <c r="J15" s="338" t="s">
        <v>348</v>
      </c>
      <c r="K15" s="339">
        <f>G235</f>
        <v>64240</v>
      </c>
    </row>
    <row r="16" spans="1:11" s="167" customFormat="1">
      <c r="A16" s="169" t="s">
        <v>21</v>
      </c>
      <c r="B16" s="170" t="s">
        <v>172</v>
      </c>
      <c r="C16" s="501">
        <f>'[25]Sch B'!E37</f>
        <v>373052</v>
      </c>
      <c r="D16" s="501">
        <f>'[25]Sch B'!G37</f>
        <v>5481</v>
      </c>
      <c r="E16" s="171">
        <f t="shared" si="2"/>
        <v>378533</v>
      </c>
      <c r="F16" s="171">
        <v>43469</v>
      </c>
      <c r="G16" s="171">
        <f t="shared" si="0"/>
        <v>422002</v>
      </c>
      <c r="H16" s="172">
        <f t="shared" si="1"/>
        <v>4.2721833588110832E-2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'[25]Sch B'!E42</f>
        <v>134381</v>
      </c>
      <c r="D17" s="501">
        <f>'[25]Sch B'!G42</f>
        <v>700</v>
      </c>
      <c r="E17" s="171">
        <f t="shared" si="2"/>
        <v>135081</v>
      </c>
      <c r="F17" s="171">
        <v>0</v>
      </c>
      <c r="G17" s="171">
        <f>E17+F17</f>
        <v>135081</v>
      </c>
      <c r="H17" s="172">
        <f t="shared" si="1"/>
        <v>1.3675072636896506E-2</v>
      </c>
      <c r="I17" s="473"/>
      <c r="J17" s="338" t="s">
        <v>156</v>
      </c>
      <c r="K17" s="339">
        <f>J208</f>
        <v>199948</v>
      </c>
    </row>
    <row r="18" spans="1:11" s="167" customFormat="1" ht="13.5" thickBot="1">
      <c r="A18" s="169" t="s">
        <v>216</v>
      </c>
      <c r="B18" s="170" t="s">
        <v>229</v>
      </c>
      <c r="C18" s="501">
        <f>'[25]Sch B'!E47</f>
        <v>0</v>
      </c>
      <c r="D18" s="501">
        <f>'[25]Sch B'!G47</f>
        <v>0</v>
      </c>
      <c r="E18" s="171">
        <f t="shared" si="2"/>
        <v>0</v>
      </c>
      <c r="F18" s="171">
        <v>571</v>
      </c>
      <c r="G18" s="171">
        <f>E18+F18</f>
        <v>571</v>
      </c>
      <c r="H18" s="172">
        <f t="shared" si="1"/>
        <v>5.7805808926998655E-5</v>
      </c>
      <c r="I18" s="473"/>
      <c r="J18" s="341" t="s">
        <v>252</v>
      </c>
      <c r="K18" s="342">
        <f>K208</f>
        <v>214172</v>
      </c>
    </row>
    <row r="19" spans="1:11" s="167" customFormat="1">
      <c r="A19" s="169" t="s">
        <v>227</v>
      </c>
      <c r="B19" s="177" t="s">
        <v>173</v>
      </c>
      <c r="C19" s="501">
        <f>'[25]Sch B'!E52</f>
        <v>210987</v>
      </c>
      <c r="D19" s="501">
        <f>'[25]Sch B'!G52</f>
        <v>1117</v>
      </c>
      <c r="E19" s="171">
        <f t="shared" si="2"/>
        <v>212104</v>
      </c>
      <c r="F19" s="171">
        <v>0</v>
      </c>
      <c r="G19" s="171">
        <f t="shared" si="0"/>
        <v>212104</v>
      </c>
      <c r="H19" s="172">
        <f t="shared" si="1"/>
        <v>2.1472580204294434E-2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'[25]Sch B'!E67</f>
        <v>1203973</v>
      </c>
      <c r="D20" s="501">
        <f>'[25]Sch B'!G67</f>
        <v>-1121569</v>
      </c>
      <c r="E20" s="171">
        <f t="shared" si="2"/>
        <v>82404</v>
      </c>
      <c r="F20" s="171">
        <v>0</v>
      </c>
      <c r="G20" s="171">
        <f t="shared" si="0"/>
        <v>82404</v>
      </c>
      <c r="H20" s="172">
        <f t="shared" si="1"/>
        <v>8.3422589821723243E-3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10169162</v>
      </c>
      <c r="D21" s="501">
        <f>SUM(D11:D20)</f>
        <v>-1086798</v>
      </c>
      <c r="E21" s="171">
        <f>SUM(E11:E20)</f>
        <v>9082364</v>
      </c>
      <c r="F21" s="171">
        <f>SUM(F11:F20)</f>
        <v>795536</v>
      </c>
      <c r="G21" s="171">
        <f>SUM(G11:G20)</f>
        <v>9877900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652" t="s">
        <v>710</v>
      </c>
      <c r="G23" s="144"/>
      <c r="I23" s="475"/>
    </row>
    <row r="24" spans="1:11">
      <c r="A24" s="181" t="s">
        <v>161</v>
      </c>
      <c r="B24" s="148" t="s">
        <v>12</v>
      </c>
      <c r="F24" s="652" t="s">
        <v>709</v>
      </c>
      <c r="I24" s="475"/>
    </row>
    <row r="25" spans="1:11" s="167" customFormat="1">
      <c r="A25" s="169" t="s">
        <v>83</v>
      </c>
      <c r="B25" s="170" t="s">
        <v>14</v>
      </c>
      <c r="C25" s="501">
        <f>'[25]Sch C'!D10</f>
        <v>76008</v>
      </c>
      <c r="D25" s="501">
        <f>'[25]Sch C'!F10</f>
        <v>-18647</v>
      </c>
      <c r="E25" s="171">
        <f t="shared" ref="E25:E60" si="3">C25+D25</f>
        <v>57361</v>
      </c>
      <c r="F25" s="171">
        <v>37119</v>
      </c>
      <c r="G25" s="182">
        <f>E25+F25</f>
        <v>94480</v>
      </c>
      <c r="H25" s="172">
        <f>IF($G$208=0,0,G25/$G$208)</f>
        <v>8.6173841313899342E-3</v>
      </c>
      <c r="I25" s="473"/>
      <c r="J25" s="183">
        <f>3514+594</f>
        <v>4108</v>
      </c>
      <c r="K25" s="183">
        <f>3861+612</f>
        <v>4473</v>
      </c>
    </row>
    <row r="26" spans="1:11" s="167" customFormat="1">
      <c r="A26" s="169" t="s">
        <v>84</v>
      </c>
      <c r="B26" s="170" t="s">
        <v>176</v>
      </c>
      <c r="C26" s="501">
        <f>'[25]Sch C'!D11</f>
        <v>0</v>
      </c>
      <c r="D26" s="501">
        <f>'[25]Sch C'!F11</f>
        <v>0</v>
      </c>
      <c r="E26" s="171">
        <f t="shared" si="3"/>
        <v>0</v>
      </c>
      <c r="F26" s="171">
        <v>0</v>
      </c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'[25]Sch C'!D12</f>
        <v>293581</v>
      </c>
      <c r="D27" s="501">
        <f>'[25]Sch C'!F12</f>
        <v>18647</v>
      </c>
      <c r="E27" s="171">
        <f t="shared" si="3"/>
        <v>312228</v>
      </c>
      <c r="F27" s="171">
        <v>25182</v>
      </c>
      <c r="G27" s="171">
        <f t="shared" si="4"/>
        <v>337410</v>
      </c>
      <c r="H27" s="172">
        <f t="shared" si="5"/>
        <v>3.0774678024685413E-2</v>
      </c>
      <c r="I27" s="473"/>
      <c r="J27" s="183">
        <f>9831+1345</f>
        <v>11176</v>
      </c>
      <c r="K27" s="183">
        <f>10893+1387</f>
        <v>12280</v>
      </c>
    </row>
    <row r="28" spans="1:11" s="167" customFormat="1">
      <c r="A28" s="169" t="s">
        <v>86</v>
      </c>
      <c r="B28" s="170" t="s">
        <v>45</v>
      </c>
      <c r="C28" s="501">
        <f>'[25]Sch C'!D13</f>
        <v>127457</v>
      </c>
      <c r="D28" s="501">
        <f>'[25]Sch C'!F13</f>
        <v>-96027</v>
      </c>
      <c r="E28" s="171">
        <f t="shared" si="3"/>
        <v>31430</v>
      </c>
      <c r="F28" s="654">
        <f>12782-935</f>
        <v>11847</v>
      </c>
      <c r="G28" s="171">
        <f t="shared" si="4"/>
        <v>43277</v>
      </c>
      <c r="H28" s="172">
        <f t="shared" si="5"/>
        <v>3.9472325683124702E-3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'[25]Sch C'!D14</f>
        <v>0</v>
      </c>
      <c r="D29" s="501">
        <f>'[25]Sch C'!F14</f>
        <v>0</v>
      </c>
      <c r="E29" s="171">
        <f t="shared" si="3"/>
        <v>0</v>
      </c>
      <c r="F29" s="171">
        <v>0</v>
      </c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'[25]Sch C'!D15</f>
        <v>0</v>
      </c>
      <c r="D30" s="501">
        <f>'[25]Sch C'!F15</f>
        <v>0</v>
      </c>
      <c r="E30" s="171">
        <f t="shared" si="3"/>
        <v>0</v>
      </c>
      <c r="F30" s="171">
        <v>0</v>
      </c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'[25]Sch C'!D16</f>
        <v>595989</v>
      </c>
      <c r="D31" s="501">
        <f>'[25]Sch C'!F16</f>
        <v>312390</v>
      </c>
      <c r="E31" s="171">
        <f t="shared" si="3"/>
        <v>908379</v>
      </c>
      <c r="F31" s="171">
        <v>0</v>
      </c>
      <c r="G31" s="171">
        <f t="shared" si="4"/>
        <v>908379</v>
      </c>
      <c r="H31" s="172">
        <f t="shared" si="5"/>
        <v>8.2851934588144133E-2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'[25]Sch C'!D17</f>
        <v>23809</v>
      </c>
      <c r="D32" s="501">
        <f>'[25]Sch C'!F17</f>
        <v>-23809</v>
      </c>
      <c r="E32" s="171">
        <f t="shared" si="3"/>
        <v>0</v>
      </c>
      <c r="F32" s="171">
        <v>0</v>
      </c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'[25]Sch C'!D18</f>
        <v>45661</v>
      </c>
      <c r="D33" s="501">
        <f>'[25]Sch C'!F18</f>
        <v>0</v>
      </c>
      <c r="E33" s="171">
        <f t="shared" si="3"/>
        <v>45661</v>
      </c>
      <c r="F33" s="171">
        <v>2229</v>
      </c>
      <c r="G33" s="171">
        <f t="shared" si="4"/>
        <v>47890</v>
      </c>
      <c r="H33" s="172">
        <f t="shared" si="5"/>
        <v>4.3679776254473323E-3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'[25]Sch C'!D19</f>
        <v>11417</v>
      </c>
      <c r="D34" s="501">
        <f>'[25]Sch C'!F19</f>
        <v>-2378</v>
      </c>
      <c r="E34" s="171">
        <f t="shared" si="3"/>
        <v>9039</v>
      </c>
      <c r="F34" s="171">
        <v>103</v>
      </c>
      <c r="G34" s="171">
        <f t="shared" si="4"/>
        <v>9142</v>
      </c>
      <c r="H34" s="172">
        <f t="shared" si="5"/>
        <v>8.3382859577864929E-4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'[25]Sch C'!D20</f>
        <v>24943</v>
      </c>
      <c r="D35" s="501">
        <f>'[25]Sch C'!F20</f>
        <v>0</v>
      </c>
      <c r="E35" s="171">
        <f t="shared" si="3"/>
        <v>24943</v>
      </c>
      <c r="F35" s="171">
        <v>3469</v>
      </c>
      <c r="G35" s="171">
        <f t="shared" si="4"/>
        <v>28412</v>
      </c>
      <c r="H35" s="172">
        <f t="shared" si="5"/>
        <v>2.5914174210526124E-3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'[25]Sch C'!D21</f>
        <v>53750</v>
      </c>
      <c r="D36" s="501">
        <f>'[25]Sch C'!F21</f>
        <v>0</v>
      </c>
      <c r="E36" s="171">
        <f t="shared" si="3"/>
        <v>53750</v>
      </c>
      <c r="F36" s="506">
        <f>4235-9256</f>
        <v>-5021</v>
      </c>
      <c r="G36" s="171">
        <f t="shared" si="4"/>
        <v>48729</v>
      </c>
      <c r="H36" s="172">
        <f t="shared" si="5"/>
        <v>4.4445016018046157E-3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'[25]Sch C'!D22</f>
        <v>0</v>
      </c>
      <c r="D37" s="501">
        <f>'[25]Sch C'!F22</f>
        <v>0</v>
      </c>
      <c r="E37" s="171">
        <f t="shared" si="3"/>
        <v>0</v>
      </c>
      <c r="F37" s="171">
        <v>0</v>
      </c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'[25]Sch C'!D23</f>
        <v>13147</v>
      </c>
      <c r="D38" s="501">
        <f>'[25]Sch C'!F23</f>
        <v>0</v>
      </c>
      <c r="E38" s="171">
        <f t="shared" si="3"/>
        <v>13147</v>
      </c>
      <c r="F38" s="171">
        <v>2283</v>
      </c>
      <c r="G38" s="171">
        <f t="shared" si="4"/>
        <v>15430</v>
      </c>
      <c r="H38" s="172">
        <f t="shared" si="5"/>
        <v>1.4073479799676829E-3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'[25]Sch C'!D24</f>
        <v>0</v>
      </c>
      <c r="D39" s="501">
        <f>'[25]Sch C'!F24</f>
        <v>0</v>
      </c>
      <c r="E39" s="171">
        <f t="shared" si="3"/>
        <v>0</v>
      </c>
      <c r="F39" s="171">
        <v>3301</v>
      </c>
      <c r="G39" s="171">
        <f t="shared" si="4"/>
        <v>3301</v>
      </c>
      <c r="H39" s="172">
        <f t="shared" si="5"/>
        <v>3.0107943498854968E-4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'[25]Sch C'!D25</f>
        <v>0</v>
      </c>
      <c r="D40" s="501">
        <f>'[25]Sch C'!F25</f>
        <v>0</v>
      </c>
      <c r="E40" s="171">
        <f t="shared" si="3"/>
        <v>0</v>
      </c>
      <c r="F40" s="171">
        <v>15000</v>
      </c>
      <c r="G40" s="171">
        <f t="shared" si="4"/>
        <v>15000</v>
      </c>
      <c r="H40" s="172">
        <f t="shared" si="5"/>
        <v>1.3681283019776568E-3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'[25]Sch C'!D26</f>
        <v>548520</v>
      </c>
      <c r="D41" s="501">
        <f>'[25]Sch C'!F26</f>
        <v>0</v>
      </c>
      <c r="E41" s="171">
        <f t="shared" si="3"/>
        <v>548520</v>
      </c>
      <c r="F41" s="171">
        <v>41865</v>
      </c>
      <c r="G41" s="171">
        <f t="shared" si="4"/>
        <v>590385</v>
      </c>
      <c r="H41" s="172">
        <f t="shared" si="5"/>
        <v>5.3848161837538593E-2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'[25]Sch C'!D27</f>
        <v>0</v>
      </c>
      <c r="D42" s="501">
        <f>'[25]Sch C'!F27</f>
        <v>0</v>
      </c>
      <c r="E42" s="171">
        <f t="shared" si="3"/>
        <v>0</v>
      </c>
      <c r="F42" s="171">
        <v>0</v>
      </c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'[25]Sch C'!D28</f>
        <v>0</v>
      </c>
      <c r="D43" s="501">
        <f>'[25]Sch C'!F28</f>
        <v>0</v>
      </c>
      <c r="E43" s="171">
        <f t="shared" si="3"/>
        <v>0</v>
      </c>
      <c r="F43" s="171">
        <v>0</v>
      </c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'[25]Sch C'!D29</f>
        <v>155826</v>
      </c>
      <c r="D44" s="501">
        <f>'[25]Sch C'!F29</f>
        <v>-155826</v>
      </c>
      <c r="E44" s="171">
        <f t="shared" si="3"/>
        <v>0</v>
      </c>
      <c r="F44" s="171">
        <v>0</v>
      </c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'[25]Sch C'!D30</f>
        <v>0</v>
      </c>
      <c r="D45" s="501">
        <f>'[25]Sch C'!F30</f>
        <v>0</v>
      </c>
      <c r="E45" s="171">
        <f t="shared" si="3"/>
        <v>0</v>
      </c>
      <c r="F45" s="171">
        <v>0</v>
      </c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'[25]Sch C'!D31</f>
        <v>0</v>
      </c>
      <c r="D46" s="501">
        <f>'[25]Sch C'!F31</f>
        <v>0</v>
      </c>
      <c r="E46" s="171">
        <f t="shared" si="3"/>
        <v>0</v>
      </c>
      <c r="F46" s="171">
        <v>0</v>
      </c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'[25]Sch C'!D32</f>
        <v>27362</v>
      </c>
      <c r="D47" s="501">
        <f>'[25]Sch C'!F32</f>
        <v>-9125</v>
      </c>
      <c r="E47" s="171">
        <f t="shared" si="3"/>
        <v>18237</v>
      </c>
      <c r="F47" s="171">
        <v>5454</v>
      </c>
      <c r="G47" s="171">
        <f t="shared" si="4"/>
        <v>23691</v>
      </c>
      <c r="H47" s="172">
        <f t="shared" si="5"/>
        <v>2.160821840143511E-3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'[25]Sch C'!D33</f>
        <v>3356</v>
      </c>
      <c r="D48" s="501">
        <f>'[25]Sch C'!F33</f>
        <v>-3356</v>
      </c>
      <c r="E48" s="171">
        <f t="shared" si="3"/>
        <v>0</v>
      </c>
      <c r="F48" s="171">
        <v>0</v>
      </c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'[25]Sch C'!D34</f>
        <v>8810</v>
      </c>
      <c r="D49" s="501">
        <f>'[25]Sch C'!F34</f>
        <v>0</v>
      </c>
      <c r="E49" s="171">
        <f t="shared" si="3"/>
        <v>8810</v>
      </c>
      <c r="F49" s="171">
        <v>0</v>
      </c>
      <c r="G49" s="171">
        <f t="shared" si="4"/>
        <v>8810</v>
      </c>
      <c r="H49" s="172">
        <f t="shared" si="5"/>
        <v>8.0354735602821044E-4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'[25]Sch C'!D35</f>
        <v>6010</v>
      </c>
      <c r="D50" s="501">
        <f>'[25]Sch C'!F35</f>
        <v>-6010</v>
      </c>
      <c r="E50" s="171">
        <f t="shared" si="3"/>
        <v>0</v>
      </c>
      <c r="F50" s="171">
        <v>0</v>
      </c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'[25]Sch C'!D36</f>
        <v>0</v>
      </c>
      <c r="D51" s="501">
        <f>'[25]Sch C'!F36</f>
        <v>0</v>
      </c>
      <c r="E51" s="171">
        <f t="shared" si="3"/>
        <v>0</v>
      </c>
      <c r="F51" s="171">
        <v>0</v>
      </c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'[25]Sch C'!D37</f>
        <v>0</v>
      </c>
      <c r="D52" s="501">
        <f>'[25]Sch C'!F37</f>
        <v>0</v>
      </c>
      <c r="E52" s="171">
        <f t="shared" si="3"/>
        <v>0</v>
      </c>
      <c r="F52" s="171">
        <v>0</v>
      </c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'[25]Sch C'!D38</f>
        <v>0</v>
      </c>
      <c r="D53" s="501">
        <f>'[25]Sch C'!F38</f>
        <v>0</v>
      </c>
      <c r="E53" s="171">
        <f t="shared" si="3"/>
        <v>0</v>
      </c>
      <c r="F53" s="171">
        <v>0</v>
      </c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'[25]Sch C'!D39</f>
        <v>12823</v>
      </c>
      <c r="D54" s="501">
        <f>'[25]Sch C'!F39</f>
        <v>0</v>
      </c>
      <c r="E54" s="171">
        <f t="shared" si="3"/>
        <v>12823</v>
      </c>
      <c r="F54" s="171">
        <v>631</v>
      </c>
      <c r="G54" s="171">
        <f t="shared" si="4"/>
        <v>13454</v>
      </c>
      <c r="H54" s="172">
        <f t="shared" si="5"/>
        <v>1.227119878320493E-3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'[25]Sch C'!D40</f>
        <v>0</v>
      </c>
      <c r="D55" s="501">
        <f>'[25]Sch C'!F40</f>
        <v>0</v>
      </c>
      <c r="E55" s="171">
        <f t="shared" si="3"/>
        <v>0</v>
      </c>
      <c r="F55" s="171">
        <v>769</v>
      </c>
      <c r="G55" s="171">
        <f t="shared" si="4"/>
        <v>769</v>
      </c>
      <c r="H55" s="172">
        <f t="shared" si="5"/>
        <v>7.0139377614721204E-5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'[25]Sch C'!D41</f>
        <v>20670</v>
      </c>
      <c r="D56" s="501">
        <f>'[25]Sch C'!F41</f>
        <v>6775</v>
      </c>
      <c r="E56" s="171">
        <f t="shared" si="3"/>
        <v>27445</v>
      </c>
      <c r="F56" s="506">
        <f>1785-292</f>
        <v>1493</v>
      </c>
      <c r="G56" s="171">
        <f t="shared" si="4"/>
        <v>28938</v>
      </c>
      <c r="H56" s="172">
        <f t="shared" si="5"/>
        <v>2.6393931201752954E-3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'[25]Sch C'!D42</f>
        <v>195</v>
      </c>
      <c r="D57" s="501">
        <f>'[25]Sch C'!F42</f>
        <v>0</v>
      </c>
      <c r="E57" s="171">
        <f t="shared" si="3"/>
        <v>195</v>
      </c>
      <c r="F57" s="171">
        <v>7319</v>
      </c>
      <c r="G57" s="171">
        <f t="shared" si="4"/>
        <v>7514</v>
      </c>
      <c r="H57" s="172">
        <f t="shared" si="5"/>
        <v>6.8534107073734091E-4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'[25]Sch C'!D43</f>
        <v>10710</v>
      </c>
      <c r="D58" s="501">
        <f>'[25]Sch C'!F43</f>
        <v>-10710</v>
      </c>
      <c r="E58" s="171">
        <f t="shared" si="3"/>
        <v>0</v>
      </c>
      <c r="F58" s="171">
        <v>0</v>
      </c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'[25]Sch C'!D44</f>
        <v>0</v>
      </c>
      <c r="D59" s="501">
        <f>'[25]Sch C'!F44</f>
        <v>0</v>
      </c>
      <c r="E59" s="171">
        <f t="shared" si="3"/>
        <v>0</v>
      </c>
      <c r="F59" s="171">
        <v>0</v>
      </c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'[25]Sch C'!D45</f>
        <v>857114</v>
      </c>
      <c r="D60" s="501">
        <f>'[25]Sch C'!F45</f>
        <v>-346274</v>
      </c>
      <c r="E60" s="171">
        <f t="shared" si="3"/>
        <v>510840</v>
      </c>
      <c r="F60" s="506">
        <f>1849-431948</f>
        <v>-430099</v>
      </c>
      <c r="G60" s="171">
        <f t="shared" si="4"/>
        <v>80741</v>
      </c>
      <c r="H60" s="172">
        <f t="shared" si="5"/>
        <v>7.3642698153318659E-3</v>
      </c>
      <c r="I60" s="473" t="s">
        <v>722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2917158</v>
      </c>
      <c r="D61" s="501">
        <f>SUM(D25:D60)</f>
        <v>-334350</v>
      </c>
      <c r="E61" s="171">
        <f t="shared" ref="E61:F61" si="6">SUM(E25:E60)</f>
        <v>2582808</v>
      </c>
      <c r="F61" s="171">
        <f t="shared" si="6"/>
        <v>-277056</v>
      </c>
      <c r="G61" s="171">
        <f>SUM(G25:G60)</f>
        <v>2305752</v>
      </c>
      <c r="H61" s="186">
        <f t="shared" si="5"/>
        <v>0.21030430456943908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'[25]Sch C'!D57</f>
        <v>446379</v>
      </c>
      <c r="D64" s="501">
        <f>'[25]Sch C'!F57</f>
        <v>-446379</v>
      </c>
      <c r="E64" s="171">
        <f t="shared" ref="E64:E78" si="7">C64+D64</f>
        <v>0</v>
      </c>
      <c r="F64" s="171">
        <v>-6730</v>
      </c>
      <c r="G64" s="171">
        <f t="shared" ref="G64:G78" si="8">E64+F64</f>
        <v>-6730</v>
      </c>
      <c r="H64" s="172">
        <f t="shared" ref="H64:H79" si="9">IF($G$208=0,0,G64/$G$208)</f>
        <v>-6.1383356482064202E-4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'[25]Sch C'!D58</f>
        <v>0</v>
      </c>
      <c r="D65" s="501">
        <f>'[25]Sch C'!F58</f>
        <v>73596</v>
      </c>
      <c r="E65" s="171">
        <f t="shared" si="7"/>
        <v>73596</v>
      </c>
      <c r="F65" s="171">
        <v>13411</v>
      </c>
      <c r="G65" s="171">
        <f t="shared" si="8"/>
        <v>87007</v>
      </c>
      <c r="H65" s="172">
        <f t="shared" si="9"/>
        <v>7.9357826113446665E-3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'[25]Sch C'!D59</f>
        <v>561069</v>
      </c>
      <c r="D66" s="501">
        <f>'[25]Sch C'!F59</f>
        <v>-329007</v>
      </c>
      <c r="E66" s="171">
        <f t="shared" si="7"/>
        <v>232062</v>
      </c>
      <c r="F66" s="171">
        <v>0</v>
      </c>
      <c r="G66" s="171">
        <f t="shared" si="8"/>
        <v>232062</v>
      </c>
      <c r="H66" s="172">
        <f t="shared" si="9"/>
        <v>2.1166039334235932E-2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'[25]Sch C'!D60</f>
        <v>33341</v>
      </c>
      <c r="D67" s="501">
        <f>'[25]Sch C'!F60</f>
        <v>0</v>
      </c>
      <c r="E67" s="171">
        <f t="shared" si="7"/>
        <v>33341</v>
      </c>
      <c r="F67" s="171">
        <v>2265</v>
      </c>
      <c r="G67" s="171">
        <f t="shared" si="8"/>
        <v>35606</v>
      </c>
      <c r="H67" s="172">
        <f t="shared" si="9"/>
        <v>3.2475717546810966E-3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'[25]Sch C'!D61</f>
        <v>25589</v>
      </c>
      <c r="D68" s="501">
        <f>'[25]Sch C'!F61</f>
        <v>-12303</v>
      </c>
      <c r="E68" s="171">
        <f t="shared" si="7"/>
        <v>13286</v>
      </c>
      <c r="F68" s="171">
        <v>0</v>
      </c>
      <c r="G68" s="171">
        <f t="shared" si="8"/>
        <v>13286</v>
      </c>
      <c r="H68" s="172">
        <f t="shared" si="9"/>
        <v>1.2117968413383432E-3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'[25]Sch C'!D62</f>
        <v>0</v>
      </c>
      <c r="D69" s="501">
        <f>'[25]Sch C'!F62</f>
        <v>14210</v>
      </c>
      <c r="E69" s="171">
        <f t="shared" si="7"/>
        <v>14210</v>
      </c>
      <c r="F69" s="171">
        <v>0</v>
      </c>
      <c r="G69" s="171">
        <f t="shared" si="8"/>
        <v>14210</v>
      </c>
      <c r="H69" s="172">
        <f t="shared" si="9"/>
        <v>1.2960735447401668E-3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'[25]Sch C'!D63</f>
        <v>0</v>
      </c>
      <c r="D70" s="501">
        <f>'[25]Sch C'!F63</f>
        <v>0</v>
      </c>
      <c r="E70" s="171">
        <f t="shared" si="7"/>
        <v>0</v>
      </c>
      <c r="F70" s="171">
        <v>0</v>
      </c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'[25]Sch C'!D64</f>
        <v>0</v>
      </c>
      <c r="D71" s="501">
        <f>'[25]Sch C'!F64</f>
        <v>0</v>
      </c>
      <c r="E71" s="171">
        <f t="shared" si="7"/>
        <v>0</v>
      </c>
      <c r="F71" s="171">
        <v>0</v>
      </c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'[25]Sch C'!D65</f>
        <v>0</v>
      </c>
      <c r="D72" s="501">
        <f>'[25]Sch C'!F65</f>
        <v>14559</v>
      </c>
      <c r="E72" s="171">
        <f t="shared" si="7"/>
        <v>14559</v>
      </c>
      <c r="F72" s="171">
        <v>484</v>
      </c>
      <c r="G72" s="171">
        <f t="shared" si="8"/>
        <v>15043</v>
      </c>
      <c r="H72" s="172">
        <f t="shared" si="9"/>
        <v>1.3720502697766594E-3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'[25]Sch C'!D66</f>
        <v>0</v>
      </c>
      <c r="D73" s="501">
        <f>'[25]Sch C'!F66</f>
        <v>0</v>
      </c>
      <c r="E73" s="171">
        <f t="shared" si="7"/>
        <v>0</v>
      </c>
      <c r="F73" s="171">
        <v>0</v>
      </c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'[25]Sch C'!D67</f>
        <v>307444</v>
      </c>
      <c r="D74" s="501">
        <f>'[25]Sch C'!F67</f>
        <v>-259123</v>
      </c>
      <c r="E74" s="171">
        <f t="shared" si="7"/>
        <v>48321</v>
      </c>
      <c r="F74" s="171">
        <v>13661</v>
      </c>
      <c r="G74" s="171">
        <f t="shared" si="8"/>
        <v>61982</v>
      </c>
      <c r="H74" s="172">
        <f t="shared" si="9"/>
        <v>5.6532885608786086E-3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'[25]Sch C'!D68</f>
        <v>0</v>
      </c>
      <c r="D75" s="501">
        <f>'[25]Sch C'!F68</f>
        <v>0</v>
      </c>
      <c r="E75" s="171">
        <f t="shared" si="7"/>
        <v>0</v>
      </c>
      <c r="F75" s="171">
        <v>0</v>
      </c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'[25]Sch C'!D69</f>
        <v>0</v>
      </c>
      <c r="D76" s="501">
        <f>'[25]Sch C'!F69</f>
        <v>0</v>
      </c>
      <c r="E76" s="171">
        <f t="shared" si="7"/>
        <v>0</v>
      </c>
      <c r="F76" s="171">
        <v>0</v>
      </c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'[25]Sch C'!D70</f>
        <v>0</v>
      </c>
      <c r="D77" s="501">
        <f>'[25]Sch C'!F70</f>
        <v>0</v>
      </c>
      <c r="E77" s="171">
        <f t="shared" si="7"/>
        <v>0</v>
      </c>
      <c r="F77" s="171">
        <v>0</v>
      </c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'[25]Sch C'!D71</f>
        <v>1323</v>
      </c>
      <c r="D78" s="501">
        <f>'[25]Sch C'!F71</f>
        <v>-1323</v>
      </c>
      <c r="E78" s="171">
        <f t="shared" si="7"/>
        <v>0</v>
      </c>
      <c r="F78" s="171">
        <v>0</v>
      </c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1375145</v>
      </c>
      <c r="D79" s="501">
        <f>SUM(D64:D78)</f>
        <v>-945770</v>
      </c>
      <c r="E79" s="171">
        <f t="shared" ref="E79:F79" si="10">SUM(E64:E78)</f>
        <v>429375</v>
      </c>
      <c r="F79" s="171">
        <f t="shared" si="10"/>
        <v>23091</v>
      </c>
      <c r="G79" s="171">
        <f>SUM(G64:G78)</f>
        <v>452466</v>
      </c>
      <c r="H79" s="172">
        <f t="shared" si="9"/>
        <v>4.1268769352174835E-2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'[25]Sch C'!D75</f>
        <v>125099</v>
      </c>
      <c r="D82" s="501">
        <f>'[25]Sch C'!F75</f>
        <v>-22832</v>
      </c>
      <c r="E82" s="171">
        <f t="shared" ref="E82:E92" si="11">C82+D82</f>
        <v>102267</v>
      </c>
      <c r="F82" s="171">
        <v>11013</v>
      </c>
      <c r="G82" s="171">
        <f t="shared" ref="G82:G92" si="12">E82+F82</f>
        <v>113280</v>
      </c>
      <c r="H82" s="172">
        <f t="shared" ref="H82:H93" si="13">IF($G$208=0,0,G82/$G$208)</f>
        <v>1.0332104936535264E-2</v>
      </c>
      <c r="I82" s="473"/>
      <c r="J82" s="183">
        <f>9453+458</f>
        <v>9911</v>
      </c>
      <c r="K82" s="183">
        <f>10932+472</f>
        <v>11404</v>
      </c>
    </row>
    <row r="83" spans="1:11" s="167" customFormat="1">
      <c r="A83" s="169" t="s">
        <v>86</v>
      </c>
      <c r="B83" s="199" t="s">
        <v>45</v>
      </c>
      <c r="C83" s="501">
        <f>'[25]Sch C'!D76</f>
        <v>10750</v>
      </c>
      <c r="D83" s="501">
        <f>'[25]Sch C'!F76</f>
        <v>1698</v>
      </c>
      <c r="E83" s="171">
        <f t="shared" si="11"/>
        <v>12448</v>
      </c>
      <c r="F83" s="506">
        <f>1287-316</f>
        <v>971</v>
      </c>
      <c r="G83" s="171">
        <f t="shared" si="12"/>
        <v>13419</v>
      </c>
      <c r="H83" s="172">
        <f t="shared" si="13"/>
        <v>1.2239275789492118E-3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'[25]Sch C'!D77</f>
        <v>40413</v>
      </c>
      <c r="D84" s="501">
        <f>'[25]Sch C'!F77</f>
        <v>-7376</v>
      </c>
      <c r="E84" s="171">
        <f t="shared" si="11"/>
        <v>33037</v>
      </c>
      <c r="F84" s="506">
        <f>504-1116-1628</f>
        <v>-2240</v>
      </c>
      <c r="G84" s="171">
        <f t="shared" si="12"/>
        <v>30797</v>
      </c>
      <c r="H84" s="172">
        <f t="shared" si="13"/>
        <v>2.8089498210670596E-3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'[25]Sch C'!D78</f>
        <v>0</v>
      </c>
      <c r="D85" s="501">
        <f>'[25]Sch C'!F78</f>
        <v>0</v>
      </c>
      <c r="E85" s="171">
        <f t="shared" si="11"/>
        <v>0</v>
      </c>
      <c r="F85" s="171">
        <v>0</v>
      </c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'[25]Sch C'!D79</f>
        <v>5406</v>
      </c>
      <c r="D86" s="501">
        <f>'[25]Sch C'!F79</f>
        <v>-987</v>
      </c>
      <c r="E86" s="171">
        <f t="shared" si="11"/>
        <v>4419</v>
      </c>
      <c r="F86" s="171">
        <v>1537</v>
      </c>
      <c r="G86" s="171">
        <f>E86+F86</f>
        <v>5956</v>
      </c>
      <c r="H86" s="172">
        <f t="shared" si="13"/>
        <v>5.4323814443859491E-4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'[25]Sch C'!D80</f>
        <v>7654</v>
      </c>
      <c r="D87" s="501">
        <f>'[25]Sch C'!F80</f>
        <v>-1397</v>
      </c>
      <c r="E87" s="171">
        <f t="shared" si="11"/>
        <v>6257</v>
      </c>
      <c r="F87" s="171">
        <v>0</v>
      </c>
      <c r="G87" s="171">
        <f t="shared" si="12"/>
        <v>6257</v>
      </c>
      <c r="H87" s="172">
        <f t="shared" si="13"/>
        <v>5.706919190316132E-4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'[25]Sch C'!D81</f>
        <v>22197</v>
      </c>
      <c r="D88" s="501">
        <f>'[25]Sch C'!F81</f>
        <v>-4051</v>
      </c>
      <c r="E88" s="171">
        <f t="shared" si="11"/>
        <v>18146</v>
      </c>
      <c r="F88" s="171">
        <v>0</v>
      </c>
      <c r="G88" s="171">
        <f t="shared" si="12"/>
        <v>18146</v>
      </c>
      <c r="H88" s="172">
        <f t="shared" si="13"/>
        <v>1.655070411179104E-3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'[25]Sch C'!D82</f>
        <v>0</v>
      </c>
      <c r="D89" s="501">
        <f>'[25]Sch C'!F82</f>
        <v>0</v>
      </c>
      <c r="E89" s="171">
        <f t="shared" si="11"/>
        <v>0</v>
      </c>
      <c r="F89" s="171">
        <v>0</v>
      </c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'[25]Sch C'!D83</f>
        <v>13993</v>
      </c>
      <c r="D90" s="501">
        <f>'[25]Sch C'!F83</f>
        <v>-2554</v>
      </c>
      <c r="E90" s="171">
        <f t="shared" si="11"/>
        <v>11439</v>
      </c>
      <c r="F90" s="506">
        <v>1116</v>
      </c>
      <c r="G90" s="171">
        <f t="shared" si="12"/>
        <v>12555</v>
      </c>
      <c r="H90" s="172">
        <f t="shared" si="13"/>
        <v>1.1451233887552988E-3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'[25]Sch C'!D84</f>
        <v>192587</v>
      </c>
      <c r="D91" s="501">
        <f>'[25]Sch C'!F84</f>
        <v>-35149</v>
      </c>
      <c r="E91" s="171">
        <f t="shared" si="11"/>
        <v>157438</v>
      </c>
      <c r="F91" s="506">
        <f>20015+3795</f>
        <v>23810</v>
      </c>
      <c r="G91" s="171">
        <f t="shared" si="12"/>
        <v>181248</v>
      </c>
      <c r="H91" s="172">
        <f t="shared" si="13"/>
        <v>1.6531367898456422E-2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'[25]Sch C'!D85</f>
        <v>25672</v>
      </c>
      <c r="D92" s="501">
        <f>'[25]Sch C'!F85</f>
        <v>61960</v>
      </c>
      <c r="E92" s="171">
        <f t="shared" si="11"/>
        <v>87632</v>
      </c>
      <c r="F92" s="506">
        <f>-3795-700</f>
        <v>-4495</v>
      </c>
      <c r="G92" s="171">
        <f t="shared" si="12"/>
        <v>83137</v>
      </c>
      <c r="H92" s="172">
        <f t="shared" si="13"/>
        <v>7.5828055094344302E-3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443771</v>
      </c>
      <c r="D93" s="501">
        <f>SUM(D82:D92)</f>
        <v>-10688</v>
      </c>
      <c r="E93" s="171">
        <f t="shared" ref="E93:F93" si="14">SUM(E82:E92)</f>
        <v>433083</v>
      </c>
      <c r="F93" s="171">
        <f t="shared" si="14"/>
        <v>31712</v>
      </c>
      <c r="G93" s="171">
        <f>SUM(G82:G92)</f>
        <v>464795</v>
      </c>
      <c r="H93" s="172">
        <f t="shared" si="13"/>
        <v>4.2393279607847001E-2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'[25]Sch C'!D89</f>
        <v>0</v>
      </c>
      <c r="D96" s="501">
        <f>'[25]Sch C'!F89</f>
        <v>0</v>
      </c>
      <c r="E96" s="171">
        <f t="shared" ref="E96:E101" si="15">C96+D96</f>
        <v>0</v>
      </c>
      <c r="F96" s="171">
        <v>32924</v>
      </c>
      <c r="G96" s="171">
        <f t="shared" ref="G96:G101" si="16">E96+F96</f>
        <v>32924</v>
      </c>
      <c r="H96" s="172">
        <f t="shared" ref="H96:H102" si="17">IF($G$208=0,0,G96/$G$208)</f>
        <v>3.0029504142874914E-3</v>
      </c>
      <c r="I96" s="473"/>
      <c r="J96" s="183">
        <f>0+2245</f>
        <v>2245</v>
      </c>
      <c r="K96" s="183">
        <f>0+2315</f>
        <v>2315</v>
      </c>
    </row>
    <row r="97" spans="1:11" s="167" customFormat="1">
      <c r="A97" s="169" t="s">
        <v>86</v>
      </c>
      <c r="B97" s="170" t="s">
        <v>45</v>
      </c>
      <c r="C97" s="501">
        <f>'[25]Sch C'!D90</f>
        <v>0</v>
      </c>
      <c r="D97" s="501">
        <f>'[25]Sch C'!F90</f>
        <v>0</v>
      </c>
      <c r="E97" s="171">
        <f t="shared" si="15"/>
        <v>0</v>
      </c>
      <c r="F97" s="171">
        <v>3848</v>
      </c>
      <c r="G97" s="171">
        <f t="shared" si="16"/>
        <v>3848</v>
      </c>
      <c r="H97" s="172">
        <f t="shared" si="17"/>
        <v>3.5097051373400156E-4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'[25]Sch C'!D91</f>
        <v>665148</v>
      </c>
      <c r="D98" s="501">
        <f>'[25]Sch C'!F91</f>
        <v>-295510</v>
      </c>
      <c r="E98" s="171">
        <f t="shared" si="15"/>
        <v>369638</v>
      </c>
      <c r="F98" s="171">
        <v>346</v>
      </c>
      <c r="G98" s="171">
        <f t="shared" si="16"/>
        <v>369984</v>
      </c>
      <c r="H98" s="172">
        <f t="shared" si="17"/>
        <v>3.3745705445260094E-2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'[25]Sch C'!D92</f>
        <v>10512</v>
      </c>
      <c r="D99" s="501">
        <f>'[25]Sch C'!F92</f>
        <v>295510</v>
      </c>
      <c r="E99" s="171">
        <f t="shared" si="15"/>
        <v>306022</v>
      </c>
      <c r="F99" s="506">
        <f>20945-1000</f>
        <v>19945</v>
      </c>
      <c r="G99" s="171">
        <f t="shared" si="16"/>
        <v>325967</v>
      </c>
      <c r="H99" s="172">
        <f t="shared" si="17"/>
        <v>2.973097854738339E-2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'[25]Sch C'!D93</f>
        <v>3869</v>
      </c>
      <c r="D100" s="501">
        <f>'[25]Sch C'!F93</f>
        <v>0</v>
      </c>
      <c r="E100" s="171">
        <f t="shared" si="15"/>
        <v>3869</v>
      </c>
      <c r="F100" s="171">
        <v>2515</v>
      </c>
      <c r="G100" s="171">
        <f t="shared" si="16"/>
        <v>6384</v>
      </c>
      <c r="H100" s="172">
        <f t="shared" si="17"/>
        <v>5.8227540532169075E-4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'[25]Sch C'!D94</f>
        <v>196</v>
      </c>
      <c r="D101" s="501">
        <f>'[25]Sch C'!F94</f>
        <v>286</v>
      </c>
      <c r="E101" s="171">
        <f t="shared" si="15"/>
        <v>482</v>
      </c>
      <c r="F101" s="171">
        <v>0</v>
      </c>
      <c r="G101" s="171">
        <f t="shared" si="16"/>
        <v>482</v>
      </c>
      <c r="H101" s="172">
        <f t="shared" si="17"/>
        <v>4.3962522770215372E-5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679725</v>
      </c>
      <c r="D102" s="501">
        <f>SUM(D96:D101)</f>
        <v>286</v>
      </c>
      <c r="E102" s="171">
        <f t="shared" ref="E102:F102" si="18">SUM(E96:E101)</f>
        <v>680011</v>
      </c>
      <c r="F102" s="171">
        <f t="shared" si="18"/>
        <v>59578</v>
      </c>
      <c r="G102" s="171">
        <f>SUM(G96:G101)</f>
        <v>739589</v>
      </c>
      <c r="H102" s="172">
        <f t="shared" si="17"/>
        <v>6.7456842848756887E-2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'[25]Sch C'!D98</f>
        <v>0</v>
      </c>
      <c r="D105" s="501">
        <f>'[25]Sch C'!F98</f>
        <v>0</v>
      </c>
      <c r="E105" s="171">
        <f t="shared" ref="E105:E110" si="19">C105+D105</f>
        <v>0</v>
      </c>
      <c r="F105" s="171">
        <v>2680</v>
      </c>
      <c r="G105" s="171">
        <f t="shared" ref="G105:G110" si="20">E105+F105</f>
        <v>2680</v>
      </c>
      <c r="H105" s="172">
        <f t="shared" ref="H105:H111" si="21">IF($G$208=0,0,G105/$G$208)</f>
        <v>2.4443892328667469E-4</v>
      </c>
      <c r="I105" s="473"/>
      <c r="J105" s="183">
        <f>0+204</f>
        <v>204</v>
      </c>
      <c r="K105" s="183">
        <f>0+210</f>
        <v>210</v>
      </c>
    </row>
    <row r="106" spans="1:11" s="167" customFormat="1">
      <c r="A106" s="169" t="s">
        <v>86</v>
      </c>
      <c r="B106" s="170" t="s">
        <v>45</v>
      </c>
      <c r="C106" s="501">
        <f>'[25]Sch C'!D99</f>
        <v>0</v>
      </c>
      <c r="D106" s="501">
        <f>'[25]Sch C'!F99</f>
        <v>0</v>
      </c>
      <c r="E106" s="171">
        <f t="shared" si="19"/>
        <v>0</v>
      </c>
      <c r="F106" s="171">
        <v>313</v>
      </c>
      <c r="G106" s="171">
        <f t="shared" si="20"/>
        <v>313</v>
      </c>
      <c r="H106" s="172">
        <f t="shared" si="21"/>
        <v>2.8548277234600438E-5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'[25]Sch C'!D100</f>
        <v>75</v>
      </c>
      <c r="D107" s="501">
        <f>'[25]Sch C'!F100</f>
        <v>0</v>
      </c>
      <c r="E107" s="171">
        <f t="shared" si="19"/>
        <v>75</v>
      </c>
      <c r="F107" s="171">
        <v>0</v>
      </c>
      <c r="G107" s="171">
        <f t="shared" si="20"/>
        <v>75</v>
      </c>
      <c r="H107" s="172">
        <f t="shared" si="21"/>
        <v>6.8406415098882842E-6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'[25]Sch C'!D101</f>
        <v>132567</v>
      </c>
      <c r="D108" s="501">
        <f>'[25]Sch C'!F101</f>
        <v>0</v>
      </c>
      <c r="E108" s="171">
        <f t="shared" si="19"/>
        <v>132567</v>
      </c>
      <c r="F108" s="171">
        <v>0</v>
      </c>
      <c r="G108" s="171">
        <f t="shared" si="20"/>
        <v>132567</v>
      </c>
      <c r="H108" s="172">
        <f t="shared" si="21"/>
        <v>1.2091244307218136E-2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'[25]Sch C'!D102</f>
        <v>0</v>
      </c>
      <c r="D109" s="501">
        <f>'[25]Sch C'!F102</f>
        <v>0</v>
      </c>
      <c r="E109" s="171">
        <f t="shared" si="19"/>
        <v>0</v>
      </c>
      <c r="F109" s="171">
        <v>0</v>
      </c>
      <c r="G109" s="171">
        <f t="shared" si="20"/>
        <v>0</v>
      </c>
      <c r="H109" s="172">
        <f t="shared" si="21"/>
        <v>0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'[25]Sch C'!D103</f>
        <v>479</v>
      </c>
      <c r="D110" s="501">
        <f>'[25]Sch C'!F103</f>
        <v>2</v>
      </c>
      <c r="E110" s="171">
        <f t="shared" si="19"/>
        <v>481</v>
      </c>
      <c r="F110" s="171">
        <v>0</v>
      </c>
      <c r="G110" s="171">
        <f t="shared" si="20"/>
        <v>481</v>
      </c>
      <c r="H110" s="172">
        <f t="shared" si="21"/>
        <v>4.3871314216750195E-5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133121</v>
      </c>
      <c r="D111" s="501">
        <f>SUM(D105:D110)</f>
        <v>2</v>
      </c>
      <c r="E111" s="171">
        <f t="shared" ref="E111:F111" si="22">SUM(E105:E110)</f>
        <v>133123</v>
      </c>
      <c r="F111" s="171">
        <f t="shared" si="22"/>
        <v>2993</v>
      </c>
      <c r="G111" s="171">
        <f>SUM(G105:G110)</f>
        <v>136116</v>
      </c>
      <c r="H111" s="172">
        <f t="shared" si="21"/>
        <v>1.241494346346605E-2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'[25]Sch C'!D115</f>
        <v>0</v>
      </c>
      <c r="D114" s="501">
        <f>'[25]Sch C'!F115</f>
        <v>0</v>
      </c>
      <c r="E114" s="171">
        <f t="shared" ref="E114:E118" si="23">C114+D114</f>
        <v>0</v>
      </c>
      <c r="F114" s="171">
        <v>10232</v>
      </c>
      <c r="G114" s="171">
        <f>E114+F114</f>
        <v>10232</v>
      </c>
      <c r="H114" s="172">
        <f t="shared" ref="H114:H119" si="24">IF($G$208=0,0,G114/$G$208)</f>
        <v>9.3324591905569231E-4</v>
      </c>
      <c r="I114" s="473"/>
      <c r="J114" s="183">
        <f>0+992</f>
        <v>992</v>
      </c>
      <c r="K114" s="183">
        <f>0+1023</f>
        <v>1023</v>
      </c>
    </row>
    <row r="115" spans="1:11" s="167" customFormat="1">
      <c r="A115" s="169" t="s">
        <v>86</v>
      </c>
      <c r="B115" s="170" t="s">
        <v>151</v>
      </c>
      <c r="C115" s="501">
        <f>'[25]Sch C'!D116</f>
        <v>0</v>
      </c>
      <c r="D115" s="501">
        <f>'[25]Sch C'!F116</f>
        <v>0</v>
      </c>
      <c r="E115" s="171">
        <f t="shared" si="23"/>
        <v>0</v>
      </c>
      <c r="F115" s="171">
        <v>1196</v>
      </c>
      <c r="G115" s="171">
        <f>E115+F115</f>
        <v>1196</v>
      </c>
      <c r="H115" s="172">
        <f t="shared" si="24"/>
        <v>1.0908542994435184E-4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'[25]Sch C'!D117</f>
        <v>311</v>
      </c>
      <c r="D116" s="501">
        <f>'[25]Sch C'!F117</f>
        <v>0</v>
      </c>
      <c r="E116" s="171">
        <f t="shared" si="23"/>
        <v>311</v>
      </c>
      <c r="F116" s="171">
        <v>52</v>
      </c>
      <c r="G116" s="171">
        <f>E116+F116</f>
        <v>363</v>
      </c>
      <c r="H116" s="172">
        <f t="shared" si="24"/>
        <v>3.3108704907859292E-5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'[25]Sch C'!D118</f>
        <v>198851</v>
      </c>
      <c r="D117" s="501">
        <f>'[25]Sch C'!F118</f>
        <v>0</v>
      </c>
      <c r="E117" s="171">
        <f t="shared" si="23"/>
        <v>198851</v>
      </c>
      <c r="F117" s="171">
        <v>0</v>
      </c>
      <c r="G117" s="171">
        <f>E117+F117</f>
        <v>198851</v>
      </c>
      <c r="H117" s="172">
        <f t="shared" si="24"/>
        <v>1.8136912065103934E-2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'[25]Sch C'!D119</f>
        <v>0</v>
      </c>
      <c r="D118" s="501">
        <f>'[25]Sch C'!F119</f>
        <v>0</v>
      </c>
      <c r="E118" s="171">
        <f t="shared" si="23"/>
        <v>0</v>
      </c>
      <c r="F118" s="171">
        <v>0</v>
      </c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199162</v>
      </c>
      <c r="D119" s="501">
        <f>SUM(D114:D118)</f>
        <v>0</v>
      </c>
      <c r="E119" s="171">
        <f t="shared" ref="E119:F119" si="25">SUM(E114:E118)</f>
        <v>199162</v>
      </c>
      <c r="F119" s="171">
        <f t="shared" si="25"/>
        <v>11480</v>
      </c>
      <c r="G119" s="171">
        <f>SUM(G114:G118)</f>
        <v>210642</v>
      </c>
      <c r="H119" s="172">
        <f t="shared" si="24"/>
        <v>1.9212352119011841E-2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'[25]Sch C'!D124</f>
        <v>0</v>
      </c>
      <c r="D123" s="501">
        <f>'[25]Sch C'!F124</f>
        <v>0</v>
      </c>
      <c r="E123" s="171">
        <f t="shared" ref="E123:E127" si="26">C123+D123</f>
        <v>0</v>
      </c>
      <c r="F123" s="171">
        <v>74</v>
      </c>
      <c r="G123" s="171">
        <f>E123+F123</f>
        <v>74</v>
      </c>
      <c r="H123" s="172">
        <f>IF($G$208=0,0,G123/$G$208)</f>
        <v>6.7494329564231072E-6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'[25]Sch C'!D125</f>
        <v>403649</v>
      </c>
      <c r="D124" s="501">
        <f>'[25]Sch C'!F125</f>
        <v>0</v>
      </c>
      <c r="E124" s="171">
        <f t="shared" si="26"/>
        <v>403649</v>
      </c>
      <c r="F124" s="506">
        <f>22388-3794</f>
        <v>18594</v>
      </c>
      <c r="G124" s="171">
        <f>E124+F124</f>
        <v>422243</v>
      </c>
      <c r="H124" s="172">
        <f>IF($G$208=0,0,G124/$G$208)</f>
        <v>3.8512173240796782E-2</v>
      </c>
      <c r="I124" s="473"/>
      <c r="J124" s="183">
        <f>12281+501</f>
        <v>12782</v>
      </c>
      <c r="K124" s="183">
        <f>13748+517</f>
        <v>14265</v>
      </c>
    </row>
    <row r="125" spans="1:11" s="167" customFormat="1">
      <c r="A125" s="163" t="s">
        <v>198</v>
      </c>
      <c r="B125" s="163" t="s">
        <v>195</v>
      </c>
      <c r="C125" s="501">
        <f>'[25]Sch C'!D126</f>
        <v>0</v>
      </c>
      <c r="D125" s="501">
        <f>'[25]Sch C'!F126</f>
        <v>0</v>
      </c>
      <c r="E125" s="171">
        <f t="shared" si="26"/>
        <v>0</v>
      </c>
      <c r="F125" s="171">
        <v>13636</v>
      </c>
      <c r="G125" s="171">
        <f>E125+F125</f>
        <v>13636</v>
      </c>
      <c r="H125" s="172">
        <f>IF($G$208=0,0,G125/$G$208)</f>
        <v>1.2437198350511553E-3</v>
      </c>
      <c r="I125" s="473"/>
      <c r="J125" s="183">
        <f>0+355</f>
        <v>355</v>
      </c>
      <c r="K125" s="183">
        <f>0+366</f>
        <v>366</v>
      </c>
    </row>
    <row r="126" spans="1:11" s="167" customFormat="1">
      <c r="A126" s="169"/>
      <c r="B126" s="163" t="s">
        <v>196</v>
      </c>
      <c r="C126" s="501">
        <f>'[25]Sch C'!D127</f>
        <v>0</v>
      </c>
      <c r="D126" s="501">
        <f>'[25]Sch C'!F127</f>
        <v>0</v>
      </c>
      <c r="E126" s="171">
        <f t="shared" si="26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'[25]Sch C'!D128</f>
        <v>116542</v>
      </c>
      <c r="D127" s="501">
        <f>'[25]Sch C'!F128</f>
        <v>0</v>
      </c>
      <c r="E127" s="171">
        <f t="shared" si="26"/>
        <v>116542</v>
      </c>
      <c r="F127" s="506">
        <f>12123+2452</f>
        <v>14575</v>
      </c>
      <c r="G127" s="171">
        <f>E127+F127</f>
        <v>131117</v>
      </c>
      <c r="H127" s="172">
        <f>IF($G$208=0,0,G127/$G$208)</f>
        <v>1.1958991904693629E-2</v>
      </c>
      <c r="I127" s="473"/>
      <c r="J127" s="183">
        <f>4716+419</f>
        <v>5135</v>
      </c>
      <c r="K127" s="183">
        <f>5236+432</f>
        <v>5668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'[25]Sch C'!D130</f>
        <v>0</v>
      </c>
      <c r="D129" s="501">
        <f>'[25]Sch C'!F130</f>
        <v>0</v>
      </c>
      <c r="E129" s="171">
        <f t="shared" ref="E129:E133" si="27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'[25]Sch C'!D131</f>
        <v>38140</v>
      </c>
      <c r="D130" s="501">
        <f>'[25]Sch C'!F131</f>
        <v>9839</v>
      </c>
      <c r="E130" s="171">
        <f t="shared" si="27"/>
        <v>47979</v>
      </c>
      <c r="F130" s="506">
        <f>2617-1012</f>
        <v>1605</v>
      </c>
      <c r="G130" s="171">
        <f>E130+F130</f>
        <v>49584</v>
      </c>
      <c r="H130" s="172">
        <f>IF($G$208=0,0,G130/$G$208)</f>
        <v>4.5224849150173425E-3</v>
      </c>
      <c r="I130" s="473"/>
      <c r="J130" s="204"/>
      <c r="K130" s="204"/>
    </row>
    <row r="131" spans="1:11" s="167" customFormat="1">
      <c r="B131" s="163" t="s">
        <v>195</v>
      </c>
      <c r="C131" s="501">
        <f>'[25]Sch C'!D132</f>
        <v>0</v>
      </c>
      <c r="D131" s="501">
        <f>'[25]Sch C'!F132</f>
        <v>0</v>
      </c>
      <c r="E131" s="171">
        <f t="shared" si="27"/>
        <v>0</v>
      </c>
      <c r="F131" s="171">
        <v>1594</v>
      </c>
      <c r="G131" s="171">
        <f>E131+F131</f>
        <v>1594</v>
      </c>
      <c r="H131" s="172">
        <f>IF($G$208=0,0,G131/$G$208)</f>
        <v>1.4538643422349232E-4</v>
      </c>
      <c r="I131" s="473"/>
      <c r="J131" s="168"/>
      <c r="K131" s="168"/>
    </row>
    <row r="132" spans="1:11" s="167" customFormat="1">
      <c r="B132" s="163" t="s">
        <v>196</v>
      </c>
      <c r="C132" s="501">
        <f>'[25]Sch C'!D133</f>
        <v>0</v>
      </c>
      <c r="D132" s="501">
        <f>'[25]Sch C'!F133</f>
        <v>0</v>
      </c>
      <c r="E132" s="171">
        <f t="shared" si="27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'[25]Sch C'!D134</f>
        <v>10578</v>
      </c>
      <c r="D133" s="501">
        <f>'[25]Sch C'!F134</f>
        <v>6956</v>
      </c>
      <c r="E133" s="171">
        <f t="shared" si="27"/>
        <v>17534</v>
      </c>
      <c r="F133" s="506">
        <f>1417-334</f>
        <v>1083</v>
      </c>
      <c r="G133" s="171">
        <f>E133+F133</f>
        <v>18617</v>
      </c>
      <c r="H133" s="172">
        <f>IF($G$208=0,0,G133/$G$208)</f>
        <v>1.6980296398612024E-3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'[25]Sch C'!D136</f>
        <v>464981</v>
      </c>
      <c r="D135" s="501">
        <f>'[25]Sch C'!F136</f>
        <v>22099</v>
      </c>
      <c r="E135" s="171">
        <f t="shared" ref="E135:E138" si="28">C135+D135</f>
        <v>487080</v>
      </c>
      <c r="F135" s="171">
        <v>52020</v>
      </c>
      <c r="G135" s="171">
        <f>E135+F135</f>
        <v>539100</v>
      </c>
      <c r="H135" s="172">
        <f>IF($G$208=0,0,G135/$G$208)</f>
        <v>4.9170531173076987E-2</v>
      </c>
      <c r="I135" s="473"/>
      <c r="J135" s="183">
        <f>17223+1510</f>
        <v>18733</v>
      </c>
      <c r="K135" s="183">
        <f>18262+1557</f>
        <v>19819</v>
      </c>
    </row>
    <row r="136" spans="1:11" s="167" customFormat="1">
      <c r="A136" s="169"/>
      <c r="B136" s="163" t="s">
        <v>195</v>
      </c>
      <c r="C136" s="501">
        <f>'[25]Sch C'!D137</f>
        <v>598849</v>
      </c>
      <c r="D136" s="501">
        <f>'[25]Sch C'!F137</f>
        <v>24235</v>
      </c>
      <c r="E136" s="171">
        <f t="shared" si="28"/>
        <v>623084</v>
      </c>
      <c r="F136" s="171">
        <v>63692</v>
      </c>
      <c r="G136" s="171">
        <f>E136+F136</f>
        <v>686776</v>
      </c>
      <c r="H136" s="172">
        <f>IF($G$208=0,0,G136/$G$208)</f>
        <v>6.2639845514600487E-2</v>
      </c>
      <c r="I136" s="473"/>
      <c r="J136" s="183">
        <f>25284+2323</f>
        <v>27607</v>
      </c>
      <c r="K136" s="183">
        <f>26636+2395</f>
        <v>29031</v>
      </c>
    </row>
    <row r="137" spans="1:11" s="167" customFormat="1">
      <c r="A137" s="169"/>
      <c r="B137" s="163" t="s">
        <v>196</v>
      </c>
      <c r="C137" s="501">
        <f>'[25]Sch C'!D138</f>
        <v>1212056</v>
      </c>
      <c r="D137" s="501">
        <f>'[25]Sch C'!F138</f>
        <v>45871</v>
      </c>
      <c r="E137" s="171">
        <f t="shared" si="28"/>
        <v>1257927</v>
      </c>
      <c r="F137" s="171">
        <v>85276</v>
      </c>
      <c r="G137" s="171">
        <f>E137+F137</f>
        <v>1343203</v>
      </c>
      <c r="H137" s="172">
        <f>IF($G$208=0,0,G137/$G$208)</f>
        <v>0.1225116026400863</v>
      </c>
      <c r="I137" s="473"/>
      <c r="J137" s="183">
        <f>86056+6347</f>
        <v>92403</v>
      </c>
      <c r="K137" s="183">
        <f>91035+6544</f>
        <v>97579</v>
      </c>
    </row>
    <row r="138" spans="1:11" s="167" customFormat="1">
      <c r="A138" s="169"/>
      <c r="B138" s="163" t="s">
        <v>197</v>
      </c>
      <c r="C138" s="501">
        <f>'[25]Sch C'!D139</f>
        <v>92205</v>
      </c>
      <c r="D138" s="501">
        <f>'[25]Sch C'!F139</f>
        <v>-92205</v>
      </c>
      <c r="E138" s="171">
        <f t="shared" si="28"/>
        <v>0</v>
      </c>
      <c r="F138" s="171">
        <v>5254</v>
      </c>
      <c r="G138" s="171">
        <f>E138+F138</f>
        <v>5254</v>
      </c>
      <c r="H138" s="172">
        <f>IF($G$208=0,0,G138/$G$208)</f>
        <v>4.792097399060406E-4</v>
      </c>
      <c r="I138" s="473"/>
      <c r="J138" s="183">
        <f>0+357</f>
        <v>357</v>
      </c>
      <c r="K138" s="183">
        <f>0+368</f>
        <v>368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'[25]Sch C'!D141</f>
        <v>0</v>
      </c>
      <c r="D140" s="501">
        <f>'[25]Sch C'!F141</f>
        <v>65444.731191301835</v>
      </c>
      <c r="E140" s="171">
        <f t="shared" ref="E140:E143" si="29">C140+D140</f>
        <v>65444.731191301835</v>
      </c>
      <c r="F140" s="506">
        <f>6081-1232</f>
        <v>4849</v>
      </c>
      <c r="G140" s="171">
        <f>E140+F140</f>
        <v>70293.731191301835</v>
      </c>
      <c r="H140" s="172">
        <f>IF($G$208=0,0,G140/$G$208)</f>
        <v>6.4113895396286421E-3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'[25]Sch C'!D142</f>
        <v>0</v>
      </c>
      <c r="D141" s="501">
        <f>'[25]Sch C'!F142</f>
        <v>83682.717771998272</v>
      </c>
      <c r="E141" s="171">
        <f t="shared" si="29"/>
        <v>83682.717771998272</v>
      </c>
      <c r="F141" s="506">
        <f>7445-1575</f>
        <v>5870</v>
      </c>
      <c r="G141" s="171">
        <f>E141+F141</f>
        <v>89552.717771998272</v>
      </c>
      <c r="H141" s="172">
        <f>IF($G$208=0,0,G141/$G$208)</f>
        <v>8.1679738468592219E-3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'[25]Sch C'!D143</f>
        <v>0</v>
      </c>
      <c r="D142" s="501">
        <f>'[25]Sch C'!F143</f>
        <v>150424.55103669991</v>
      </c>
      <c r="E142" s="171">
        <f t="shared" si="29"/>
        <v>150424.55103669991</v>
      </c>
      <c r="F142" s="506">
        <f>9968-3181</f>
        <v>6787</v>
      </c>
      <c r="G142" s="171">
        <f>E142+F142</f>
        <v>157211.55103669991</v>
      </c>
      <c r="H142" s="172">
        <f>IF($G$208=0,0,G142/$G$208)</f>
        <v>1.4339038158074266E-2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'[25]Sch C'!D144</f>
        <v>223987</v>
      </c>
      <c r="D143" s="501">
        <f>'[25]Sch C'!F144</f>
        <v>-223987</v>
      </c>
      <c r="E143" s="171">
        <f t="shared" si="29"/>
        <v>0</v>
      </c>
      <c r="F143" s="171">
        <v>614</v>
      </c>
      <c r="G143" s="171">
        <f>E143+F143</f>
        <v>614</v>
      </c>
      <c r="H143" s="172">
        <f>IF($G$208=0,0,G143/$G$208)</f>
        <v>5.6002051827618752E-5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'[25]Sch C'!D146</f>
        <v>65119</v>
      </c>
      <c r="D145" s="501">
        <f>'[25]Sch C'!F146</f>
        <v>0</v>
      </c>
      <c r="E145" s="171">
        <f t="shared" ref="E145:E153" si="30">C145+D145</f>
        <v>65119</v>
      </c>
      <c r="F145" s="506">
        <f>3500+2975-3325</f>
        <v>3150</v>
      </c>
      <c r="G145" s="171">
        <f t="shared" ref="G145:G153" si="31">E145+F145</f>
        <v>68269</v>
      </c>
      <c r="H145" s="172">
        <f t="shared" ref="H145:H153" si="32">IF($G$208=0,0,G145/$G$208)</f>
        <v>6.2267167365141771E-3</v>
      </c>
      <c r="I145" s="473"/>
      <c r="J145" s="183">
        <v>190</v>
      </c>
      <c r="K145" s="183">
        <v>190</v>
      </c>
    </row>
    <row r="146" spans="1:11" s="167" customFormat="1">
      <c r="A146" s="169"/>
      <c r="B146" s="163" t="s">
        <v>194</v>
      </c>
      <c r="C146" s="501">
        <f>'[25]Sch C'!D147</f>
        <v>0</v>
      </c>
      <c r="D146" s="501">
        <f>'[25]Sch C'!F147</f>
        <v>0</v>
      </c>
      <c r="E146" s="171">
        <f t="shared" si="30"/>
        <v>0</v>
      </c>
      <c r="F146" s="171">
        <v>0</v>
      </c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'[25]Sch C'!D148</f>
        <v>0</v>
      </c>
      <c r="D147" s="501">
        <f>'[25]Sch C'!F148</f>
        <v>0</v>
      </c>
      <c r="E147" s="171">
        <f t="shared" si="30"/>
        <v>0</v>
      </c>
      <c r="F147" s="171">
        <v>0</v>
      </c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'[25]Sch C'!D149</f>
        <v>0</v>
      </c>
      <c r="D148" s="501">
        <f>'[25]Sch C'!F149</f>
        <v>0</v>
      </c>
      <c r="E148" s="171">
        <f t="shared" si="30"/>
        <v>0</v>
      </c>
      <c r="F148" s="506">
        <v>3164</v>
      </c>
      <c r="G148" s="171">
        <f t="shared" si="31"/>
        <v>3164</v>
      </c>
      <c r="H148" s="172">
        <f t="shared" si="32"/>
        <v>2.8858386316382039E-4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'[25]Sch C'!D150</f>
        <v>20430</v>
      </c>
      <c r="D149" s="501">
        <f>'[25]Sch C'!F150</f>
        <v>0</v>
      </c>
      <c r="E149" s="171">
        <f t="shared" si="30"/>
        <v>20430</v>
      </c>
      <c r="F149" s="506">
        <f>208-540</f>
        <v>-332</v>
      </c>
      <c r="G149" s="171">
        <f t="shared" si="31"/>
        <v>20098</v>
      </c>
      <c r="H149" s="172">
        <f t="shared" si="32"/>
        <v>1.8331095075431298E-3</v>
      </c>
      <c r="I149" s="473"/>
      <c r="J149" s="183">
        <f>0+14</f>
        <v>14</v>
      </c>
      <c r="K149" s="183">
        <f>0+14</f>
        <v>14</v>
      </c>
    </row>
    <row r="150" spans="1:11" s="167" customFormat="1">
      <c r="A150" s="169">
        <v>110</v>
      </c>
      <c r="B150" s="167" t="s">
        <v>65</v>
      </c>
      <c r="C150" s="501">
        <f>'[25]Sch C'!D151</f>
        <v>191558</v>
      </c>
      <c r="D150" s="501">
        <f>'[25]Sch C'!F151</f>
        <v>72</v>
      </c>
      <c r="E150" s="171">
        <f t="shared" si="30"/>
        <v>191630</v>
      </c>
      <c r="F150" s="171">
        <v>8313</v>
      </c>
      <c r="G150" s="171">
        <f t="shared" si="31"/>
        <v>199943</v>
      </c>
      <c r="H150" s="172">
        <f t="shared" si="32"/>
        <v>1.8236511805487909E-2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'[25]Sch C'!D152</f>
        <v>1454</v>
      </c>
      <c r="D151" s="501">
        <f>'[25]Sch C'!F152</f>
        <v>0</v>
      </c>
      <c r="E151" s="171">
        <f t="shared" si="30"/>
        <v>1454</v>
      </c>
      <c r="F151" s="171">
        <v>84</v>
      </c>
      <c r="G151" s="171">
        <f t="shared" si="31"/>
        <v>1538</v>
      </c>
      <c r="H151" s="172">
        <f t="shared" si="32"/>
        <v>1.4027875522944241E-4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'[25]Sch C'!D153</f>
        <v>37332</v>
      </c>
      <c r="D152" s="501">
        <f>'[25]Sch C'!F153</f>
        <v>0</v>
      </c>
      <c r="E152" s="171">
        <f t="shared" si="30"/>
        <v>37332</v>
      </c>
      <c r="F152" s="506">
        <v>-6953</v>
      </c>
      <c r="G152" s="171">
        <f t="shared" si="31"/>
        <v>30379</v>
      </c>
      <c r="H152" s="172">
        <f t="shared" si="32"/>
        <v>2.7708246457186156E-3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'[25]Sch C'!D154</f>
        <v>871308</v>
      </c>
      <c r="D153" s="501">
        <f>'[25]Sch C'!F154</f>
        <v>0</v>
      </c>
      <c r="E153" s="171">
        <f t="shared" si="30"/>
        <v>871308</v>
      </c>
      <c r="F153" s="171">
        <v>0</v>
      </c>
      <c r="G153" s="171">
        <f t="shared" si="31"/>
        <v>871308</v>
      </c>
      <c r="H153" s="172">
        <f t="shared" si="32"/>
        <v>7.9470742302636552E-2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'[25]Sch C'!D156</f>
        <v>0</v>
      </c>
      <c r="D155" s="501">
        <f>'[25]Sch C'!F156</f>
        <v>0</v>
      </c>
      <c r="E155" s="171">
        <f t="shared" ref="E155:E160" si="33">C155+D155</f>
        <v>0</v>
      </c>
      <c r="F155" s="171">
        <v>0</v>
      </c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'[25]Sch C'!D157</f>
        <v>0</v>
      </c>
      <c r="D156" s="501">
        <f>'[25]Sch C'!F157</f>
        <v>0</v>
      </c>
      <c r="E156" s="171">
        <f t="shared" si="33"/>
        <v>0</v>
      </c>
      <c r="F156" s="171">
        <v>0</v>
      </c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'[25]Sch C'!D158</f>
        <v>0</v>
      </c>
      <c r="D157" s="501">
        <f>'[25]Sch C'!F158</f>
        <v>0</v>
      </c>
      <c r="E157" s="171">
        <f t="shared" si="33"/>
        <v>0</v>
      </c>
      <c r="F157" s="171">
        <v>0</v>
      </c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'[25]Sch C'!D159</f>
        <v>0</v>
      </c>
      <c r="D158" s="501">
        <f>'[25]Sch C'!F159</f>
        <v>0</v>
      </c>
      <c r="E158" s="171">
        <f t="shared" si="33"/>
        <v>0</v>
      </c>
      <c r="F158" s="171">
        <v>0</v>
      </c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'[25]Sch C'!D160</f>
        <v>0</v>
      </c>
      <c r="D159" s="501">
        <f>'[25]Sch C'!F160</f>
        <v>0</v>
      </c>
      <c r="E159" s="171">
        <f t="shared" si="33"/>
        <v>0</v>
      </c>
      <c r="F159" s="171">
        <v>0</v>
      </c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'[25]Sch C'!D161</f>
        <v>196272</v>
      </c>
      <c r="D160" s="501">
        <f>'[25]Sch C'!F161</f>
        <v>185876</v>
      </c>
      <c r="E160" s="171">
        <f t="shared" si="33"/>
        <v>382148</v>
      </c>
      <c r="F160" s="506">
        <f>-2975-3164-8419</f>
        <v>-14558</v>
      </c>
      <c r="G160" s="171">
        <f t="shared" si="34"/>
        <v>367590</v>
      </c>
      <c r="H160" s="172">
        <f t="shared" si="35"/>
        <v>3.3527352168264461E-2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4544460</v>
      </c>
      <c r="D161" s="501">
        <f>SUM(D123:D160)</f>
        <v>278308</v>
      </c>
      <c r="E161" s="171">
        <f t="shared" ref="E161:F161" si="36">SUM(E123:E160)</f>
        <v>4822768</v>
      </c>
      <c r="F161" s="171">
        <f t="shared" si="36"/>
        <v>268391</v>
      </c>
      <c r="G161" s="171">
        <f>SUM(G123:G160)</f>
        <v>5091159</v>
      </c>
      <c r="H161" s="172">
        <f t="shared" si="35"/>
        <v>0.46435724785121768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'[25]Sch C'!D175</f>
        <v>0</v>
      </c>
      <c r="D164" s="501">
        <f>'[25]Sch C'!F175</f>
        <v>0</v>
      </c>
      <c r="E164" s="171">
        <f t="shared" ref="E164:E196" si="37">C164+D164</f>
        <v>0</v>
      </c>
      <c r="F164" s="216">
        <v>0</v>
      </c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'[25]Sch C'!D176</f>
        <v>0</v>
      </c>
      <c r="D165" s="501">
        <f>'[25]Sch C'!F176</f>
        <v>0</v>
      </c>
      <c r="E165" s="171">
        <f t="shared" si="37"/>
        <v>0</v>
      </c>
      <c r="F165" s="216">
        <v>0</v>
      </c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'[25]Sch C'!D177</f>
        <v>0</v>
      </c>
      <c r="D166" s="501">
        <f>'[25]Sch C'!F177</f>
        <v>0</v>
      </c>
      <c r="E166" s="171">
        <f t="shared" si="37"/>
        <v>0</v>
      </c>
      <c r="F166" s="216">
        <v>20389</v>
      </c>
      <c r="G166" s="171">
        <f t="shared" si="38"/>
        <v>20389</v>
      </c>
      <c r="H166" s="172">
        <f t="shared" si="39"/>
        <v>1.8596511966014963E-3</v>
      </c>
      <c r="I166" s="483"/>
      <c r="J166" s="183">
        <f>0+663</f>
        <v>663</v>
      </c>
      <c r="K166" s="183">
        <f>0+684</f>
        <v>684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'[25]Sch C'!D178</f>
        <v>0</v>
      </c>
      <c r="D167" s="501">
        <f>'[25]Sch C'!F178</f>
        <v>0</v>
      </c>
      <c r="E167" s="171">
        <f t="shared" si="37"/>
        <v>0</v>
      </c>
      <c r="F167" s="216">
        <v>2383</v>
      </c>
      <c r="G167" s="171">
        <f t="shared" si="38"/>
        <v>2383</v>
      </c>
      <c r="H167" s="172">
        <f t="shared" si="39"/>
        <v>2.1734998290751708E-4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'[25]Sch C'!D179</f>
        <v>0</v>
      </c>
      <c r="D168" s="501">
        <f>'[25]Sch C'!F179</f>
        <v>0</v>
      </c>
      <c r="E168" s="171">
        <f t="shared" si="37"/>
        <v>0</v>
      </c>
      <c r="F168" s="216">
        <v>8733</v>
      </c>
      <c r="G168" s="171">
        <f t="shared" si="38"/>
        <v>8733</v>
      </c>
      <c r="H168" s="172">
        <f t="shared" si="39"/>
        <v>7.965242974113918E-4</v>
      </c>
      <c r="I168" s="483"/>
      <c r="J168" s="183">
        <f>0+211</f>
        <v>211</v>
      </c>
      <c r="K168" s="183">
        <f>0+218</f>
        <v>218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'[25]Sch C'!D180</f>
        <v>0</v>
      </c>
      <c r="D169" s="501">
        <f>'[25]Sch C'!F180</f>
        <v>0</v>
      </c>
      <c r="E169" s="171">
        <f t="shared" si="37"/>
        <v>0</v>
      </c>
      <c r="F169" s="216">
        <v>1021</v>
      </c>
      <c r="G169" s="171">
        <f t="shared" si="38"/>
        <v>1021</v>
      </c>
      <c r="H169" s="172">
        <f t="shared" si="39"/>
        <v>9.312393308794584E-5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'[25]Sch C'!D181</f>
        <v>0</v>
      </c>
      <c r="D170" s="501">
        <f>'[25]Sch C'!F181</f>
        <v>0</v>
      </c>
      <c r="E170" s="171">
        <f t="shared" si="37"/>
        <v>0</v>
      </c>
      <c r="F170" s="216">
        <v>0</v>
      </c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'[25]Sch C'!D182</f>
        <v>0</v>
      </c>
      <c r="D171" s="501">
        <f>'[25]Sch C'!F182</f>
        <v>0</v>
      </c>
      <c r="E171" s="171">
        <f t="shared" si="37"/>
        <v>0</v>
      </c>
      <c r="F171" s="216">
        <v>0</v>
      </c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'[25]Sch C'!D183</f>
        <v>0</v>
      </c>
      <c r="D172" s="501">
        <f>'[25]Sch C'!F183</f>
        <v>0</v>
      </c>
      <c r="E172" s="171">
        <f t="shared" si="37"/>
        <v>0</v>
      </c>
      <c r="F172" s="216">
        <v>19951</v>
      </c>
      <c r="G172" s="171">
        <f t="shared" si="38"/>
        <v>19951</v>
      </c>
      <c r="H172" s="172">
        <f t="shared" si="39"/>
        <v>1.8197018501837487E-3</v>
      </c>
      <c r="I172" s="483"/>
      <c r="J172" s="183">
        <f>0+508</f>
        <v>508</v>
      </c>
      <c r="K172" s="183">
        <f>0+524</f>
        <v>524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'[25]Sch C'!D184</f>
        <v>0</v>
      </c>
      <c r="D173" s="501">
        <f>'[25]Sch C'!F184</f>
        <v>0</v>
      </c>
      <c r="E173" s="171">
        <f t="shared" si="37"/>
        <v>0</v>
      </c>
      <c r="F173" s="216">
        <v>2332</v>
      </c>
      <c r="G173" s="171">
        <f t="shared" si="38"/>
        <v>2332</v>
      </c>
      <c r="H173" s="172">
        <f t="shared" si="39"/>
        <v>2.1269834668079306E-4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'[25]Sch C'!D185</f>
        <v>0</v>
      </c>
      <c r="D174" s="501">
        <f>'[25]Sch C'!F185</f>
        <v>0</v>
      </c>
      <c r="E174" s="171">
        <f t="shared" si="37"/>
        <v>0</v>
      </c>
      <c r="F174" s="216">
        <v>0</v>
      </c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'[25]Sch C'!D186</f>
        <v>0</v>
      </c>
      <c r="D175" s="501">
        <f>'[25]Sch C'!F186</f>
        <v>0</v>
      </c>
      <c r="E175" s="171">
        <f t="shared" si="37"/>
        <v>0</v>
      </c>
      <c r="F175" s="216">
        <v>0</v>
      </c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'[25]Sch C'!D187</f>
        <v>0</v>
      </c>
      <c r="D176" s="501">
        <f>'[25]Sch C'!F187</f>
        <v>0</v>
      </c>
      <c r="E176" s="171">
        <f t="shared" si="37"/>
        <v>0</v>
      </c>
      <c r="F176" s="216">
        <v>0</v>
      </c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'[25]Sch C'!D188</f>
        <v>9623</v>
      </c>
      <c r="D177" s="501">
        <f>'[25]Sch C'!F188</f>
        <v>1</v>
      </c>
      <c r="E177" s="171">
        <f t="shared" si="37"/>
        <v>9624</v>
      </c>
      <c r="F177" s="216">
        <v>4</v>
      </c>
      <c r="G177" s="171">
        <f t="shared" si="38"/>
        <v>9628</v>
      </c>
      <c r="H177" s="172">
        <f t="shared" si="39"/>
        <v>8.7815595276272531E-4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'[25]Sch C'!D189</f>
        <v>0</v>
      </c>
      <c r="D178" s="501">
        <f>'[25]Sch C'!F189</f>
        <v>0</v>
      </c>
      <c r="E178" s="171">
        <f t="shared" si="37"/>
        <v>0</v>
      </c>
      <c r="F178" s="216">
        <v>0</v>
      </c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'[25]Sch C'!D190</f>
        <v>0</v>
      </c>
      <c r="D179" s="501">
        <f>'[25]Sch C'!F190</f>
        <v>0</v>
      </c>
      <c r="E179" s="171">
        <f t="shared" si="37"/>
        <v>0</v>
      </c>
      <c r="F179" s="216">
        <v>0</v>
      </c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'[25]Sch C'!D191</f>
        <v>9445</v>
      </c>
      <c r="D180" s="501">
        <f>'[25]Sch C'!F191</f>
        <v>0</v>
      </c>
      <c r="E180" s="171">
        <f t="shared" si="37"/>
        <v>9445</v>
      </c>
      <c r="F180" s="216">
        <v>0</v>
      </c>
      <c r="G180" s="171">
        <f t="shared" si="38"/>
        <v>9445</v>
      </c>
      <c r="H180" s="172">
        <f t="shared" si="39"/>
        <v>8.6146478747859789E-4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'[25]Sch C'!D192</f>
        <v>57930</v>
      </c>
      <c r="D181" s="501">
        <f>'[25]Sch C'!F192</f>
        <v>0</v>
      </c>
      <c r="E181" s="171">
        <f t="shared" si="37"/>
        <v>57930</v>
      </c>
      <c r="F181" s="216">
        <v>0</v>
      </c>
      <c r="G181" s="171">
        <f t="shared" si="38"/>
        <v>57930</v>
      </c>
      <c r="H181" s="172">
        <f t="shared" si="39"/>
        <v>5.2837115022377106E-3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'[25]Sch C'!D193</f>
        <v>0</v>
      </c>
      <c r="D182" s="501">
        <f>'[25]Sch C'!F193</f>
        <v>0</v>
      </c>
      <c r="E182" s="171">
        <f t="shared" si="37"/>
        <v>0</v>
      </c>
      <c r="F182" s="216">
        <v>0</v>
      </c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'[25]Sch C'!D194</f>
        <v>346684</v>
      </c>
      <c r="D183" s="501">
        <f>'[25]Sch C'!F194</f>
        <v>-117241</v>
      </c>
      <c r="E183" s="171">
        <f t="shared" si="37"/>
        <v>229443</v>
      </c>
      <c r="F183" s="216">
        <v>4800</v>
      </c>
      <c r="G183" s="171">
        <f t="shared" si="38"/>
        <v>234243</v>
      </c>
      <c r="H183" s="172">
        <f t="shared" si="39"/>
        <v>2.1364965189343485E-2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'[25]Sch C'!D195</f>
        <v>158448</v>
      </c>
      <c r="D184" s="501">
        <f>'[25]Sch C'!F195</f>
        <v>-5412</v>
      </c>
      <c r="E184" s="171">
        <f t="shared" si="37"/>
        <v>153036</v>
      </c>
      <c r="F184" s="216">
        <v>1600</v>
      </c>
      <c r="G184" s="171">
        <f t="shared" si="38"/>
        <v>154636</v>
      </c>
      <c r="H184" s="172">
        <f t="shared" si="39"/>
        <v>1.4104125873641129E-2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'[25]Sch C'!D196</f>
        <v>0</v>
      </c>
      <c r="D185" s="501">
        <f>'[25]Sch C'!F196</f>
        <v>0</v>
      </c>
      <c r="E185" s="171">
        <f t="shared" si="37"/>
        <v>0</v>
      </c>
      <c r="F185" s="216">
        <v>0</v>
      </c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'[25]Sch C'!D197</f>
        <v>295791</v>
      </c>
      <c r="D186" s="501">
        <f>'[25]Sch C'!F197</f>
        <v>-3410</v>
      </c>
      <c r="E186" s="171">
        <f t="shared" si="37"/>
        <v>292381</v>
      </c>
      <c r="F186" s="216">
        <v>1600</v>
      </c>
      <c r="G186" s="171">
        <f t="shared" si="38"/>
        <v>293981</v>
      </c>
      <c r="H186" s="172">
        <f t="shared" si="39"/>
        <v>2.6813581756246235E-2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'[25]Sch C'!D198</f>
        <v>0</v>
      </c>
      <c r="D187" s="501">
        <f>'[25]Sch C'!F198</f>
        <v>0</v>
      </c>
      <c r="E187" s="171">
        <f t="shared" si="37"/>
        <v>0</v>
      </c>
      <c r="F187" s="216">
        <v>4248</v>
      </c>
      <c r="G187" s="171">
        <f t="shared" si="38"/>
        <v>4248</v>
      </c>
      <c r="H187" s="172">
        <f t="shared" si="39"/>
        <v>3.8745393512007242E-4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'[25]Sch C'!D199</f>
        <v>0</v>
      </c>
      <c r="D188" s="501">
        <f>'[25]Sch C'!F199</f>
        <v>0</v>
      </c>
      <c r="E188" s="171">
        <f t="shared" si="37"/>
        <v>0</v>
      </c>
      <c r="F188" s="216">
        <v>31772</v>
      </c>
      <c r="G188" s="171">
        <f t="shared" si="38"/>
        <v>31772</v>
      </c>
      <c r="H188" s="172">
        <f t="shared" si="39"/>
        <v>2.8978781606956074E-3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'[25]Sch C'!D200</f>
        <v>0</v>
      </c>
      <c r="D189" s="501">
        <f>'[25]Sch C'!F200</f>
        <v>0</v>
      </c>
      <c r="E189" s="171">
        <f t="shared" si="37"/>
        <v>0</v>
      </c>
      <c r="F189" s="216">
        <v>0</v>
      </c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'[25]Sch C'!D201</f>
        <v>0</v>
      </c>
      <c r="D190" s="501">
        <f>'[25]Sch C'!F201</f>
        <v>0</v>
      </c>
      <c r="E190" s="171">
        <f t="shared" si="37"/>
        <v>0</v>
      </c>
      <c r="F190" s="216">
        <v>0</v>
      </c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'[25]Sch C'!D202</f>
        <v>0</v>
      </c>
      <c r="D191" s="501">
        <f>'[25]Sch C'!F202</f>
        <v>0</v>
      </c>
      <c r="E191" s="171">
        <f t="shared" si="37"/>
        <v>0</v>
      </c>
      <c r="F191" s="216">
        <v>0</v>
      </c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'[25]Sch C'!D203</f>
        <v>0</v>
      </c>
      <c r="D192" s="501">
        <f>'[25]Sch C'!F203</f>
        <v>0</v>
      </c>
      <c r="E192" s="171">
        <f t="shared" si="37"/>
        <v>0</v>
      </c>
      <c r="F192" s="216">
        <v>0</v>
      </c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'[25]Sch C'!D204</f>
        <v>0</v>
      </c>
      <c r="D193" s="501">
        <f>'[25]Sch C'!F204</f>
        <v>0</v>
      </c>
      <c r="E193" s="171">
        <f t="shared" si="37"/>
        <v>0</v>
      </c>
      <c r="F193" s="216">
        <v>0</v>
      </c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'[25]Sch C'!D205</f>
        <v>339923</v>
      </c>
      <c r="D194" s="501">
        <f>'[25]Sch C'!F205</f>
        <v>0</v>
      </c>
      <c r="E194" s="171">
        <f t="shared" si="37"/>
        <v>339923</v>
      </c>
      <c r="F194" s="216">
        <v>28329</v>
      </c>
      <c r="G194" s="171">
        <f t="shared" si="38"/>
        <v>368252</v>
      </c>
      <c r="H194" s="172">
        <f t="shared" si="39"/>
        <v>3.3587732230658404E-2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'[25]Sch C'!D206</f>
        <v>0</v>
      </c>
      <c r="D195" s="501">
        <f>'[25]Sch C'!F206</f>
        <v>0</v>
      </c>
      <c r="E195" s="171">
        <f t="shared" si="37"/>
        <v>0</v>
      </c>
      <c r="F195" s="216">
        <v>568</v>
      </c>
      <c r="G195" s="171">
        <f t="shared" si="38"/>
        <v>568</v>
      </c>
      <c r="H195" s="172">
        <f t="shared" si="39"/>
        <v>5.1806458368220602E-5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'[25]Sch C'!D207</f>
        <v>61461</v>
      </c>
      <c r="D196" s="501">
        <f>'[25]Sch C'!F207</f>
        <v>0</v>
      </c>
      <c r="E196" s="171">
        <f t="shared" si="37"/>
        <v>61461</v>
      </c>
      <c r="F196" s="216">
        <v>0</v>
      </c>
      <c r="G196" s="171">
        <f t="shared" si="38"/>
        <v>61461</v>
      </c>
      <c r="H196" s="172">
        <f t="shared" si="39"/>
        <v>5.6057689045232511E-3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1279305</v>
      </c>
      <c r="D197" s="501">
        <f>SUM(D164:D196)</f>
        <v>-126062</v>
      </c>
      <c r="E197" s="171">
        <f t="shared" ref="E197:F197" si="40">SUM(E164:E196)</f>
        <v>1153243</v>
      </c>
      <c r="F197" s="171">
        <f t="shared" si="40"/>
        <v>127730</v>
      </c>
      <c r="G197" s="171">
        <f>SUM(G164:G196)</f>
        <v>1280973</v>
      </c>
      <c r="H197" s="172">
        <f>IF($G$208=0,0,G197/$G$208)</f>
        <v>0.11683569435794833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'[25]Sch C'!D211</f>
        <v>200079</v>
      </c>
      <c r="D200" s="501">
        <f>'[25]Sch C'!F211</f>
        <v>0</v>
      </c>
      <c r="E200" s="171">
        <f t="shared" ref="E200:E205" si="41">C200+D200</f>
        <v>200079</v>
      </c>
      <c r="F200" s="171">
        <v>19825</v>
      </c>
      <c r="G200" s="171">
        <f t="shared" ref="G200:G205" si="42">E200+F200</f>
        <v>219904</v>
      </c>
      <c r="H200" s="172">
        <f t="shared" ref="H200:H206" si="43">IF($G$208=0,0,G200/$G$208)</f>
        <v>2.005712574120631E-2</v>
      </c>
      <c r="I200" s="473"/>
      <c r="J200" s="183">
        <f>11312+1042</f>
        <v>12354</v>
      </c>
      <c r="K200" s="183">
        <f>12667+1074</f>
        <v>13741</v>
      </c>
    </row>
    <row r="201" spans="1:14" s="167" customFormat="1">
      <c r="A201" s="169" t="s">
        <v>86</v>
      </c>
      <c r="B201" s="170" t="s">
        <v>45</v>
      </c>
      <c r="C201" s="501">
        <f>'[25]Sch C'!D212</f>
        <v>18941</v>
      </c>
      <c r="D201" s="501">
        <f>'[25]Sch C'!F212</f>
        <v>6401</v>
      </c>
      <c r="E201" s="171">
        <f t="shared" si="41"/>
        <v>25342</v>
      </c>
      <c r="F201" s="506">
        <f>2317-506</f>
        <v>1811</v>
      </c>
      <c r="G201" s="171">
        <f t="shared" si="42"/>
        <v>27153</v>
      </c>
      <c r="H201" s="172">
        <f t="shared" si="43"/>
        <v>2.4765858522399543E-3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'[25]Sch C'!D213</f>
        <v>12325</v>
      </c>
      <c r="D202" s="501">
        <f>'[25]Sch C'!F213</f>
        <v>0</v>
      </c>
      <c r="E202" s="171">
        <f t="shared" si="41"/>
        <v>12325</v>
      </c>
      <c r="F202" s="506">
        <f>350+225</f>
        <v>575</v>
      </c>
      <c r="G202" s="171">
        <f t="shared" si="42"/>
        <v>12900</v>
      </c>
      <c r="H202" s="172">
        <f t="shared" si="43"/>
        <v>1.1765903397007848E-3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'[25]Sch C'!D214</f>
        <v>0</v>
      </c>
      <c r="D203" s="501">
        <f>'[25]Sch C'!F214</f>
        <v>0</v>
      </c>
      <c r="E203" s="171">
        <f t="shared" si="41"/>
        <v>0</v>
      </c>
      <c r="F203" s="171">
        <v>0</v>
      </c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'[25]Sch C'!D215</f>
        <v>0</v>
      </c>
      <c r="D204" s="501">
        <f>'[25]Sch C'!F215</f>
        <v>0</v>
      </c>
      <c r="E204" s="171">
        <f t="shared" si="41"/>
        <v>0</v>
      </c>
      <c r="F204" s="171">
        <v>0</v>
      </c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'[25]Sch C'!D216</f>
        <v>22603</v>
      </c>
      <c r="D205" s="501">
        <f>'[25]Sch C'!F216</f>
        <v>17</v>
      </c>
      <c r="E205" s="171">
        <f t="shared" si="41"/>
        <v>22620</v>
      </c>
      <c r="F205" s="506">
        <f>40-225</f>
        <v>-185</v>
      </c>
      <c r="G205" s="171">
        <f t="shared" si="42"/>
        <v>22435</v>
      </c>
      <c r="H205" s="172">
        <f t="shared" si="43"/>
        <v>2.0462638969912486E-3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253948</v>
      </c>
      <c r="D206" s="501">
        <f>SUM(D200:D205)</f>
        <v>6418</v>
      </c>
      <c r="E206" s="171">
        <f t="shared" ref="E206:F206" si="44">SUM(E200:E205)</f>
        <v>260366</v>
      </c>
      <c r="F206" s="171">
        <f t="shared" si="44"/>
        <v>22026</v>
      </c>
      <c r="G206" s="171">
        <f>SUM(G200:G205)</f>
        <v>282392</v>
      </c>
      <c r="H206" s="172">
        <f t="shared" si="43"/>
        <v>2.5756565830138297E-2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11825795</v>
      </c>
      <c r="D208" s="501">
        <f>SUM(D25:D206)/2</f>
        <v>-1131856</v>
      </c>
      <c r="E208" s="171">
        <f t="shared" ref="E208:F208" si="45">SUM(E25:E206)/2</f>
        <v>10693939</v>
      </c>
      <c r="F208" s="171">
        <f t="shared" si="45"/>
        <v>269945</v>
      </c>
      <c r="G208" s="171">
        <f>SUM(G25:G206)/2</f>
        <v>10963884</v>
      </c>
      <c r="H208" s="172">
        <f>IF($G$208=0,0,G208/$G$208)</f>
        <v>1</v>
      </c>
      <c r="I208" s="473"/>
      <c r="J208" s="183">
        <f>SUM(J25:J200)</f>
        <v>199948</v>
      </c>
      <c r="K208" s="183">
        <f>SUM(K25:K200)</f>
        <v>214172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'[25]Sch C'!D221</f>
        <v>11825795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-1656633</v>
      </c>
      <c r="D215" s="501">
        <f>D21-D208</f>
        <v>45058</v>
      </c>
      <c r="E215" s="171">
        <f t="shared" ref="E215:F215" si="46">E21-E208</f>
        <v>-1611575</v>
      </c>
      <c r="F215" s="171">
        <f t="shared" si="46"/>
        <v>525591</v>
      </c>
      <c r="G215" s="171">
        <f>G21-G208</f>
        <v>-1085984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'[25]Sch D'!C9</f>
        <v>22247</v>
      </c>
      <c r="D219" s="530"/>
      <c r="E219" s="234">
        <f t="shared" ref="E219:G227" si="47">C219+D219</f>
        <v>22247</v>
      </c>
      <c r="F219" s="233">
        <v>1735</v>
      </c>
      <c r="G219" s="234">
        <f t="shared" si="47"/>
        <v>23982</v>
      </c>
      <c r="H219" s="172">
        <f t="shared" ref="H219:H228" si="48">IF($G$228=0,0,G219/$G$228)</f>
        <v>0.67486492570914003</v>
      </c>
      <c r="I219" s="473"/>
      <c r="J219" s="168"/>
      <c r="K219" s="168"/>
    </row>
    <row r="220" spans="1:11">
      <c r="A220" s="163"/>
      <c r="B220" s="170" t="s">
        <v>217</v>
      </c>
      <c r="C220" s="530">
        <f>'[25]Sch D'!D9</f>
        <v>0</v>
      </c>
      <c r="D220" s="530"/>
      <c r="E220" s="234">
        <f t="shared" ref="E220:E227" si="49">C220+D220</f>
        <v>0</v>
      </c>
      <c r="F220" s="233">
        <v>0</v>
      </c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'[25]Sch D'!E9</f>
        <v>2748</v>
      </c>
      <c r="D221" s="530"/>
      <c r="E221" s="234">
        <f t="shared" si="49"/>
        <v>2748</v>
      </c>
      <c r="F221" s="233">
        <v>188</v>
      </c>
      <c r="G221" s="234">
        <f t="shared" si="47"/>
        <v>2936</v>
      </c>
      <c r="H221" s="172">
        <f t="shared" si="48"/>
        <v>8.2620441242683473E-2</v>
      </c>
      <c r="I221" s="473"/>
      <c r="J221" s="168"/>
      <c r="K221" s="168"/>
    </row>
    <row r="222" spans="1:11">
      <c r="A222" s="163"/>
      <c r="B222" s="202" t="s">
        <v>334</v>
      </c>
      <c r="C222" s="530">
        <f>'[25]Sch D'!F9</f>
        <v>1102</v>
      </c>
      <c r="D222" s="530"/>
      <c r="E222" s="234">
        <f>C222+D222</f>
        <v>1102</v>
      </c>
      <c r="F222" s="233">
        <v>114</v>
      </c>
      <c r="G222" s="234">
        <f>E222+F222</f>
        <v>1216</v>
      </c>
      <c r="H222" s="172">
        <f t="shared" si="48"/>
        <v>3.4218820351193155E-2</v>
      </c>
      <c r="I222" s="473"/>
      <c r="J222" s="168"/>
      <c r="K222" s="168"/>
    </row>
    <row r="223" spans="1:11">
      <c r="A223" s="163"/>
      <c r="B223" s="170" t="s">
        <v>73</v>
      </c>
      <c r="C223" s="530">
        <f>'[25]Sch D'!G9</f>
        <v>3605</v>
      </c>
      <c r="D223" s="530"/>
      <c r="E223" s="234">
        <f t="shared" si="49"/>
        <v>3605</v>
      </c>
      <c r="F223" s="233">
        <v>278</v>
      </c>
      <c r="G223" s="234">
        <f t="shared" si="47"/>
        <v>3883</v>
      </c>
      <c r="H223" s="172">
        <f t="shared" si="48"/>
        <v>0.10926947321026564</v>
      </c>
      <c r="I223" s="473"/>
      <c r="J223" s="168"/>
      <c r="K223" s="168"/>
    </row>
    <row r="224" spans="1:11">
      <c r="A224" s="163"/>
      <c r="B224" s="170" t="s">
        <v>74</v>
      </c>
      <c r="C224" s="530">
        <f>'[25]Sch D'!H9</f>
        <v>1652</v>
      </c>
      <c r="D224" s="530"/>
      <c r="E224" s="234">
        <f t="shared" si="49"/>
        <v>1652</v>
      </c>
      <c r="F224" s="233">
        <v>171</v>
      </c>
      <c r="G224" s="234">
        <f t="shared" si="47"/>
        <v>1823</v>
      </c>
      <c r="H224" s="172">
        <f t="shared" si="48"/>
        <v>5.1300090049527243E-2</v>
      </c>
      <c r="I224" s="473"/>
      <c r="J224" s="168"/>
      <c r="K224" s="168"/>
    </row>
    <row r="225" spans="1:11">
      <c r="A225" s="163"/>
      <c r="B225" s="170" t="s">
        <v>236</v>
      </c>
      <c r="C225" s="530">
        <f>'[25]Sch D'!I9</f>
        <v>728</v>
      </c>
      <c r="D225" s="530"/>
      <c r="E225" s="234">
        <f t="shared" si="49"/>
        <v>728</v>
      </c>
      <c r="F225" s="233">
        <v>0</v>
      </c>
      <c r="G225" s="234">
        <f t="shared" si="47"/>
        <v>728</v>
      </c>
      <c r="H225" s="172">
        <f t="shared" si="48"/>
        <v>2.0486267447095904E-2</v>
      </c>
      <c r="I225" s="473"/>
      <c r="J225" s="168"/>
      <c r="K225" s="168"/>
    </row>
    <row r="226" spans="1:11">
      <c r="A226" s="163"/>
      <c r="B226" s="170" t="s">
        <v>235</v>
      </c>
      <c r="C226" s="530">
        <f>'[25]Sch D'!J9</f>
        <v>0</v>
      </c>
      <c r="D226" s="530"/>
      <c r="E226" s="234">
        <f>C226+D226</f>
        <v>0</v>
      </c>
      <c r="F226" s="233">
        <v>50</v>
      </c>
      <c r="G226" s="234">
        <f>E226+F226</f>
        <v>50</v>
      </c>
      <c r="H226" s="172">
        <f t="shared" si="48"/>
        <v>1.4070238631247187E-3</v>
      </c>
      <c r="I226" s="473"/>
      <c r="J226" s="168"/>
      <c r="K226" s="168"/>
    </row>
    <row r="227" spans="1:11">
      <c r="A227" s="163"/>
      <c r="B227" s="170" t="s">
        <v>179</v>
      </c>
      <c r="C227" s="530">
        <f>'[25]Sch D'!K9</f>
        <v>918</v>
      </c>
      <c r="D227" s="530"/>
      <c r="E227" s="234">
        <f t="shared" si="49"/>
        <v>918</v>
      </c>
      <c r="F227" s="233">
        <v>0</v>
      </c>
      <c r="G227" s="234">
        <f t="shared" si="47"/>
        <v>918</v>
      </c>
      <c r="H227" s="172">
        <f t="shared" si="48"/>
        <v>2.5832958126969834E-2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33000</v>
      </c>
      <c r="D228" s="530">
        <f>SUM(D219:D227)</f>
        <v>0</v>
      </c>
      <c r="E228" s="236">
        <f>SUM(E219:E227)</f>
        <v>33000</v>
      </c>
      <c r="F228" s="236">
        <f>SUM(F219:F227)</f>
        <v>2536</v>
      </c>
      <c r="G228" s="236">
        <f>SUM(G219:G227)</f>
        <v>35536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'[25]Sch D'!N22</f>
        <v>176</v>
      </c>
      <c r="D231" s="502"/>
      <c r="E231" s="234">
        <f>C231+D231</f>
        <v>176</v>
      </c>
      <c r="F231" s="234"/>
      <c r="G231" s="234">
        <f>E231+F231</f>
        <v>176</v>
      </c>
      <c r="H231" s="457" t="s">
        <v>565</v>
      </c>
      <c r="I231" s="475"/>
      <c r="J231" s="168"/>
      <c r="K231" s="168"/>
    </row>
    <row r="232" spans="1:11">
      <c r="A232" s="163"/>
      <c r="B232" s="202" t="s">
        <v>290</v>
      </c>
      <c r="C232" s="531">
        <f>'[25]Sch D'!N24</f>
        <v>176</v>
      </c>
      <c r="D232" s="502"/>
      <c r="E232" s="234">
        <f>C232+D232</f>
        <v>176</v>
      </c>
      <c r="F232" s="234"/>
      <c r="G232" s="234">
        <f>E232+F232</f>
        <v>176</v>
      </c>
      <c r="H232" s="457" t="s">
        <v>591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335</v>
      </c>
      <c r="D233" s="438"/>
      <c r="E233" s="234">
        <f>C233+D233</f>
        <v>335</v>
      </c>
      <c r="F233" s="238">
        <v>30</v>
      </c>
      <c r="G233" s="234">
        <f>E233+F233</f>
        <v>365</v>
      </c>
      <c r="H233" s="167" t="s">
        <v>566</v>
      </c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'[25]Sch D'!N28</f>
        <v>58960</v>
      </c>
      <c r="D235" s="438"/>
      <c r="E235" s="233">
        <f>E231*E233</f>
        <v>58960</v>
      </c>
      <c r="F235" s="238"/>
      <c r="G235" s="233">
        <f>G231*G233</f>
        <v>64240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'[25]Sch D'!N30</f>
        <v>0.55970149253731338</v>
      </c>
      <c r="D236" s="238"/>
      <c r="E236" s="242">
        <f>E228/E235</f>
        <v>0.55970149253731338</v>
      </c>
      <c r="F236" s="243"/>
      <c r="G236" s="242">
        <f>G228/G235</f>
        <v>0.55317559153175588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'[25]Sch D'!N32</f>
        <v>0.3773236092265943</v>
      </c>
      <c r="D237" s="238"/>
      <c r="E237" s="242">
        <f>(E219+E220)/E235</f>
        <v>0.3773236092265943</v>
      </c>
      <c r="F237" s="243"/>
      <c r="G237" s="242">
        <f>(G219+G220)/G235</f>
        <v>0.37331880448318805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'[25]Sch D'!N34</f>
        <v>0.67415151515151517</v>
      </c>
      <c r="D238" s="238"/>
      <c r="E238" s="242">
        <f>(E237/E236)</f>
        <v>0.67415151515151517</v>
      </c>
      <c r="F238" s="243"/>
      <c r="G238" s="242">
        <f>(G237/G236)</f>
        <v>0.67486492570914003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v>210.19236209335219</v>
      </c>
      <c r="I241" s="475"/>
    </row>
    <row r="242" spans="2:9">
      <c r="F242" s="142" t="s">
        <v>341</v>
      </c>
      <c r="G242" s="501">
        <v>219.18924731182796</v>
      </c>
      <c r="I242" s="475"/>
    </row>
    <row r="243" spans="2:9">
      <c r="F243" s="142" t="s">
        <v>342</v>
      </c>
      <c r="G243" s="501">
        <v>237.59398496240601</v>
      </c>
      <c r="I243" s="475"/>
    </row>
    <row r="244" spans="2:9">
      <c r="F244" s="142" t="s">
        <v>343</v>
      </c>
      <c r="G244" s="501">
        <f>((277.210280373832*2)+254)/3</f>
        <v>269.47352024922134</v>
      </c>
      <c r="H244" s="140" t="s">
        <v>564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" sqref="F1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  <cellWatches>
    <cellWatch r="G186"/>
  </cellWatches>
  <legacy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E28CAB"/>
  </sheetPr>
  <dimension ref="A1:K246"/>
  <sheetViews>
    <sheetView showGridLines="0" topLeftCell="A31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35.41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247</v>
      </c>
      <c r="D2" s="244"/>
    </row>
    <row r="3" spans="1:11" ht="13.25" customHeight="1">
      <c r="A3" s="145"/>
      <c r="B3" s="140" t="s">
        <v>79</v>
      </c>
      <c r="C3" s="441">
        <v>42552</v>
      </c>
      <c r="D3" s="144"/>
      <c r="E3" s="378"/>
      <c r="F3" s="378"/>
    </row>
    <row r="4" spans="1:11" ht="13.25" customHeight="1">
      <c r="A4" s="145"/>
      <c r="B4" s="148" t="s">
        <v>80</v>
      </c>
      <c r="C4" s="441">
        <v>42916</v>
      </c>
      <c r="D4" s="144"/>
      <c r="E4" s="378"/>
      <c r="F4" s="378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'[26]Sch B'!E10</f>
        <v>1160487</v>
      </c>
      <c r="D11" s="501">
        <f>'[26]Sch B'!G10</f>
        <v>0</v>
      </c>
      <c r="E11" s="171">
        <f>C11+D11</f>
        <v>1160487</v>
      </c>
      <c r="F11" s="171"/>
      <c r="G11" s="171">
        <f t="shared" ref="G11:G20" si="0">E11+F11</f>
        <v>1160487</v>
      </c>
      <c r="H11" s="172">
        <f t="shared" ref="H11:H21" si="1">IF($G$21=0,0,G11/$G$21)</f>
        <v>0.11268464637258671</v>
      </c>
      <c r="I11" s="473"/>
      <c r="J11" s="336" t="s">
        <v>344</v>
      </c>
      <c r="K11" s="337">
        <f>G21</f>
        <v>10298537</v>
      </c>
    </row>
    <row r="12" spans="1:11" s="167" customFormat="1">
      <c r="A12" s="169" t="s">
        <v>15</v>
      </c>
      <c r="B12" s="170" t="s">
        <v>212</v>
      </c>
      <c r="C12" s="501">
        <f>'[26]Sch B'!E15</f>
        <v>0</v>
      </c>
      <c r="D12" s="501">
        <f>'[26]Sch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9890058</v>
      </c>
    </row>
    <row r="13" spans="1:11" s="167" customFormat="1">
      <c r="A13" s="169" t="s">
        <v>16</v>
      </c>
      <c r="B13" s="170" t="s">
        <v>170</v>
      </c>
      <c r="C13" s="501">
        <f>'[26]Sch B'!E21</f>
        <v>5403858</v>
      </c>
      <c r="D13" s="501">
        <f>'[26]Sch B'!G21</f>
        <v>0</v>
      </c>
      <c r="E13" s="171">
        <f t="shared" si="2"/>
        <v>5403858</v>
      </c>
      <c r="F13" s="171"/>
      <c r="G13" s="171">
        <f t="shared" si="0"/>
        <v>5403858</v>
      </c>
      <c r="H13" s="172">
        <f t="shared" si="1"/>
        <v>0.52472093851777202</v>
      </c>
      <c r="I13" s="473"/>
      <c r="J13" s="338" t="s">
        <v>346</v>
      </c>
      <c r="K13" s="339">
        <f>G228</f>
        <v>26716</v>
      </c>
    </row>
    <row r="14" spans="1:11" s="167" customFormat="1">
      <c r="A14" s="173" t="s">
        <v>18</v>
      </c>
      <c r="B14" s="174" t="s">
        <v>306</v>
      </c>
      <c r="C14" s="501">
        <f>'[26]Sch B'!E27</f>
        <v>1993164</v>
      </c>
      <c r="D14" s="501">
        <f>'[26]Sch B'!G27</f>
        <v>0</v>
      </c>
      <c r="E14" s="171">
        <f t="shared" si="2"/>
        <v>1993164</v>
      </c>
      <c r="F14" s="171"/>
      <c r="G14" s="175">
        <f>E14+F14</f>
        <v>1993164</v>
      </c>
      <c r="H14" s="176">
        <f t="shared" si="1"/>
        <v>0.19353855795245481</v>
      </c>
      <c r="I14" s="479"/>
      <c r="J14" s="338" t="s">
        <v>347</v>
      </c>
      <c r="K14" s="339">
        <f>G231</f>
        <v>103</v>
      </c>
    </row>
    <row r="15" spans="1:11" s="167" customFormat="1">
      <c r="A15" s="169" t="s">
        <v>19</v>
      </c>
      <c r="B15" s="170" t="s">
        <v>171</v>
      </c>
      <c r="C15" s="501">
        <f>'[26]Sch B'!E32</f>
        <v>0</v>
      </c>
      <c r="D15" s="501">
        <f>'[26]Sch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37595</v>
      </c>
    </row>
    <row r="16" spans="1:11" s="167" customFormat="1">
      <c r="A16" s="169" t="s">
        <v>21</v>
      </c>
      <c r="B16" s="170" t="s">
        <v>172</v>
      </c>
      <c r="C16" s="501">
        <f>'[26]Sch B'!E37</f>
        <v>1373107</v>
      </c>
      <c r="D16" s="501">
        <f>'[26]Sch B'!G37</f>
        <v>0</v>
      </c>
      <c r="E16" s="171">
        <f t="shared" si="2"/>
        <v>1373107</v>
      </c>
      <c r="F16" s="171"/>
      <c r="G16" s="171">
        <f t="shared" si="0"/>
        <v>1373107</v>
      </c>
      <c r="H16" s="172">
        <f t="shared" si="1"/>
        <v>0.13333029730339369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'[26]Sch B'!E42</f>
        <v>0</v>
      </c>
      <c r="D17" s="501">
        <f>'[26]Sch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213019</v>
      </c>
    </row>
    <row r="18" spans="1:11" s="167" customFormat="1" ht="13.5" thickBot="1">
      <c r="A18" s="169" t="s">
        <v>216</v>
      </c>
      <c r="B18" s="170" t="s">
        <v>229</v>
      </c>
      <c r="C18" s="501">
        <f>'[26]Sch B'!E47</f>
        <v>202404</v>
      </c>
      <c r="D18" s="501">
        <f>'[26]Sch B'!G47</f>
        <v>0</v>
      </c>
      <c r="E18" s="171">
        <f t="shared" si="2"/>
        <v>202404</v>
      </c>
      <c r="F18" s="171"/>
      <c r="G18" s="171">
        <f>E18+F18</f>
        <v>202404</v>
      </c>
      <c r="H18" s="172">
        <f t="shared" si="1"/>
        <v>1.9653665370139468E-2</v>
      </c>
      <c r="I18" s="473"/>
      <c r="J18" s="341" t="s">
        <v>252</v>
      </c>
      <c r="K18" s="342">
        <f>K208</f>
        <v>226270</v>
      </c>
    </row>
    <row r="19" spans="1:11" s="167" customFormat="1">
      <c r="A19" s="169" t="s">
        <v>227</v>
      </c>
      <c r="B19" s="177" t="s">
        <v>173</v>
      </c>
      <c r="C19" s="501">
        <f>'[26]Sch B'!E52</f>
        <v>0</v>
      </c>
      <c r="D19" s="501">
        <f>'[26]Sch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'[26]Sch B'!E67</f>
        <v>165517</v>
      </c>
      <c r="D20" s="501">
        <f>'[26]Sch B'!G67</f>
        <v>0</v>
      </c>
      <c r="E20" s="171">
        <f t="shared" si="2"/>
        <v>165517</v>
      </c>
      <c r="F20" s="171"/>
      <c r="G20" s="171">
        <f t="shared" si="0"/>
        <v>165517</v>
      </c>
      <c r="H20" s="172">
        <f t="shared" si="1"/>
        <v>1.6071894483653357E-2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10298537</v>
      </c>
      <c r="D21" s="501">
        <f>SUM(D11:D20)</f>
        <v>0</v>
      </c>
      <c r="E21" s="171">
        <f>SUM(E11:E20)</f>
        <v>10298537</v>
      </c>
      <c r="F21" s="171">
        <f>SUM(F11:F20)</f>
        <v>0</v>
      </c>
      <c r="G21" s="171">
        <f>SUM(G11:G20)</f>
        <v>10298537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'[26]Sch C'!D10</f>
        <v>120113</v>
      </c>
      <c r="D25" s="501">
        <f>'[26]Sch C'!F10</f>
        <v>0</v>
      </c>
      <c r="E25" s="171">
        <f t="shared" ref="E25:E60" si="3">C25+D25</f>
        <v>120113</v>
      </c>
      <c r="F25" s="171"/>
      <c r="G25" s="182">
        <f>E25+F25</f>
        <v>120113</v>
      </c>
      <c r="H25" s="172">
        <f>IF($G$208=0,0,G25/$G$208)</f>
        <v>1.2144822608724843E-2</v>
      </c>
      <c r="I25" s="473"/>
      <c r="J25" s="183">
        <v>1993</v>
      </c>
      <c r="K25" s="183">
        <v>1993</v>
      </c>
    </row>
    <row r="26" spans="1:11" s="167" customFormat="1">
      <c r="A26" s="169" t="s">
        <v>84</v>
      </c>
      <c r="B26" s="170" t="s">
        <v>176</v>
      </c>
      <c r="C26" s="501">
        <f>'[26]Sch C'!D11</f>
        <v>0</v>
      </c>
      <c r="D26" s="501">
        <f>'[26]Sch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'[26]Sch C'!D12</f>
        <v>327400</v>
      </c>
      <c r="D27" s="501">
        <f>'[26]Sch C'!F12</f>
        <v>0</v>
      </c>
      <c r="E27" s="171">
        <f t="shared" si="3"/>
        <v>327400</v>
      </c>
      <c r="F27" s="171"/>
      <c r="G27" s="171">
        <f t="shared" si="4"/>
        <v>327400</v>
      </c>
      <c r="H27" s="172">
        <f t="shared" si="5"/>
        <v>3.3103951463176455E-2</v>
      </c>
      <c r="I27" s="473"/>
      <c r="J27" s="183">
        <v>14934</v>
      </c>
      <c r="K27" s="183">
        <v>16036</v>
      </c>
    </row>
    <row r="28" spans="1:11" s="167" customFormat="1">
      <c r="A28" s="169" t="s">
        <v>86</v>
      </c>
      <c r="B28" s="170" t="s">
        <v>45</v>
      </c>
      <c r="C28" s="501">
        <f>'[26]Sch C'!D13</f>
        <v>858706</v>
      </c>
      <c r="D28" s="501">
        <f>'[26]Sch C'!F13</f>
        <v>-778247</v>
      </c>
      <c r="E28" s="171">
        <f t="shared" si="3"/>
        <v>80459</v>
      </c>
      <c r="F28" s="171"/>
      <c r="G28" s="171">
        <f t="shared" si="4"/>
        <v>80459</v>
      </c>
      <c r="H28" s="172">
        <f t="shared" si="5"/>
        <v>8.1353415723143391E-3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'[26]Sch C'!D14</f>
        <v>0</v>
      </c>
      <c r="D29" s="501">
        <f>'[26]Sch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'[26]Sch C'!D15</f>
        <v>0</v>
      </c>
      <c r="D30" s="501">
        <f>'[26]Sch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'[26]Sch C'!D16</f>
        <v>510786</v>
      </c>
      <c r="D31" s="501">
        <f>'[26]Sch C'!F16</f>
        <v>251167</v>
      </c>
      <c r="E31" s="171">
        <f t="shared" si="3"/>
        <v>761953</v>
      </c>
      <c r="F31" s="171"/>
      <c r="G31" s="171">
        <f t="shared" si="4"/>
        <v>761953</v>
      </c>
      <c r="H31" s="172">
        <f t="shared" si="5"/>
        <v>7.7042318659809678E-2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'[26]Sch C'!D17</f>
        <v>8160</v>
      </c>
      <c r="D32" s="501">
        <f>'[26]Sch C'!F17</f>
        <v>0</v>
      </c>
      <c r="E32" s="171">
        <f t="shared" si="3"/>
        <v>8160</v>
      </c>
      <c r="F32" s="171"/>
      <c r="G32" s="171">
        <f t="shared" si="4"/>
        <v>8160</v>
      </c>
      <c r="H32" s="172">
        <f t="shared" si="5"/>
        <v>8.2507099553915655E-4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'[26]Sch C'!D18</f>
        <v>27638</v>
      </c>
      <c r="D33" s="501">
        <f>'[26]Sch C'!F18</f>
        <v>0</v>
      </c>
      <c r="E33" s="171">
        <f t="shared" si="3"/>
        <v>27638</v>
      </c>
      <c r="F33" s="171"/>
      <c r="G33" s="171">
        <f t="shared" si="4"/>
        <v>27638</v>
      </c>
      <c r="H33" s="172">
        <f t="shared" si="5"/>
        <v>2.794523550822452E-3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'[26]Sch C'!D19</f>
        <v>23041</v>
      </c>
      <c r="D34" s="501">
        <f>'[26]Sch C'!F19</f>
        <v>0</v>
      </c>
      <c r="E34" s="171">
        <f t="shared" si="3"/>
        <v>23041</v>
      </c>
      <c r="F34" s="171"/>
      <c r="G34" s="171">
        <f t="shared" si="4"/>
        <v>23041</v>
      </c>
      <c r="H34" s="172">
        <f t="shared" si="5"/>
        <v>2.3297133343404054E-3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'[26]Sch C'!D20</f>
        <v>35434</v>
      </c>
      <c r="D35" s="501">
        <f>'[26]Sch C'!F20</f>
        <v>0</v>
      </c>
      <c r="E35" s="171">
        <f t="shared" si="3"/>
        <v>35434</v>
      </c>
      <c r="F35" s="171"/>
      <c r="G35" s="171">
        <f t="shared" si="4"/>
        <v>35434</v>
      </c>
      <c r="H35" s="172">
        <f t="shared" si="5"/>
        <v>3.5827899088154993E-3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'[26]Sch C'!D21</f>
        <v>139237</v>
      </c>
      <c r="D36" s="501">
        <f>'[26]Sch C'!F21</f>
        <v>8084</v>
      </c>
      <c r="E36" s="171">
        <f t="shared" si="3"/>
        <v>147321</v>
      </c>
      <c r="F36" s="171"/>
      <c r="G36" s="171">
        <f t="shared" si="4"/>
        <v>147321</v>
      </c>
      <c r="H36" s="172">
        <f t="shared" si="5"/>
        <v>1.4895868153654913E-2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'[26]Sch C'!D22</f>
        <v>1000</v>
      </c>
      <c r="D37" s="501">
        <f>'[26]Sch C'!F22</f>
        <v>0</v>
      </c>
      <c r="E37" s="171">
        <f t="shared" si="3"/>
        <v>1000</v>
      </c>
      <c r="F37" s="171"/>
      <c r="G37" s="171">
        <f t="shared" si="4"/>
        <v>1000</v>
      </c>
      <c r="H37" s="172">
        <f t="shared" si="5"/>
        <v>1.0111164161019076E-4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'[26]Sch C'!D23</f>
        <v>22026</v>
      </c>
      <c r="D38" s="501">
        <f>'[26]Sch C'!F23</f>
        <v>0</v>
      </c>
      <c r="E38" s="171">
        <f t="shared" si="3"/>
        <v>22026</v>
      </c>
      <c r="F38" s="171"/>
      <c r="G38" s="171">
        <f t="shared" si="4"/>
        <v>22026</v>
      </c>
      <c r="H38" s="172">
        <f t="shared" si="5"/>
        <v>2.2270850181060615E-3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'[26]Sch C'!D24</f>
        <v>0</v>
      </c>
      <c r="D39" s="501">
        <f>'[26]Sch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'[26]Sch C'!D25</f>
        <v>0</v>
      </c>
      <c r="D40" s="501">
        <f>'[26]Sch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'[26]Sch C'!D26</f>
        <v>257390</v>
      </c>
      <c r="D41" s="501">
        <f>'[26]Sch C'!F26</f>
        <v>0</v>
      </c>
      <c r="E41" s="171">
        <f t="shared" si="3"/>
        <v>257390</v>
      </c>
      <c r="F41" s="171"/>
      <c r="G41" s="171">
        <f t="shared" si="4"/>
        <v>257390</v>
      </c>
      <c r="H41" s="172">
        <f t="shared" si="5"/>
        <v>2.6025125434046999E-2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'[26]Sch C'!D27</f>
        <v>61469</v>
      </c>
      <c r="D42" s="501">
        <f>'[26]Sch C'!F27</f>
        <v>-1297</v>
      </c>
      <c r="E42" s="171">
        <f t="shared" si="3"/>
        <v>60172</v>
      </c>
      <c r="F42" s="171"/>
      <c r="G42" s="171">
        <f t="shared" si="4"/>
        <v>60172</v>
      </c>
      <c r="H42" s="172">
        <f t="shared" si="5"/>
        <v>6.0840896989683988E-3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'[26]Sch C'!D28</f>
        <v>0</v>
      </c>
      <c r="D43" s="501">
        <f>'[26]Sch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'[26]Sch C'!D29</f>
        <v>126891</v>
      </c>
      <c r="D44" s="501">
        <f>'[26]Sch C'!F29</f>
        <v>-126891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'[26]Sch C'!D30</f>
        <v>0</v>
      </c>
      <c r="D45" s="501">
        <f>'[26]Sch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'[26]Sch C'!D31</f>
        <v>87080</v>
      </c>
      <c r="D46" s="501">
        <f>'[26]Sch C'!F31</f>
        <v>0</v>
      </c>
      <c r="E46" s="171">
        <f t="shared" si="3"/>
        <v>87080</v>
      </c>
      <c r="F46" s="171"/>
      <c r="G46" s="171">
        <f t="shared" si="4"/>
        <v>87080</v>
      </c>
      <c r="H46" s="172">
        <f t="shared" si="5"/>
        <v>8.8048017514154118E-3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'[26]Sch C'!D32</f>
        <v>40439</v>
      </c>
      <c r="D47" s="501">
        <f>'[26]Sch C'!F32</f>
        <v>0</v>
      </c>
      <c r="E47" s="171">
        <f t="shared" si="3"/>
        <v>40439</v>
      </c>
      <c r="F47" s="171"/>
      <c r="G47" s="171">
        <f t="shared" si="4"/>
        <v>40439</v>
      </c>
      <c r="H47" s="172">
        <f t="shared" si="5"/>
        <v>4.088853675074504E-3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'[26]Sch C'!D33</f>
        <v>0</v>
      </c>
      <c r="D48" s="501">
        <f>'[26]Sch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'[26]Sch C'!D34</f>
        <v>0</v>
      </c>
      <c r="D49" s="501">
        <f>'[26]Sch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'[26]Sch C'!D35</f>
        <v>6483</v>
      </c>
      <c r="D50" s="501">
        <f>'[26]Sch C'!F35</f>
        <v>-6483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'[26]Sch C'!D36</f>
        <v>22331</v>
      </c>
      <c r="D51" s="501">
        <f>'[26]Sch C'!F36</f>
        <v>0</v>
      </c>
      <c r="E51" s="171">
        <f t="shared" si="3"/>
        <v>22331</v>
      </c>
      <c r="F51" s="171"/>
      <c r="G51" s="171">
        <f t="shared" si="4"/>
        <v>22331</v>
      </c>
      <c r="H51" s="172">
        <f t="shared" si="5"/>
        <v>2.2579240687971699E-3</v>
      </c>
      <c r="I51" s="473"/>
      <c r="J51" s="183">
        <v>1362</v>
      </c>
      <c r="K51" s="183">
        <v>1394</v>
      </c>
    </row>
    <row r="52" spans="1:11" s="167" customFormat="1">
      <c r="A52" s="163">
        <v>290</v>
      </c>
      <c r="B52" s="170" t="s">
        <v>205</v>
      </c>
      <c r="C52" s="501">
        <f>'[26]Sch C'!D37</f>
        <v>0</v>
      </c>
      <c r="D52" s="501">
        <f>'[26]Sch C'!F37</f>
        <v>4015</v>
      </c>
      <c r="E52" s="171">
        <f t="shared" si="3"/>
        <v>4015</v>
      </c>
      <c r="F52" s="171"/>
      <c r="G52" s="171">
        <f t="shared" si="4"/>
        <v>4015</v>
      </c>
      <c r="H52" s="172">
        <f t="shared" si="5"/>
        <v>4.0596324106491588E-4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'[26]Sch C'!D38</f>
        <v>0</v>
      </c>
      <c r="D53" s="501">
        <f>'[26]Sch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'[26]Sch C'!D39</f>
        <v>18485</v>
      </c>
      <c r="D54" s="501">
        <f>'[26]Sch C'!F39</f>
        <v>0</v>
      </c>
      <c r="E54" s="171">
        <f t="shared" si="3"/>
        <v>18485</v>
      </c>
      <c r="F54" s="171"/>
      <c r="G54" s="171">
        <f t="shared" si="4"/>
        <v>18485</v>
      </c>
      <c r="H54" s="172">
        <f t="shared" si="5"/>
        <v>1.8690486951643763E-3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'[26]Sch C'!D40</f>
        <v>0</v>
      </c>
      <c r="D55" s="501">
        <f>'[26]Sch C'!F40</f>
        <v>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'[26]Sch C'!D41</f>
        <v>98944</v>
      </c>
      <c r="D56" s="501">
        <f>'[26]Sch C'!F41</f>
        <v>0</v>
      </c>
      <c r="E56" s="171">
        <f t="shared" si="3"/>
        <v>98944</v>
      </c>
      <c r="F56" s="171"/>
      <c r="G56" s="171">
        <f t="shared" si="4"/>
        <v>98944</v>
      </c>
      <c r="H56" s="172">
        <f t="shared" si="5"/>
        <v>1.0004390267478715E-2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'[26]Sch C'!D42</f>
        <v>3534</v>
      </c>
      <c r="D57" s="501">
        <f>'[26]Sch C'!F42</f>
        <v>0</v>
      </c>
      <c r="E57" s="171">
        <f t="shared" si="3"/>
        <v>3534</v>
      </c>
      <c r="F57" s="171"/>
      <c r="G57" s="171">
        <f t="shared" si="4"/>
        <v>3534</v>
      </c>
      <c r="H57" s="172">
        <f t="shared" si="5"/>
        <v>3.5732854145041415E-4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'[26]Sch C'!D43</f>
        <v>15570</v>
      </c>
      <c r="D58" s="501">
        <f>'[26]Sch C'!F43</f>
        <v>0</v>
      </c>
      <c r="E58" s="171">
        <f t="shared" si="3"/>
        <v>15570</v>
      </c>
      <c r="F58" s="171">
        <v>-15570</v>
      </c>
      <c r="G58" s="171">
        <f t="shared" si="4"/>
        <v>0</v>
      </c>
      <c r="H58" s="172">
        <f t="shared" si="5"/>
        <v>0</v>
      </c>
      <c r="I58" s="473" t="s">
        <v>718</v>
      </c>
      <c r="J58" s="168"/>
      <c r="K58" s="168"/>
    </row>
    <row r="59" spans="1:11" s="167" customFormat="1">
      <c r="A59" s="163">
        <v>360</v>
      </c>
      <c r="B59" s="170" t="s">
        <v>211</v>
      </c>
      <c r="C59" s="501">
        <f>'[26]Sch C'!D44</f>
        <v>63</v>
      </c>
      <c r="D59" s="501">
        <f>'[26]Sch C'!F44</f>
        <v>0</v>
      </c>
      <c r="E59" s="171">
        <f t="shared" si="3"/>
        <v>63</v>
      </c>
      <c r="F59" s="171"/>
      <c r="G59" s="171">
        <f t="shared" si="4"/>
        <v>63</v>
      </c>
      <c r="H59" s="172">
        <f t="shared" si="5"/>
        <v>6.3700334214420182E-6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'[26]Sch C'!D45</f>
        <v>1941</v>
      </c>
      <c r="D60" s="501">
        <f>'[26]Sch C'!F45</f>
        <v>-1807</v>
      </c>
      <c r="E60" s="171">
        <f t="shared" si="3"/>
        <v>134</v>
      </c>
      <c r="F60" s="171"/>
      <c r="G60" s="171">
        <f t="shared" si="4"/>
        <v>134</v>
      </c>
      <c r="H60" s="172">
        <f t="shared" si="5"/>
        <v>1.3548959975765561E-5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2814161</v>
      </c>
      <c r="D61" s="501">
        <f>SUM(D25:D60)</f>
        <v>-651459</v>
      </c>
      <c r="E61" s="171">
        <f t="shared" ref="E61" si="6">SUM(E25:E60)</f>
        <v>2162702</v>
      </c>
      <c r="F61" s="171">
        <f>SUM(F25:F60)</f>
        <v>-15570</v>
      </c>
      <c r="G61" s="171">
        <f>SUM(G25:G60)</f>
        <v>2147132</v>
      </c>
      <c r="H61" s="186">
        <f t="shared" si="5"/>
        <v>0.21710004127377211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'[26]Sch C'!D57</f>
        <v>1113840</v>
      </c>
      <c r="D64" s="501">
        <f>'[26]Sch C'!F57</f>
        <v>-1113840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'[26]Sch C'!D58</f>
        <v>12119</v>
      </c>
      <c r="D65" s="501">
        <f>'[26]Sch C'!F58</f>
        <v>394147</v>
      </c>
      <c r="E65" s="171">
        <f t="shared" si="7"/>
        <v>406266</v>
      </c>
      <c r="F65" s="171"/>
      <c r="G65" s="171">
        <f t="shared" si="8"/>
        <v>406266</v>
      </c>
      <c r="H65" s="172">
        <f t="shared" si="9"/>
        <v>4.1078222190405758E-2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'[26]Sch C'!D59</f>
        <v>93013</v>
      </c>
      <c r="D66" s="501">
        <f>'[26]Sch C'!F59</f>
        <v>393914</v>
      </c>
      <c r="E66" s="171">
        <f t="shared" si="7"/>
        <v>486927</v>
      </c>
      <c r="F66" s="171"/>
      <c r="G66" s="171">
        <f t="shared" si="8"/>
        <v>486927</v>
      </c>
      <c r="H66" s="172">
        <f t="shared" si="9"/>
        <v>4.9233988314325357E-2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'[26]Sch C'!D60</f>
        <v>50993</v>
      </c>
      <c r="D67" s="501">
        <f>'[26]Sch C'!F60</f>
        <v>0</v>
      </c>
      <c r="E67" s="171">
        <f t="shared" si="7"/>
        <v>50993</v>
      </c>
      <c r="F67" s="171"/>
      <c r="G67" s="171">
        <f t="shared" si="8"/>
        <v>50993</v>
      </c>
      <c r="H67" s="172">
        <f t="shared" si="9"/>
        <v>5.1559859406284572E-3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'[26]Sch C'!D61</f>
        <v>22965</v>
      </c>
      <c r="D68" s="501">
        <f>'[26]Sch C'!F61</f>
        <v>0</v>
      </c>
      <c r="E68" s="171">
        <f t="shared" si="7"/>
        <v>22965</v>
      </c>
      <c r="F68" s="171"/>
      <c r="G68" s="171">
        <f t="shared" si="8"/>
        <v>22965</v>
      </c>
      <c r="H68" s="172">
        <f t="shared" si="9"/>
        <v>2.3220288495780306E-3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'[26]Sch C'!D62</f>
        <v>11978</v>
      </c>
      <c r="D69" s="501">
        <f>'[26]Sch C'!F62</f>
        <v>0</v>
      </c>
      <c r="E69" s="171">
        <f t="shared" si="7"/>
        <v>11978</v>
      </c>
      <c r="F69" s="171"/>
      <c r="G69" s="171">
        <f t="shared" si="8"/>
        <v>11978</v>
      </c>
      <c r="H69" s="172">
        <f t="shared" si="9"/>
        <v>1.2111152432068648E-3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'[26]Sch C'!D63</f>
        <v>0</v>
      </c>
      <c r="D70" s="501">
        <f>'[26]Sch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'[26]Sch C'!D64</f>
        <v>0</v>
      </c>
      <c r="D71" s="501">
        <f>'[26]Sch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'[26]Sch C'!D65</f>
        <v>14672</v>
      </c>
      <c r="D72" s="501">
        <f>'[26]Sch C'!F65</f>
        <v>0</v>
      </c>
      <c r="E72" s="171">
        <f t="shared" si="7"/>
        <v>14672</v>
      </c>
      <c r="F72" s="171"/>
      <c r="G72" s="171">
        <f t="shared" si="8"/>
        <v>14672</v>
      </c>
      <c r="H72" s="172">
        <f t="shared" si="9"/>
        <v>1.4835100057047188E-3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'[26]Sch C'!D66</f>
        <v>0</v>
      </c>
      <c r="D73" s="501">
        <f>'[26]Sch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'[26]Sch C'!D67</f>
        <v>55096</v>
      </c>
      <c r="D74" s="501">
        <f>'[26]Sch C'!F67</f>
        <v>24224</v>
      </c>
      <c r="E74" s="171">
        <f t="shared" si="7"/>
        <v>79320</v>
      </c>
      <c r="F74" s="171"/>
      <c r="G74" s="171">
        <f t="shared" si="8"/>
        <v>79320</v>
      </c>
      <c r="H74" s="172">
        <f t="shared" si="9"/>
        <v>8.0201754125203313E-3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'[26]Sch C'!D68</f>
        <v>0</v>
      </c>
      <c r="D75" s="501">
        <f>'[26]Sch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'[26]Sch C'!D69</f>
        <v>0</v>
      </c>
      <c r="D76" s="501">
        <f>'[26]Sch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'[26]Sch C'!D70</f>
        <v>0</v>
      </c>
      <c r="D77" s="501">
        <f>'[26]Sch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'[26]Sch C'!D71</f>
        <v>0</v>
      </c>
      <c r="D78" s="501">
        <f>'[26]Sch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1374676</v>
      </c>
      <c r="D79" s="501">
        <f>SUM(D64:D78)</f>
        <v>-301555</v>
      </c>
      <c r="E79" s="171">
        <f t="shared" ref="E79" si="10">SUM(E64:E78)</f>
        <v>1073121</v>
      </c>
      <c r="F79" s="171">
        <f>SUM(F64:F78)</f>
        <v>0</v>
      </c>
      <c r="G79" s="171">
        <f>SUM(G64:G78)</f>
        <v>1073121</v>
      </c>
      <c r="H79" s="172">
        <f t="shared" si="9"/>
        <v>0.10850502595636952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'[26]Sch C'!D75</f>
        <v>100322</v>
      </c>
      <c r="D82" s="501">
        <f>'[26]Sch C'!F75</f>
        <v>0</v>
      </c>
      <c r="E82" s="171">
        <f t="shared" ref="E82:E92" si="11">C82+D82</f>
        <v>100322</v>
      </c>
      <c r="F82" s="171"/>
      <c r="G82" s="171">
        <f t="shared" ref="G82:G92" si="12">E82+F82</f>
        <v>100322</v>
      </c>
      <c r="H82" s="172">
        <f t="shared" ref="H82:H93" si="13">IF($G$208=0,0,G82/$G$208)</f>
        <v>1.0143722109617557E-2</v>
      </c>
      <c r="I82" s="473"/>
      <c r="J82" s="183">
        <v>6072</v>
      </c>
      <c r="K82" s="183">
        <v>6453</v>
      </c>
    </row>
    <row r="83" spans="1:11" s="167" customFormat="1">
      <c r="A83" s="169" t="s">
        <v>86</v>
      </c>
      <c r="B83" s="199" t="s">
        <v>45</v>
      </c>
      <c r="C83" s="501">
        <f>'[26]Sch C'!D76</f>
        <v>0</v>
      </c>
      <c r="D83" s="501">
        <f>'[26]Sch C'!F76</f>
        <v>18037</v>
      </c>
      <c r="E83" s="171">
        <f t="shared" si="11"/>
        <v>18037</v>
      </c>
      <c r="F83" s="171"/>
      <c r="G83" s="171">
        <f t="shared" si="12"/>
        <v>18037</v>
      </c>
      <c r="H83" s="172">
        <f t="shared" si="13"/>
        <v>1.8237506797230108E-3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'[26]Sch C'!D77</f>
        <v>13968</v>
      </c>
      <c r="D84" s="501">
        <f>'[26]Sch C'!F77</f>
        <v>0</v>
      </c>
      <c r="E84" s="171">
        <f t="shared" si="11"/>
        <v>13968</v>
      </c>
      <c r="F84" s="171"/>
      <c r="G84" s="171">
        <f t="shared" si="12"/>
        <v>13968</v>
      </c>
      <c r="H84" s="172">
        <f t="shared" si="13"/>
        <v>1.4123274100111445E-3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'[26]Sch C'!D78</f>
        <v>59929</v>
      </c>
      <c r="D85" s="501">
        <f>'[26]Sch C'!F78</f>
        <v>0</v>
      </c>
      <c r="E85" s="171">
        <f t="shared" si="11"/>
        <v>59929</v>
      </c>
      <c r="F85" s="171"/>
      <c r="G85" s="171">
        <f t="shared" si="12"/>
        <v>59929</v>
      </c>
      <c r="H85" s="172">
        <f t="shared" si="13"/>
        <v>6.0595195700571224E-3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'[26]Sch C'!D79</f>
        <v>649</v>
      </c>
      <c r="D86" s="501">
        <f>'[26]Sch C'!F79</f>
        <v>0</v>
      </c>
      <c r="E86" s="171">
        <f t="shared" si="11"/>
        <v>649</v>
      </c>
      <c r="F86" s="171"/>
      <c r="G86" s="171">
        <f>E86+F86</f>
        <v>649</v>
      </c>
      <c r="H86" s="172">
        <f t="shared" si="13"/>
        <v>6.5621455405013803E-5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'[26]Sch C'!D80</f>
        <v>28208</v>
      </c>
      <c r="D87" s="501">
        <f>'[26]Sch C'!F80</f>
        <v>0</v>
      </c>
      <c r="E87" s="171">
        <f t="shared" si="11"/>
        <v>28208</v>
      </c>
      <c r="F87" s="171"/>
      <c r="G87" s="171">
        <f t="shared" si="12"/>
        <v>28208</v>
      </c>
      <c r="H87" s="172">
        <f t="shared" si="13"/>
        <v>2.8521571865402608E-3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'[26]Sch C'!D81</f>
        <v>17506</v>
      </c>
      <c r="D88" s="501">
        <f>'[26]Sch C'!F81</f>
        <v>0</v>
      </c>
      <c r="E88" s="171">
        <f t="shared" si="11"/>
        <v>17506</v>
      </c>
      <c r="F88" s="171"/>
      <c r="G88" s="171">
        <f t="shared" si="12"/>
        <v>17506</v>
      </c>
      <c r="H88" s="172">
        <f t="shared" si="13"/>
        <v>1.7700603980279994E-3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'[26]Sch C'!D82</f>
        <v>670</v>
      </c>
      <c r="D89" s="501">
        <f>'[26]Sch C'!F82</f>
        <v>0</v>
      </c>
      <c r="E89" s="171">
        <f t="shared" si="11"/>
        <v>670</v>
      </c>
      <c r="F89" s="171"/>
      <c r="G89" s="171">
        <f t="shared" si="12"/>
        <v>670</v>
      </c>
      <c r="H89" s="172">
        <f t="shared" si="13"/>
        <v>6.7744799878827812E-5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'[26]Sch C'!D83</f>
        <v>7582</v>
      </c>
      <c r="D90" s="501">
        <f>'[26]Sch C'!F83</f>
        <v>0</v>
      </c>
      <c r="E90" s="171">
        <f t="shared" si="11"/>
        <v>7582</v>
      </c>
      <c r="F90" s="171"/>
      <c r="G90" s="171">
        <f t="shared" si="12"/>
        <v>7582</v>
      </c>
      <c r="H90" s="172">
        <f t="shared" si="13"/>
        <v>7.6662846668846629E-4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'[26]Sch C'!D84</f>
        <v>106706</v>
      </c>
      <c r="D91" s="501">
        <f>'[26]Sch C'!F84</f>
        <v>0</v>
      </c>
      <c r="E91" s="171">
        <f t="shared" si="11"/>
        <v>106706</v>
      </c>
      <c r="F91" s="171"/>
      <c r="G91" s="171">
        <f t="shared" si="12"/>
        <v>106706</v>
      </c>
      <c r="H91" s="172">
        <f t="shared" si="13"/>
        <v>1.0789218829657015E-2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'[26]Sch C'!D85</f>
        <v>3054</v>
      </c>
      <c r="D92" s="501">
        <f>'[26]Sch C'!F85</f>
        <v>0</v>
      </c>
      <c r="E92" s="171">
        <f t="shared" si="11"/>
        <v>3054</v>
      </c>
      <c r="F92" s="171"/>
      <c r="G92" s="171">
        <f t="shared" si="12"/>
        <v>3054</v>
      </c>
      <c r="H92" s="172">
        <f t="shared" si="13"/>
        <v>3.0879495347752256E-4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338594</v>
      </c>
      <c r="D93" s="501">
        <f>SUM(D82:D92)</f>
        <v>18037</v>
      </c>
      <c r="E93" s="171">
        <f t="shared" ref="E93" si="14">SUM(E82:E92)</f>
        <v>356631</v>
      </c>
      <c r="F93" s="171">
        <f>SUM(F82:F92)</f>
        <v>0</v>
      </c>
      <c r="G93" s="171">
        <f>SUM(G82:G92)</f>
        <v>356631</v>
      </c>
      <c r="H93" s="172">
        <f t="shared" si="13"/>
        <v>3.6059545859083941E-2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'[26]Sch C'!D89</f>
        <v>327517</v>
      </c>
      <c r="D96" s="501">
        <f>'[26]Sch C'!F89</f>
        <v>0</v>
      </c>
      <c r="E96" s="171">
        <f t="shared" ref="E96:E101" si="15">C96+D96</f>
        <v>327517</v>
      </c>
      <c r="F96" s="171"/>
      <c r="G96" s="171">
        <f t="shared" ref="G96:G101" si="16">E96+F96</f>
        <v>327517</v>
      </c>
      <c r="H96" s="172">
        <f t="shared" ref="H96:H102" si="17">IF($G$208=0,0,G96/$G$208)</f>
        <v>3.3115781525244845E-2</v>
      </c>
      <c r="I96" s="473"/>
      <c r="J96" s="183">
        <v>23291</v>
      </c>
      <c r="K96" s="183">
        <v>24583</v>
      </c>
    </row>
    <row r="97" spans="1:11" s="167" customFormat="1">
      <c r="A97" s="169" t="s">
        <v>86</v>
      </c>
      <c r="B97" s="170" t="s">
        <v>45</v>
      </c>
      <c r="C97" s="501">
        <f>'[26]Sch C'!D90</f>
        <v>0</v>
      </c>
      <c r="D97" s="501">
        <f>'[26]Sch C'!F90</f>
        <v>58886</v>
      </c>
      <c r="E97" s="171">
        <f t="shared" si="15"/>
        <v>58886</v>
      </c>
      <c r="F97" s="171"/>
      <c r="G97" s="171">
        <f t="shared" si="16"/>
        <v>58886</v>
      </c>
      <c r="H97" s="172">
        <f t="shared" si="17"/>
        <v>5.9540601278576929E-3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'[26]Sch C'!D91</f>
        <v>18360</v>
      </c>
      <c r="D98" s="501">
        <f>'[26]Sch C'!F91</f>
        <v>0</v>
      </c>
      <c r="E98" s="171">
        <f t="shared" si="15"/>
        <v>18360</v>
      </c>
      <c r="F98" s="171"/>
      <c r="G98" s="171">
        <f t="shared" si="16"/>
        <v>18360</v>
      </c>
      <c r="H98" s="172">
        <f t="shared" si="17"/>
        <v>1.8564097399631023E-3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'[26]Sch C'!D92</f>
        <v>189788</v>
      </c>
      <c r="D99" s="501">
        <f>'[26]Sch C'!F92</f>
        <v>0</v>
      </c>
      <c r="E99" s="171">
        <f t="shared" si="15"/>
        <v>189788</v>
      </c>
      <c r="F99" s="171"/>
      <c r="G99" s="171">
        <f t="shared" si="16"/>
        <v>189788</v>
      </c>
      <c r="H99" s="172">
        <f t="shared" si="17"/>
        <v>1.9189776237914884E-2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'[26]Sch C'!D93</f>
        <v>17832</v>
      </c>
      <c r="D100" s="501">
        <f>'[26]Sch C'!F93</f>
        <v>0</v>
      </c>
      <c r="E100" s="171">
        <f t="shared" si="15"/>
        <v>17832</v>
      </c>
      <c r="F100" s="171"/>
      <c r="G100" s="171">
        <f t="shared" si="16"/>
        <v>17832</v>
      </c>
      <c r="H100" s="172">
        <f t="shared" si="17"/>
        <v>1.8030227931929215E-3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'[26]Sch C'!D94</f>
        <v>2830</v>
      </c>
      <c r="D101" s="501">
        <f>'[26]Sch C'!F94</f>
        <v>-532</v>
      </c>
      <c r="E101" s="171">
        <f t="shared" si="15"/>
        <v>2298</v>
      </c>
      <c r="F101" s="171"/>
      <c r="G101" s="171">
        <f t="shared" si="16"/>
        <v>2298</v>
      </c>
      <c r="H101" s="172">
        <f t="shared" si="17"/>
        <v>2.3235455242021837E-4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556327</v>
      </c>
      <c r="D102" s="501">
        <f>SUM(D96:D101)</f>
        <v>58354</v>
      </c>
      <c r="E102" s="171">
        <f t="shared" ref="E102" si="18">SUM(E96:E101)</f>
        <v>614681</v>
      </c>
      <c r="F102" s="171">
        <f>SUM(F96:F101)</f>
        <v>0</v>
      </c>
      <c r="G102" s="171">
        <f>SUM(G96:G101)</f>
        <v>614681</v>
      </c>
      <c r="H102" s="172">
        <f t="shared" si="17"/>
        <v>6.2151404976593667E-2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'[26]Sch C'!D98</f>
        <v>0</v>
      </c>
      <c r="D105" s="501">
        <f>'[26]Sch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'[26]Sch C'!D99</f>
        <v>0</v>
      </c>
      <c r="D106" s="501">
        <f>'[26]Sch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'[26]Sch C'!D100</f>
        <v>540</v>
      </c>
      <c r="D107" s="501">
        <f>'[26]Sch C'!F100</f>
        <v>0</v>
      </c>
      <c r="E107" s="171">
        <f t="shared" si="19"/>
        <v>540</v>
      </c>
      <c r="F107" s="171"/>
      <c r="G107" s="171">
        <f t="shared" si="20"/>
        <v>540</v>
      </c>
      <c r="H107" s="172">
        <f t="shared" si="21"/>
        <v>5.4600286469503012E-5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'[26]Sch C'!D101</f>
        <v>88695</v>
      </c>
      <c r="D108" s="501">
        <f>'[26]Sch C'!F101</f>
        <v>0</v>
      </c>
      <c r="E108" s="171">
        <f t="shared" si="19"/>
        <v>88695</v>
      </c>
      <c r="F108" s="171"/>
      <c r="G108" s="171">
        <f t="shared" si="20"/>
        <v>88695</v>
      </c>
      <c r="H108" s="172">
        <f t="shared" si="21"/>
        <v>8.9680970526158695E-3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'[26]Sch C'!D102</f>
        <v>0</v>
      </c>
      <c r="D109" s="501">
        <f>'[26]Sch C'!F102</f>
        <v>0</v>
      </c>
      <c r="E109" s="171">
        <f t="shared" si="19"/>
        <v>0</v>
      </c>
      <c r="F109" s="171"/>
      <c r="G109" s="171">
        <f t="shared" si="20"/>
        <v>0</v>
      </c>
      <c r="H109" s="172">
        <f t="shared" si="21"/>
        <v>0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'[26]Sch C'!D103</f>
        <v>0</v>
      </c>
      <c r="D110" s="501">
        <f>'[26]Sch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89235</v>
      </c>
      <c r="D111" s="501">
        <f>SUM(D105:D110)</f>
        <v>0</v>
      </c>
      <c r="E111" s="171">
        <f t="shared" ref="E111" si="22">SUM(E105:E110)</f>
        <v>89235</v>
      </c>
      <c r="F111" s="171">
        <f>SUM(F105:F110)</f>
        <v>0</v>
      </c>
      <c r="G111" s="171">
        <f>SUM(G105:G110)</f>
        <v>89235</v>
      </c>
      <c r="H111" s="172">
        <f t="shared" si="21"/>
        <v>9.0226973390853723E-3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'[26]Sch C'!D115</f>
        <v>0</v>
      </c>
      <c r="D114" s="501">
        <f>'[26]Sch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'[26]Sch C'!D116</f>
        <v>0</v>
      </c>
      <c r="D115" s="501">
        <f>'[26]Sch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'[26]Sch C'!D117</f>
        <v>4192</v>
      </c>
      <c r="D116" s="501">
        <f>'[26]Sch C'!F117</f>
        <v>0</v>
      </c>
      <c r="E116" s="171">
        <f t="shared" si="23"/>
        <v>4192</v>
      </c>
      <c r="F116" s="171"/>
      <c r="G116" s="171">
        <f>E116+F116</f>
        <v>4192</v>
      </c>
      <c r="H116" s="172">
        <f t="shared" si="24"/>
        <v>4.2386000162991964E-4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'[26]Sch C'!D118</f>
        <v>146149</v>
      </c>
      <c r="D117" s="501">
        <f>'[26]Sch C'!F118</f>
        <v>0</v>
      </c>
      <c r="E117" s="171">
        <f t="shared" si="23"/>
        <v>146149</v>
      </c>
      <c r="F117" s="171"/>
      <c r="G117" s="171">
        <f>E117+F117</f>
        <v>146149</v>
      </c>
      <c r="H117" s="172">
        <f t="shared" si="24"/>
        <v>1.4777365309687769E-2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'[26]Sch C'!D119</f>
        <v>16</v>
      </c>
      <c r="D118" s="501">
        <f>'[26]Sch C'!F119</f>
        <v>0</v>
      </c>
      <c r="E118" s="171">
        <f t="shared" si="23"/>
        <v>16</v>
      </c>
      <c r="F118" s="171"/>
      <c r="G118" s="171">
        <f>E118+F118</f>
        <v>16</v>
      </c>
      <c r="H118" s="172">
        <f t="shared" si="24"/>
        <v>1.6177862657630522E-6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150357</v>
      </c>
      <c r="D119" s="501">
        <f>SUM(D114:D118)</f>
        <v>0</v>
      </c>
      <c r="E119" s="171">
        <f t="shared" ref="E119" si="25">SUM(E114:E118)</f>
        <v>150357</v>
      </c>
      <c r="F119" s="171">
        <f>SUM(F114:F118)</f>
        <v>0</v>
      </c>
      <c r="G119" s="171">
        <f>SUM(G114:G118)</f>
        <v>150357</v>
      </c>
      <c r="H119" s="172">
        <f t="shared" si="24"/>
        <v>1.5202843097583452E-2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'[26]Sch C'!D124</f>
        <v>0</v>
      </c>
      <c r="D123" s="501">
        <f>'[26]Sch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'[26]Sch C'!D125</f>
        <v>313738</v>
      </c>
      <c r="D124" s="501">
        <f>'[26]Sch C'!F125</f>
        <v>0</v>
      </c>
      <c r="E124" s="171">
        <f t="shared" si="26"/>
        <v>313738</v>
      </c>
      <c r="F124" s="171"/>
      <c r="G124" s="171">
        <f>E124+F124</f>
        <v>313738</v>
      </c>
      <c r="H124" s="172">
        <f>IF($G$208=0,0,G124/$G$208)</f>
        <v>3.1722564215498031E-2</v>
      </c>
      <c r="I124" s="473"/>
      <c r="J124" s="183">
        <v>6713</v>
      </c>
      <c r="K124" s="183">
        <v>7280</v>
      </c>
    </row>
    <row r="125" spans="1:11" s="167" customFormat="1">
      <c r="A125" s="163" t="s">
        <v>198</v>
      </c>
      <c r="B125" s="163" t="s">
        <v>195</v>
      </c>
      <c r="C125" s="501">
        <f>'[26]Sch C'!D126</f>
        <v>0</v>
      </c>
      <c r="D125" s="501">
        <f>'[26]Sch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'[26]Sch C'!D127</f>
        <v>0</v>
      </c>
      <c r="D126" s="501">
        <f>'[26]Sch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'[26]Sch C'!D128</f>
        <v>118496</v>
      </c>
      <c r="D127" s="501">
        <f>'[26]Sch C'!F128</f>
        <v>0</v>
      </c>
      <c r="E127" s="171">
        <f t="shared" si="26"/>
        <v>118496</v>
      </c>
      <c r="F127" s="171"/>
      <c r="G127" s="171">
        <f>E127+F127</f>
        <v>118496</v>
      </c>
      <c r="H127" s="172">
        <f>IF($G$208=0,0,G127/$G$208)</f>
        <v>1.1981325084241164E-2</v>
      </c>
      <c r="I127" s="473"/>
      <c r="J127" s="183">
        <v>6227</v>
      </c>
      <c r="K127" s="183">
        <v>6734</v>
      </c>
    </row>
    <row r="128" spans="1:11" s="167" customFormat="1" ht="15.5">
      <c r="A128" s="169" t="s">
        <v>95</v>
      </c>
      <c r="B128" s="170" t="s">
        <v>152</v>
      </c>
      <c r="C128" s="505"/>
      <c r="D128" s="505"/>
      <c r="E128"/>
      <c r="F128" s="171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'[26]Sch C'!D130</f>
        <v>0</v>
      </c>
      <c r="D129" s="501">
        <f>'[26]Sch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'[26]Sch C'!D131</f>
        <v>0</v>
      </c>
      <c r="D130" s="501">
        <f>'[26]Sch C'!F131</f>
        <v>56408</v>
      </c>
      <c r="E130" s="171">
        <f t="shared" si="27"/>
        <v>56408</v>
      </c>
      <c r="F130" s="171"/>
      <c r="G130" s="171">
        <f>E130+F130</f>
        <v>56408</v>
      </c>
      <c r="H130" s="172">
        <f>IF($G$208=0,0,G130/$G$208)</f>
        <v>5.70350547994764E-3</v>
      </c>
      <c r="I130" s="473"/>
      <c r="J130" s="204"/>
      <c r="K130" s="204"/>
    </row>
    <row r="131" spans="1:11" s="167" customFormat="1">
      <c r="B131" s="163" t="s">
        <v>195</v>
      </c>
      <c r="C131" s="501">
        <f>'[26]Sch C'!D132</f>
        <v>0</v>
      </c>
      <c r="D131" s="501">
        <f>'[26]Sch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'[26]Sch C'!D133</f>
        <v>0</v>
      </c>
      <c r="D132" s="501">
        <f>'[26]Sch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'[26]Sch C'!D134</f>
        <v>0</v>
      </c>
      <c r="D133" s="501">
        <f>'[26]Sch C'!F134</f>
        <v>21305</v>
      </c>
      <c r="E133" s="171">
        <f t="shared" si="27"/>
        <v>21305</v>
      </c>
      <c r="F133" s="171"/>
      <c r="G133" s="171">
        <f>E133+F133</f>
        <v>21305</v>
      </c>
      <c r="H133" s="172">
        <f>IF($G$208=0,0,G133/$G$208)</f>
        <v>2.1541835245051143E-3</v>
      </c>
      <c r="I133" s="473"/>
      <c r="J133" s="168"/>
      <c r="K133" s="168"/>
    </row>
    <row r="134" spans="1:11" s="167" customFormat="1" ht="15.5">
      <c r="A134" s="169" t="s">
        <v>86</v>
      </c>
      <c r="B134" s="170" t="s">
        <v>64</v>
      </c>
      <c r="C134" s="196"/>
      <c r="D134" s="196"/>
      <c r="E134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'[26]Sch C'!D136</f>
        <v>733104</v>
      </c>
      <c r="D135" s="501">
        <f>'[26]Sch C'!F136</f>
        <v>0</v>
      </c>
      <c r="E135" s="171">
        <f t="shared" ref="E135:E138" si="28">C135+D135</f>
        <v>733104</v>
      </c>
      <c r="F135" s="171"/>
      <c r="G135" s="171">
        <f>E135+F135</f>
        <v>733104</v>
      </c>
      <c r="H135" s="172">
        <f>IF($G$208=0,0,G135/$G$208)</f>
        <v>7.4125348910997285E-2</v>
      </c>
      <c r="I135" s="473"/>
      <c r="J135" s="183">
        <v>22851</v>
      </c>
      <c r="K135" s="183">
        <v>23869</v>
      </c>
    </row>
    <row r="136" spans="1:11" s="167" customFormat="1">
      <c r="A136" s="169"/>
      <c r="B136" s="163" t="s">
        <v>195</v>
      </c>
      <c r="C136" s="501">
        <f>'[26]Sch C'!D137</f>
        <v>370945</v>
      </c>
      <c r="D136" s="501">
        <f>'[26]Sch C'!F137</f>
        <v>0</v>
      </c>
      <c r="E136" s="171">
        <f t="shared" si="28"/>
        <v>370945</v>
      </c>
      <c r="F136" s="171"/>
      <c r="G136" s="171">
        <f>E136+F136</f>
        <v>370945</v>
      </c>
      <c r="H136" s="172">
        <f>IF($G$208=0,0,G136/$G$208)</f>
        <v>3.7506857897092211E-2</v>
      </c>
      <c r="I136" s="473"/>
      <c r="J136" s="183">
        <v>14216</v>
      </c>
      <c r="K136" s="183">
        <v>15235</v>
      </c>
    </row>
    <row r="137" spans="1:11" s="167" customFormat="1">
      <c r="A137" s="169"/>
      <c r="B137" s="163" t="s">
        <v>196</v>
      </c>
      <c r="C137" s="501">
        <f>'[26]Sch C'!D138</f>
        <v>805887</v>
      </c>
      <c r="D137" s="501">
        <f>'[26]Sch C'!F138</f>
        <v>0</v>
      </c>
      <c r="E137" s="171">
        <f t="shared" si="28"/>
        <v>805887</v>
      </c>
      <c r="F137" s="171"/>
      <c r="G137" s="171">
        <f>E137+F137</f>
        <v>805887</v>
      </c>
      <c r="H137" s="172">
        <f>IF($G$208=0,0,G137/$G$208)</f>
        <v>8.1484557522311804E-2</v>
      </c>
      <c r="I137" s="473"/>
      <c r="J137" s="183">
        <v>60246</v>
      </c>
      <c r="K137" s="183">
        <v>63519</v>
      </c>
    </row>
    <row r="138" spans="1:11" s="167" customFormat="1">
      <c r="A138" s="169"/>
      <c r="B138" s="163" t="s">
        <v>197</v>
      </c>
      <c r="C138" s="501">
        <f>'[26]Sch C'!D139</f>
        <v>0</v>
      </c>
      <c r="D138" s="501">
        <f>'[26]Sch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 ht="15.5">
      <c r="A139" s="169" t="s">
        <v>96</v>
      </c>
      <c r="B139" s="170" t="s">
        <v>153</v>
      </c>
      <c r="C139" s="196"/>
      <c r="D139" s="196"/>
      <c r="E139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'[26]Sch C'!D141</f>
        <v>0</v>
      </c>
      <c r="D140" s="501">
        <f>'[26]Sch C'!F141</f>
        <v>131808</v>
      </c>
      <c r="E140" s="171">
        <f t="shared" ref="E140:E143" si="29">C140+D140</f>
        <v>131808</v>
      </c>
      <c r="F140" s="171"/>
      <c r="G140" s="171">
        <f>E140+F140</f>
        <v>131808</v>
      </c>
      <c r="H140" s="172">
        <f>IF($G$208=0,0,G140/$G$208)</f>
        <v>1.3327323257356024E-2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'[26]Sch C'!D142</f>
        <v>0</v>
      </c>
      <c r="D141" s="501">
        <f>'[26]Sch C'!F142</f>
        <v>66694</v>
      </c>
      <c r="E141" s="171">
        <f t="shared" si="29"/>
        <v>66694</v>
      </c>
      <c r="F141" s="171"/>
      <c r="G141" s="171">
        <f>E141+F141</f>
        <v>66694</v>
      </c>
      <c r="H141" s="172">
        <f>IF($G$208=0,0,G141/$G$208)</f>
        <v>6.7435398255500621E-3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'[26]Sch C'!D143</f>
        <v>0</v>
      </c>
      <c r="D142" s="501">
        <f>'[26]Sch C'!F143</f>
        <v>144894</v>
      </c>
      <c r="E142" s="171">
        <f t="shared" si="29"/>
        <v>144894</v>
      </c>
      <c r="F142" s="171"/>
      <c r="G142" s="171">
        <f>E142+F142</f>
        <v>144894</v>
      </c>
      <c r="H142" s="172">
        <f>IF($G$208=0,0,G142/$G$208)</f>
        <v>1.465047019946698E-2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'[26]Sch C'!D144</f>
        <v>0</v>
      </c>
      <c r="D143" s="501">
        <f>'[26]Sch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 ht="15.5">
      <c r="A144" s="169" t="s">
        <v>87</v>
      </c>
      <c r="B144" s="170" t="s">
        <v>98</v>
      </c>
      <c r="C144" s="196"/>
      <c r="D144" s="196"/>
      <c r="E144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'[26]Sch C'!D146</f>
        <v>83000</v>
      </c>
      <c r="D145" s="501">
        <f>'[26]Sch C'!F146</f>
        <v>0</v>
      </c>
      <c r="E145" s="171">
        <f t="shared" ref="E145:E153" si="30">C145+D145</f>
        <v>83000</v>
      </c>
      <c r="F145" s="171"/>
      <c r="G145" s="171">
        <f t="shared" ref="G145:G153" si="31">E145+F145</f>
        <v>83000</v>
      </c>
      <c r="H145" s="172">
        <f t="shared" ref="H145:H153" si="32">IF($G$208=0,0,G145/$G$208)</f>
        <v>8.3922662536458324E-3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'[26]Sch C'!D147</f>
        <v>0</v>
      </c>
      <c r="D146" s="501">
        <f>'[26]Sch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'[26]Sch C'!D148</f>
        <v>0</v>
      </c>
      <c r="D147" s="501">
        <f>'[26]Sch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'[26]Sch C'!D149</f>
        <v>0</v>
      </c>
      <c r="D148" s="501">
        <f>'[26]Sch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'[26]Sch C'!D150</f>
        <v>9925</v>
      </c>
      <c r="D149" s="501">
        <f>'[26]Sch C'!F150</f>
        <v>0</v>
      </c>
      <c r="E149" s="171">
        <f t="shared" si="30"/>
        <v>9925</v>
      </c>
      <c r="F149" s="171"/>
      <c r="G149" s="171">
        <f t="shared" si="31"/>
        <v>9925</v>
      </c>
      <c r="H149" s="172">
        <f t="shared" si="32"/>
        <v>1.0035330429811432E-3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'[26]Sch C'!D151</f>
        <v>110899</v>
      </c>
      <c r="D150" s="501">
        <f>'[26]Sch C'!F151</f>
        <v>0</v>
      </c>
      <c r="E150" s="171">
        <f t="shared" si="30"/>
        <v>110899</v>
      </c>
      <c r="F150" s="171"/>
      <c r="G150" s="171">
        <f t="shared" si="31"/>
        <v>110899</v>
      </c>
      <c r="H150" s="172">
        <f t="shared" si="32"/>
        <v>1.1213179942928544E-2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'[26]Sch C'!D152</f>
        <v>4358</v>
      </c>
      <c r="D151" s="501">
        <f>'[26]Sch C'!F152</f>
        <v>-427</v>
      </c>
      <c r="E151" s="171">
        <f t="shared" si="30"/>
        <v>3931</v>
      </c>
      <c r="F151" s="171"/>
      <c r="G151" s="171">
        <f t="shared" si="31"/>
        <v>3931</v>
      </c>
      <c r="H151" s="172">
        <f t="shared" si="32"/>
        <v>3.9746986316965989E-4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'[26]Sch C'!D153</f>
        <v>0</v>
      </c>
      <c r="D152" s="501">
        <f>'[26]Sch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'[26]Sch C'!D154</f>
        <v>0</v>
      </c>
      <c r="D153" s="501">
        <f>'[26]Sch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 ht="15.5">
      <c r="A154" s="169"/>
      <c r="B154" s="209" t="s">
        <v>101</v>
      </c>
      <c r="C154" s="500"/>
      <c r="D154" s="500"/>
      <c r="E154"/>
      <c r="F154" s="50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'[26]Sch C'!D156</f>
        <v>0</v>
      </c>
      <c r="D155" s="501">
        <f>'[26]Sch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'[26]Sch C'!D157</f>
        <v>0</v>
      </c>
      <c r="D156" s="501">
        <f>'[26]Sch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'[26]Sch C'!D158</f>
        <v>0</v>
      </c>
      <c r="D157" s="501">
        <f>'[26]Sch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'[26]Sch C'!D159</f>
        <v>0</v>
      </c>
      <c r="D158" s="501">
        <f>'[26]Sch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'[26]Sch C'!D160</f>
        <v>0</v>
      </c>
      <c r="D159" s="501">
        <f>'[26]Sch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'[26]Sch C'!D161</f>
        <v>1813</v>
      </c>
      <c r="D160" s="501">
        <f>'[26]Sch C'!F161</f>
        <v>0</v>
      </c>
      <c r="E160" s="171">
        <f t="shared" si="33"/>
        <v>1813</v>
      </c>
      <c r="F160" s="171"/>
      <c r="G160" s="171">
        <f t="shared" si="34"/>
        <v>1813</v>
      </c>
      <c r="H160" s="172">
        <f t="shared" si="35"/>
        <v>1.8331540623927584E-4</v>
      </c>
      <c r="I160" s="473"/>
      <c r="J160" s="168"/>
      <c r="K160" s="168"/>
    </row>
    <row r="161" spans="1:11" s="167" customFormat="1">
      <c r="A161" s="169"/>
      <c r="B161" s="170" t="s">
        <v>233</v>
      </c>
      <c r="C161" s="501">
        <f>SUM(C123:C160)</f>
        <v>2552165</v>
      </c>
      <c r="D161" s="501">
        <f>SUM(D123:D160)</f>
        <v>420682</v>
      </c>
      <c r="E161" s="171">
        <f t="shared" ref="E161" si="36">SUM(E123:E160)</f>
        <v>2972847</v>
      </c>
      <c r="F161" s="171">
        <f>SUM(F123:F160)</f>
        <v>0</v>
      </c>
      <c r="G161" s="171">
        <f>SUM(G123:G160)</f>
        <v>2972847</v>
      </c>
      <c r="H161" s="172">
        <f t="shared" si="35"/>
        <v>0.30058944042593078</v>
      </c>
      <c r="I161" s="473"/>
      <c r="J161" s="168"/>
      <c r="K161" s="168"/>
    </row>
    <row r="162" spans="1:11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1" s="167" customFormat="1" ht="26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1" s="221" customFormat="1">
      <c r="A164" s="215" t="s">
        <v>95</v>
      </c>
      <c r="B164" s="148" t="s">
        <v>102</v>
      </c>
      <c r="C164" s="501">
        <f>'[26]Sch C'!D175</f>
        <v>0</v>
      </c>
      <c r="D164" s="501">
        <f>'[26]Sch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</row>
    <row r="165" spans="1:11" s="221" customFormat="1">
      <c r="A165" s="215" t="s">
        <v>123</v>
      </c>
      <c r="B165" s="148" t="s">
        <v>103</v>
      </c>
      <c r="C165" s="501">
        <f>'[26]Sch C'!D176</f>
        <v>0</v>
      </c>
      <c r="D165" s="501">
        <f>'[26]Sch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</row>
    <row r="166" spans="1:11" s="221" customFormat="1">
      <c r="A166" s="215" t="s">
        <v>124</v>
      </c>
      <c r="B166" s="148" t="s">
        <v>104</v>
      </c>
      <c r="C166" s="501">
        <f>'[26]Sch C'!D177</f>
        <v>790583</v>
      </c>
      <c r="D166" s="501">
        <f>'[26]Sch C'!F177</f>
        <v>0</v>
      </c>
      <c r="E166" s="171">
        <f t="shared" si="37"/>
        <v>790583</v>
      </c>
      <c r="F166" s="171"/>
      <c r="G166" s="171">
        <f t="shared" si="38"/>
        <v>790583</v>
      </c>
      <c r="H166" s="172">
        <f t="shared" si="39"/>
        <v>7.9937144959109446E-2</v>
      </c>
      <c r="I166" s="483"/>
      <c r="J166" s="183">
        <v>28091</v>
      </c>
      <c r="K166" s="183">
        <v>30083</v>
      </c>
    </row>
    <row r="167" spans="1:11" s="221" customFormat="1">
      <c r="A167" s="215" t="s">
        <v>157</v>
      </c>
      <c r="B167" s="148" t="s">
        <v>105</v>
      </c>
      <c r="C167" s="501">
        <f>'[26]Sch C'!D178</f>
        <v>0</v>
      </c>
      <c r="D167" s="501">
        <f>'[26]Sch C'!F178</f>
        <v>142142</v>
      </c>
      <c r="E167" s="171">
        <f t="shared" si="37"/>
        <v>142142</v>
      </c>
      <c r="F167" s="171"/>
      <c r="G167" s="171">
        <f t="shared" si="38"/>
        <v>142142</v>
      </c>
      <c r="H167" s="172">
        <f t="shared" si="39"/>
        <v>1.4372210961755736E-2</v>
      </c>
      <c r="I167" s="484"/>
      <c r="J167" s="222"/>
      <c r="K167" s="222"/>
    </row>
    <row r="168" spans="1:11" s="221" customFormat="1">
      <c r="A168" s="215" t="s">
        <v>158</v>
      </c>
      <c r="B168" s="148" t="s">
        <v>316</v>
      </c>
      <c r="C168" s="501">
        <f>'[26]Sch C'!D179</f>
        <v>132996</v>
      </c>
      <c r="D168" s="501">
        <f>'[26]Sch C'!F179</f>
        <v>0</v>
      </c>
      <c r="E168" s="171">
        <f t="shared" si="37"/>
        <v>132996</v>
      </c>
      <c r="F168" s="171"/>
      <c r="G168" s="171">
        <f t="shared" si="38"/>
        <v>132996</v>
      </c>
      <c r="H168" s="172">
        <f t="shared" si="39"/>
        <v>1.3447443887588931E-2</v>
      </c>
      <c r="I168" s="483"/>
      <c r="J168" s="183">
        <v>3637</v>
      </c>
      <c r="K168" s="183">
        <v>4004</v>
      </c>
    </row>
    <row r="169" spans="1:11" s="221" customFormat="1">
      <c r="A169" s="215" t="s">
        <v>86</v>
      </c>
      <c r="B169" s="148" t="s">
        <v>317</v>
      </c>
      <c r="C169" s="501">
        <f>'[26]Sch C'!D180</f>
        <v>0</v>
      </c>
      <c r="D169" s="501">
        <f>'[26]Sch C'!F180</f>
        <v>23912</v>
      </c>
      <c r="E169" s="171">
        <f t="shared" si="37"/>
        <v>23912</v>
      </c>
      <c r="F169" s="171"/>
      <c r="G169" s="171">
        <f t="shared" si="38"/>
        <v>23912</v>
      </c>
      <c r="H169" s="172">
        <f t="shared" si="39"/>
        <v>2.4177815741828813E-3</v>
      </c>
      <c r="I169" s="484"/>
      <c r="J169" s="222"/>
      <c r="K169" s="222"/>
    </row>
    <row r="170" spans="1:11" s="221" customFormat="1">
      <c r="A170" s="215" t="s">
        <v>96</v>
      </c>
      <c r="B170" s="148" t="s">
        <v>318</v>
      </c>
      <c r="C170" s="501">
        <f>'[26]Sch C'!D181</f>
        <v>0</v>
      </c>
      <c r="D170" s="501">
        <f>'[26]Sch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</row>
    <row r="171" spans="1:11" s="221" customFormat="1">
      <c r="A171" s="215" t="s">
        <v>125</v>
      </c>
      <c r="B171" s="148" t="s">
        <v>109</v>
      </c>
      <c r="C171" s="501">
        <f>'[26]Sch C'!D182</f>
        <v>0</v>
      </c>
      <c r="D171" s="501">
        <f>'[26]Sch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</row>
    <row r="172" spans="1:11" s="221" customFormat="1">
      <c r="A172" s="215" t="s">
        <v>126</v>
      </c>
      <c r="B172" s="148" t="s">
        <v>319</v>
      </c>
      <c r="C172" s="501">
        <f>'[26]Sch C'!D183</f>
        <v>482167</v>
      </c>
      <c r="D172" s="501">
        <f>'[26]Sch C'!F183</f>
        <v>0</v>
      </c>
      <c r="E172" s="171">
        <f t="shared" si="37"/>
        <v>482167</v>
      </c>
      <c r="F172" s="171"/>
      <c r="G172" s="171">
        <f t="shared" si="38"/>
        <v>482167</v>
      </c>
      <c r="H172" s="172">
        <f t="shared" si="39"/>
        <v>4.875269690026085E-2</v>
      </c>
      <c r="I172" s="483"/>
      <c r="J172" s="183">
        <v>15209</v>
      </c>
      <c r="K172" s="183">
        <v>16499</v>
      </c>
    </row>
    <row r="173" spans="1:11" s="221" customFormat="1">
      <c r="A173" s="215" t="s">
        <v>127</v>
      </c>
      <c r="B173" s="148" t="s">
        <v>111</v>
      </c>
      <c r="C173" s="501">
        <f>'[26]Sch C'!D184</f>
        <v>0</v>
      </c>
      <c r="D173" s="501">
        <f>'[26]Sch C'!F184</f>
        <v>86691</v>
      </c>
      <c r="E173" s="171">
        <f t="shared" si="37"/>
        <v>86691</v>
      </c>
      <c r="F173" s="171"/>
      <c r="G173" s="171">
        <f t="shared" si="38"/>
        <v>86691</v>
      </c>
      <c r="H173" s="172">
        <f t="shared" si="39"/>
        <v>8.7654693228290479E-3</v>
      </c>
      <c r="I173" s="484"/>
      <c r="J173" s="222"/>
      <c r="K173" s="222"/>
    </row>
    <row r="174" spans="1:11" s="221" customFormat="1">
      <c r="A174" s="215" t="s">
        <v>128</v>
      </c>
      <c r="B174" s="148" t="s">
        <v>320</v>
      </c>
      <c r="C174" s="501">
        <f>'[26]Sch C'!D185</f>
        <v>0</v>
      </c>
      <c r="D174" s="501">
        <f>'[26]Sch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</row>
    <row r="175" spans="1:11" s="221" customFormat="1">
      <c r="A175" s="215" t="s">
        <v>129</v>
      </c>
      <c r="B175" s="148" t="s">
        <v>321</v>
      </c>
      <c r="C175" s="501">
        <f>'[26]Sch C'!D186</f>
        <v>0</v>
      </c>
      <c r="D175" s="501">
        <f>'[26]Sch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</row>
    <row r="176" spans="1:11" s="221" customFormat="1">
      <c r="A176" s="224" t="s">
        <v>293</v>
      </c>
      <c r="B176" s="148" t="s">
        <v>154</v>
      </c>
      <c r="C176" s="501">
        <f>'[26]Sch C'!D187</f>
        <v>0</v>
      </c>
      <c r="D176" s="501">
        <f>'[26]Sch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</row>
    <row r="177" spans="1:11" s="221" customFormat="1">
      <c r="A177" s="224" t="s">
        <v>294</v>
      </c>
      <c r="B177" s="148" t="s">
        <v>322</v>
      </c>
      <c r="C177" s="501">
        <f>'[26]Sch C'!D188</f>
        <v>11892</v>
      </c>
      <c r="D177" s="501">
        <f>'[26]Sch C'!F188</f>
        <v>0</v>
      </c>
      <c r="E177" s="171">
        <f t="shared" si="37"/>
        <v>11892</v>
      </c>
      <c r="F177" s="171"/>
      <c r="G177" s="171">
        <f t="shared" si="38"/>
        <v>11892</v>
      </c>
      <c r="H177" s="172">
        <f t="shared" si="39"/>
        <v>1.2024196420283885E-3</v>
      </c>
      <c r="I177" s="473"/>
      <c r="J177" s="223"/>
      <c r="K177" s="218"/>
    </row>
    <row r="178" spans="1:11" s="221" customFormat="1">
      <c r="A178" s="224" t="s">
        <v>295</v>
      </c>
      <c r="B178" s="148" t="s">
        <v>323</v>
      </c>
      <c r="C178" s="501">
        <f>'[26]Sch C'!D189</f>
        <v>0</v>
      </c>
      <c r="D178" s="501">
        <f>'[26]Sch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</row>
    <row r="179" spans="1:11" s="221" customFormat="1">
      <c r="A179" s="224" t="s">
        <v>296</v>
      </c>
      <c r="B179" s="148" t="s">
        <v>324</v>
      </c>
      <c r="C179" s="501">
        <f>'[26]Sch C'!D190</f>
        <v>0</v>
      </c>
      <c r="D179" s="501">
        <f>'[26]Sch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</row>
    <row r="180" spans="1:11" s="221" customFormat="1">
      <c r="A180" s="224" t="s">
        <v>297</v>
      </c>
      <c r="B180" s="148" t="s">
        <v>325</v>
      </c>
      <c r="C180" s="501">
        <f>'[26]Sch C'!D191</f>
        <v>0</v>
      </c>
      <c r="D180" s="501">
        <f>'[26]Sch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</row>
    <row r="181" spans="1:11" s="221" customFormat="1">
      <c r="A181" s="224" t="s">
        <v>298</v>
      </c>
      <c r="B181" s="148" t="s">
        <v>117</v>
      </c>
      <c r="C181" s="501">
        <f>'[26]Sch C'!D192</f>
        <v>0</v>
      </c>
      <c r="D181" s="501">
        <f>'[26]Sch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</row>
    <row r="182" spans="1:11" s="221" customFormat="1">
      <c r="A182" s="224" t="s">
        <v>132</v>
      </c>
      <c r="B182" s="148" t="s">
        <v>118</v>
      </c>
      <c r="C182" s="501">
        <f>'[26]Sch C'!D193</f>
        <v>0</v>
      </c>
      <c r="D182" s="501">
        <f>'[26]Sch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</row>
    <row r="183" spans="1:11" s="221" customFormat="1">
      <c r="A183" s="224" t="s">
        <v>133</v>
      </c>
      <c r="B183" s="148" t="s">
        <v>119</v>
      </c>
      <c r="C183" s="501">
        <f>'[26]Sch C'!D194</f>
        <v>0</v>
      </c>
      <c r="D183" s="501">
        <f>'[26]Sch C'!F194</f>
        <v>0</v>
      </c>
      <c r="E183" s="171">
        <f t="shared" si="37"/>
        <v>0</v>
      </c>
      <c r="F183" s="171"/>
      <c r="G183" s="171">
        <f t="shared" si="38"/>
        <v>0</v>
      </c>
      <c r="H183" s="172">
        <f t="shared" si="39"/>
        <v>0</v>
      </c>
      <c r="I183" s="473"/>
      <c r="J183" s="223"/>
      <c r="K183" s="218"/>
    </row>
    <row r="184" spans="1:11" s="221" customFormat="1">
      <c r="A184" s="224" t="s">
        <v>134</v>
      </c>
      <c r="B184" s="148" t="s">
        <v>326</v>
      </c>
      <c r="C184" s="501">
        <f>'[26]Sch C'!D195</f>
        <v>5752</v>
      </c>
      <c r="D184" s="501">
        <f>'[26]Sch C'!F195</f>
        <v>0</v>
      </c>
      <c r="E184" s="171">
        <f t="shared" si="37"/>
        <v>5752</v>
      </c>
      <c r="F184" s="171"/>
      <c r="G184" s="171">
        <f t="shared" si="38"/>
        <v>5752</v>
      </c>
      <c r="H184" s="172">
        <f t="shared" si="39"/>
        <v>5.8159416254181719E-4</v>
      </c>
      <c r="I184" s="473"/>
      <c r="J184" s="223"/>
      <c r="K184" s="218"/>
    </row>
    <row r="185" spans="1:11" s="221" customFormat="1">
      <c r="A185" s="224" t="s">
        <v>135</v>
      </c>
      <c r="B185" s="148" t="s">
        <v>327</v>
      </c>
      <c r="C185" s="501">
        <f>'[26]Sch C'!D196</f>
        <v>0</v>
      </c>
      <c r="D185" s="501">
        <f>'[26]Sch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</row>
    <row r="186" spans="1:11" s="221" customFormat="1">
      <c r="A186" s="224" t="s">
        <v>136</v>
      </c>
      <c r="B186" s="148" t="s">
        <v>328</v>
      </c>
      <c r="C186" s="501">
        <f>'[26]Sch C'!D197</f>
        <v>0</v>
      </c>
      <c r="D186" s="501">
        <f>'[26]Sch C'!F197</f>
        <v>0</v>
      </c>
      <c r="E186" s="171">
        <f t="shared" si="37"/>
        <v>0</v>
      </c>
      <c r="F186" s="171"/>
      <c r="G186" s="171">
        <f t="shared" si="38"/>
        <v>0</v>
      </c>
      <c r="H186" s="172">
        <f t="shared" si="39"/>
        <v>0</v>
      </c>
      <c r="I186" s="473"/>
      <c r="J186" s="223"/>
      <c r="K186" s="218"/>
    </row>
    <row r="187" spans="1:11" s="221" customFormat="1">
      <c r="A187" s="224" t="s">
        <v>137</v>
      </c>
      <c r="B187" s="148" t="s">
        <v>122</v>
      </c>
      <c r="C187" s="501">
        <f>'[26]Sch C'!D198</f>
        <v>98138</v>
      </c>
      <c r="D187" s="501">
        <f>'[26]Sch C'!F198</f>
        <v>0</v>
      </c>
      <c r="E187" s="171">
        <f t="shared" si="37"/>
        <v>98138</v>
      </c>
      <c r="F187" s="171"/>
      <c r="G187" s="171">
        <f t="shared" si="38"/>
        <v>98138</v>
      </c>
      <c r="H187" s="172">
        <f t="shared" si="39"/>
        <v>9.9228942843409013E-3</v>
      </c>
      <c r="I187" s="473"/>
      <c r="J187" s="223"/>
      <c r="K187" s="218"/>
    </row>
    <row r="188" spans="1:11" s="221" customFormat="1">
      <c r="A188" s="224" t="s">
        <v>275</v>
      </c>
      <c r="B188" s="148" t="s">
        <v>329</v>
      </c>
      <c r="C188" s="501">
        <f>'[26]Sch C'!D199</f>
        <v>0</v>
      </c>
      <c r="D188" s="501">
        <f>'[26]Sch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</row>
    <row r="189" spans="1:11" s="221" customFormat="1">
      <c r="A189" s="224" t="s">
        <v>277</v>
      </c>
      <c r="B189" s="148" t="s">
        <v>278</v>
      </c>
      <c r="C189" s="501">
        <f>'[26]Sch C'!D200</f>
        <v>0</v>
      </c>
      <c r="D189" s="501">
        <f>'[26]Sch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</row>
    <row r="190" spans="1:11" s="221" customFormat="1">
      <c r="A190" s="225" t="s">
        <v>279</v>
      </c>
      <c r="B190" s="226" t="s">
        <v>280</v>
      </c>
      <c r="C190" s="501">
        <f>'[26]Sch C'!D201</f>
        <v>0</v>
      </c>
      <c r="D190" s="501">
        <f>'[26]Sch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</row>
    <row r="191" spans="1:11" s="221" customFormat="1">
      <c r="A191" s="225" t="s">
        <v>281</v>
      </c>
      <c r="B191" s="226" t="s">
        <v>282</v>
      </c>
      <c r="C191" s="501">
        <f>'[26]Sch C'!D202</f>
        <v>0</v>
      </c>
      <c r="D191" s="501">
        <f>'[26]Sch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</row>
    <row r="192" spans="1:11" s="221" customFormat="1">
      <c r="A192" s="225" t="s">
        <v>283</v>
      </c>
      <c r="B192" s="226" t="s">
        <v>330</v>
      </c>
      <c r="C192" s="501">
        <f>'[26]Sch C'!D203</f>
        <v>0</v>
      </c>
      <c r="D192" s="501">
        <f>'[26]Sch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</row>
    <row r="193" spans="1:11" s="221" customFormat="1">
      <c r="A193" s="225" t="s">
        <v>285</v>
      </c>
      <c r="B193" s="226" t="s">
        <v>331</v>
      </c>
      <c r="C193" s="501">
        <f>'[26]Sch C'!D204</f>
        <v>0</v>
      </c>
      <c r="D193" s="501">
        <f>'[26]Sch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</row>
    <row r="194" spans="1:11" s="221" customFormat="1">
      <c r="A194" s="224" t="s">
        <v>138</v>
      </c>
      <c r="B194" s="148" t="s">
        <v>332</v>
      </c>
      <c r="C194" s="501">
        <f>'[26]Sch C'!D205</f>
        <v>493087</v>
      </c>
      <c r="D194" s="501">
        <f>'[26]Sch C'!F205</f>
        <v>0</v>
      </c>
      <c r="E194" s="171">
        <f t="shared" si="37"/>
        <v>493087</v>
      </c>
      <c r="F194" s="171"/>
      <c r="G194" s="171">
        <f t="shared" si="38"/>
        <v>493087</v>
      </c>
      <c r="H194" s="172">
        <f t="shared" si="39"/>
        <v>4.9856836026644133E-2</v>
      </c>
      <c r="I194" s="473"/>
      <c r="J194" s="223"/>
      <c r="K194" s="218"/>
    </row>
    <row r="195" spans="1:11" s="221" customFormat="1">
      <c r="A195" s="224" t="s">
        <v>139</v>
      </c>
      <c r="B195" s="148" t="s">
        <v>67</v>
      </c>
      <c r="C195" s="501">
        <f>'[26]Sch C'!D206</f>
        <v>12761</v>
      </c>
      <c r="D195" s="501">
        <f>'[26]Sch C'!F206</f>
        <v>0</v>
      </c>
      <c r="E195" s="171">
        <f t="shared" si="37"/>
        <v>12761</v>
      </c>
      <c r="F195" s="171"/>
      <c r="G195" s="171">
        <f t="shared" si="38"/>
        <v>12761</v>
      </c>
      <c r="H195" s="172">
        <f t="shared" si="39"/>
        <v>1.2902856585876442E-3</v>
      </c>
      <c r="I195" s="473"/>
      <c r="J195" s="223"/>
      <c r="K195" s="218"/>
    </row>
    <row r="196" spans="1:11" s="221" customFormat="1">
      <c r="A196" s="225" t="s">
        <v>143</v>
      </c>
      <c r="B196" s="194" t="s">
        <v>333</v>
      </c>
      <c r="C196" s="501">
        <f>'[26]Sch C'!D207</f>
        <v>31647</v>
      </c>
      <c r="D196" s="501">
        <f>'[26]Sch C'!F207</f>
        <v>0</v>
      </c>
      <c r="E196" s="171">
        <f t="shared" si="37"/>
        <v>31647</v>
      </c>
      <c r="F196" s="171"/>
      <c r="G196" s="171">
        <f t="shared" si="38"/>
        <v>31647</v>
      </c>
      <c r="H196" s="172">
        <f t="shared" si="39"/>
        <v>3.1998801220377068E-3</v>
      </c>
      <c r="I196" s="473"/>
      <c r="J196" s="223"/>
      <c r="K196" s="218"/>
    </row>
    <row r="197" spans="1:11" s="167" customFormat="1" ht="26">
      <c r="A197" s="163"/>
      <c r="B197" s="212" t="s">
        <v>130</v>
      </c>
      <c r="C197" s="501">
        <f>SUM(C164:C196)</f>
        <v>2059023</v>
      </c>
      <c r="D197" s="501">
        <f>SUM(D164:D196)</f>
        <v>252745</v>
      </c>
      <c r="E197" s="171">
        <f t="shared" ref="E197" si="40">SUM(E164:E196)</f>
        <v>2311768</v>
      </c>
      <c r="F197" s="171">
        <f>SUM(F164:F196)</f>
        <v>0</v>
      </c>
      <c r="G197" s="171">
        <f>SUM(G164:G196)</f>
        <v>2311768</v>
      </c>
      <c r="H197" s="172">
        <f>IF($G$208=0,0,G197/$G$208)</f>
        <v>0.23374665750190748</v>
      </c>
      <c r="I197" s="473"/>
      <c r="J197" s="168"/>
      <c r="K197" s="168"/>
    </row>
    <row r="198" spans="1:11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1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1" s="167" customFormat="1">
      <c r="A200" s="169" t="s">
        <v>85</v>
      </c>
      <c r="B200" s="170" t="s">
        <v>69</v>
      </c>
      <c r="C200" s="501">
        <f>'[26]Sch C'!D211</f>
        <v>130453</v>
      </c>
      <c r="D200" s="501">
        <f>'[26]Sch C'!F211</f>
        <v>0</v>
      </c>
      <c r="E200" s="171">
        <f t="shared" ref="E200:E205" si="41">C200+D200</f>
        <v>130453</v>
      </c>
      <c r="F200" s="171"/>
      <c r="G200" s="171">
        <f t="shared" ref="G200:G205" si="42">E200+F200</f>
        <v>130453</v>
      </c>
      <c r="H200" s="172">
        <f t="shared" ref="H200:H206" si="43">IF($G$208=0,0,G200/$G$208)</f>
        <v>1.3190316982974215E-2</v>
      </c>
      <c r="I200" s="473"/>
      <c r="J200" s="183">
        <v>8177</v>
      </c>
      <c r="K200" s="183">
        <v>8588</v>
      </c>
    </row>
    <row r="201" spans="1:11" s="167" customFormat="1">
      <c r="A201" s="169" t="s">
        <v>86</v>
      </c>
      <c r="B201" s="170" t="s">
        <v>45</v>
      </c>
      <c r="C201" s="501">
        <f>'[26]Sch C'!D212</f>
        <v>0</v>
      </c>
      <c r="D201" s="501">
        <f>'[26]Sch C'!F212</f>
        <v>23455</v>
      </c>
      <c r="E201" s="171">
        <f t="shared" si="41"/>
        <v>23455</v>
      </c>
      <c r="F201" s="171"/>
      <c r="G201" s="171">
        <f t="shared" si="42"/>
        <v>23455</v>
      </c>
      <c r="H201" s="172">
        <f t="shared" si="43"/>
        <v>2.3715735539670242E-3</v>
      </c>
      <c r="I201" s="473"/>
      <c r="J201" s="168"/>
      <c r="K201" s="168"/>
    </row>
    <row r="202" spans="1:11" s="167" customFormat="1">
      <c r="A202" s="169" t="s">
        <v>140</v>
      </c>
      <c r="B202" s="170" t="s">
        <v>54</v>
      </c>
      <c r="C202" s="501">
        <f>'[26]Sch C'!D213</f>
        <v>10386</v>
      </c>
      <c r="D202" s="501">
        <f>'[26]Sch C'!F213</f>
        <v>0</v>
      </c>
      <c r="E202" s="171">
        <f t="shared" si="41"/>
        <v>10386</v>
      </c>
      <c r="F202" s="171"/>
      <c r="G202" s="171">
        <f t="shared" si="42"/>
        <v>10386</v>
      </c>
      <c r="H202" s="172">
        <f t="shared" si="43"/>
        <v>1.0501455097634413E-3</v>
      </c>
      <c r="I202" s="473"/>
      <c r="J202" s="168"/>
      <c r="K202" s="168"/>
    </row>
    <row r="203" spans="1:11" s="167" customFormat="1">
      <c r="A203" s="169" t="s">
        <v>141</v>
      </c>
      <c r="B203" s="170" t="s">
        <v>70</v>
      </c>
      <c r="C203" s="501">
        <f>'[26]Sch C'!D214</f>
        <v>0</v>
      </c>
      <c r="D203" s="501">
        <f>'[26]Sch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1" s="167" customFormat="1">
      <c r="A204" s="169" t="s">
        <v>142</v>
      </c>
      <c r="B204" s="202" t="s">
        <v>71</v>
      </c>
      <c r="C204" s="501">
        <f>'[26]Sch C'!D215</f>
        <v>0</v>
      </c>
      <c r="D204" s="501">
        <f>'[26]Sch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1" s="167" customFormat="1">
      <c r="A205" s="169" t="s">
        <v>143</v>
      </c>
      <c r="B205" s="170" t="s">
        <v>312</v>
      </c>
      <c r="C205" s="501">
        <f>'[26]Sch C'!D216</f>
        <v>9992</v>
      </c>
      <c r="D205" s="501">
        <f>'[26]Sch C'!F216</f>
        <v>0</v>
      </c>
      <c r="E205" s="171">
        <f t="shared" si="41"/>
        <v>9992</v>
      </c>
      <c r="F205" s="171"/>
      <c r="G205" s="171">
        <f t="shared" si="42"/>
        <v>9992</v>
      </c>
      <c r="H205" s="172">
        <f t="shared" si="43"/>
        <v>1.0103075229690262E-3</v>
      </c>
      <c r="I205" s="473"/>
      <c r="J205" s="168"/>
      <c r="K205" s="168"/>
    </row>
    <row r="206" spans="1:11" s="167" customFormat="1">
      <c r="A206" s="163"/>
      <c r="B206" s="170" t="s">
        <v>144</v>
      </c>
      <c r="C206" s="501">
        <f>SUM(C200:C205)</f>
        <v>150831</v>
      </c>
      <c r="D206" s="501">
        <f>SUM(D200:D205)</f>
        <v>23455</v>
      </c>
      <c r="E206" s="171">
        <f t="shared" ref="E206" si="44">SUM(E200:E205)</f>
        <v>174286</v>
      </c>
      <c r="F206" s="171">
        <f>SUM(F200:F205)</f>
        <v>0</v>
      </c>
      <c r="G206" s="171">
        <f>SUM(G200:G205)</f>
        <v>174286</v>
      </c>
      <c r="H206" s="172">
        <f t="shared" si="43"/>
        <v>1.7622343569673706E-2</v>
      </c>
      <c r="I206" s="473"/>
      <c r="J206" s="168"/>
      <c r="K206" s="168"/>
    </row>
    <row r="207" spans="1:11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1" s="167" customFormat="1">
      <c r="A208" s="227"/>
      <c r="B208" s="228" t="s">
        <v>145</v>
      </c>
      <c r="C208" s="501">
        <f>SUM(C25:C206)/2</f>
        <v>10085369</v>
      </c>
      <c r="D208" s="501">
        <f>SUM(D25:D206)/2</f>
        <v>-179741</v>
      </c>
      <c r="E208" s="171">
        <f t="shared" ref="E208:F208" si="45">SUM(E25:E206)/2</f>
        <v>9905628</v>
      </c>
      <c r="F208" s="171">
        <f t="shared" si="45"/>
        <v>-15570</v>
      </c>
      <c r="G208" s="171">
        <f>SUM(G25:G206)/2</f>
        <v>9890058</v>
      </c>
      <c r="H208" s="172">
        <f>IF($G$208=0,0,G208/$G$208)</f>
        <v>1</v>
      </c>
      <c r="I208" s="473"/>
      <c r="J208" s="183">
        <f>SUM(J25:J200)</f>
        <v>213019</v>
      </c>
      <c r="K208" s="183">
        <f>SUM(K25:K200)</f>
        <v>226270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'[26]Sch C'!D221</f>
        <v>10085369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213168</v>
      </c>
      <c r="D215" s="501">
        <f>D21-D208</f>
        <v>179741</v>
      </c>
      <c r="E215" s="171">
        <f t="shared" ref="E215:F215" si="46">E21-E208</f>
        <v>392909</v>
      </c>
      <c r="F215" s="171">
        <f t="shared" si="46"/>
        <v>15570</v>
      </c>
      <c r="G215" s="171">
        <f>G21-G208</f>
        <v>408479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'[26]Sch D'!C9</f>
        <v>6736</v>
      </c>
      <c r="D219" s="530"/>
      <c r="E219" s="234">
        <f t="shared" ref="E219:G227" si="47">C219+D219</f>
        <v>6736</v>
      </c>
      <c r="F219" s="233"/>
      <c r="G219" s="234">
        <f t="shared" si="47"/>
        <v>6736</v>
      </c>
      <c r="H219" s="172">
        <f t="shared" ref="H219:H228" si="48">IF($G$228=0,0,G219/$G$228)</f>
        <v>0.25213355292708489</v>
      </c>
      <c r="I219" s="473"/>
      <c r="J219" s="168"/>
      <c r="K219" s="168"/>
    </row>
    <row r="220" spans="1:11">
      <c r="A220" s="163"/>
      <c r="B220" s="170" t="s">
        <v>217</v>
      </c>
      <c r="C220" s="530">
        <f>'[26]Sch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'[26]Sch D'!E9</f>
        <v>9137</v>
      </c>
      <c r="D221" s="530"/>
      <c r="E221" s="234">
        <f t="shared" si="49"/>
        <v>9137</v>
      </c>
      <c r="F221" s="233"/>
      <c r="G221" s="234">
        <f t="shared" si="47"/>
        <v>9137</v>
      </c>
      <c r="H221" s="172">
        <f t="shared" si="48"/>
        <v>0.34200479113639765</v>
      </c>
      <c r="I221" s="473"/>
      <c r="J221" s="168"/>
      <c r="K221" s="168"/>
    </row>
    <row r="222" spans="1:11">
      <c r="A222" s="163"/>
      <c r="B222" s="202" t="s">
        <v>334</v>
      </c>
      <c r="C222" s="530">
        <f>'[26]Sch D'!F9</f>
        <v>5086</v>
      </c>
      <c r="D222" s="530"/>
      <c r="E222" s="234">
        <f>C222+D222</f>
        <v>5086</v>
      </c>
      <c r="F222" s="233"/>
      <c r="G222" s="234">
        <f>E222+F222</f>
        <v>5086</v>
      </c>
      <c r="H222" s="172">
        <f t="shared" si="48"/>
        <v>0.19037281030094325</v>
      </c>
      <c r="I222" s="473"/>
      <c r="J222" s="168"/>
      <c r="K222" s="168"/>
    </row>
    <row r="223" spans="1:11">
      <c r="A223" s="163"/>
      <c r="B223" s="170" t="s">
        <v>73</v>
      </c>
      <c r="C223" s="530">
        <f>'[26]Sch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'[26]Sch D'!H9</f>
        <v>4680</v>
      </c>
      <c r="D224" s="530"/>
      <c r="E224" s="234">
        <f t="shared" si="49"/>
        <v>4680</v>
      </c>
      <c r="F224" s="233"/>
      <c r="G224" s="234">
        <f t="shared" si="47"/>
        <v>4680</v>
      </c>
      <c r="H224" s="172">
        <f t="shared" si="48"/>
        <v>0.17517592453960174</v>
      </c>
      <c r="I224" s="473"/>
      <c r="J224" s="168"/>
      <c r="K224" s="168"/>
    </row>
    <row r="225" spans="1:11">
      <c r="A225" s="163"/>
      <c r="B225" s="170" t="s">
        <v>236</v>
      </c>
      <c r="C225" s="530">
        <f>'[26]Sch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'[26]Sch D'!J9</f>
        <v>1077</v>
      </c>
      <c r="D226" s="530"/>
      <c r="E226" s="234">
        <f>C226+D226</f>
        <v>1077</v>
      </c>
      <c r="F226" s="233"/>
      <c r="G226" s="234">
        <f>E226+F226</f>
        <v>1077</v>
      </c>
      <c r="H226" s="172">
        <f t="shared" si="48"/>
        <v>4.0312921095972454E-2</v>
      </c>
      <c r="I226" s="473"/>
      <c r="J226" s="168"/>
      <c r="K226" s="168"/>
    </row>
    <row r="227" spans="1:11">
      <c r="A227" s="163"/>
      <c r="B227" s="170" t="s">
        <v>179</v>
      </c>
      <c r="C227" s="530">
        <f>'[26]Sch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26716</v>
      </c>
      <c r="D228" s="530">
        <f>SUM(D219:D227)</f>
        <v>0</v>
      </c>
      <c r="E228" s="236">
        <f>SUM(E219:E227)</f>
        <v>26716</v>
      </c>
      <c r="F228" s="236">
        <f>SUM(F219:F227)</f>
        <v>0</v>
      </c>
      <c r="G228" s="236">
        <f>SUM(G219:G227)</f>
        <v>26716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334"/>
      <c r="B231" s="202" t="s">
        <v>219</v>
      </c>
      <c r="C231" s="531">
        <f>'[26]Sch D'!N22</f>
        <v>103</v>
      </c>
      <c r="D231" s="502"/>
      <c r="E231" s="234">
        <f>C231+D231</f>
        <v>103</v>
      </c>
      <c r="F231" s="234"/>
      <c r="G231" s="234">
        <f>E231+F231</f>
        <v>103</v>
      </c>
      <c r="I231" s="475"/>
      <c r="J231" s="168"/>
      <c r="K231" s="168"/>
    </row>
    <row r="232" spans="1:11">
      <c r="A232" s="163"/>
      <c r="B232" s="202" t="s">
        <v>290</v>
      </c>
      <c r="C232" s="531">
        <f>'[26]Sch D'!N24</f>
        <v>103</v>
      </c>
      <c r="D232" s="502"/>
      <c r="E232" s="234">
        <f>C232+D232</f>
        <v>103</v>
      </c>
      <c r="F232" s="456">
        <v>-13</v>
      </c>
      <c r="G232" s="234">
        <f>E232+F232</f>
        <v>90</v>
      </c>
      <c r="H232" s="457" t="s">
        <v>425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630" t="s">
        <v>470</v>
      </c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630" t="s">
        <v>560</v>
      </c>
      <c r="J234" s="168"/>
      <c r="K234" s="168"/>
    </row>
    <row r="235" spans="1:11" ht="26">
      <c r="A235" s="163"/>
      <c r="B235" s="241" t="s">
        <v>335</v>
      </c>
      <c r="C235" s="531">
        <f>'[26]Sch D'!N28</f>
        <v>37595</v>
      </c>
      <c r="D235" s="438"/>
      <c r="E235" s="233">
        <f>E231*E233</f>
        <v>37595</v>
      </c>
      <c r="F235" s="238"/>
      <c r="G235" s="233">
        <f>G231*G233</f>
        <v>37595</v>
      </c>
      <c r="H235" s="167"/>
      <c r="I235" s="631" t="s">
        <v>609</v>
      </c>
      <c r="J235" s="168"/>
      <c r="K235" s="168"/>
    </row>
    <row r="236" spans="1:11" ht="26">
      <c r="A236" s="163"/>
      <c r="B236" s="241" t="s">
        <v>336</v>
      </c>
      <c r="C236" s="532">
        <f>'[26]Sch D'!N30</f>
        <v>0.71062641308684671</v>
      </c>
      <c r="D236" s="238"/>
      <c r="E236" s="242">
        <f>IFERROR(E228/E235,"0")</f>
        <v>0.71062641308684671</v>
      </c>
      <c r="F236" s="243"/>
      <c r="G236" s="242">
        <f>IFERROR(G228/G235,"0")</f>
        <v>0.71062641308684671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'[26]Sch D'!N32</f>
        <v>0.17917276233541696</v>
      </c>
      <c r="D237" s="238"/>
      <c r="E237" s="242">
        <f>IFERROR((E219+E220)/E235,"0")</f>
        <v>0.17917276233541696</v>
      </c>
      <c r="F237" s="243"/>
      <c r="G237" s="242">
        <f>IFERROR((G219+G220)/G235,"0")</f>
        <v>0.17917276233541696</v>
      </c>
      <c r="H237" s="167"/>
      <c r="I237" s="475"/>
      <c r="J237" s="168"/>
      <c r="K237" s="168"/>
    </row>
    <row r="238" spans="1:11" ht="39">
      <c r="A238" s="163"/>
      <c r="B238" s="241" t="s">
        <v>338</v>
      </c>
      <c r="C238" s="532">
        <f>'[26]Sch D'!N34</f>
        <v>0.25213355292708489</v>
      </c>
      <c r="D238" s="238"/>
      <c r="E238" s="242">
        <f>IFERROR((E237/E236),"0")</f>
        <v>0.25213355292708489</v>
      </c>
      <c r="F238" s="243"/>
      <c r="G238" s="242">
        <f>IFERROR((G237/G236),"0")</f>
        <v>0.25213355292708489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'[26]Sch B'!C85</f>
        <v>282.28125</v>
      </c>
      <c r="I241" s="475"/>
    </row>
    <row r="242" spans="2:9">
      <c r="F242" s="142" t="s">
        <v>341</v>
      </c>
      <c r="G242" s="501">
        <f>'[26]Sch B'!E85</f>
        <v>293.44518518518521</v>
      </c>
      <c r="I242" s="475"/>
    </row>
    <row r="243" spans="2:9">
      <c r="F243" s="142" t="s">
        <v>342</v>
      </c>
      <c r="G243" s="501">
        <f>'[26]Sch B'!G85</f>
        <v>302.56555023923443</v>
      </c>
      <c r="I243" s="475"/>
    </row>
    <row r="244" spans="2:9">
      <c r="F244" s="142" t="s">
        <v>343</v>
      </c>
      <c r="G244" s="501">
        <f>'[26]Sch B'!I85</f>
        <v>297.48119575699133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5" sqref="F5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E28CAB"/>
  </sheetPr>
  <dimension ref="A1:O246"/>
  <sheetViews>
    <sheetView showGridLines="0" topLeftCell="A60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371" t="s">
        <v>552</v>
      </c>
      <c r="D2" s="371"/>
      <c r="E2" s="400" t="s">
        <v>430</v>
      </c>
    </row>
    <row r="3" spans="1:11">
      <c r="A3" s="145"/>
      <c r="B3" s="140" t="s">
        <v>79</v>
      </c>
      <c r="C3" s="441">
        <v>42552</v>
      </c>
      <c r="D3" s="144"/>
      <c r="E3" s="147"/>
      <c r="F3" s="409" t="s">
        <v>553</v>
      </c>
    </row>
    <row r="4" spans="1:11">
      <c r="A4" s="145"/>
      <c r="B4" s="148" t="s">
        <v>80</v>
      </c>
      <c r="C4" s="441">
        <v>42825</v>
      </c>
      <c r="D4" s="144"/>
      <c r="E4" s="149"/>
      <c r="F4" s="409" t="s">
        <v>554</v>
      </c>
      <c r="G4" s="150"/>
    </row>
    <row r="5" spans="1:11">
      <c r="A5" s="145"/>
      <c r="B5" s="148"/>
      <c r="C5" s="151"/>
      <c r="D5" s="144"/>
      <c r="F5" s="409" t="s">
        <v>555</v>
      </c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606" t="s">
        <v>619</v>
      </c>
      <c r="G9" s="606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605" t="s">
        <v>620</v>
      </c>
      <c r="G10" s="60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'[27]Sch B'!E10</f>
        <v>1858864</v>
      </c>
      <c r="D11" s="501">
        <f>'[27]Sch B'!G10</f>
        <v>0</v>
      </c>
      <c r="E11" s="171">
        <f>C11+D11</f>
        <v>1858864</v>
      </c>
      <c r="F11" s="171">
        <v>517855.46</v>
      </c>
      <c r="G11" s="171">
        <f t="shared" ref="G11:G20" si="0">E11+F11</f>
        <v>2376719.46</v>
      </c>
      <c r="H11" s="172">
        <f t="shared" ref="H11:H21" si="1">IF($G$21=0,0,G11/$G$21)</f>
        <v>0.49712773712992375</v>
      </c>
      <c r="I11" s="473"/>
      <c r="J11" s="336" t="s">
        <v>344</v>
      </c>
      <c r="K11" s="337">
        <f>G21</f>
        <v>4780902.9400000004</v>
      </c>
    </row>
    <row r="12" spans="1:11" s="167" customFormat="1">
      <c r="A12" s="169" t="s">
        <v>15</v>
      </c>
      <c r="B12" s="170" t="s">
        <v>212</v>
      </c>
      <c r="C12" s="501">
        <f>'[27]Sch B'!E15</f>
        <v>0</v>
      </c>
      <c r="D12" s="501">
        <f>'[27]Sch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4875473.1700000009</v>
      </c>
    </row>
    <row r="13" spans="1:11" s="167" customFormat="1">
      <c r="A13" s="169" t="s">
        <v>16</v>
      </c>
      <c r="B13" s="170" t="s">
        <v>170</v>
      </c>
      <c r="C13" s="501">
        <f>'[27]Sch B'!E21</f>
        <v>779099</v>
      </c>
      <c r="D13" s="501">
        <f>'[27]Sch B'!G21</f>
        <v>0</v>
      </c>
      <c r="E13" s="171">
        <f t="shared" si="2"/>
        <v>779099</v>
      </c>
      <c r="F13" s="171">
        <v>196216.29</v>
      </c>
      <c r="G13" s="171">
        <f t="shared" si="0"/>
        <v>975315.29</v>
      </c>
      <c r="H13" s="172">
        <f t="shared" si="1"/>
        <v>0.20400231969570165</v>
      </c>
      <c r="I13" s="473"/>
      <c r="J13" s="338" t="s">
        <v>346</v>
      </c>
      <c r="K13" s="339">
        <f>G228</f>
        <v>21613</v>
      </c>
    </row>
    <row r="14" spans="1:11" s="167" customFormat="1">
      <c r="A14" s="173" t="s">
        <v>18</v>
      </c>
      <c r="B14" s="174" t="s">
        <v>306</v>
      </c>
      <c r="C14" s="501">
        <f>'[27]Sch B'!E27</f>
        <v>142934</v>
      </c>
      <c r="D14" s="501">
        <f>'[27]Sch B'!G27</f>
        <v>0</v>
      </c>
      <c r="E14" s="171">
        <f t="shared" si="2"/>
        <v>142934</v>
      </c>
      <c r="F14" s="175">
        <v>15706.139999999998</v>
      </c>
      <c r="G14" s="175">
        <f>E14+F14</f>
        <v>158640.13999999998</v>
      </c>
      <c r="H14" s="176">
        <f t="shared" si="1"/>
        <v>3.3182045732976118E-2</v>
      </c>
      <c r="I14" s="479"/>
      <c r="J14" s="338" t="s">
        <v>347</v>
      </c>
      <c r="K14" s="339">
        <f>G231</f>
        <v>121</v>
      </c>
    </row>
    <row r="15" spans="1:11" s="167" customFormat="1">
      <c r="A15" s="169" t="s">
        <v>19</v>
      </c>
      <c r="B15" s="170" t="s">
        <v>171</v>
      </c>
      <c r="C15" s="501">
        <f>'[27]Sch B'!E32</f>
        <v>0</v>
      </c>
      <c r="D15" s="501">
        <f>'[27]Sch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44165</v>
      </c>
    </row>
    <row r="16" spans="1:11" s="167" customFormat="1">
      <c r="A16" s="169" t="s">
        <v>21</v>
      </c>
      <c r="B16" s="170" t="s">
        <v>172</v>
      </c>
      <c r="C16" s="501">
        <f>'[27]Sch B'!E37</f>
        <v>446599</v>
      </c>
      <c r="D16" s="501">
        <f>'[27]Sch B'!G37</f>
        <v>0</v>
      </c>
      <c r="E16" s="171">
        <f t="shared" si="2"/>
        <v>446599</v>
      </c>
      <c r="F16" s="171">
        <v>210511.85</v>
      </c>
      <c r="G16" s="171">
        <f t="shared" si="0"/>
        <v>657110.85</v>
      </c>
      <c r="H16" s="172">
        <f t="shared" si="1"/>
        <v>0.13744492583235751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'[27]Sch B'!E42</f>
        <v>353711</v>
      </c>
      <c r="D17" s="501">
        <f>'[27]Sch B'!G42</f>
        <v>0</v>
      </c>
      <c r="E17" s="171">
        <f t="shared" si="2"/>
        <v>353711</v>
      </c>
      <c r="F17" s="171">
        <v>85450.4</v>
      </c>
      <c r="G17" s="171">
        <f>E17+F17</f>
        <v>439161.4</v>
      </c>
      <c r="H17" s="172">
        <f t="shared" si="1"/>
        <v>9.1857418046642034E-2</v>
      </c>
      <c r="I17" s="473"/>
      <c r="J17" s="338" t="s">
        <v>156</v>
      </c>
      <c r="K17" s="339">
        <f>J208</f>
        <v>107352.32000000001</v>
      </c>
    </row>
    <row r="18" spans="1:11" s="167" customFormat="1" ht="13.5" thickBot="1">
      <c r="A18" s="169" t="s">
        <v>216</v>
      </c>
      <c r="B18" s="170" t="s">
        <v>229</v>
      </c>
      <c r="C18" s="501">
        <f>'[27]Sch B'!E47</f>
        <v>0</v>
      </c>
      <c r="D18" s="501">
        <f>'[27]Sch B'!G47</f>
        <v>0</v>
      </c>
      <c r="E18" s="171">
        <f t="shared" si="2"/>
        <v>0</v>
      </c>
      <c r="F18" s="171">
        <v>0</v>
      </c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113438.39999999999</v>
      </c>
    </row>
    <row r="19" spans="1:11" s="167" customFormat="1">
      <c r="A19" s="169" t="s">
        <v>227</v>
      </c>
      <c r="B19" s="177" t="s">
        <v>173</v>
      </c>
      <c r="C19" s="501">
        <f>'[27]Sch B'!E52</f>
        <v>0</v>
      </c>
      <c r="D19" s="501">
        <f>'[27]Sch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'[27]Sch B'!E67</f>
        <v>182399</v>
      </c>
      <c r="D20" s="501">
        <f>'[27]Sch B'!G67</f>
        <v>-8443</v>
      </c>
      <c r="E20" s="171">
        <f t="shared" si="2"/>
        <v>173956</v>
      </c>
      <c r="F20" s="171">
        <v>-0.20000000000004547</v>
      </c>
      <c r="G20" s="171">
        <f t="shared" si="0"/>
        <v>173955.8</v>
      </c>
      <c r="H20" s="172">
        <f t="shared" si="1"/>
        <v>3.6385553562398816E-2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3763606</v>
      </c>
      <c r="D21" s="501">
        <f>SUM(D11:D20)</f>
        <v>-8443</v>
      </c>
      <c r="E21" s="171">
        <f>SUM(E11:E20)</f>
        <v>3755163</v>
      </c>
      <c r="F21" s="171">
        <f>SUM(F11:F20)</f>
        <v>1025739.9400000001</v>
      </c>
      <c r="G21" s="171">
        <f>SUM(G11:G20)</f>
        <v>4780902.9400000004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606" t="s">
        <v>619</v>
      </c>
      <c r="G23" s="606"/>
      <c r="I23" s="475"/>
    </row>
    <row r="24" spans="1:11">
      <c r="A24" s="181" t="s">
        <v>161</v>
      </c>
      <c r="B24" s="148" t="s">
        <v>12</v>
      </c>
      <c r="F24" s="605" t="s">
        <v>620</v>
      </c>
      <c r="G24" s="605"/>
      <c r="I24" s="475"/>
    </row>
    <row r="25" spans="1:11" s="167" customFormat="1">
      <c r="A25" s="169" t="s">
        <v>83</v>
      </c>
      <c r="B25" s="170" t="s">
        <v>14</v>
      </c>
      <c r="C25" s="501">
        <f>'[27]Sch C'!D10</f>
        <v>75808</v>
      </c>
      <c r="D25" s="501">
        <f>'[27]Sch C'!F10</f>
        <v>0</v>
      </c>
      <c r="E25" s="171">
        <f t="shared" ref="E25:E60" si="3">C25+D25</f>
        <v>75808</v>
      </c>
      <c r="F25" s="171">
        <v>27692.34</v>
      </c>
      <c r="G25" s="182">
        <f>E25+F25</f>
        <v>103500.34</v>
      </c>
      <c r="H25" s="172">
        <f>IF($G$208=0,0,G25/$G$208)</f>
        <v>2.122877849823138E-2</v>
      </c>
      <c r="I25" s="473"/>
      <c r="J25" s="601">
        <f>1440.06+480</f>
        <v>1920.06</v>
      </c>
      <c r="K25" s="601">
        <f>1560.06+520</f>
        <v>2080.06</v>
      </c>
    </row>
    <row r="26" spans="1:11" s="167" customFormat="1">
      <c r="A26" s="169" t="s">
        <v>84</v>
      </c>
      <c r="B26" s="170" t="s">
        <v>176</v>
      </c>
      <c r="C26" s="501">
        <f>'[27]Sch C'!D11</f>
        <v>0</v>
      </c>
      <c r="D26" s="501">
        <f>'[27]Sch C'!F11</f>
        <v>0</v>
      </c>
      <c r="E26" s="171">
        <f t="shared" si="3"/>
        <v>0</v>
      </c>
      <c r="F26" s="171">
        <v>-9.9999999998544808E-2</v>
      </c>
      <c r="G26" s="171">
        <f t="shared" ref="G26:G60" si="4">E26+F26</f>
        <v>-9.9999999998544808E-2</v>
      </c>
      <c r="H26" s="184">
        <f t="shared" ref="H26:H61" si="5">IF($G$208=0,0,G26/$G$208)</f>
        <v>-2.0510829720870926E-8</v>
      </c>
      <c r="I26" s="473"/>
      <c r="J26" s="601">
        <f>0+488</f>
        <v>488</v>
      </c>
      <c r="K26" s="601">
        <f>0+520</f>
        <v>520</v>
      </c>
    </row>
    <row r="27" spans="1:11" s="167" customFormat="1">
      <c r="A27" s="169" t="s">
        <v>85</v>
      </c>
      <c r="B27" s="170" t="s">
        <v>17</v>
      </c>
      <c r="C27" s="501">
        <f>'[27]Sch C'!D12</f>
        <v>46523</v>
      </c>
      <c r="D27" s="501">
        <f>'[27]Sch C'!F12</f>
        <v>0</v>
      </c>
      <c r="E27" s="171">
        <f t="shared" si="3"/>
        <v>46523</v>
      </c>
      <c r="F27" s="171">
        <v>19170.419999999998</v>
      </c>
      <c r="G27" s="171">
        <f t="shared" si="4"/>
        <v>65693.42</v>
      </c>
      <c r="H27" s="172">
        <f t="shared" si="5"/>
        <v>1.3474265514212642E-2</v>
      </c>
      <c r="I27" s="473"/>
      <c r="J27" s="601">
        <f>3108.73+1303</f>
        <v>4411.7299999999996</v>
      </c>
      <c r="K27" s="601">
        <f>3259.88+1369</f>
        <v>4628.88</v>
      </c>
    </row>
    <row r="28" spans="1:11" s="167" customFormat="1">
      <c r="A28" s="169" t="s">
        <v>86</v>
      </c>
      <c r="B28" s="170" t="s">
        <v>45</v>
      </c>
      <c r="C28" s="501">
        <f>'[27]Sch C'!D13</f>
        <v>306098</v>
      </c>
      <c r="D28" s="501">
        <f>'[27]Sch C'!F13</f>
        <v>-282087.24000000005</v>
      </c>
      <c r="E28" s="171">
        <f t="shared" si="3"/>
        <v>24010.759999999951</v>
      </c>
      <c r="F28" s="171">
        <v>12858.550000000017</v>
      </c>
      <c r="G28" s="171">
        <f t="shared" si="4"/>
        <v>36869.309999999969</v>
      </c>
      <c r="H28" s="172">
        <f t="shared" si="5"/>
        <v>7.5622013934700744E-3</v>
      </c>
      <c r="I28" s="473"/>
      <c r="J28" s="461"/>
      <c r="K28" s="461"/>
    </row>
    <row r="29" spans="1:11" s="167" customFormat="1">
      <c r="A29" s="169" t="s">
        <v>175</v>
      </c>
      <c r="B29" s="170" t="s">
        <v>20</v>
      </c>
      <c r="C29" s="501">
        <f>'[27]Sch C'!D14</f>
        <v>0</v>
      </c>
      <c r="D29" s="501">
        <f>'[27]Sch C'!F14</f>
        <v>0</v>
      </c>
      <c r="E29" s="171">
        <f t="shared" si="3"/>
        <v>0</v>
      </c>
      <c r="F29" s="171">
        <v>0</v>
      </c>
      <c r="G29" s="171">
        <f t="shared" si="4"/>
        <v>0</v>
      </c>
      <c r="H29" s="172">
        <f t="shared" si="5"/>
        <v>0</v>
      </c>
      <c r="I29" s="473"/>
      <c r="J29" s="461"/>
      <c r="K29" s="461"/>
    </row>
    <row r="30" spans="1:11" s="167" customFormat="1">
      <c r="A30" s="169" t="s">
        <v>88</v>
      </c>
      <c r="B30" s="170" t="s">
        <v>22</v>
      </c>
      <c r="C30" s="501">
        <f>'[27]Sch C'!D15</f>
        <v>0</v>
      </c>
      <c r="D30" s="501">
        <f>'[27]Sch C'!F15</f>
        <v>0</v>
      </c>
      <c r="E30" s="171">
        <f t="shared" si="3"/>
        <v>0</v>
      </c>
      <c r="F30" s="171">
        <v>97341.49</v>
      </c>
      <c r="G30" s="171">
        <f t="shared" si="4"/>
        <v>97341.49</v>
      </c>
      <c r="H30" s="172">
        <f t="shared" si="5"/>
        <v>1.996554726194914E-2</v>
      </c>
      <c r="I30" s="473"/>
      <c r="J30" s="461"/>
      <c r="K30" s="461"/>
    </row>
    <row r="31" spans="1:11" s="167" customFormat="1">
      <c r="A31" s="169" t="s">
        <v>89</v>
      </c>
      <c r="B31" s="170" t="s">
        <v>148</v>
      </c>
      <c r="C31" s="501">
        <f>'[27]Sch C'!D16</f>
        <v>271698</v>
      </c>
      <c r="D31" s="501">
        <f>'[27]Sch C'!F16</f>
        <v>117668</v>
      </c>
      <c r="E31" s="171">
        <f t="shared" si="3"/>
        <v>389366</v>
      </c>
      <c r="F31" s="171">
        <v>0</v>
      </c>
      <c r="G31" s="171">
        <f t="shared" si="4"/>
        <v>389366</v>
      </c>
      <c r="H31" s="172">
        <f t="shared" si="5"/>
        <v>7.9862197252128439E-2</v>
      </c>
      <c r="I31" s="473"/>
      <c r="J31" s="461"/>
      <c r="K31" s="461"/>
    </row>
    <row r="32" spans="1:11" s="167" customFormat="1">
      <c r="A32" s="169" t="s">
        <v>90</v>
      </c>
      <c r="B32" s="170" t="s">
        <v>23</v>
      </c>
      <c r="C32" s="501">
        <f>'[27]Sch C'!D17</f>
        <v>0</v>
      </c>
      <c r="D32" s="501">
        <f>'[27]Sch C'!F17</f>
        <v>0</v>
      </c>
      <c r="E32" s="171">
        <f t="shared" si="3"/>
        <v>0</v>
      </c>
      <c r="F32" s="171">
        <v>0</v>
      </c>
      <c r="G32" s="171">
        <f t="shared" si="4"/>
        <v>0</v>
      </c>
      <c r="H32" s="172">
        <f t="shared" si="5"/>
        <v>0</v>
      </c>
      <c r="I32" s="473"/>
      <c r="J32" s="461"/>
      <c r="K32" s="461"/>
    </row>
    <row r="33" spans="1:11" s="167" customFormat="1">
      <c r="A33" s="169" t="s">
        <v>91</v>
      </c>
      <c r="B33" s="170" t="s">
        <v>24</v>
      </c>
      <c r="C33" s="501">
        <f>'[27]Sch C'!D18</f>
        <v>12032</v>
      </c>
      <c r="D33" s="501">
        <f>'[27]Sch C'!F18</f>
        <v>0</v>
      </c>
      <c r="E33" s="171">
        <f t="shared" si="3"/>
        <v>12032</v>
      </c>
      <c r="F33" s="171">
        <v>4887.3900000000003</v>
      </c>
      <c r="G33" s="171">
        <f t="shared" si="4"/>
        <v>16919.39</v>
      </c>
      <c r="H33" s="172">
        <f t="shared" si="5"/>
        <v>3.470307272760563E-3</v>
      </c>
      <c r="I33" s="473"/>
      <c r="J33" s="461"/>
      <c r="K33" s="461"/>
    </row>
    <row r="34" spans="1:11" s="167" customFormat="1">
      <c r="A34" s="169" t="s">
        <v>92</v>
      </c>
      <c r="B34" s="170" t="s">
        <v>25</v>
      </c>
      <c r="C34" s="501">
        <f>'[27]Sch C'!D19</f>
        <v>14423</v>
      </c>
      <c r="D34" s="501">
        <f>'[27]Sch C'!F19</f>
        <v>0</v>
      </c>
      <c r="E34" s="171">
        <f t="shared" si="3"/>
        <v>14423</v>
      </c>
      <c r="F34" s="171">
        <v>980.36</v>
      </c>
      <c r="G34" s="171">
        <f t="shared" si="4"/>
        <v>15403.36</v>
      </c>
      <c r="H34" s="172">
        <f t="shared" si="5"/>
        <v>3.1593569409387188E-3</v>
      </c>
      <c r="I34" s="473"/>
      <c r="J34" s="461"/>
      <c r="K34" s="461"/>
    </row>
    <row r="35" spans="1:11" s="167" customFormat="1">
      <c r="A35" s="169" t="s">
        <v>93</v>
      </c>
      <c r="B35" s="170" t="s">
        <v>26</v>
      </c>
      <c r="C35" s="501">
        <f>'[27]Sch C'!D20</f>
        <v>5084</v>
      </c>
      <c r="D35" s="501">
        <f>'[27]Sch C'!F20</f>
        <v>0</v>
      </c>
      <c r="E35" s="171">
        <f t="shared" si="3"/>
        <v>5084</v>
      </c>
      <c r="F35" s="171">
        <v>724.17</v>
      </c>
      <c r="G35" s="171">
        <f t="shared" si="4"/>
        <v>5808.17</v>
      </c>
      <c r="H35" s="172">
        <f t="shared" si="5"/>
        <v>1.1913038586160447E-3</v>
      </c>
      <c r="I35" s="473"/>
      <c r="J35" s="461"/>
      <c r="K35" s="461"/>
    </row>
    <row r="36" spans="1:11" s="167" customFormat="1">
      <c r="A36" s="169" t="s">
        <v>94</v>
      </c>
      <c r="B36" s="170" t="s">
        <v>27</v>
      </c>
      <c r="C36" s="501">
        <f>'[27]Sch C'!D21</f>
        <v>0</v>
      </c>
      <c r="D36" s="501">
        <f>'[27]Sch C'!F21</f>
        <v>0</v>
      </c>
      <c r="E36" s="171">
        <f t="shared" si="3"/>
        <v>0</v>
      </c>
      <c r="F36" s="171">
        <v>0</v>
      </c>
      <c r="G36" s="171">
        <f t="shared" si="4"/>
        <v>0</v>
      </c>
      <c r="H36" s="172">
        <f t="shared" si="5"/>
        <v>0</v>
      </c>
      <c r="I36" s="473"/>
      <c r="J36" s="461"/>
      <c r="K36" s="461"/>
    </row>
    <row r="37" spans="1:11" s="167" customFormat="1">
      <c r="A37" s="163">
        <v>130</v>
      </c>
      <c r="B37" s="170" t="s">
        <v>28</v>
      </c>
      <c r="C37" s="501">
        <f>'[27]Sch C'!D22</f>
        <v>0</v>
      </c>
      <c r="D37" s="501">
        <f>'[27]Sch C'!F22</f>
        <v>0</v>
      </c>
      <c r="E37" s="171">
        <f t="shared" si="3"/>
        <v>0</v>
      </c>
      <c r="F37" s="171">
        <v>0</v>
      </c>
      <c r="G37" s="171">
        <f t="shared" si="4"/>
        <v>0</v>
      </c>
      <c r="H37" s="172">
        <f t="shared" si="5"/>
        <v>0</v>
      </c>
      <c r="I37" s="473"/>
      <c r="J37" s="461"/>
      <c r="K37" s="461"/>
    </row>
    <row r="38" spans="1:11" s="167" customFormat="1">
      <c r="A38" s="163">
        <v>140</v>
      </c>
      <c r="B38" s="170" t="s">
        <v>149</v>
      </c>
      <c r="C38" s="501">
        <f>'[27]Sch C'!D23</f>
        <v>10497</v>
      </c>
      <c r="D38" s="501">
        <f>'[27]Sch C'!F23</f>
        <v>0</v>
      </c>
      <c r="E38" s="171">
        <f t="shared" si="3"/>
        <v>10497</v>
      </c>
      <c r="F38" s="171">
        <v>5204.59</v>
      </c>
      <c r="G38" s="171">
        <f t="shared" si="4"/>
        <v>15701.59</v>
      </c>
      <c r="H38" s="172">
        <f t="shared" si="5"/>
        <v>3.2205263884161621E-3</v>
      </c>
      <c r="I38" s="473"/>
      <c r="J38" s="461"/>
      <c r="K38" s="461"/>
    </row>
    <row r="39" spans="1:11" s="167" customFormat="1">
      <c r="A39" s="163">
        <v>150</v>
      </c>
      <c r="B39" s="170" t="s">
        <v>29</v>
      </c>
      <c r="C39" s="501">
        <f>'[27]Sch C'!D24</f>
        <v>0</v>
      </c>
      <c r="D39" s="501">
        <f>'[27]Sch C'!F24</f>
        <v>0</v>
      </c>
      <c r="E39" s="171">
        <f t="shared" si="3"/>
        <v>0</v>
      </c>
      <c r="F39" s="171">
        <v>0</v>
      </c>
      <c r="G39" s="171">
        <f t="shared" si="4"/>
        <v>0</v>
      </c>
      <c r="H39" s="172">
        <f t="shared" si="5"/>
        <v>0</v>
      </c>
      <c r="I39" s="473"/>
      <c r="J39" s="461"/>
      <c r="K39" s="461"/>
    </row>
    <row r="40" spans="1:11" s="167" customFormat="1">
      <c r="A40" s="163">
        <v>160</v>
      </c>
      <c r="B40" s="170" t="s">
        <v>30</v>
      </c>
      <c r="C40" s="501">
        <f>'[27]Sch C'!D25</f>
        <v>0</v>
      </c>
      <c r="D40" s="501">
        <f>'[27]Sch C'!F25</f>
        <v>0</v>
      </c>
      <c r="E40" s="171">
        <f t="shared" si="3"/>
        <v>0</v>
      </c>
      <c r="F40" s="171">
        <v>0</v>
      </c>
      <c r="G40" s="171">
        <f t="shared" si="4"/>
        <v>0</v>
      </c>
      <c r="H40" s="172">
        <f t="shared" si="5"/>
        <v>0</v>
      </c>
      <c r="I40" s="473"/>
      <c r="J40" s="461"/>
      <c r="K40" s="461"/>
    </row>
    <row r="41" spans="1:11" s="167" customFormat="1">
      <c r="A41" s="163">
        <v>170</v>
      </c>
      <c r="B41" s="170" t="s">
        <v>31</v>
      </c>
      <c r="C41" s="501">
        <f>'[27]Sch C'!D26</f>
        <v>281303</v>
      </c>
      <c r="D41" s="501">
        <f>'[27]Sch C'!F26</f>
        <v>0</v>
      </c>
      <c r="E41" s="171">
        <f t="shared" si="3"/>
        <v>281303</v>
      </c>
      <c r="F41" s="171">
        <v>84667.32</v>
      </c>
      <c r="G41" s="171">
        <f t="shared" si="4"/>
        <v>365970.32</v>
      </c>
      <c r="H41" s="172">
        <f t="shared" si="5"/>
        <v>7.5063549165218763E-2</v>
      </c>
      <c r="I41" s="473"/>
      <c r="J41" s="461"/>
      <c r="K41" s="461"/>
    </row>
    <row r="42" spans="1:11" s="167" customFormat="1">
      <c r="A42" s="163">
        <v>180</v>
      </c>
      <c r="B42" s="170" t="s">
        <v>32</v>
      </c>
      <c r="C42" s="501">
        <f>'[27]Sch C'!D27</f>
        <v>0</v>
      </c>
      <c r="D42" s="501">
        <f>'[27]Sch C'!F27</f>
        <v>0</v>
      </c>
      <c r="E42" s="171">
        <f t="shared" si="3"/>
        <v>0</v>
      </c>
      <c r="F42" s="171">
        <v>0</v>
      </c>
      <c r="G42" s="171">
        <f t="shared" si="4"/>
        <v>0</v>
      </c>
      <c r="H42" s="172">
        <f t="shared" si="5"/>
        <v>0</v>
      </c>
      <c r="I42" s="473"/>
      <c r="J42" s="461"/>
      <c r="K42" s="461"/>
    </row>
    <row r="43" spans="1:11" s="167" customFormat="1">
      <c r="A43" s="163">
        <v>190</v>
      </c>
      <c r="B43" s="170" t="s">
        <v>33</v>
      </c>
      <c r="C43" s="501">
        <f>'[27]Sch C'!D28</f>
        <v>0</v>
      </c>
      <c r="D43" s="501">
        <f>'[27]Sch C'!F28</f>
        <v>0</v>
      </c>
      <c r="E43" s="171">
        <f t="shared" si="3"/>
        <v>0</v>
      </c>
      <c r="F43" s="171">
        <v>0</v>
      </c>
      <c r="G43" s="171">
        <f t="shared" si="4"/>
        <v>0</v>
      </c>
      <c r="H43" s="172">
        <f t="shared" si="5"/>
        <v>0</v>
      </c>
      <c r="I43" s="473"/>
      <c r="J43" s="461"/>
      <c r="K43" s="461"/>
    </row>
    <row r="44" spans="1:11" s="167" customFormat="1">
      <c r="A44" s="163">
        <v>200</v>
      </c>
      <c r="B44" s="170" t="s">
        <v>34</v>
      </c>
      <c r="C44" s="501">
        <f>'[27]Sch C'!D29</f>
        <v>273902</v>
      </c>
      <c r="D44" s="501">
        <f>'[27]Sch C'!F29</f>
        <v>-273902</v>
      </c>
      <c r="E44" s="171">
        <f t="shared" si="3"/>
        <v>0</v>
      </c>
      <c r="F44" s="171">
        <v>0</v>
      </c>
      <c r="G44" s="171">
        <f t="shared" si="4"/>
        <v>0</v>
      </c>
      <c r="H44" s="172">
        <f t="shared" si="5"/>
        <v>0</v>
      </c>
      <c r="I44" s="473"/>
      <c r="J44" s="461"/>
      <c r="K44" s="461"/>
    </row>
    <row r="45" spans="1:11" s="167" customFormat="1">
      <c r="A45" s="163">
        <v>210</v>
      </c>
      <c r="B45" s="170" t="s">
        <v>35</v>
      </c>
      <c r="C45" s="501">
        <f>'[27]Sch C'!D30</f>
        <v>0</v>
      </c>
      <c r="D45" s="501">
        <f>'[27]Sch C'!F30</f>
        <v>0</v>
      </c>
      <c r="E45" s="171">
        <f t="shared" si="3"/>
        <v>0</v>
      </c>
      <c r="F45" s="171">
        <v>0</v>
      </c>
      <c r="G45" s="171">
        <f t="shared" si="4"/>
        <v>0</v>
      </c>
      <c r="H45" s="172">
        <f t="shared" si="5"/>
        <v>0</v>
      </c>
      <c r="I45" s="473"/>
      <c r="J45" s="461"/>
      <c r="K45" s="461"/>
    </row>
    <row r="46" spans="1:11" s="167" customFormat="1">
      <c r="A46" s="163">
        <v>220</v>
      </c>
      <c r="B46" s="170" t="s">
        <v>190</v>
      </c>
      <c r="C46" s="501">
        <f>'[27]Sch C'!D31</f>
        <v>50137</v>
      </c>
      <c r="D46" s="501">
        <f>'[27]Sch C'!F31</f>
        <v>0</v>
      </c>
      <c r="E46" s="171">
        <f t="shared" si="3"/>
        <v>50137</v>
      </c>
      <c r="F46" s="171">
        <v>14276.42</v>
      </c>
      <c r="G46" s="171">
        <f t="shared" si="4"/>
        <v>64413.42</v>
      </c>
      <c r="H46" s="172">
        <f t="shared" si="5"/>
        <v>1.3211726893781674E-2</v>
      </c>
      <c r="I46" s="473"/>
      <c r="J46" s="461"/>
      <c r="K46" s="461"/>
    </row>
    <row r="47" spans="1:11" s="167" customFormat="1">
      <c r="A47" s="163">
        <v>230</v>
      </c>
      <c r="B47" s="170" t="s">
        <v>191</v>
      </c>
      <c r="C47" s="501">
        <f>'[27]Sch C'!D32</f>
        <v>14302</v>
      </c>
      <c r="D47" s="501">
        <f>'[27]Sch C'!F32</f>
        <v>0</v>
      </c>
      <c r="E47" s="171">
        <f t="shared" si="3"/>
        <v>14302</v>
      </c>
      <c r="F47" s="171">
        <v>4661.76</v>
      </c>
      <c r="G47" s="171">
        <f t="shared" si="4"/>
        <v>18963.760000000002</v>
      </c>
      <c r="H47" s="172">
        <f t="shared" si="5"/>
        <v>3.8896245223312342E-3</v>
      </c>
      <c r="I47" s="473"/>
      <c r="J47" s="461"/>
      <c r="K47" s="461"/>
    </row>
    <row r="48" spans="1:11" s="167" customFormat="1">
      <c r="A48" s="163">
        <v>240</v>
      </c>
      <c r="B48" s="170" t="s">
        <v>201</v>
      </c>
      <c r="C48" s="501">
        <f>'[27]Sch C'!D33</f>
        <v>0</v>
      </c>
      <c r="D48" s="501">
        <f>'[27]Sch C'!F33</f>
        <v>0</v>
      </c>
      <c r="E48" s="171">
        <f t="shared" si="3"/>
        <v>0</v>
      </c>
      <c r="F48" s="171">
        <v>0</v>
      </c>
      <c r="G48" s="171">
        <f t="shared" si="4"/>
        <v>0</v>
      </c>
      <c r="H48" s="172">
        <f t="shared" si="5"/>
        <v>0</v>
      </c>
      <c r="I48" s="473"/>
      <c r="J48" s="461"/>
      <c r="K48" s="461"/>
    </row>
    <row r="49" spans="1:11" s="167" customFormat="1">
      <c r="A49" s="163">
        <v>250</v>
      </c>
      <c r="B49" s="170" t="s">
        <v>202</v>
      </c>
      <c r="C49" s="501">
        <f>'[27]Sch C'!D34</f>
        <v>0</v>
      </c>
      <c r="D49" s="501">
        <f>'[27]Sch C'!F34</f>
        <v>0</v>
      </c>
      <c r="E49" s="171">
        <f t="shared" si="3"/>
        <v>0</v>
      </c>
      <c r="F49" s="171">
        <v>0</v>
      </c>
      <c r="G49" s="171">
        <f t="shared" si="4"/>
        <v>0</v>
      </c>
      <c r="H49" s="172">
        <f t="shared" si="5"/>
        <v>0</v>
      </c>
      <c r="I49" s="473"/>
      <c r="J49" s="461"/>
      <c r="K49" s="461"/>
    </row>
    <row r="50" spans="1:11" s="167" customFormat="1">
      <c r="A50" s="163">
        <v>270</v>
      </c>
      <c r="B50" s="170" t="s">
        <v>203</v>
      </c>
      <c r="C50" s="501">
        <f>'[27]Sch C'!D35</f>
        <v>1560</v>
      </c>
      <c r="D50" s="501">
        <f>'[27]Sch C'!F35</f>
        <v>-1560</v>
      </c>
      <c r="E50" s="171">
        <f t="shared" si="3"/>
        <v>0</v>
      </c>
      <c r="F50" s="171">
        <v>0</v>
      </c>
      <c r="G50" s="171">
        <f t="shared" si="4"/>
        <v>0</v>
      </c>
      <c r="H50" s="172">
        <f t="shared" si="5"/>
        <v>0</v>
      </c>
      <c r="I50" s="473"/>
      <c r="J50" s="461"/>
      <c r="K50" s="461"/>
    </row>
    <row r="51" spans="1:11" s="167" customFormat="1">
      <c r="A51" s="163">
        <v>280</v>
      </c>
      <c r="B51" s="170" t="s">
        <v>204</v>
      </c>
      <c r="C51" s="501">
        <f>'[27]Sch C'!D36</f>
        <v>17762</v>
      </c>
      <c r="D51" s="501">
        <f>'[27]Sch C'!F36</f>
        <v>0</v>
      </c>
      <c r="E51" s="171">
        <f t="shared" si="3"/>
        <v>17762</v>
      </c>
      <c r="F51" s="171">
        <v>5432.7</v>
      </c>
      <c r="G51" s="171">
        <f t="shared" si="4"/>
        <v>23194.7</v>
      </c>
      <c r="H51" s="172">
        <f t="shared" si="5"/>
        <v>4.7574254213360789E-3</v>
      </c>
      <c r="I51" s="473"/>
      <c r="J51" s="601">
        <f>1296.3+373</f>
        <v>1669.3</v>
      </c>
      <c r="K51" s="601">
        <f>1392.73+401</f>
        <v>1793.73</v>
      </c>
    </row>
    <row r="52" spans="1:11" s="167" customFormat="1">
      <c r="A52" s="163">
        <v>290</v>
      </c>
      <c r="B52" s="170" t="s">
        <v>205</v>
      </c>
      <c r="C52" s="501">
        <f>'[27]Sch C'!D37</f>
        <v>0</v>
      </c>
      <c r="D52" s="501">
        <f>'[27]Sch C'!F37</f>
        <v>3486.3199999999997</v>
      </c>
      <c r="E52" s="171">
        <f t="shared" si="3"/>
        <v>3486.3199999999997</v>
      </c>
      <c r="F52" s="171">
        <v>1103.92</v>
      </c>
      <c r="G52" s="171">
        <f t="shared" si="4"/>
        <v>4590.24</v>
      </c>
      <c r="H52" s="172">
        <f t="shared" si="5"/>
        <v>9.4149631019300615E-4</v>
      </c>
      <c r="I52" s="473"/>
      <c r="J52" s="461"/>
      <c r="K52" s="461"/>
    </row>
    <row r="53" spans="1:11" s="167" customFormat="1">
      <c r="A53" s="163">
        <v>300</v>
      </c>
      <c r="B53" s="170" t="s">
        <v>206</v>
      </c>
      <c r="C53" s="501">
        <f>'[27]Sch C'!D38</f>
        <v>0</v>
      </c>
      <c r="D53" s="501">
        <f>'[27]Sch C'!F38</f>
        <v>0</v>
      </c>
      <c r="E53" s="171">
        <f t="shared" si="3"/>
        <v>0</v>
      </c>
      <c r="F53" s="171">
        <v>49.62</v>
      </c>
      <c r="G53" s="171">
        <f t="shared" si="4"/>
        <v>49.62</v>
      </c>
      <c r="H53" s="172">
        <f t="shared" si="5"/>
        <v>1.0177473707644255E-5</v>
      </c>
      <c r="I53" s="473"/>
      <c r="J53" s="461"/>
      <c r="K53" s="461"/>
    </row>
    <row r="54" spans="1:11" s="167" customFormat="1">
      <c r="A54" s="163">
        <v>310</v>
      </c>
      <c r="B54" s="170" t="s">
        <v>207</v>
      </c>
      <c r="C54" s="501">
        <f>'[27]Sch C'!D39</f>
        <v>1215</v>
      </c>
      <c r="D54" s="501">
        <f>'[27]Sch C'!F39</f>
        <v>0</v>
      </c>
      <c r="E54" s="171">
        <f t="shared" si="3"/>
        <v>1215</v>
      </c>
      <c r="F54" s="171">
        <v>1276.99</v>
      </c>
      <c r="G54" s="171">
        <f t="shared" si="4"/>
        <v>2491.9899999999998</v>
      </c>
      <c r="H54" s="172">
        <f t="shared" si="5"/>
        <v>5.1112782556856924E-4</v>
      </c>
      <c r="I54" s="473"/>
      <c r="J54" s="461"/>
      <c r="K54" s="461"/>
    </row>
    <row r="55" spans="1:11" s="167" customFormat="1">
      <c r="A55" s="163">
        <v>320</v>
      </c>
      <c r="B55" s="170" t="s">
        <v>208</v>
      </c>
      <c r="C55" s="501">
        <f>'[27]Sch C'!D40</f>
        <v>6749</v>
      </c>
      <c r="D55" s="501">
        <f>'[27]Sch C'!F40</f>
        <v>-6749</v>
      </c>
      <c r="E55" s="171">
        <f t="shared" si="3"/>
        <v>0</v>
      </c>
      <c r="F55" s="171">
        <v>-0.1499999999996362</v>
      </c>
      <c r="G55" s="171">
        <f t="shared" si="4"/>
        <v>-0.1499999999996362</v>
      </c>
      <c r="H55" s="172">
        <f t="shared" si="5"/>
        <v>-3.0766244581679479E-8</v>
      </c>
      <c r="I55" s="473"/>
      <c r="J55" s="461"/>
      <c r="K55" s="461"/>
    </row>
    <row r="56" spans="1:11" s="167" customFormat="1">
      <c r="A56" s="163">
        <v>330</v>
      </c>
      <c r="B56" s="170" t="s">
        <v>48</v>
      </c>
      <c r="C56" s="501">
        <f>'[27]Sch C'!D41</f>
        <v>0</v>
      </c>
      <c r="D56" s="501">
        <f>'[27]Sch C'!F41</f>
        <v>0</v>
      </c>
      <c r="E56" s="171">
        <f t="shared" si="3"/>
        <v>0</v>
      </c>
      <c r="F56" s="171">
        <v>0</v>
      </c>
      <c r="G56" s="171">
        <f t="shared" si="4"/>
        <v>0</v>
      </c>
      <c r="H56" s="172">
        <f t="shared" si="5"/>
        <v>0</v>
      </c>
      <c r="I56" s="473"/>
      <c r="J56" s="461"/>
      <c r="K56" s="461"/>
    </row>
    <row r="57" spans="1:11" s="167" customFormat="1">
      <c r="A57" s="163">
        <v>340</v>
      </c>
      <c r="B57" s="170" t="s">
        <v>209</v>
      </c>
      <c r="C57" s="501">
        <f>'[27]Sch C'!D42</f>
        <v>5659</v>
      </c>
      <c r="D57" s="501">
        <f>'[27]Sch C'!F42</f>
        <v>0</v>
      </c>
      <c r="E57" s="171">
        <f t="shared" si="3"/>
        <v>5659</v>
      </c>
      <c r="F57" s="171">
        <v>1558.42</v>
      </c>
      <c r="G57" s="171">
        <f t="shared" si="4"/>
        <v>7217.42</v>
      </c>
      <c r="H57" s="172">
        <f t="shared" si="5"/>
        <v>1.4803527264616245E-3</v>
      </c>
      <c r="I57" s="473"/>
      <c r="J57" s="461"/>
      <c r="K57" s="461"/>
    </row>
    <row r="58" spans="1:11" s="167" customFormat="1">
      <c r="A58" s="163">
        <v>350</v>
      </c>
      <c r="B58" s="170" t="s">
        <v>210</v>
      </c>
      <c r="C58" s="501">
        <f>'[27]Sch C'!D43</f>
        <v>11644</v>
      </c>
      <c r="D58" s="501">
        <f>'[27]Sch C'!F43</f>
        <v>0</v>
      </c>
      <c r="E58" s="171">
        <f t="shared" si="3"/>
        <v>11644</v>
      </c>
      <c r="F58" s="171">
        <f>2575.85</f>
        <v>2575.85</v>
      </c>
      <c r="G58" s="607">
        <f>E58+F58-11644-2575.85</f>
        <v>0</v>
      </c>
      <c r="H58" s="172">
        <f t="shared" si="5"/>
        <v>0</v>
      </c>
      <c r="I58" s="472" t="s">
        <v>621</v>
      </c>
      <c r="J58" s="461"/>
      <c r="K58" s="461"/>
    </row>
    <row r="59" spans="1:11" s="167" customFormat="1">
      <c r="A59" s="163">
        <v>360</v>
      </c>
      <c r="B59" s="170" t="s">
        <v>211</v>
      </c>
      <c r="C59" s="501">
        <f>'[27]Sch C'!D44</f>
        <v>0</v>
      </c>
      <c r="D59" s="501">
        <f>'[27]Sch C'!F44</f>
        <v>0</v>
      </c>
      <c r="E59" s="171">
        <f t="shared" si="3"/>
        <v>0</v>
      </c>
      <c r="F59" s="171">
        <v>0</v>
      </c>
      <c r="G59" s="171">
        <f t="shared" si="4"/>
        <v>0</v>
      </c>
      <c r="H59" s="172">
        <f t="shared" si="5"/>
        <v>0</v>
      </c>
      <c r="I59" s="473"/>
      <c r="J59" s="610" t="s">
        <v>631</v>
      </c>
      <c r="K59" s="461"/>
    </row>
    <row r="60" spans="1:11" s="167" customFormat="1">
      <c r="A60" s="163">
        <v>490</v>
      </c>
      <c r="B60" s="170" t="s">
        <v>36</v>
      </c>
      <c r="C60" s="501">
        <f>'[27]Sch C'!D45</f>
        <v>65127</v>
      </c>
      <c r="D60" s="501">
        <f>'[27]Sch C'!F45</f>
        <v>-5540</v>
      </c>
      <c r="E60" s="171">
        <f t="shared" si="3"/>
        <v>59587</v>
      </c>
      <c r="F60" s="171">
        <v>6634.5399999999991</v>
      </c>
      <c r="G60" s="171">
        <f t="shared" si="4"/>
        <v>66221.539999999994</v>
      </c>
      <c r="H60" s="172">
        <f t="shared" si="5"/>
        <v>1.3582587308136081E-2</v>
      </c>
      <c r="I60" s="621"/>
      <c r="J60" s="461"/>
      <c r="K60" s="461"/>
    </row>
    <row r="61" spans="1:11" s="167" customFormat="1">
      <c r="A61" s="163"/>
      <c r="B61" s="170" t="s">
        <v>177</v>
      </c>
      <c r="C61" s="501">
        <f>SUM(C25:C60)</f>
        <v>1471523</v>
      </c>
      <c r="D61" s="501">
        <f>SUM(D25:D60)</f>
        <v>-448683.92000000004</v>
      </c>
      <c r="E61" s="171">
        <f t="shared" ref="E61:F61" si="6">SUM(E25:E60)</f>
        <v>1022839.08</v>
      </c>
      <c r="F61" s="171">
        <f t="shared" si="6"/>
        <v>291096.59999999992</v>
      </c>
      <c r="G61" s="171">
        <f>SUM(G25:G60)</f>
        <v>1299715.83</v>
      </c>
      <c r="H61" s="186">
        <f t="shared" si="5"/>
        <v>0.26658250075038353</v>
      </c>
      <c r="I61" s="480"/>
      <c r="J61" s="461"/>
      <c r="K61" s="461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461"/>
      <c r="K62" s="461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461"/>
      <c r="K63" s="461"/>
    </row>
    <row r="64" spans="1:11" s="167" customFormat="1">
      <c r="A64" s="188">
        <v>230</v>
      </c>
      <c r="B64" s="189" t="s">
        <v>253</v>
      </c>
      <c r="C64" s="501">
        <f>'[27]Sch C'!D57</f>
        <v>178106</v>
      </c>
      <c r="D64" s="501">
        <f>'[27]Sch C'!F57</f>
        <v>-178106</v>
      </c>
      <c r="E64" s="171">
        <f t="shared" ref="E64:E78" si="7">C64+D64</f>
        <v>0</v>
      </c>
      <c r="F64" s="171">
        <v>0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462"/>
      <c r="K64" s="461"/>
    </row>
    <row r="65" spans="1:11" s="167" customFormat="1">
      <c r="A65" s="191">
        <v>240</v>
      </c>
      <c r="B65" s="189" t="s">
        <v>254</v>
      </c>
      <c r="C65" s="501">
        <f>'[27]Sch C'!D58</f>
        <v>0</v>
      </c>
      <c r="D65" s="501">
        <f>'[27]Sch C'!F58</f>
        <v>67363</v>
      </c>
      <c r="E65" s="171">
        <f t="shared" si="7"/>
        <v>67363</v>
      </c>
      <c r="F65" s="171">
        <v>16841</v>
      </c>
      <c r="G65" s="171">
        <f t="shared" si="8"/>
        <v>84204</v>
      </c>
      <c r="H65" s="172">
        <f t="shared" si="9"/>
        <v>1.7270939058413481E-2</v>
      </c>
      <c r="I65" s="473"/>
      <c r="J65" s="462"/>
      <c r="K65" s="461"/>
    </row>
    <row r="66" spans="1:11" s="167" customFormat="1">
      <c r="A66" s="142">
        <v>250</v>
      </c>
      <c r="B66" s="189" t="s">
        <v>307</v>
      </c>
      <c r="C66" s="501">
        <f>'[27]Sch C'!D59</f>
        <v>0</v>
      </c>
      <c r="D66" s="501">
        <f>'[27]Sch C'!F59</f>
        <v>115760</v>
      </c>
      <c r="E66" s="171">
        <f t="shared" si="7"/>
        <v>115760</v>
      </c>
      <c r="F66" s="171">
        <v>27222</v>
      </c>
      <c r="G66" s="171">
        <f t="shared" si="8"/>
        <v>142982</v>
      </c>
      <c r="H66" s="172">
        <f t="shared" si="9"/>
        <v>2.9326794551922428E-2</v>
      </c>
      <c r="I66" s="473"/>
      <c r="J66" s="462"/>
      <c r="K66" s="461"/>
    </row>
    <row r="67" spans="1:11" s="167" customFormat="1">
      <c r="A67" s="142">
        <v>260</v>
      </c>
      <c r="B67" s="192" t="s">
        <v>308</v>
      </c>
      <c r="C67" s="501">
        <f>'[27]Sch C'!D60</f>
        <v>0</v>
      </c>
      <c r="D67" s="501">
        <f>'[27]Sch C'!F60</f>
        <v>0</v>
      </c>
      <c r="E67" s="171">
        <f t="shared" si="7"/>
        <v>0</v>
      </c>
      <c r="F67" s="171">
        <v>0</v>
      </c>
      <c r="G67" s="171">
        <f t="shared" si="8"/>
        <v>0</v>
      </c>
      <c r="H67" s="172">
        <f t="shared" si="9"/>
        <v>0</v>
      </c>
      <c r="I67" s="473"/>
      <c r="J67" s="463"/>
      <c r="K67" s="461"/>
    </row>
    <row r="68" spans="1:11" s="167" customFormat="1">
      <c r="A68" s="142">
        <v>270</v>
      </c>
      <c r="B68" s="192" t="s">
        <v>309</v>
      </c>
      <c r="C68" s="501">
        <f>'[27]Sch C'!D61</f>
        <v>4758</v>
      </c>
      <c r="D68" s="501">
        <f>'[27]Sch C'!F61</f>
        <v>0</v>
      </c>
      <c r="E68" s="171">
        <f t="shared" si="7"/>
        <v>4758</v>
      </c>
      <c r="F68" s="171">
        <v>1581.99</v>
      </c>
      <c r="G68" s="171">
        <f t="shared" si="8"/>
        <v>6339.99</v>
      </c>
      <c r="H68" s="172">
        <f t="shared" si="9"/>
        <v>1.3003845532391677E-3</v>
      </c>
      <c r="I68" s="473"/>
      <c r="J68" s="463"/>
      <c r="K68" s="461"/>
    </row>
    <row r="69" spans="1:11" s="167" customFormat="1">
      <c r="A69" s="142">
        <v>280</v>
      </c>
      <c r="B69" s="194" t="s">
        <v>258</v>
      </c>
      <c r="C69" s="501">
        <f>'[27]Sch C'!D62</f>
        <v>0</v>
      </c>
      <c r="D69" s="501">
        <f>'[27]Sch C'!F62</f>
        <v>0</v>
      </c>
      <c r="E69" s="171">
        <f t="shared" si="7"/>
        <v>0</v>
      </c>
      <c r="F69" s="171">
        <v>0</v>
      </c>
      <c r="G69" s="171">
        <f t="shared" si="8"/>
        <v>0</v>
      </c>
      <c r="H69" s="172">
        <f t="shared" si="9"/>
        <v>0</v>
      </c>
      <c r="I69" s="473"/>
      <c r="J69" s="464"/>
      <c r="K69" s="461"/>
    </row>
    <row r="70" spans="1:11" s="167" customFormat="1">
      <c r="A70" s="142">
        <v>290</v>
      </c>
      <c r="B70" s="194" t="s">
        <v>259</v>
      </c>
      <c r="C70" s="501">
        <f>'[27]Sch C'!D63</f>
        <v>0</v>
      </c>
      <c r="D70" s="501">
        <f>'[27]Sch C'!F63</f>
        <v>0</v>
      </c>
      <c r="E70" s="171">
        <f t="shared" si="7"/>
        <v>0</v>
      </c>
      <c r="F70" s="171">
        <v>0</v>
      </c>
      <c r="G70" s="171">
        <f t="shared" si="8"/>
        <v>0</v>
      </c>
      <c r="H70" s="172">
        <f t="shared" si="9"/>
        <v>0</v>
      </c>
      <c r="I70" s="473"/>
      <c r="J70" s="464"/>
      <c r="K70" s="461"/>
    </row>
    <row r="71" spans="1:11" s="167" customFormat="1">
      <c r="A71" s="142">
        <v>300</v>
      </c>
      <c r="B71" s="194" t="s">
        <v>260</v>
      </c>
      <c r="C71" s="501">
        <f>'[27]Sch C'!D64</f>
        <v>0</v>
      </c>
      <c r="D71" s="501">
        <f>'[27]Sch C'!F64</f>
        <v>0</v>
      </c>
      <c r="E71" s="171">
        <f t="shared" si="7"/>
        <v>0</v>
      </c>
      <c r="F71" s="171">
        <v>0</v>
      </c>
      <c r="G71" s="171">
        <f t="shared" si="8"/>
        <v>0</v>
      </c>
      <c r="H71" s="172">
        <f t="shared" si="9"/>
        <v>0</v>
      </c>
      <c r="I71" s="473"/>
      <c r="J71" s="464"/>
      <c r="K71" s="461"/>
    </row>
    <row r="72" spans="1:11" s="167" customFormat="1">
      <c r="A72" s="142">
        <v>310</v>
      </c>
      <c r="B72" s="194" t="s">
        <v>310</v>
      </c>
      <c r="C72" s="501">
        <f>'[27]Sch C'!D65</f>
        <v>4458</v>
      </c>
      <c r="D72" s="501">
        <f>'[27]Sch C'!F65</f>
        <v>0</v>
      </c>
      <c r="E72" s="171">
        <f t="shared" si="7"/>
        <v>4458</v>
      </c>
      <c r="F72" s="171">
        <v>1442.73</v>
      </c>
      <c r="G72" s="171">
        <f t="shared" si="8"/>
        <v>5900.73</v>
      </c>
      <c r="H72" s="172">
        <f t="shared" si="9"/>
        <v>1.2102886826059589E-3</v>
      </c>
      <c r="I72" s="473"/>
      <c r="J72" s="464"/>
      <c r="K72" s="461"/>
    </row>
    <row r="73" spans="1:11" s="167" customFormat="1">
      <c r="A73" s="142">
        <v>320</v>
      </c>
      <c r="B73" s="194" t="s">
        <v>262</v>
      </c>
      <c r="C73" s="501">
        <f>'[27]Sch C'!D66</f>
        <v>0</v>
      </c>
      <c r="D73" s="501">
        <f>'[27]Sch C'!F66</f>
        <v>0</v>
      </c>
      <c r="E73" s="171">
        <f t="shared" si="7"/>
        <v>0</v>
      </c>
      <c r="F73" s="171">
        <v>0</v>
      </c>
      <c r="G73" s="171">
        <f t="shared" si="8"/>
        <v>0</v>
      </c>
      <c r="H73" s="172">
        <f t="shared" si="9"/>
        <v>0</v>
      </c>
      <c r="I73" s="547"/>
      <c r="J73" s="464"/>
      <c r="K73" s="461"/>
    </row>
    <row r="74" spans="1:11" s="167" customFormat="1">
      <c r="A74" s="142">
        <v>330</v>
      </c>
      <c r="B74" s="194" t="s">
        <v>263</v>
      </c>
      <c r="C74" s="501">
        <f>'[27]Sch C'!D67</f>
        <v>160139</v>
      </c>
      <c r="D74" s="501">
        <f>'[27]Sch C'!F67</f>
        <v>0</v>
      </c>
      <c r="E74" s="171">
        <f t="shared" si="7"/>
        <v>160139</v>
      </c>
      <c r="F74" s="171">
        <v>0</v>
      </c>
      <c r="G74" s="171">
        <f t="shared" si="8"/>
        <v>160139</v>
      </c>
      <c r="H74" s="172">
        <f t="shared" si="9"/>
        <v>3.2845837607183466E-2</v>
      </c>
      <c r="I74" s="473"/>
      <c r="J74" s="464"/>
      <c r="K74" s="461"/>
    </row>
    <row r="75" spans="1:11" s="167" customFormat="1">
      <c r="A75" s="142">
        <v>340</v>
      </c>
      <c r="B75" s="194" t="s">
        <v>264</v>
      </c>
      <c r="C75" s="501">
        <f>'[27]Sch C'!D68</f>
        <v>0</v>
      </c>
      <c r="D75" s="501">
        <f>'[27]Sch C'!F68</f>
        <v>0</v>
      </c>
      <c r="E75" s="171">
        <f t="shared" si="7"/>
        <v>0</v>
      </c>
      <c r="F75" s="171">
        <v>0</v>
      </c>
      <c r="G75" s="171">
        <f t="shared" si="8"/>
        <v>0</v>
      </c>
      <c r="H75" s="172">
        <f t="shared" si="9"/>
        <v>0</v>
      </c>
      <c r="I75" s="473"/>
      <c r="J75" s="464"/>
      <c r="K75" s="461"/>
    </row>
    <row r="76" spans="1:11" s="167" customFormat="1">
      <c r="A76" s="167">
        <v>350</v>
      </c>
      <c r="B76" s="194" t="s">
        <v>311</v>
      </c>
      <c r="C76" s="501">
        <f>'[27]Sch C'!D69</f>
        <v>0</v>
      </c>
      <c r="D76" s="501">
        <f>'[27]Sch C'!F69</f>
        <v>0</v>
      </c>
      <c r="E76" s="171">
        <f t="shared" si="7"/>
        <v>0</v>
      </c>
      <c r="F76" s="171">
        <v>0</v>
      </c>
      <c r="G76" s="171">
        <f t="shared" si="8"/>
        <v>0</v>
      </c>
      <c r="H76" s="172">
        <f t="shared" si="9"/>
        <v>0</v>
      </c>
      <c r="I76" s="473"/>
      <c r="J76" s="464"/>
      <c r="K76" s="461"/>
    </row>
    <row r="77" spans="1:11" s="167" customFormat="1">
      <c r="A77" s="142">
        <v>360</v>
      </c>
      <c r="B77" s="194" t="s">
        <v>192</v>
      </c>
      <c r="C77" s="501">
        <f>'[27]Sch C'!D70</f>
        <v>0</v>
      </c>
      <c r="D77" s="501">
        <f>'[27]Sch C'!F70</f>
        <v>0</v>
      </c>
      <c r="E77" s="171">
        <f t="shared" si="7"/>
        <v>0</v>
      </c>
      <c r="F77" s="171">
        <v>0</v>
      </c>
      <c r="G77" s="171">
        <f t="shared" si="8"/>
        <v>0</v>
      </c>
      <c r="H77" s="172">
        <f t="shared" si="9"/>
        <v>0</v>
      </c>
      <c r="I77" s="473"/>
      <c r="J77" s="464"/>
      <c r="K77" s="461"/>
    </row>
    <row r="78" spans="1:11" s="167" customFormat="1">
      <c r="A78" s="142">
        <v>490</v>
      </c>
      <c r="B78" s="194" t="s">
        <v>312</v>
      </c>
      <c r="C78" s="501">
        <f>'[27]Sch C'!D71</f>
        <v>0</v>
      </c>
      <c r="D78" s="501">
        <f>'[27]Sch C'!F71</f>
        <v>0</v>
      </c>
      <c r="E78" s="171">
        <f t="shared" si="7"/>
        <v>0</v>
      </c>
      <c r="F78" s="171">
        <v>0</v>
      </c>
      <c r="G78" s="171">
        <f t="shared" si="8"/>
        <v>0</v>
      </c>
      <c r="H78" s="172">
        <f t="shared" si="9"/>
        <v>0</v>
      </c>
      <c r="I78" s="473"/>
      <c r="J78" s="464"/>
      <c r="K78" s="461"/>
    </row>
    <row r="79" spans="1:11" s="167" customFormat="1">
      <c r="A79" s="163"/>
      <c r="B79" s="170" t="s">
        <v>150</v>
      </c>
      <c r="C79" s="501">
        <f>SUM(C64:C78)</f>
        <v>347461</v>
      </c>
      <c r="D79" s="501">
        <f>SUM(D64:D78)</f>
        <v>5017</v>
      </c>
      <c r="E79" s="171">
        <f t="shared" ref="E79:F79" si="10">SUM(E64:E78)</f>
        <v>352478</v>
      </c>
      <c r="F79" s="171">
        <f t="shared" si="10"/>
        <v>47087.72</v>
      </c>
      <c r="G79" s="171">
        <f>SUM(G64:G78)</f>
        <v>399565.72</v>
      </c>
      <c r="H79" s="172">
        <f t="shared" si="9"/>
        <v>8.1954244453364494E-2</v>
      </c>
      <c r="I79" s="473"/>
      <c r="J79" s="464"/>
      <c r="K79" s="461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461"/>
      <c r="K80" s="461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461"/>
      <c r="K81" s="461"/>
    </row>
    <row r="82" spans="1:11" s="167" customFormat="1">
      <c r="A82" s="169" t="s">
        <v>85</v>
      </c>
      <c r="B82" s="148" t="s">
        <v>44</v>
      </c>
      <c r="C82" s="501">
        <f>'[27]Sch C'!D75</f>
        <v>29607</v>
      </c>
      <c r="D82" s="501">
        <f>'[27]Sch C'!F75</f>
        <v>0</v>
      </c>
      <c r="E82" s="171">
        <f t="shared" ref="E82:E92" si="11">C82+D82</f>
        <v>29607</v>
      </c>
      <c r="F82" s="171">
        <v>10150.629999999999</v>
      </c>
      <c r="G82" s="171">
        <f t="shared" ref="G82:G92" si="12">E82+F82</f>
        <v>39757.629999999997</v>
      </c>
      <c r="H82" s="172">
        <f t="shared" ref="H82:H93" si="13">IF($G$208=0,0,G82/$G$208)</f>
        <v>8.1546197904725608E-3</v>
      </c>
      <c r="I82" s="473"/>
      <c r="J82" s="601">
        <f>1402.95+406</f>
        <v>1808.95</v>
      </c>
      <c r="K82" s="601">
        <f>1488.45+414</f>
        <v>1902.45</v>
      </c>
    </row>
    <row r="83" spans="1:11" s="167" customFormat="1">
      <c r="A83" s="169" t="s">
        <v>86</v>
      </c>
      <c r="B83" s="199" t="s">
        <v>45</v>
      </c>
      <c r="C83" s="501">
        <f>'[27]Sch C'!D76</f>
        <v>0</v>
      </c>
      <c r="D83" s="501">
        <f>'[27]Sch C'!F76</f>
        <v>5811.26</v>
      </c>
      <c r="E83" s="171">
        <f t="shared" si="11"/>
        <v>5811.26</v>
      </c>
      <c r="F83" s="171">
        <v>2062.56</v>
      </c>
      <c r="G83" s="171">
        <f t="shared" si="12"/>
        <v>7873.82</v>
      </c>
      <c r="H83" s="172">
        <f t="shared" si="13"/>
        <v>1.6149858127513803E-3</v>
      </c>
      <c r="I83" s="473"/>
      <c r="J83" s="461"/>
      <c r="K83" s="461"/>
    </row>
    <row r="84" spans="1:11" s="167" customFormat="1">
      <c r="A84" s="169" t="s">
        <v>93</v>
      </c>
      <c r="B84" s="199" t="s">
        <v>47</v>
      </c>
      <c r="C84" s="501">
        <f>'[27]Sch C'!D77</f>
        <v>17029</v>
      </c>
      <c r="D84" s="501">
        <f>'[27]Sch C'!F77</f>
        <v>0</v>
      </c>
      <c r="E84" s="171">
        <f t="shared" si="11"/>
        <v>17029</v>
      </c>
      <c r="F84" s="171">
        <v>1894.62</v>
      </c>
      <c r="G84" s="171">
        <f t="shared" si="12"/>
        <v>18923.62</v>
      </c>
      <c r="H84" s="172">
        <f t="shared" si="13"/>
        <v>3.8813914752811561E-3</v>
      </c>
      <c r="I84" s="473"/>
      <c r="J84" s="461"/>
      <c r="K84" s="461"/>
    </row>
    <row r="85" spans="1:11" s="167" customFormat="1">
      <c r="A85" s="169">
        <v>230</v>
      </c>
      <c r="B85" s="199" t="s">
        <v>46</v>
      </c>
      <c r="C85" s="501">
        <f>'[27]Sch C'!D78</f>
        <v>0</v>
      </c>
      <c r="D85" s="501">
        <f>'[27]Sch C'!F78</f>
        <v>0</v>
      </c>
      <c r="E85" s="171">
        <f t="shared" si="11"/>
        <v>0</v>
      </c>
      <c r="F85" s="171">
        <v>0</v>
      </c>
      <c r="G85" s="611">
        <f>E85+F85+5861</f>
        <v>5861</v>
      </c>
      <c r="H85" s="172">
        <f t="shared" si="13"/>
        <v>1.2021397299577384E-3</v>
      </c>
      <c r="I85" s="472" t="s">
        <v>628</v>
      </c>
      <c r="J85" s="461"/>
      <c r="K85" s="461"/>
    </row>
    <row r="86" spans="1:11" s="167" customFormat="1">
      <c r="A86" s="169">
        <v>240</v>
      </c>
      <c r="B86" s="200" t="s">
        <v>267</v>
      </c>
      <c r="C86" s="501">
        <f>'[27]Sch C'!D79</f>
        <v>7445</v>
      </c>
      <c r="D86" s="501">
        <f>'[27]Sch C'!F79</f>
        <v>0</v>
      </c>
      <c r="E86" s="171">
        <f t="shared" si="11"/>
        <v>7445</v>
      </c>
      <c r="F86" s="171">
        <v>638.23</v>
      </c>
      <c r="G86" s="607">
        <f>E86+F86+4042+2013.97</f>
        <v>14139.199999999999</v>
      </c>
      <c r="H86" s="172">
        <f t="shared" si="13"/>
        <v>2.9000672359355832E-3</v>
      </c>
      <c r="I86" s="472" t="s">
        <v>629</v>
      </c>
      <c r="J86" s="461"/>
      <c r="K86" s="461"/>
    </row>
    <row r="87" spans="1:11" s="167" customFormat="1">
      <c r="A87" s="169">
        <v>310</v>
      </c>
      <c r="B87" s="199" t="s">
        <v>54</v>
      </c>
      <c r="C87" s="501">
        <f>'[27]Sch C'!D80</f>
        <v>20831</v>
      </c>
      <c r="D87" s="501">
        <f>'[27]Sch C'!F80</f>
        <v>0</v>
      </c>
      <c r="E87" s="171">
        <f t="shared" si="11"/>
        <v>20831</v>
      </c>
      <c r="F87" s="171">
        <v>8390.1200000000008</v>
      </c>
      <c r="G87" s="171">
        <f t="shared" si="12"/>
        <v>29221.120000000003</v>
      </c>
      <c r="H87" s="172">
        <f t="shared" si="13"/>
        <v>5.9934941658185761E-3</v>
      </c>
      <c r="I87" s="473"/>
      <c r="J87" s="461"/>
      <c r="K87" s="461"/>
    </row>
    <row r="88" spans="1:11" s="167" customFormat="1">
      <c r="A88" s="169">
        <v>320</v>
      </c>
      <c r="B88" s="201" t="s">
        <v>313</v>
      </c>
      <c r="C88" s="501">
        <f>'[27]Sch C'!D81</f>
        <v>0</v>
      </c>
      <c r="D88" s="501">
        <f>'[27]Sch C'!F81</f>
        <v>0</v>
      </c>
      <c r="E88" s="171">
        <f t="shared" si="11"/>
        <v>0</v>
      </c>
      <c r="F88" s="171">
        <v>0</v>
      </c>
      <c r="G88" s="171">
        <f t="shared" si="12"/>
        <v>0</v>
      </c>
      <c r="H88" s="172">
        <f t="shared" si="13"/>
        <v>0</v>
      </c>
      <c r="I88" s="473"/>
      <c r="J88" s="461"/>
      <c r="K88" s="461"/>
    </row>
    <row r="89" spans="1:11" s="167" customFormat="1">
      <c r="A89" s="169">
        <v>330</v>
      </c>
      <c r="B89" s="201" t="s">
        <v>314</v>
      </c>
      <c r="C89" s="501">
        <f>'[27]Sch C'!D82</f>
        <v>0</v>
      </c>
      <c r="D89" s="501">
        <f>'[27]Sch C'!F82</f>
        <v>0</v>
      </c>
      <c r="E89" s="171">
        <f t="shared" si="11"/>
        <v>0</v>
      </c>
      <c r="F89" s="171">
        <v>0</v>
      </c>
      <c r="G89" s="171">
        <f t="shared" si="12"/>
        <v>0</v>
      </c>
      <c r="H89" s="172">
        <f t="shared" si="13"/>
        <v>0</v>
      </c>
      <c r="I89" s="473"/>
      <c r="J89" s="461"/>
      <c r="K89" s="461"/>
    </row>
    <row r="90" spans="1:11" s="167" customFormat="1">
      <c r="A90" s="163">
        <v>340</v>
      </c>
      <c r="B90" s="201" t="s">
        <v>300</v>
      </c>
      <c r="C90" s="501">
        <f>'[27]Sch C'!D83</f>
        <v>0</v>
      </c>
      <c r="D90" s="501">
        <f>'[27]Sch C'!F83</f>
        <v>0</v>
      </c>
      <c r="E90" s="171">
        <f t="shared" si="11"/>
        <v>0</v>
      </c>
      <c r="F90" s="171">
        <v>0</v>
      </c>
      <c r="G90" s="171">
        <f t="shared" si="12"/>
        <v>0</v>
      </c>
      <c r="H90" s="172">
        <f t="shared" si="13"/>
        <v>0</v>
      </c>
      <c r="I90" s="473"/>
      <c r="J90" s="461"/>
      <c r="K90" s="461"/>
    </row>
    <row r="91" spans="1:11" s="167" customFormat="1">
      <c r="A91" s="163">
        <v>350</v>
      </c>
      <c r="B91" s="199" t="s">
        <v>49</v>
      </c>
      <c r="C91" s="501">
        <f>'[27]Sch C'!D84</f>
        <v>55004</v>
      </c>
      <c r="D91" s="501">
        <f>'[27]Sch C'!F84</f>
        <v>0</v>
      </c>
      <c r="E91" s="171">
        <f t="shared" si="11"/>
        <v>55004</v>
      </c>
      <c r="F91" s="171">
        <v>12276.6</v>
      </c>
      <c r="G91" s="171">
        <f t="shared" si="12"/>
        <v>67280.600000000006</v>
      </c>
      <c r="H91" s="172">
        <f t="shared" si="13"/>
        <v>1.3799809301381099E-2</v>
      </c>
      <c r="I91" s="473"/>
      <c r="J91" s="461"/>
      <c r="K91" s="461"/>
    </row>
    <row r="92" spans="1:11" s="167" customFormat="1">
      <c r="A92" s="163">
        <v>490</v>
      </c>
      <c r="B92" s="148" t="s">
        <v>312</v>
      </c>
      <c r="C92" s="501">
        <f>'[27]Sch C'!D85</f>
        <v>0</v>
      </c>
      <c r="D92" s="501">
        <f>'[27]Sch C'!F85</f>
        <v>0</v>
      </c>
      <c r="E92" s="171">
        <f t="shared" si="11"/>
        <v>0</v>
      </c>
      <c r="F92" s="171">
        <v>0</v>
      </c>
      <c r="G92" s="171">
        <f t="shared" si="12"/>
        <v>0</v>
      </c>
      <c r="H92" s="172">
        <f t="shared" si="13"/>
        <v>0</v>
      </c>
      <c r="I92" s="473"/>
      <c r="J92" s="461"/>
      <c r="K92" s="461"/>
    </row>
    <row r="93" spans="1:11" s="167" customFormat="1">
      <c r="A93" s="163"/>
      <c r="B93" s="170" t="s">
        <v>50</v>
      </c>
      <c r="C93" s="501">
        <f>SUM(C82:C92)</f>
        <v>129916</v>
      </c>
      <c r="D93" s="501">
        <f>SUM(D82:D92)</f>
        <v>5811.26</v>
      </c>
      <c r="E93" s="171">
        <f t="shared" ref="E93:F93" si="14">SUM(E82:E92)</f>
        <v>135727.26</v>
      </c>
      <c r="F93" s="171">
        <f t="shared" si="14"/>
        <v>35412.759999999995</v>
      </c>
      <c r="G93" s="171">
        <f>SUM(G82:G92)</f>
        <v>183056.99</v>
      </c>
      <c r="H93" s="172">
        <f t="shared" si="13"/>
        <v>3.754650751159809E-2</v>
      </c>
      <c r="I93" s="473"/>
      <c r="J93" s="461"/>
      <c r="K93" s="461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461"/>
      <c r="K94" s="461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461"/>
      <c r="K95" s="461"/>
    </row>
    <row r="96" spans="1:11" s="167" customFormat="1">
      <c r="A96" s="169" t="s">
        <v>85</v>
      </c>
      <c r="B96" s="170" t="s">
        <v>44</v>
      </c>
      <c r="C96" s="501">
        <f>'[27]Sch C'!D89</f>
        <v>134699</v>
      </c>
      <c r="D96" s="501">
        <f>'[27]Sch C'!F89</f>
        <v>0</v>
      </c>
      <c r="E96" s="171">
        <f t="shared" ref="E96:E101" si="15">C96+D96</f>
        <v>134699</v>
      </c>
      <c r="F96" s="171">
        <v>48151.53</v>
      </c>
      <c r="G96" s="171">
        <f t="shared" ref="G96:G101" si="16">E96+F96</f>
        <v>182850.53</v>
      </c>
      <c r="H96" s="172">
        <f t="shared" ref="H96:H102" si="17">IF($G$208=0,0,G96/$G$208)</f>
        <v>3.7504160852555764E-2</v>
      </c>
      <c r="I96" s="473"/>
      <c r="J96" s="601">
        <f>10890.65+3925</f>
        <v>14815.65</v>
      </c>
      <c r="K96" s="601">
        <f>11517.28+4097</f>
        <v>15614.28</v>
      </c>
    </row>
    <row r="97" spans="1:11" s="167" customFormat="1">
      <c r="A97" s="169" t="s">
        <v>86</v>
      </c>
      <c r="B97" s="170" t="s">
        <v>45</v>
      </c>
      <c r="C97" s="501">
        <f>'[27]Sch C'!D90</f>
        <v>0</v>
      </c>
      <c r="D97" s="501">
        <f>'[27]Sch C'!F90</f>
        <v>26438.699999999997</v>
      </c>
      <c r="E97" s="171">
        <f t="shared" si="15"/>
        <v>26438.699999999997</v>
      </c>
      <c r="F97" s="171">
        <v>9783.91</v>
      </c>
      <c r="G97" s="171">
        <f t="shared" si="16"/>
        <v>36222.61</v>
      </c>
      <c r="H97" s="172">
        <f t="shared" si="17"/>
        <v>7.4295578576632788E-3</v>
      </c>
      <c r="I97" s="473"/>
      <c r="J97" s="461"/>
      <c r="K97" s="461"/>
    </row>
    <row r="98" spans="1:11" s="167" customFormat="1">
      <c r="A98" s="169">
        <v>310</v>
      </c>
      <c r="B98" s="170" t="s">
        <v>54</v>
      </c>
      <c r="C98" s="501">
        <f>'[27]Sch C'!D91</f>
        <v>0</v>
      </c>
      <c r="D98" s="501">
        <f>'[27]Sch C'!F91</f>
        <v>0</v>
      </c>
      <c r="E98" s="171">
        <f t="shared" si="15"/>
        <v>0</v>
      </c>
      <c r="F98" s="171">
        <v>0</v>
      </c>
      <c r="G98" s="171">
        <f t="shared" si="16"/>
        <v>0</v>
      </c>
      <c r="H98" s="172">
        <f t="shared" si="17"/>
        <v>0</v>
      </c>
      <c r="I98" s="473"/>
      <c r="J98" s="461"/>
      <c r="K98" s="461"/>
    </row>
    <row r="99" spans="1:11" s="167" customFormat="1">
      <c r="A99" s="169">
        <v>380</v>
      </c>
      <c r="B99" s="170" t="s">
        <v>52</v>
      </c>
      <c r="C99" s="501">
        <f>'[27]Sch C'!D92</f>
        <v>113990</v>
      </c>
      <c r="D99" s="501">
        <f>'[27]Sch C'!F92</f>
        <v>-2903</v>
      </c>
      <c r="E99" s="171">
        <f t="shared" si="15"/>
        <v>111087</v>
      </c>
      <c r="F99" s="171">
        <v>34104.5</v>
      </c>
      <c r="G99" s="171">
        <f t="shared" si="16"/>
        <v>145191.5</v>
      </c>
      <c r="H99" s="172">
        <f t="shared" si="17"/>
        <v>2.9779981334611665E-2</v>
      </c>
      <c r="I99" s="473"/>
      <c r="J99" s="461"/>
      <c r="K99" s="461"/>
    </row>
    <row r="100" spans="1:11" s="167" customFormat="1">
      <c r="A100" s="169">
        <v>390</v>
      </c>
      <c r="B100" s="170" t="s">
        <v>53</v>
      </c>
      <c r="C100" s="501">
        <f>'[27]Sch C'!D93</f>
        <v>9483</v>
      </c>
      <c r="D100" s="501">
        <f>'[27]Sch C'!F93</f>
        <v>0</v>
      </c>
      <c r="E100" s="171">
        <f t="shared" si="15"/>
        <v>9483</v>
      </c>
      <c r="F100" s="171">
        <v>-787.71</v>
      </c>
      <c r="G100" s="171">
        <f t="shared" si="16"/>
        <v>8695.2900000000009</v>
      </c>
      <c r="H100" s="172">
        <f t="shared" si="17"/>
        <v>1.7834761256618707E-3</v>
      </c>
      <c r="I100" s="473"/>
      <c r="J100" s="461"/>
      <c r="K100" s="461"/>
    </row>
    <row r="101" spans="1:11" s="167" customFormat="1">
      <c r="A101" s="169">
        <v>490</v>
      </c>
      <c r="B101" s="202" t="s">
        <v>312</v>
      </c>
      <c r="C101" s="501">
        <f>'[27]Sch C'!D94</f>
        <v>0</v>
      </c>
      <c r="D101" s="501">
        <f>'[27]Sch C'!F94</f>
        <v>0</v>
      </c>
      <c r="E101" s="171">
        <f t="shared" si="15"/>
        <v>0</v>
      </c>
      <c r="F101" s="171">
        <v>0</v>
      </c>
      <c r="G101" s="171">
        <f t="shared" si="16"/>
        <v>0</v>
      </c>
      <c r="H101" s="172">
        <f t="shared" si="17"/>
        <v>0</v>
      </c>
      <c r="I101" s="473"/>
      <c r="J101" s="461"/>
      <c r="K101" s="461"/>
    </row>
    <row r="102" spans="1:11" s="167" customFormat="1">
      <c r="A102" s="169"/>
      <c r="B102" s="170" t="s">
        <v>55</v>
      </c>
      <c r="C102" s="501">
        <f>SUM(C96:C101)</f>
        <v>258172</v>
      </c>
      <c r="D102" s="501">
        <f>SUM(D96:D101)</f>
        <v>23535.699999999997</v>
      </c>
      <c r="E102" s="171">
        <f t="shared" ref="E102:F102" si="18">SUM(E96:E101)</f>
        <v>281707.7</v>
      </c>
      <c r="F102" s="171">
        <f t="shared" si="18"/>
        <v>91252.23</v>
      </c>
      <c r="G102" s="171">
        <f>SUM(G96:G101)</f>
        <v>372959.93</v>
      </c>
      <c r="H102" s="172">
        <f t="shared" si="17"/>
        <v>7.6497176170492578E-2</v>
      </c>
      <c r="I102" s="473"/>
      <c r="J102" s="461"/>
      <c r="K102" s="461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461"/>
      <c r="K103" s="461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461"/>
      <c r="K104" s="461"/>
    </row>
    <row r="105" spans="1:11" s="167" customFormat="1">
      <c r="A105" s="169" t="s">
        <v>85</v>
      </c>
      <c r="B105" s="170" t="s">
        <v>44</v>
      </c>
      <c r="C105" s="501">
        <f>'[27]Sch C'!D98</f>
        <v>0</v>
      </c>
      <c r="D105" s="501">
        <f>'[27]Sch C'!F98</f>
        <v>0</v>
      </c>
      <c r="E105" s="171">
        <f t="shared" ref="E105:E110" si="19">C105+D105</f>
        <v>0</v>
      </c>
      <c r="F105" s="171">
        <v>0</v>
      </c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601">
        <v>0</v>
      </c>
      <c r="K105" s="601">
        <v>0</v>
      </c>
    </row>
    <row r="106" spans="1:11" s="167" customFormat="1">
      <c r="A106" s="169" t="s">
        <v>86</v>
      </c>
      <c r="B106" s="170" t="s">
        <v>45</v>
      </c>
      <c r="C106" s="501">
        <f>'[27]Sch C'!D99</f>
        <v>0</v>
      </c>
      <c r="D106" s="501">
        <f>'[27]Sch C'!F99</f>
        <v>0</v>
      </c>
      <c r="E106" s="171">
        <f t="shared" si="19"/>
        <v>0</v>
      </c>
      <c r="F106" s="171">
        <v>0</v>
      </c>
      <c r="G106" s="171">
        <f t="shared" si="20"/>
        <v>0</v>
      </c>
      <c r="H106" s="172">
        <f t="shared" si="21"/>
        <v>0</v>
      </c>
      <c r="I106" s="473"/>
      <c r="J106" s="461"/>
      <c r="K106" s="461"/>
    </row>
    <row r="107" spans="1:11" s="167" customFormat="1">
      <c r="A107" s="169">
        <v>110</v>
      </c>
      <c r="B107" s="170" t="s">
        <v>47</v>
      </c>
      <c r="C107" s="501">
        <f>'[27]Sch C'!D100</f>
        <v>0</v>
      </c>
      <c r="D107" s="501">
        <f>'[27]Sch C'!F100</f>
        <v>0</v>
      </c>
      <c r="E107" s="171">
        <f t="shared" si="19"/>
        <v>0</v>
      </c>
      <c r="F107" s="171">
        <v>0</v>
      </c>
      <c r="G107" s="171">
        <f t="shared" si="20"/>
        <v>0</v>
      </c>
      <c r="H107" s="172">
        <f t="shared" si="21"/>
        <v>0</v>
      </c>
      <c r="I107" s="473"/>
      <c r="J107" s="461"/>
      <c r="K107" s="461"/>
    </row>
    <row r="108" spans="1:11" s="167" customFormat="1">
      <c r="A108" s="169">
        <v>310</v>
      </c>
      <c r="B108" s="170" t="s">
        <v>54</v>
      </c>
      <c r="C108" s="501">
        <f>'[27]Sch C'!D101</f>
        <v>24291</v>
      </c>
      <c r="D108" s="501">
        <f>'[27]Sch C'!F101</f>
        <v>0</v>
      </c>
      <c r="E108" s="171">
        <f t="shared" si="19"/>
        <v>24291</v>
      </c>
      <c r="F108" s="171">
        <v>8097.15</v>
      </c>
      <c r="G108" s="171">
        <f t="shared" si="20"/>
        <v>32388.15</v>
      </c>
      <c r="H108" s="172">
        <f t="shared" si="21"/>
        <v>6.6430782963369265E-3</v>
      </c>
      <c r="I108" s="473"/>
      <c r="J108" s="461"/>
      <c r="K108" s="461"/>
    </row>
    <row r="109" spans="1:11" s="167" customFormat="1">
      <c r="A109" s="169">
        <v>410</v>
      </c>
      <c r="B109" s="170" t="s">
        <v>57</v>
      </c>
      <c r="C109" s="501">
        <f>'[27]Sch C'!D102</f>
        <v>351</v>
      </c>
      <c r="D109" s="501">
        <f>'[27]Sch C'!F102</f>
        <v>0</v>
      </c>
      <c r="E109" s="171">
        <f t="shared" si="19"/>
        <v>351</v>
      </c>
      <c r="F109" s="171">
        <v>400.58</v>
      </c>
      <c r="G109" s="171">
        <f t="shared" si="20"/>
        <v>751.57999999999993</v>
      </c>
      <c r="H109" s="172">
        <f t="shared" si="21"/>
        <v>1.5415529401836494E-4</v>
      </c>
      <c r="I109" s="473"/>
      <c r="J109" s="461"/>
      <c r="K109" s="461"/>
    </row>
    <row r="110" spans="1:11" s="167" customFormat="1">
      <c r="A110" s="169">
        <v>490</v>
      </c>
      <c r="B110" s="202" t="s">
        <v>312</v>
      </c>
      <c r="C110" s="501">
        <f>'[27]Sch C'!D103</f>
        <v>0</v>
      </c>
      <c r="D110" s="501">
        <f>'[27]Sch C'!F103</f>
        <v>0</v>
      </c>
      <c r="E110" s="171">
        <f t="shared" si="19"/>
        <v>0</v>
      </c>
      <c r="F110" s="171">
        <v>0</v>
      </c>
      <c r="G110" s="171">
        <f t="shared" si="20"/>
        <v>0</v>
      </c>
      <c r="H110" s="172">
        <f t="shared" si="21"/>
        <v>0</v>
      </c>
      <c r="I110" s="473"/>
      <c r="J110" s="461"/>
      <c r="K110" s="461"/>
    </row>
    <row r="111" spans="1:11" s="167" customFormat="1">
      <c r="A111" s="163"/>
      <c r="B111" s="170" t="s">
        <v>58</v>
      </c>
      <c r="C111" s="501">
        <f>SUM(C105:C110)</f>
        <v>24642</v>
      </c>
      <c r="D111" s="501">
        <f>SUM(D105:D110)</f>
        <v>0</v>
      </c>
      <c r="E111" s="171">
        <f t="shared" ref="E111:F111" si="22">SUM(E105:E110)</f>
        <v>24642</v>
      </c>
      <c r="F111" s="171">
        <f t="shared" si="22"/>
        <v>8497.73</v>
      </c>
      <c r="G111" s="171">
        <f>SUM(G105:G110)</f>
        <v>33139.730000000003</v>
      </c>
      <c r="H111" s="172">
        <f t="shared" si="21"/>
        <v>6.7972335903552922E-3</v>
      </c>
      <c r="I111" s="473"/>
      <c r="J111" s="461"/>
      <c r="K111" s="461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461"/>
      <c r="K112" s="461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461"/>
      <c r="K113" s="461"/>
    </row>
    <row r="114" spans="1:11" s="167" customFormat="1">
      <c r="A114" s="169" t="s">
        <v>85</v>
      </c>
      <c r="B114" s="170" t="s">
        <v>44</v>
      </c>
      <c r="C114" s="501">
        <f>'[27]Sch C'!D115</f>
        <v>0</v>
      </c>
      <c r="D114" s="501">
        <f>'[27]Sch C'!F115</f>
        <v>0</v>
      </c>
      <c r="E114" s="171">
        <f t="shared" ref="E114:E118" si="23">C114+D114</f>
        <v>0</v>
      </c>
      <c r="F114" s="171">
        <v>0</v>
      </c>
      <c r="G114" s="171">
        <f>E114+F114</f>
        <v>0</v>
      </c>
      <c r="H114" s="172">
        <f t="shared" ref="H114:H119" si="24">IF($G$208=0,0,G114/$G$208)</f>
        <v>0</v>
      </c>
      <c r="I114" s="473"/>
      <c r="J114" s="601">
        <v>0</v>
      </c>
      <c r="K114" s="601">
        <v>0</v>
      </c>
    </row>
    <row r="115" spans="1:11" s="167" customFormat="1">
      <c r="A115" s="169" t="s">
        <v>86</v>
      </c>
      <c r="B115" s="170" t="s">
        <v>151</v>
      </c>
      <c r="C115" s="501">
        <f>'[27]Sch C'!D116</f>
        <v>0</v>
      </c>
      <c r="D115" s="501">
        <f>'[27]Sch C'!F116</f>
        <v>0</v>
      </c>
      <c r="E115" s="171">
        <f t="shared" si="23"/>
        <v>0</v>
      </c>
      <c r="F115" s="171">
        <v>0</v>
      </c>
      <c r="G115" s="171">
        <f>E115+F115</f>
        <v>0</v>
      </c>
      <c r="H115" s="172">
        <f t="shared" si="24"/>
        <v>0</v>
      </c>
      <c r="I115" s="473"/>
      <c r="J115" s="461"/>
      <c r="K115" s="461"/>
    </row>
    <row r="116" spans="1:11" s="167" customFormat="1">
      <c r="A116" s="169" t="s">
        <v>93</v>
      </c>
      <c r="B116" s="170" t="s">
        <v>47</v>
      </c>
      <c r="C116" s="501">
        <f>'[27]Sch C'!D117</f>
        <v>9429</v>
      </c>
      <c r="D116" s="501">
        <f>'[27]Sch C'!F117</f>
        <v>0</v>
      </c>
      <c r="E116" s="171">
        <f t="shared" si="23"/>
        <v>9429</v>
      </c>
      <c r="F116" s="171">
        <v>2788.79</v>
      </c>
      <c r="G116" s="171">
        <f>E116+F116</f>
        <v>12217.79</v>
      </c>
      <c r="H116" s="172">
        <f t="shared" si="24"/>
        <v>2.5059701025900629E-3</v>
      </c>
      <c r="I116" s="473"/>
      <c r="J116" s="461"/>
      <c r="K116" s="461"/>
    </row>
    <row r="117" spans="1:11" s="167" customFormat="1">
      <c r="A117" s="169">
        <v>310</v>
      </c>
      <c r="B117" s="170" t="s">
        <v>60</v>
      </c>
      <c r="C117" s="501">
        <f>'[27]Sch C'!D118</f>
        <v>56655</v>
      </c>
      <c r="D117" s="501">
        <f>'[27]Sch C'!F118</f>
        <v>0</v>
      </c>
      <c r="E117" s="171">
        <f t="shared" si="23"/>
        <v>56655</v>
      </c>
      <c r="F117" s="171">
        <v>18885</v>
      </c>
      <c r="G117" s="171">
        <f>E117+F117</f>
        <v>75540</v>
      </c>
      <c r="H117" s="172">
        <f t="shared" si="24"/>
        <v>1.5493880771371364E-2</v>
      </c>
      <c r="I117" s="473"/>
      <c r="J117" s="461"/>
      <c r="K117" s="461"/>
    </row>
    <row r="118" spans="1:11" s="167" customFormat="1">
      <c r="A118" s="169">
        <v>490</v>
      </c>
      <c r="B118" s="202" t="s">
        <v>312</v>
      </c>
      <c r="C118" s="501">
        <f>'[27]Sch C'!D119</f>
        <v>0</v>
      </c>
      <c r="D118" s="501">
        <f>'[27]Sch C'!F119</f>
        <v>0</v>
      </c>
      <c r="E118" s="171">
        <f t="shared" si="23"/>
        <v>0</v>
      </c>
      <c r="F118" s="171">
        <v>0</v>
      </c>
      <c r="G118" s="171">
        <f>E118+F118</f>
        <v>0</v>
      </c>
      <c r="H118" s="172">
        <f t="shared" si="24"/>
        <v>0</v>
      </c>
      <c r="I118" s="473"/>
      <c r="J118" s="461"/>
      <c r="K118" s="461"/>
    </row>
    <row r="119" spans="1:11" s="167" customFormat="1">
      <c r="A119" s="163"/>
      <c r="B119" s="170" t="s">
        <v>61</v>
      </c>
      <c r="C119" s="501">
        <f>SUM(C114:C118)</f>
        <v>66084</v>
      </c>
      <c r="D119" s="501">
        <f>SUM(D114:D118)</f>
        <v>0</v>
      </c>
      <c r="E119" s="171">
        <f t="shared" ref="E119:F119" si="25">SUM(E114:E118)</f>
        <v>66084</v>
      </c>
      <c r="F119" s="171">
        <f t="shared" si="25"/>
        <v>21673.79</v>
      </c>
      <c r="G119" s="171">
        <f>SUM(G114:G118)</f>
        <v>87757.790000000008</v>
      </c>
      <c r="H119" s="172">
        <f t="shared" si="24"/>
        <v>1.7999850873961429E-2</v>
      </c>
      <c r="I119" s="473"/>
      <c r="J119" s="461"/>
      <c r="K119" s="461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438"/>
      <c r="K121" s="438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438"/>
      <c r="K122" s="438"/>
    </row>
    <row r="123" spans="1:11" s="167" customFormat="1">
      <c r="B123" s="163" t="s">
        <v>232</v>
      </c>
      <c r="C123" s="501">
        <f>'[27]Sch C'!D124</f>
        <v>0</v>
      </c>
      <c r="D123" s="501">
        <f>'[27]Sch C'!F124</f>
        <v>0</v>
      </c>
      <c r="E123" s="171">
        <f t="shared" ref="E123:E127" si="26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473"/>
      <c r="J123" s="601">
        <v>0</v>
      </c>
      <c r="K123" s="601">
        <v>0</v>
      </c>
    </row>
    <row r="124" spans="1:11" s="167" customFormat="1">
      <c r="B124" s="163" t="s">
        <v>194</v>
      </c>
      <c r="C124" s="501">
        <f>'[27]Sch C'!D125</f>
        <v>154407</v>
      </c>
      <c r="D124" s="501">
        <f>'[27]Sch C'!F125</f>
        <v>0</v>
      </c>
      <c r="E124" s="171">
        <f t="shared" si="26"/>
        <v>154407</v>
      </c>
      <c r="F124" s="171">
        <v>49520.85</v>
      </c>
      <c r="G124" s="171">
        <f>E124+F124</f>
        <v>203927.85</v>
      </c>
      <c r="H124" s="172">
        <f>IF($G$208=0,0,G124/$G$208)</f>
        <v>4.1827294067541751E-2</v>
      </c>
      <c r="I124" s="473"/>
      <c r="J124" s="601">
        <f>4255.17+1350</f>
        <v>5605.17</v>
      </c>
      <c r="K124" s="601">
        <f>4639.93+1426</f>
        <v>6065.93</v>
      </c>
    </row>
    <row r="125" spans="1:11" s="167" customFormat="1">
      <c r="A125" s="163" t="s">
        <v>198</v>
      </c>
      <c r="B125" s="163" t="s">
        <v>195</v>
      </c>
      <c r="C125" s="501">
        <f>'[27]Sch C'!D126</f>
        <v>0</v>
      </c>
      <c r="D125" s="501">
        <f>'[27]Sch C'!F126</f>
        <v>0</v>
      </c>
      <c r="E125" s="171">
        <f t="shared" si="26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473"/>
      <c r="J125" s="601">
        <v>0</v>
      </c>
      <c r="K125" s="601">
        <v>0</v>
      </c>
    </row>
    <row r="126" spans="1:11" s="167" customFormat="1">
      <c r="A126" s="169"/>
      <c r="B126" s="163" t="s">
        <v>196</v>
      </c>
      <c r="C126" s="501">
        <f>'[27]Sch C'!D127</f>
        <v>0</v>
      </c>
      <c r="D126" s="501">
        <f>'[27]Sch C'!F127</f>
        <v>0</v>
      </c>
      <c r="E126" s="171">
        <f t="shared" si="26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473"/>
      <c r="J126" s="601">
        <v>0</v>
      </c>
      <c r="K126" s="601">
        <v>0</v>
      </c>
    </row>
    <row r="127" spans="1:11" s="167" customFormat="1">
      <c r="A127" s="169"/>
      <c r="B127" s="163" t="s">
        <v>197</v>
      </c>
      <c r="C127" s="501">
        <f>'[27]Sch C'!D128</f>
        <v>24003</v>
      </c>
      <c r="D127" s="501">
        <f>'[27]Sch C'!F128</f>
        <v>0</v>
      </c>
      <c r="E127" s="171">
        <f t="shared" si="26"/>
        <v>24003</v>
      </c>
      <c r="F127" s="171">
        <v>10363.5</v>
      </c>
      <c r="G127" s="171">
        <f>E127+F127</f>
        <v>34366.5</v>
      </c>
      <c r="H127" s="172">
        <f>IF($G$208=0,0,G127/$G$208)</f>
        <v>7.0488542961256815E-3</v>
      </c>
      <c r="I127" s="473"/>
      <c r="J127" s="601">
        <f>1453+644</f>
        <v>2097</v>
      </c>
      <c r="K127" s="601">
        <f>1645.5+672</f>
        <v>2317.5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465"/>
      <c r="K128" s="465"/>
    </row>
    <row r="129" spans="1:11" s="167" customFormat="1">
      <c r="A129" s="169"/>
      <c r="B129" s="163" t="s">
        <v>232</v>
      </c>
      <c r="C129" s="501">
        <f>'[27]Sch C'!D130</f>
        <v>0</v>
      </c>
      <c r="D129" s="501">
        <f>'[27]Sch C'!F130</f>
        <v>0</v>
      </c>
      <c r="E129" s="171">
        <f t="shared" ref="E129:E133" si="27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473"/>
      <c r="J129" s="438"/>
      <c r="K129" s="438"/>
    </row>
    <row r="130" spans="1:11" s="167" customFormat="1">
      <c r="A130" s="169"/>
      <c r="B130" s="163" t="s">
        <v>194</v>
      </c>
      <c r="C130" s="501">
        <f>'[27]Sch C'!D131</f>
        <v>0</v>
      </c>
      <c r="D130" s="501">
        <f>'[27]Sch C'!F131</f>
        <v>30306.98</v>
      </c>
      <c r="E130" s="171">
        <f t="shared" si="27"/>
        <v>30306.98</v>
      </c>
      <c r="F130" s="171">
        <v>10062.07</v>
      </c>
      <c r="G130" s="171">
        <f>E130+F130</f>
        <v>40369.050000000003</v>
      </c>
      <c r="H130" s="172">
        <f>IF($G$208=0,0,G130/$G$208)</f>
        <v>8.2800271055537347E-3</v>
      </c>
      <c r="I130" s="473"/>
      <c r="J130" s="438"/>
      <c r="K130" s="438"/>
    </row>
    <row r="131" spans="1:11" s="167" customFormat="1">
      <c r="B131" s="163" t="s">
        <v>195</v>
      </c>
      <c r="C131" s="501">
        <f>'[27]Sch C'!D132</f>
        <v>0</v>
      </c>
      <c r="D131" s="501">
        <f>'[27]Sch C'!F132</f>
        <v>0</v>
      </c>
      <c r="E131" s="171">
        <f t="shared" si="27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473"/>
      <c r="J131" s="461"/>
      <c r="K131" s="461"/>
    </row>
    <row r="132" spans="1:11" s="167" customFormat="1">
      <c r="B132" s="163" t="s">
        <v>196</v>
      </c>
      <c r="C132" s="501">
        <f>'[27]Sch C'!D133</f>
        <v>0</v>
      </c>
      <c r="D132" s="501">
        <f>'[27]Sch C'!F133</f>
        <v>0</v>
      </c>
      <c r="E132" s="171">
        <f t="shared" si="27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473"/>
      <c r="J132" s="461"/>
      <c r="K132" s="461"/>
    </row>
    <row r="133" spans="1:11" s="167" customFormat="1">
      <c r="B133" s="163" t="s">
        <v>197</v>
      </c>
      <c r="C133" s="501">
        <f>'[27]Sch C'!D134</f>
        <v>0</v>
      </c>
      <c r="D133" s="501">
        <f>'[27]Sch C'!F134</f>
        <v>4711.3</v>
      </c>
      <c r="E133" s="171">
        <f t="shared" si="27"/>
        <v>4711.3</v>
      </c>
      <c r="F133" s="171">
        <v>2105.84</v>
      </c>
      <c r="G133" s="171">
        <f>E133+F133</f>
        <v>6817.14</v>
      </c>
      <c r="H133" s="172">
        <f>IF($G$208=0,0,G133/$G$208)</f>
        <v>1.3982519772537277E-3</v>
      </c>
      <c r="I133" s="473"/>
      <c r="J133" s="461"/>
      <c r="K133" s="461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438"/>
      <c r="K134" s="438"/>
    </row>
    <row r="135" spans="1:11" s="167" customFormat="1">
      <c r="A135" s="169"/>
      <c r="B135" s="163" t="s">
        <v>194</v>
      </c>
      <c r="C135" s="501">
        <f>'[27]Sch C'!D136</f>
        <v>296979</v>
      </c>
      <c r="D135" s="501">
        <f>'[27]Sch C'!F136</f>
        <v>0</v>
      </c>
      <c r="E135" s="171">
        <f t="shared" ref="E135:E138" si="28">C135+D135</f>
        <v>296979</v>
      </c>
      <c r="F135" s="171">
        <v>108063.91</v>
      </c>
      <c r="G135" s="171">
        <f>E135+F135</f>
        <v>405042.91000000003</v>
      </c>
      <c r="H135" s="172">
        <f>IF($G$208=0,0,G135/$G$208)</f>
        <v>8.3077661567769426E-2</v>
      </c>
      <c r="I135" s="473"/>
      <c r="J135" s="601">
        <f>10011.4+3665</f>
        <v>13676.4</v>
      </c>
      <c r="K135" s="601">
        <f>10363.35+3760</f>
        <v>14123.35</v>
      </c>
    </row>
    <row r="136" spans="1:11" s="167" customFormat="1">
      <c r="A136" s="169"/>
      <c r="B136" s="163" t="s">
        <v>195</v>
      </c>
      <c r="C136" s="501">
        <f>'[27]Sch C'!D137</f>
        <v>186186</v>
      </c>
      <c r="D136" s="501">
        <f>'[27]Sch C'!F137</f>
        <v>0</v>
      </c>
      <c r="E136" s="171">
        <f t="shared" si="28"/>
        <v>186186</v>
      </c>
      <c r="F136" s="171">
        <v>45429.94</v>
      </c>
      <c r="G136" s="171">
        <f>E136+F136</f>
        <v>231615.94</v>
      </c>
      <c r="H136" s="172">
        <f>IF($G$208=0,0,G136/$G$208)</f>
        <v>4.7506351060485882E-2</v>
      </c>
      <c r="I136" s="473"/>
      <c r="J136" s="601">
        <f>6913.4+1745</f>
        <v>8658.4</v>
      </c>
      <c r="K136" s="601">
        <f>7280.75+1827</f>
        <v>9107.75</v>
      </c>
    </row>
    <row r="137" spans="1:11" s="167" customFormat="1">
      <c r="A137" s="169"/>
      <c r="B137" s="163" t="s">
        <v>196</v>
      </c>
      <c r="C137" s="501">
        <f>'[27]Sch C'!D138</f>
        <v>480823</v>
      </c>
      <c r="D137" s="501">
        <f>'[27]Sch C'!F138</f>
        <v>0</v>
      </c>
      <c r="E137" s="171">
        <f t="shared" si="28"/>
        <v>480823</v>
      </c>
      <c r="F137" s="171">
        <v>158152.18</v>
      </c>
      <c r="G137" s="171">
        <f>E137+F137</f>
        <v>638975.17999999993</v>
      </c>
      <c r="H137" s="172">
        <f>IF($G$208=0,0,G137/$G$208)</f>
        <v>0.13105911113033564</v>
      </c>
      <c r="I137" s="473"/>
      <c r="J137" s="601">
        <f>35732.31+11594</f>
        <v>47326.31</v>
      </c>
      <c r="K137" s="601">
        <f>37828.02+12235</f>
        <v>50063.02</v>
      </c>
    </row>
    <row r="138" spans="1:11" s="167" customFormat="1">
      <c r="A138" s="169"/>
      <c r="B138" s="163" t="s">
        <v>197</v>
      </c>
      <c r="C138" s="501">
        <f>'[27]Sch C'!D139</f>
        <v>0</v>
      </c>
      <c r="D138" s="501">
        <f>'[27]Sch C'!F139</f>
        <v>0</v>
      </c>
      <c r="E138" s="171">
        <f t="shared" si="28"/>
        <v>0</v>
      </c>
      <c r="F138" s="171">
        <v>0</v>
      </c>
      <c r="G138" s="171">
        <f>E138+F138</f>
        <v>0</v>
      </c>
      <c r="H138" s="172">
        <f>IF($G$208=0,0,G138/$G$208)</f>
        <v>0</v>
      </c>
      <c r="I138" s="473"/>
      <c r="J138" s="601">
        <v>0</v>
      </c>
      <c r="K138" s="601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466"/>
      <c r="K139" s="466"/>
    </row>
    <row r="140" spans="1:11" s="167" customFormat="1">
      <c r="A140" s="169"/>
      <c r="B140" s="163" t="s">
        <v>194</v>
      </c>
      <c r="C140" s="501">
        <f>'[27]Sch C'!D141</f>
        <v>0</v>
      </c>
      <c r="D140" s="501">
        <f>'[27]Sch C'!F141</f>
        <v>58290.990000000005</v>
      </c>
      <c r="E140" s="171">
        <f t="shared" ref="E140:E143" si="29">C140+D140</f>
        <v>58290.990000000005</v>
      </c>
      <c r="F140" s="171">
        <v>21957.31</v>
      </c>
      <c r="G140" s="171">
        <f>E140+F140</f>
        <v>80248.3</v>
      </c>
      <c r="H140" s="172">
        <f>IF($G$208=0,0,G140/$G$208)</f>
        <v>1.6459592167133184E-2</v>
      </c>
      <c r="I140" s="473"/>
      <c r="J140" s="461"/>
      <c r="K140" s="461"/>
    </row>
    <row r="141" spans="1:11" s="167" customFormat="1">
      <c r="A141" s="169"/>
      <c r="B141" s="163" t="s">
        <v>195</v>
      </c>
      <c r="C141" s="501">
        <f>'[27]Sch C'!D142</f>
        <v>0</v>
      </c>
      <c r="D141" s="501">
        <f>'[27]Sch C'!F142</f>
        <v>36544.559999999998</v>
      </c>
      <c r="E141" s="171">
        <f t="shared" si="29"/>
        <v>36544.559999999998</v>
      </c>
      <c r="F141" s="171">
        <v>9230.83</v>
      </c>
      <c r="G141" s="171">
        <f>E141+F141</f>
        <v>45775.39</v>
      </c>
      <c r="H141" s="172">
        <f>IF($G$208=0,0,G141/$G$208)</f>
        <v>9.388912297101204E-3</v>
      </c>
      <c r="I141" s="473"/>
      <c r="J141" s="461"/>
      <c r="K141" s="461"/>
    </row>
    <row r="142" spans="1:11" s="167" customFormat="1">
      <c r="A142" s="169"/>
      <c r="B142" s="163" t="s">
        <v>196</v>
      </c>
      <c r="C142" s="501">
        <f>'[27]Sch C'!D143</f>
        <v>0</v>
      </c>
      <c r="D142" s="501">
        <f>'[27]Sch C'!F143</f>
        <v>94375.86</v>
      </c>
      <c r="E142" s="171">
        <f t="shared" si="29"/>
        <v>94375.86</v>
      </c>
      <c r="F142" s="171">
        <v>32134.59</v>
      </c>
      <c r="G142" s="171">
        <f>E142+F142</f>
        <v>126510.45</v>
      </c>
      <c r="H142" s="172">
        <f>IF($G$208=0,0,G142/$G$208)</f>
        <v>2.5948342978985149E-2</v>
      </c>
      <c r="I142" s="473"/>
      <c r="J142" s="461"/>
      <c r="K142" s="461"/>
    </row>
    <row r="143" spans="1:11" s="167" customFormat="1">
      <c r="A143" s="169"/>
      <c r="B143" s="163" t="s">
        <v>197</v>
      </c>
      <c r="C143" s="501">
        <f>'[27]Sch C'!D144</f>
        <v>0</v>
      </c>
      <c r="D143" s="501">
        <f>'[27]Sch C'!F144</f>
        <v>0</v>
      </c>
      <c r="E143" s="171">
        <f t="shared" si="29"/>
        <v>0</v>
      </c>
      <c r="F143" s="171">
        <v>0</v>
      </c>
      <c r="G143" s="171">
        <f>E143+F143</f>
        <v>0</v>
      </c>
      <c r="H143" s="172">
        <f>IF($G$208=0,0,G143/$G$208)</f>
        <v>0</v>
      </c>
      <c r="I143" s="473"/>
      <c r="J143" s="461"/>
      <c r="K143" s="461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438"/>
      <c r="K144" s="438"/>
    </row>
    <row r="145" spans="1:11" s="167" customFormat="1">
      <c r="A145" s="169"/>
      <c r="B145" s="163" t="s">
        <v>232</v>
      </c>
      <c r="C145" s="501">
        <f>'[27]Sch C'!D146</f>
        <v>32400</v>
      </c>
      <c r="D145" s="501">
        <f>'[27]Sch C'!F146</f>
        <v>0</v>
      </c>
      <c r="E145" s="171">
        <f t="shared" ref="E145:E153" si="30">C145+D145</f>
        <v>32400</v>
      </c>
      <c r="F145" s="507">
        <v>10800</v>
      </c>
      <c r="G145" s="171">
        <f t="shared" ref="G145:G153" si="31">E145+F145</f>
        <v>43200</v>
      </c>
      <c r="H145" s="172">
        <f t="shared" ref="H145:H153" si="32">IF($G$208=0,0,G145/$G$208)</f>
        <v>8.8606784395451801E-3</v>
      </c>
      <c r="I145" s="473"/>
      <c r="J145" s="601">
        <v>0</v>
      </c>
      <c r="K145" s="601">
        <v>0</v>
      </c>
    </row>
    <row r="146" spans="1:11" s="167" customFormat="1">
      <c r="A146" s="169"/>
      <c r="B146" s="163" t="s">
        <v>194</v>
      </c>
      <c r="C146" s="501">
        <f>'[27]Sch C'!D147</f>
        <v>0</v>
      </c>
      <c r="D146" s="501">
        <f>'[27]Sch C'!F147</f>
        <v>0</v>
      </c>
      <c r="E146" s="171">
        <f t="shared" si="30"/>
        <v>0</v>
      </c>
      <c r="F146" s="171">
        <v>0</v>
      </c>
      <c r="G146" s="171">
        <f t="shared" si="31"/>
        <v>0</v>
      </c>
      <c r="H146" s="172">
        <f t="shared" si="32"/>
        <v>0</v>
      </c>
      <c r="I146" s="473"/>
      <c r="J146" s="601">
        <v>0</v>
      </c>
      <c r="K146" s="601">
        <v>0</v>
      </c>
    </row>
    <row r="147" spans="1:11" s="167" customFormat="1">
      <c r="A147" s="169"/>
      <c r="B147" s="163" t="s">
        <v>195</v>
      </c>
      <c r="C147" s="501">
        <f>'[27]Sch C'!D148</f>
        <v>0</v>
      </c>
      <c r="D147" s="501">
        <f>'[27]Sch C'!F148</f>
        <v>0</v>
      </c>
      <c r="E147" s="171">
        <f t="shared" si="30"/>
        <v>0</v>
      </c>
      <c r="F147" s="171">
        <v>0</v>
      </c>
      <c r="G147" s="171">
        <f t="shared" si="31"/>
        <v>0</v>
      </c>
      <c r="H147" s="172">
        <f t="shared" si="32"/>
        <v>0</v>
      </c>
      <c r="I147" s="473"/>
      <c r="J147" s="601">
        <v>0</v>
      </c>
      <c r="K147" s="601">
        <v>0</v>
      </c>
    </row>
    <row r="148" spans="1:11" s="167" customFormat="1">
      <c r="A148" s="169"/>
      <c r="B148" s="163" t="s">
        <v>196</v>
      </c>
      <c r="C148" s="501">
        <f>'[27]Sch C'!D149</f>
        <v>0</v>
      </c>
      <c r="D148" s="501">
        <f>'[27]Sch C'!F149</f>
        <v>0</v>
      </c>
      <c r="E148" s="171">
        <f t="shared" si="30"/>
        <v>0</v>
      </c>
      <c r="F148" s="171">
        <v>0</v>
      </c>
      <c r="G148" s="171">
        <f t="shared" si="31"/>
        <v>0</v>
      </c>
      <c r="H148" s="172">
        <f t="shared" si="32"/>
        <v>0</v>
      </c>
      <c r="I148" s="473"/>
      <c r="J148" s="601">
        <v>0</v>
      </c>
      <c r="K148" s="601">
        <v>0</v>
      </c>
    </row>
    <row r="149" spans="1:11" s="167" customFormat="1">
      <c r="A149" s="169"/>
      <c r="B149" s="163" t="s">
        <v>197</v>
      </c>
      <c r="C149" s="501">
        <f>'[27]Sch C'!D150</f>
        <v>10704</v>
      </c>
      <c r="D149" s="501">
        <f>'[27]Sch C'!F150</f>
        <v>0</v>
      </c>
      <c r="E149" s="171">
        <f t="shared" si="30"/>
        <v>10704</v>
      </c>
      <c r="F149" s="171">
        <v>2018.4</v>
      </c>
      <c r="G149" s="171">
        <f t="shared" si="31"/>
        <v>12722.4</v>
      </c>
      <c r="H149" s="172">
        <f t="shared" si="32"/>
        <v>2.6094698004460555E-3</v>
      </c>
      <c r="I149" s="473"/>
      <c r="J149" s="601">
        <v>0</v>
      </c>
      <c r="K149" s="601">
        <v>0</v>
      </c>
    </row>
    <row r="150" spans="1:11" s="167" customFormat="1">
      <c r="A150" s="169">
        <v>110</v>
      </c>
      <c r="B150" s="167" t="s">
        <v>65</v>
      </c>
      <c r="C150" s="501">
        <f>'[27]Sch C'!D151</f>
        <v>105954</v>
      </c>
      <c r="D150" s="501">
        <f>'[27]Sch C'!F151</f>
        <v>0</v>
      </c>
      <c r="E150" s="171">
        <f t="shared" si="30"/>
        <v>105954</v>
      </c>
      <c r="F150" s="171">
        <v>10536.86</v>
      </c>
      <c r="G150" s="607">
        <f>E150+F150-5861-4042-2013.97</f>
        <v>104573.89</v>
      </c>
      <c r="H150" s="172">
        <f t="shared" si="32"/>
        <v>2.1448972510702994E-2</v>
      </c>
      <c r="I150" s="472" t="s">
        <v>630</v>
      </c>
      <c r="J150" s="461"/>
      <c r="K150" s="461"/>
    </row>
    <row r="151" spans="1:11" s="167" customFormat="1">
      <c r="A151" s="169">
        <v>111</v>
      </c>
      <c r="B151" s="170" t="s">
        <v>97</v>
      </c>
      <c r="C151" s="501">
        <f>'[27]Sch C'!D152</f>
        <v>0</v>
      </c>
      <c r="D151" s="501">
        <f>'[27]Sch C'!F152</f>
        <v>0</v>
      </c>
      <c r="E151" s="171">
        <f t="shared" si="30"/>
        <v>0</v>
      </c>
      <c r="F151" s="171">
        <v>0</v>
      </c>
      <c r="G151" s="171">
        <f t="shared" si="31"/>
        <v>0</v>
      </c>
      <c r="H151" s="172">
        <f t="shared" si="32"/>
        <v>0</v>
      </c>
      <c r="I151" s="473"/>
      <c r="J151" s="461"/>
      <c r="K151" s="461"/>
    </row>
    <row r="152" spans="1:11" s="167" customFormat="1">
      <c r="A152" s="169">
        <v>230</v>
      </c>
      <c r="B152" s="170" t="s">
        <v>66</v>
      </c>
      <c r="C152" s="501">
        <f>'[27]Sch C'!D153</f>
        <v>3058</v>
      </c>
      <c r="D152" s="501">
        <f>'[27]Sch C'!F153</f>
        <v>0</v>
      </c>
      <c r="E152" s="171">
        <f t="shared" si="30"/>
        <v>3058</v>
      </c>
      <c r="F152" s="171">
        <v>0</v>
      </c>
      <c r="G152" s="171">
        <f t="shared" si="31"/>
        <v>3058</v>
      </c>
      <c r="H152" s="172">
        <f t="shared" si="32"/>
        <v>6.2722117287336023E-4</v>
      </c>
      <c r="I152" s="473"/>
      <c r="J152" s="461"/>
      <c r="K152" s="461"/>
    </row>
    <row r="153" spans="1:11" s="167" customFormat="1">
      <c r="A153" s="169">
        <v>430</v>
      </c>
      <c r="B153" s="170" t="s">
        <v>99</v>
      </c>
      <c r="C153" s="501">
        <f>'[27]Sch C'!D154</f>
        <v>0</v>
      </c>
      <c r="D153" s="501">
        <f>'[27]Sch C'!F154</f>
        <v>0</v>
      </c>
      <c r="E153" s="171">
        <f t="shared" si="30"/>
        <v>0</v>
      </c>
      <c r="F153" s="171">
        <v>0</v>
      </c>
      <c r="G153" s="171">
        <f t="shared" si="31"/>
        <v>0</v>
      </c>
      <c r="H153" s="172">
        <f t="shared" si="32"/>
        <v>0</v>
      </c>
      <c r="I153" s="473"/>
      <c r="J153" s="461"/>
      <c r="K153" s="461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461"/>
      <c r="K154" s="461"/>
    </row>
    <row r="155" spans="1:11" s="167" customFormat="1">
      <c r="A155" s="169">
        <v>440.1</v>
      </c>
      <c r="B155" s="163" t="s">
        <v>223</v>
      </c>
      <c r="C155" s="501">
        <f>'[27]Sch C'!D156</f>
        <v>0</v>
      </c>
      <c r="D155" s="501">
        <f>'[27]Sch C'!F156</f>
        <v>0</v>
      </c>
      <c r="E155" s="171">
        <f t="shared" ref="E155:E160" si="33">C155+D155</f>
        <v>0</v>
      </c>
      <c r="F155" s="171">
        <v>0</v>
      </c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461"/>
      <c r="K155" s="461"/>
    </row>
    <row r="156" spans="1:11" s="167" customFormat="1">
      <c r="A156" s="169">
        <v>440.2</v>
      </c>
      <c r="B156" s="163" t="s">
        <v>224</v>
      </c>
      <c r="C156" s="501">
        <f>'[27]Sch C'!D157</f>
        <v>0</v>
      </c>
      <c r="D156" s="501">
        <f>'[27]Sch C'!F157</f>
        <v>0</v>
      </c>
      <c r="E156" s="171">
        <f t="shared" si="33"/>
        <v>0</v>
      </c>
      <c r="F156" s="171">
        <v>0</v>
      </c>
      <c r="G156" s="171">
        <f t="shared" si="34"/>
        <v>0</v>
      </c>
      <c r="H156" s="172">
        <f t="shared" si="35"/>
        <v>0</v>
      </c>
      <c r="I156" s="473"/>
      <c r="J156" s="461"/>
      <c r="K156" s="461"/>
    </row>
    <row r="157" spans="1:11" s="167" customFormat="1">
      <c r="A157" s="169">
        <v>440.3</v>
      </c>
      <c r="B157" s="163" t="s">
        <v>225</v>
      </c>
      <c r="C157" s="501">
        <f>'[27]Sch C'!D158</f>
        <v>0</v>
      </c>
      <c r="D157" s="501">
        <f>'[27]Sch C'!F158</f>
        <v>0</v>
      </c>
      <c r="E157" s="171">
        <f t="shared" si="33"/>
        <v>0</v>
      </c>
      <c r="F157" s="171">
        <v>0</v>
      </c>
      <c r="G157" s="171">
        <f t="shared" si="34"/>
        <v>0</v>
      </c>
      <c r="H157" s="172">
        <f t="shared" si="35"/>
        <v>0</v>
      </c>
      <c r="I157" s="473"/>
      <c r="J157" s="461"/>
      <c r="K157" s="461"/>
    </row>
    <row r="158" spans="1:11" s="167" customFormat="1">
      <c r="A158" s="169">
        <v>440.4</v>
      </c>
      <c r="B158" s="163" t="s">
        <v>226</v>
      </c>
      <c r="C158" s="501">
        <f>'[27]Sch C'!D159</f>
        <v>0</v>
      </c>
      <c r="D158" s="501">
        <f>'[27]Sch C'!F159</f>
        <v>0</v>
      </c>
      <c r="E158" s="171">
        <f t="shared" si="33"/>
        <v>0</v>
      </c>
      <c r="F158" s="171">
        <v>0</v>
      </c>
      <c r="G158" s="171">
        <f t="shared" si="34"/>
        <v>0</v>
      </c>
      <c r="H158" s="172">
        <f t="shared" si="35"/>
        <v>0</v>
      </c>
      <c r="I158" s="473"/>
      <c r="J158" s="461"/>
      <c r="K158" s="461"/>
    </row>
    <row r="159" spans="1:11" s="167" customFormat="1">
      <c r="A159" s="169">
        <v>440.5</v>
      </c>
      <c r="B159" s="163" t="s">
        <v>301</v>
      </c>
      <c r="C159" s="501">
        <f>'[27]Sch C'!D160</f>
        <v>0</v>
      </c>
      <c r="D159" s="501">
        <f>'[27]Sch C'!F160</f>
        <v>0</v>
      </c>
      <c r="E159" s="171">
        <f t="shared" si="33"/>
        <v>0</v>
      </c>
      <c r="F159" s="171">
        <v>0</v>
      </c>
      <c r="G159" s="171">
        <f t="shared" si="34"/>
        <v>0</v>
      </c>
      <c r="H159" s="172">
        <f>IF($G$208=0,0,G159/$G$208)</f>
        <v>0</v>
      </c>
      <c r="I159" s="473"/>
      <c r="J159" s="461"/>
      <c r="K159" s="461"/>
    </row>
    <row r="160" spans="1:11" s="167" customFormat="1">
      <c r="A160" s="169">
        <v>490</v>
      </c>
      <c r="B160" s="202" t="s">
        <v>315</v>
      </c>
      <c r="C160" s="501">
        <f>'[27]Sch C'!D161</f>
        <v>850</v>
      </c>
      <c r="D160" s="501">
        <f>'[27]Sch C'!F161</f>
        <v>0</v>
      </c>
      <c r="E160" s="171">
        <f t="shared" si="33"/>
        <v>850</v>
      </c>
      <c r="F160" s="171">
        <v>590.72</v>
      </c>
      <c r="G160" s="171">
        <f t="shared" si="34"/>
        <v>1440.72</v>
      </c>
      <c r="H160" s="172">
        <f t="shared" si="35"/>
        <v>2.9550362595883177E-4</v>
      </c>
      <c r="I160" s="473"/>
      <c r="J160" s="461"/>
      <c r="K160" s="461"/>
    </row>
    <row r="161" spans="1:15" s="167" customFormat="1">
      <c r="A161" s="169"/>
      <c r="B161" s="170" t="s">
        <v>233</v>
      </c>
      <c r="C161" s="501">
        <f>SUM(C123:C160)</f>
        <v>1295364</v>
      </c>
      <c r="D161" s="501">
        <f>SUM(D123:D160)</f>
        <v>224229.69</v>
      </c>
      <c r="E161" s="171">
        <f t="shared" ref="E161:F161" si="36">SUM(E123:E160)</f>
        <v>1519593.6900000002</v>
      </c>
      <c r="F161" s="171">
        <f t="shared" si="36"/>
        <v>470967</v>
      </c>
      <c r="G161" s="171">
        <f>SUM(G123:G160)</f>
        <v>1978643.7199999997</v>
      </c>
      <c r="H161" s="172">
        <f t="shared" si="35"/>
        <v>0.40583624419781178</v>
      </c>
      <c r="I161" s="473"/>
      <c r="J161" s="461"/>
      <c r="K161" s="461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461"/>
      <c r="K162" s="461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461"/>
      <c r="K163" s="461"/>
    </row>
    <row r="164" spans="1:15" s="221" customFormat="1">
      <c r="A164" s="215" t="s">
        <v>95</v>
      </c>
      <c r="B164" s="148" t="s">
        <v>102</v>
      </c>
      <c r="C164" s="501">
        <f>'[27]Sch C'!D175</f>
        <v>0</v>
      </c>
      <c r="D164" s="501">
        <f>'[27]Sch C'!F175</f>
        <v>0</v>
      </c>
      <c r="E164" s="171">
        <f t="shared" ref="E164:E196" si="37">C164+D164</f>
        <v>0</v>
      </c>
      <c r="F164" s="216">
        <v>0</v>
      </c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601">
        <v>0</v>
      </c>
      <c r="K164" s="601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'[27]Sch C'!D176</f>
        <v>0</v>
      </c>
      <c r="D165" s="501">
        <f>'[27]Sch C'!F176</f>
        <v>0</v>
      </c>
      <c r="E165" s="171">
        <f t="shared" si="37"/>
        <v>0</v>
      </c>
      <c r="F165" s="216">
        <v>0</v>
      </c>
      <c r="G165" s="171">
        <f t="shared" si="38"/>
        <v>0</v>
      </c>
      <c r="H165" s="172">
        <f t="shared" si="39"/>
        <v>0</v>
      </c>
      <c r="I165" s="484"/>
      <c r="J165" s="467"/>
      <c r="K165" s="467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'[27]Sch C'!D177</f>
        <v>0</v>
      </c>
      <c r="D166" s="501">
        <f>'[27]Sch C'!F177</f>
        <v>0</v>
      </c>
      <c r="E166" s="171">
        <f t="shared" si="37"/>
        <v>0</v>
      </c>
      <c r="F166" s="216">
        <v>0</v>
      </c>
      <c r="G166" s="171">
        <f t="shared" si="38"/>
        <v>0</v>
      </c>
      <c r="H166" s="172">
        <f t="shared" si="39"/>
        <v>0</v>
      </c>
      <c r="I166" s="483"/>
      <c r="J166" s="601">
        <v>0</v>
      </c>
      <c r="K166" s="601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'[27]Sch C'!D178</f>
        <v>0</v>
      </c>
      <c r="D167" s="501">
        <f>'[27]Sch C'!F178</f>
        <v>0</v>
      </c>
      <c r="E167" s="171">
        <f t="shared" si="37"/>
        <v>0</v>
      </c>
      <c r="F167" s="216">
        <v>0</v>
      </c>
      <c r="G167" s="171">
        <f t="shared" si="38"/>
        <v>0</v>
      </c>
      <c r="H167" s="172">
        <f t="shared" si="39"/>
        <v>0</v>
      </c>
      <c r="I167" s="484"/>
      <c r="J167" s="467"/>
      <c r="K167" s="467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'[27]Sch C'!D179</f>
        <v>0</v>
      </c>
      <c r="D168" s="501">
        <f>'[27]Sch C'!F179</f>
        <v>0</v>
      </c>
      <c r="E168" s="171">
        <f t="shared" si="37"/>
        <v>0</v>
      </c>
      <c r="F168" s="216">
        <v>0</v>
      </c>
      <c r="G168" s="171">
        <f t="shared" si="38"/>
        <v>0</v>
      </c>
      <c r="H168" s="172">
        <f t="shared" si="39"/>
        <v>0</v>
      </c>
      <c r="I168" s="483"/>
      <c r="J168" s="601">
        <v>0</v>
      </c>
      <c r="K168" s="601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'[27]Sch C'!D180</f>
        <v>0</v>
      </c>
      <c r="D169" s="501">
        <f>'[27]Sch C'!F180</f>
        <v>0</v>
      </c>
      <c r="E169" s="171">
        <f t="shared" si="37"/>
        <v>0</v>
      </c>
      <c r="F169" s="216">
        <v>0</v>
      </c>
      <c r="G169" s="171">
        <f t="shared" si="38"/>
        <v>0</v>
      </c>
      <c r="H169" s="172">
        <f t="shared" si="39"/>
        <v>0</v>
      </c>
      <c r="I169" s="484"/>
      <c r="J169" s="467"/>
      <c r="K169" s="467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'[27]Sch C'!D181</f>
        <v>0</v>
      </c>
      <c r="D170" s="501">
        <f>'[27]Sch C'!F181</f>
        <v>0</v>
      </c>
      <c r="E170" s="171">
        <f t="shared" si="37"/>
        <v>0</v>
      </c>
      <c r="F170" s="216">
        <v>0</v>
      </c>
      <c r="G170" s="171">
        <f t="shared" si="38"/>
        <v>0</v>
      </c>
      <c r="H170" s="172">
        <f t="shared" si="39"/>
        <v>0</v>
      </c>
      <c r="I170" s="483"/>
      <c r="J170" s="601">
        <v>0</v>
      </c>
      <c r="K170" s="601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'[27]Sch C'!D182</f>
        <v>0</v>
      </c>
      <c r="D171" s="501">
        <f>'[27]Sch C'!F182</f>
        <v>0</v>
      </c>
      <c r="E171" s="171">
        <f t="shared" si="37"/>
        <v>0</v>
      </c>
      <c r="F171" s="216">
        <v>0</v>
      </c>
      <c r="G171" s="171">
        <f t="shared" si="38"/>
        <v>0</v>
      </c>
      <c r="H171" s="172">
        <f t="shared" si="39"/>
        <v>0</v>
      </c>
      <c r="I171" s="484"/>
      <c r="J171" s="467"/>
      <c r="K171" s="467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'[27]Sch C'!D183</f>
        <v>0</v>
      </c>
      <c r="D172" s="501">
        <f>'[27]Sch C'!F183</f>
        <v>0</v>
      </c>
      <c r="E172" s="171">
        <f t="shared" si="37"/>
        <v>0</v>
      </c>
      <c r="F172" s="216">
        <v>0</v>
      </c>
      <c r="G172" s="171">
        <f t="shared" si="38"/>
        <v>0</v>
      </c>
      <c r="H172" s="172">
        <f t="shared" si="39"/>
        <v>0</v>
      </c>
      <c r="I172" s="483"/>
      <c r="J172" s="601">
        <v>0</v>
      </c>
      <c r="K172" s="601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'[27]Sch C'!D184</f>
        <v>0</v>
      </c>
      <c r="D173" s="501">
        <f>'[27]Sch C'!F184</f>
        <v>0</v>
      </c>
      <c r="E173" s="171">
        <f t="shared" si="37"/>
        <v>0</v>
      </c>
      <c r="F173" s="216">
        <v>0</v>
      </c>
      <c r="G173" s="171">
        <f t="shared" si="38"/>
        <v>0</v>
      </c>
      <c r="H173" s="172">
        <f t="shared" si="39"/>
        <v>0</v>
      </c>
      <c r="I173" s="484"/>
      <c r="J173" s="467"/>
      <c r="K173" s="467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'[27]Sch C'!D185</f>
        <v>0</v>
      </c>
      <c r="D174" s="501">
        <f>'[27]Sch C'!F185</f>
        <v>0</v>
      </c>
      <c r="E174" s="171">
        <f t="shared" si="37"/>
        <v>0</v>
      </c>
      <c r="F174" s="216">
        <v>0</v>
      </c>
      <c r="G174" s="171">
        <f t="shared" si="38"/>
        <v>0</v>
      </c>
      <c r="H174" s="172">
        <f t="shared" si="39"/>
        <v>0</v>
      </c>
      <c r="I174" s="483"/>
      <c r="J174" s="601">
        <v>0</v>
      </c>
      <c r="K174" s="601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'[27]Sch C'!D186</f>
        <v>0</v>
      </c>
      <c r="D175" s="501">
        <f>'[27]Sch C'!F186</f>
        <v>0</v>
      </c>
      <c r="E175" s="171">
        <f t="shared" si="37"/>
        <v>0</v>
      </c>
      <c r="F175" s="216">
        <v>0</v>
      </c>
      <c r="G175" s="171">
        <f t="shared" si="38"/>
        <v>0</v>
      </c>
      <c r="H175" s="172">
        <f t="shared" si="39"/>
        <v>0</v>
      </c>
      <c r="I175" s="473"/>
      <c r="J175" s="468"/>
      <c r="K175" s="469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'[27]Sch C'!D187</f>
        <v>0</v>
      </c>
      <c r="D176" s="501">
        <f>'[27]Sch C'!F187</f>
        <v>0</v>
      </c>
      <c r="E176" s="171">
        <f t="shared" si="37"/>
        <v>0</v>
      </c>
      <c r="F176" s="216">
        <v>0</v>
      </c>
      <c r="G176" s="171">
        <f t="shared" si="38"/>
        <v>0</v>
      </c>
      <c r="H176" s="172">
        <f t="shared" si="39"/>
        <v>0</v>
      </c>
      <c r="I176" s="473"/>
      <c r="J176" s="468"/>
      <c r="K176" s="469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'[27]Sch C'!D188</f>
        <v>0</v>
      </c>
      <c r="D177" s="501">
        <f>'[27]Sch C'!F188</f>
        <v>0</v>
      </c>
      <c r="E177" s="171">
        <f t="shared" si="37"/>
        <v>0</v>
      </c>
      <c r="F177" s="216">
        <v>0</v>
      </c>
      <c r="G177" s="171">
        <f t="shared" si="38"/>
        <v>0</v>
      </c>
      <c r="H177" s="172">
        <f t="shared" si="39"/>
        <v>0</v>
      </c>
      <c r="I177" s="473"/>
      <c r="J177" s="468"/>
      <c r="K177" s="469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'[27]Sch C'!D189</f>
        <v>0</v>
      </c>
      <c r="D178" s="501">
        <f>'[27]Sch C'!F189</f>
        <v>0</v>
      </c>
      <c r="E178" s="171">
        <f t="shared" si="37"/>
        <v>0</v>
      </c>
      <c r="F178" s="216">
        <v>0</v>
      </c>
      <c r="G178" s="171">
        <f t="shared" si="38"/>
        <v>0</v>
      </c>
      <c r="H178" s="172">
        <f t="shared" si="39"/>
        <v>0</v>
      </c>
      <c r="I178" s="473"/>
      <c r="J178" s="468"/>
      <c r="K178" s="469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'[27]Sch C'!D190</f>
        <v>0</v>
      </c>
      <c r="D179" s="501">
        <f>'[27]Sch C'!F190</f>
        <v>0</v>
      </c>
      <c r="E179" s="171">
        <f t="shared" si="37"/>
        <v>0</v>
      </c>
      <c r="F179" s="216">
        <v>0</v>
      </c>
      <c r="G179" s="171">
        <f t="shared" si="38"/>
        <v>0</v>
      </c>
      <c r="H179" s="172">
        <f t="shared" si="39"/>
        <v>0</v>
      </c>
      <c r="I179" s="473"/>
      <c r="J179" s="468"/>
      <c r="K179" s="469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'[27]Sch C'!D191</f>
        <v>0</v>
      </c>
      <c r="D180" s="501">
        <f>'[27]Sch C'!F191</f>
        <v>0</v>
      </c>
      <c r="E180" s="171">
        <f t="shared" si="37"/>
        <v>0</v>
      </c>
      <c r="F180" s="216">
        <v>0</v>
      </c>
      <c r="G180" s="171">
        <f t="shared" si="38"/>
        <v>0</v>
      </c>
      <c r="H180" s="172">
        <f t="shared" si="39"/>
        <v>0</v>
      </c>
      <c r="I180" s="473"/>
      <c r="J180" s="468"/>
      <c r="K180" s="469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'[27]Sch C'!D192</f>
        <v>0</v>
      </c>
      <c r="D181" s="501">
        <f>'[27]Sch C'!F192</f>
        <v>0</v>
      </c>
      <c r="E181" s="171">
        <f t="shared" si="37"/>
        <v>0</v>
      </c>
      <c r="F181" s="216">
        <v>0</v>
      </c>
      <c r="G181" s="171">
        <f t="shared" si="38"/>
        <v>0</v>
      </c>
      <c r="H181" s="172">
        <f t="shared" si="39"/>
        <v>0</v>
      </c>
      <c r="I181" s="473"/>
      <c r="J181" s="468"/>
      <c r="K181" s="469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'[27]Sch C'!D193</f>
        <v>0</v>
      </c>
      <c r="D182" s="501">
        <f>'[27]Sch C'!F193</f>
        <v>0</v>
      </c>
      <c r="E182" s="171">
        <f t="shared" si="37"/>
        <v>0</v>
      </c>
      <c r="F182" s="216">
        <v>0</v>
      </c>
      <c r="G182" s="171">
        <f t="shared" si="38"/>
        <v>0</v>
      </c>
      <c r="H182" s="172">
        <f t="shared" si="39"/>
        <v>0</v>
      </c>
      <c r="I182" s="473"/>
      <c r="J182" s="468"/>
      <c r="K182" s="469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'[27]Sch C'!D194</f>
        <v>125342</v>
      </c>
      <c r="D183" s="501">
        <f>'[27]Sch C'!F194</f>
        <v>0</v>
      </c>
      <c r="E183" s="171">
        <f t="shared" si="37"/>
        <v>125342</v>
      </c>
      <c r="F183" s="216">
        <v>33258.76</v>
      </c>
      <c r="G183" s="171">
        <f t="shared" si="38"/>
        <v>158600.76</v>
      </c>
      <c r="H183" s="172">
        <f t="shared" si="39"/>
        <v>3.2530331820080548E-2</v>
      </c>
      <c r="I183" s="473"/>
      <c r="J183" s="468"/>
      <c r="K183" s="469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'[27]Sch C'!D195</f>
        <v>20659</v>
      </c>
      <c r="D184" s="501">
        <f>'[27]Sch C'!F195</f>
        <v>0</v>
      </c>
      <c r="E184" s="171">
        <f t="shared" si="37"/>
        <v>20659</v>
      </c>
      <c r="F184" s="216">
        <v>6512.57</v>
      </c>
      <c r="G184" s="171">
        <f t="shared" si="38"/>
        <v>27171.57</v>
      </c>
      <c r="H184" s="172">
        <f t="shared" si="39"/>
        <v>5.5731144552683479E-3</v>
      </c>
      <c r="I184" s="473"/>
      <c r="J184" s="468"/>
      <c r="K184" s="469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'[27]Sch C'!D196</f>
        <v>0</v>
      </c>
      <c r="D185" s="501">
        <f>'[27]Sch C'!F196</f>
        <v>0</v>
      </c>
      <c r="E185" s="171">
        <f t="shared" si="37"/>
        <v>0</v>
      </c>
      <c r="F185" s="216">
        <v>0</v>
      </c>
      <c r="G185" s="171">
        <f t="shared" si="38"/>
        <v>0</v>
      </c>
      <c r="H185" s="172">
        <f t="shared" si="39"/>
        <v>0</v>
      </c>
      <c r="I185" s="473"/>
      <c r="J185" s="468"/>
      <c r="K185" s="469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'[27]Sch C'!D197</f>
        <v>67319</v>
      </c>
      <c r="D186" s="501">
        <f>'[27]Sch C'!F197</f>
        <v>0</v>
      </c>
      <c r="E186" s="171">
        <f t="shared" si="37"/>
        <v>67319</v>
      </c>
      <c r="F186" s="216">
        <v>16887.98</v>
      </c>
      <c r="G186" s="171">
        <f t="shared" si="38"/>
        <v>84206.98</v>
      </c>
      <c r="H186" s="172">
        <f t="shared" si="39"/>
        <v>1.7271550281139171E-2</v>
      </c>
      <c r="I186" s="473"/>
      <c r="J186" s="468"/>
      <c r="K186" s="469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'[27]Sch C'!D198</f>
        <v>18629</v>
      </c>
      <c r="D187" s="501">
        <f>'[27]Sch C'!F198</f>
        <v>0</v>
      </c>
      <c r="E187" s="171">
        <f t="shared" si="37"/>
        <v>18629</v>
      </c>
      <c r="F187" s="216">
        <v>5555.87</v>
      </c>
      <c r="G187" s="171">
        <f t="shared" si="38"/>
        <v>24184.87</v>
      </c>
      <c r="H187" s="172">
        <f t="shared" si="39"/>
        <v>4.9605175039861811E-3</v>
      </c>
      <c r="I187" s="473"/>
      <c r="J187" s="468"/>
      <c r="K187" s="469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'[27]Sch C'!D199</f>
        <v>0</v>
      </c>
      <c r="D188" s="501">
        <f>'[27]Sch C'!F199</f>
        <v>0</v>
      </c>
      <c r="E188" s="171">
        <f t="shared" si="37"/>
        <v>0</v>
      </c>
      <c r="F188" s="216">
        <v>0</v>
      </c>
      <c r="G188" s="171">
        <f t="shared" si="38"/>
        <v>0</v>
      </c>
      <c r="H188" s="172">
        <f t="shared" si="39"/>
        <v>0</v>
      </c>
      <c r="I188" s="473"/>
      <c r="J188" s="468"/>
      <c r="K188" s="469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'[27]Sch C'!D200</f>
        <v>0</v>
      </c>
      <c r="D189" s="501">
        <f>'[27]Sch C'!F200</f>
        <v>0</v>
      </c>
      <c r="E189" s="171">
        <f t="shared" si="37"/>
        <v>0</v>
      </c>
      <c r="F189" s="216">
        <v>0</v>
      </c>
      <c r="G189" s="171">
        <f t="shared" si="38"/>
        <v>0</v>
      </c>
      <c r="H189" s="172">
        <f t="shared" si="39"/>
        <v>0</v>
      </c>
      <c r="I189" s="473"/>
      <c r="J189" s="468"/>
      <c r="K189" s="469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'[27]Sch C'!D201</f>
        <v>0</v>
      </c>
      <c r="D190" s="501">
        <f>'[27]Sch C'!F201</f>
        <v>0</v>
      </c>
      <c r="E190" s="171">
        <f t="shared" si="37"/>
        <v>0</v>
      </c>
      <c r="F190" s="216">
        <v>0</v>
      </c>
      <c r="G190" s="171">
        <f t="shared" si="38"/>
        <v>0</v>
      </c>
      <c r="H190" s="172">
        <f t="shared" si="39"/>
        <v>0</v>
      </c>
      <c r="I190" s="473"/>
      <c r="J190" s="468"/>
      <c r="K190" s="469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'[27]Sch C'!D202</f>
        <v>0</v>
      </c>
      <c r="D191" s="501">
        <f>'[27]Sch C'!F202</f>
        <v>0</v>
      </c>
      <c r="E191" s="171">
        <f t="shared" si="37"/>
        <v>0</v>
      </c>
      <c r="F191" s="216">
        <v>0</v>
      </c>
      <c r="G191" s="171">
        <f t="shared" si="38"/>
        <v>0</v>
      </c>
      <c r="H191" s="172">
        <f t="shared" si="39"/>
        <v>0</v>
      </c>
      <c r="I191" s="473"/>
      <c r="J191" s="468"/>
      <c r="K191" s="469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'[27]Sch C'!D203</f>
        <v>0</v>
      </c>
      <c r="D192" s="501">
        <f>'[27]Sch C'!F203</f>
        <v>0</v>
      </c>
      <c r="E192" s="171">
        <f t="shared" si="37"/>
        <v>0</v>
      </c>
      <c r="F192" s="216">
        <v>0</v>
      </c>
      <c r="G192" s="171">
        <f t="shared" si="38"/>
        <v>0</v>
      </c>
      <c r="H192" s="172">
        <f t="shared" si="39"/>
        <v>0</v>
      </c>
      <c r="I192" s="473"/>
      <c r="J192" s="468"/>
      <c r="K192" s="469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'[27]Sch C'!D204</f>
        <v>0</v>
      </c>
      <c r="D193" s="501">
        <f>'[27]Sch C'!F204</f>
        <v>0</v>
      </c>
      <c r="E193" s="171">
        <f t="shared" si="37"/>
        <v>0</v>
      </c>
      <c r="F193" s="216">
        <v>0</v>
      </c>
      <c r="G193" s="171">
        <f t="shared" si="38"/>
        <v>0</v>
      </c>
      <c r="H193" s="172">
        <f t="shared" si="39"/>
        <v>0</v>
      </c>
      <c r="I193" s="473"/>
      <c r="J193" s="468"/>
      <c r="K193" s="469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'[27]Sch C'!D205</f>
        <v>80474</v>
      </c>
      <c r="D194" s="501">
        <f>'[27]Sch C'!F205</f>
        <v>0</v>
      </c>
      <c r="E194" s="171">
        <f t="shared" si="37"/>
        <v>80474</v>
      </c>
      <c r="F194" s="216">
        <v>22639.59</v>
      </c>
      <c r="G194" s="171">
        <f t="shared" si="38"/>
        <v>103113.59</v>
      </c>
      <c r="H194" s="172">
        <f t="shared" si="39"/>
        <v>2.1149452864284757E-2</v>
      </c>
      <c r="I194" s="473"/>
      <c r="J194" s="468"/>
      <c r="K194" s="469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'[27]Sch C'!D206</f>
        <v>0</v>
      </c>
      <c r="D195" s="501">
        <f>'[27]Sch C'!F206</f>
        <v>0</v>
      </c>
      <c r="E195" s="171">
        <f t="shared" si="37"/>
        <v>0</v>
      </c>
      <c r="F195" s="216">
        <v>1159.72</v>
      </c>
      <c r="G195" s="171">
        <f t="shared" si="38"/>
        <v>1159.72</v>
      </c>
      <c r="H195" s="172">
        <f t="shared" si="39"/>
        <v>2.3786819444234576E-4</v>
      </c>
      <c r="I195" s="473"/>
      <c r="J195" s="468"/>
      <c r="K195" s="469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'[27]Sch C'!D207</f>
        <v>0</v>
      </c>
      <c r="D196" s="501">
        <f>'[27]Sch C'!F207</f>
        <v>0</v>
      </c>
      <c r="E196" s="171">
        <f t="shared" si="37"/>
        <v>0</v>
      </c>
      <c r="F196" s="216">
        <v>0</v>
      </c>
      <c r="G196" s="171">
        <f t="shared" si="38"/>
        <v>0</v>
      </c>
      <c r="H196" s="172">
        <f t="shared" si="39"/>
        <v>0</v>
      </c>
      <c r="I196" s="473"/>
      <c r="J196" s="468"/>
      <c r="K196" s="469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312423</v>
      </c>
      <c r="D197" s="501">
        <f>SUM(D164:D196)</f>
        <v>0</v>
      </c>
      <c r="E197" s="171">
        <f t="shared" ref="E197:F197" si="40">SUM(E164:E196)</f>
        <v>312423</v>
      </c>
      <c r="F197" s="171">
        <f t="shared" si="40"/>
        <v>86014.49</v>
      </c>
      <c r="G197" s="171">
        <f>SUM(G164:G196)</f>
        <v>398437.49</v>
      </c>
      <c r="H197" s="172">
        <f>IF($G$208=0,0,G197/$G$208)</f>
        <v>8.1722835119201351E-2</v>
      </c>
      <c r="I197" s="473"/>
      <c r="J197" s="461"/>
      <c r="K197" s="461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461"/>
      <c r="K198" s="461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461"/>
      <c r="K199" s="461"/>
    </row>
    <row r="200" spans="1:14" s="167" customFormat="1">
      <c r="A200" s="169" t="s">
        <v>85</v>
      </c>
      <c r="B200" s="170" t="s">
        <v>69</v>
      </c>
      <c r="C200" s="501">
        <f>'[27]Sch C'!D211</f>
        <v>112701</v>
      </c>
      <c r="D200" s="501">
        <f>'[27]Sch C'!F211</f>
        <v>-48223</v>
      </c>
      <c r="E200" s="171">
        <f t="shared" ref="E200:E205" si="41">C200+D200</f>
        <v>64478</v>
      </c>
      <c r="F200" s="171">
        <v>15139.23</v>
      </c>
      <c r="G200" s="171">
        <f t="shared" ref="G200:G205" si="42">E200+F200</f>
        <v>79617.23</v>
      </c>
      <c r="H200" s="172">
        <f t="shared" ref="H200:H206" si="43">IF($G$208=0,0,G200/$G$208)</f>
        <v>1.6330154474011798E-2</v>
      </c>
      <c r="I200" s="473"/>
      <c r="J200" s="601">
        <f>4033.35+842</f>
        <v>4875.3500000000004</v>
      </c>
      <c r="K200" s="601">
        <f>4248.45+973</f>
        <v>5221.45</v>
      </c>
    </row>
    <row r="201" spans="1:14" s="167" customFormat="1">
      <c r="A201" s="169" t="s">
        <v>86</v>
      </c>
      <c r="B201" s="170" t="s">
        <v>45</v>
      </c>
      <c r="C201" s="501">
        <f>'[27]Sch C'!D212</f>
        <v>0</v>
      </c>
      <c r="D201" s="501">
        <f>'[27]Sch C'!F212</f>
        <v>22121</v>
      </c>
      <c r="E201" s="171">
        <f t="shared" si="41"/>
        <v>22121</v>
      </c>
      <c r="F201" s="171">
        <v>3076.06</v>
      </c>
      <c r="G201" s="171">
        <f t="shared" si="42"/>
        <v>25197.06</v>
      </c>
      <c r="H201" s="172">
        <f t="shared" si="43"/>
        <v>5.1681260713408866E-3</v>
      </c>
      <c r="I201" s="473"/>
      <c r="J201" s="461"/>
      <c r="K201" s="461"/>
    </row>
    <row r="202" spans="1:14" s="167" customFormat="1">
      <c r="A202" s="169" t="s">
        <v>140</v>
      </c>
      <c r="B202" s="170" t="s">
        <v>54</v>
      </c>
      <c r="C202" s="501">
        <f>'[27]Sch C'!D213</f>
        <v>7407</v>
      </c>
      <c r="D202" s="501">
        <f>'[27]Sch C'!F213</f>
        <v>0</v>
      </c>
      <c r="E202" s="171">
        <f t="shared" si="41"/>
        <v>7407</v>
      </c>
      <c r="F202" s="171">
        <v>3158.6000000000004</v>
      </c>
      <c r="G202" s="171">
        <f t="shared" si="42"/>
        <v>10565.6</v>
      </c>
      <c r="H202" s="172">
        <f t="shared" si="43"/>
        <v>2.1670922250198741E-3</v>
      </c>
      <c r="I202" s="473"/>
      <c r="J202" s="461"/>
      <c r="K202" s="461"/>
    </row>
    <row r="203" spans="1:14" s="167" customFormat="1">
      <c r="A203" s="169" t="s">
        <v>141</v>
      </c>
      <c r="B203" s="170" t="s">
        <v>70</v>
      </c>
      <c r="C203" s="501">
        <f>'[27]Sch C'!D214</f>
        <v>0</v>
      </c>
      <c r="D203" s="501">
        <f>'[27]Sch C'!F214</f>
        <v>0</v>
      </c>
      <c r="E203" s="171">
        <f t="shared" si="41"/>
        <v>0</v>
      </c>
      <c r="F203" s="171">
        <v>0</v>
      </c>
      <c r="G203" s="171">
        <f t="shared" si="42"/>
        <v>0</v>
      </c>
      <c r="H203" s="172">
        <f t="shared" si="43"/>
        <v>0</v>
      </c>
      <c r="I203" s="473"/>
      <c r="J203" s="461"/>
      <c r="K203" s="461"/>
    </row>
    <row r="204" spans="1:14" s="167" customFormat="1">
      <c r="A204" s="169" t="s">
        <v>142</v>
      </c>
      <c r="B204" s="202" t="s">
        <v>71</v>
      </c>
      <c r="C204" s="501">
        <f>'[27]Sch C'!D215</f>
        <v>0</v>
      </c>
      <c r="D204" s="501">
        <f>'[27]Sch C'!F215</f>
        <v>0</v>
      </c>
      <c r="E204" s="171">
        <f t="shared" si="41"/>
        <v>0</v>
      </c>
      <c r="F204" s="171">
        <v>0</v>
      </c>
      <c r="G204" s="171">
        <f t="shared" si="42"/>
        <v>0</v>
      </c>
      <c r="H204" s="172">
        <f t="shared" si="43"/>
        <v>0</v>
      </c>
      <c r="I204" s="473"/>
      <c r="J204" s="461"/>
      <c r="K204" s="461"/>
    </row>
    <row r="205" spans="1:14" s="167" customFormat="1">
      <c r="A205" s="169" t="s">
        <v>143</v>
      </c>
      <c r="B205" s="170" t="s">
        <v>312</v>
      </c>
      <c r="C205" s="501">
        <f>'[27]Sch C'!D216</f>
        <v>5592</v>
      </c>
      <c r="D205" s="501">
        <f>'[27]Sch C'!F216</f>
        <v>-3122</v>
      </c>
      <c r="E205" s="171">
        <f t="shared" si="41"/>
        <v>2470</v>
      </c>
      <c r="F205" s="171">
        <v>4346.08</v>
      </c>
      <c r="G205" s="171">
        <f t="shared" si="42"/>
        <v>6816.08</v>
      </c>
      <c r="H205" s="172">
        <f t="shared" si="43"/>
        <v>1.3980345624586832E-3</v>
      </c>
      <c r="I205" s="473"/>
      <c r="J205" s="461"/>
      <c r="K205" s="461"/>
    </row>
    <row r="206" spans="1:14" s="167" customFormat="1">
      <c r="A206" s="163"/>
      <c r="B206" s="170" t="s">
        <v>144</v>
      </c>
      <c r="C206" s="501">
        <f>SUM(C200:C205)</f>
        <v>125700</v>
      </c>
      <c r="D206" s="501">
        <f>SUM(D200:D205)</f>
        <v>-29224</v>
      </c>
      <c r="E206" s="171">
        <f t="shared" ref="E206:F206" si="44">SUM(E200:E205)</f>
        <v>96476</v>
      </c>
      <c r="F206" s="171">
        <f t="shared" si="44"/>
        <v>25719.97</v>
      </c>
      <c r="G206" s="171">
        <f>SUM(G200:G205)</f>
        <v>122195.97</v>
      </c>
      <c r="H206" s="172">
        <f t="shared" si="43"/>
        <v>2.5063407332831241E-2</v>
      </c>
      <c r="I206" s="473"/>
      <c r="J206" s="461"/>
      <c r="K206" s="461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4031285</v>
      </c>
      <c r="D208" s="501">
        <f>SUM(D25:D206)/2</f>
        <v>-219314.27000000005</v>
      </c>
      <c r="E208" s="171">
        <f t="shared" ref="E208:F208" si="45">SUM(E25:E206)/2</f>
        <v>3811970.73</v>
      </c>
      <c r="F208" s="171">
        <f t="shared" si="45"/>
        <v>1077722.2900000003</v>
      </c>
      <c r="G208" s="171">
        <f>SUM(G25:G206)/2</f>
        <v>4875473.1700000009</v>
      </c>
      <c r="H208" s="172">
        <f>IF($G$208=0,0,G208/$G$208)</f>
        <v>1</v>
      </c>
      <c r="I208" s="473"/>
      <c r="J208" s="183">
        <f>SUM(J25:J200)</f>
        <v>107352.32000000001</v>
      </c>
      <c r="K208" s="183">
        <f>SUM(K25:K200)</f>
        <v>113438.39999999999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'[27]Sch C'!D221</f>
        <v>4031285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-267679</v>
      </c>
      <c r="D215" s="501">
        <f>D21-D208</f>
        <v>210871.27000000005</v>
      </c>
      <c r="E215" s="171">
        <f t="shared" ref="E215:F215" si="46">E21-E208</f>
        <v>-56807.729999999981</v>
      </c>
      <c r="F215" s="171">
        <f t="shared" si="46"/>
        <v>-51982.35000000021</v>
      </c>
      <c r="G215" s="171">
        <f>G21-G208</f>
        <v>-94570.230000000447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'[27]Sch D'!C9</f>
        <v>10560</v>
      </c>
      <c r="D219" s="530"/>
      <c r="E219" s="234">
        <f t="shared" ref="E219:G227" si="47">C219+D219</f>
        <v>10560</v>
      </c>
      <c r="F219" s="233">
        <v>3124</v>
      </c>
      <c r="G219" s="234">
        <f t="shared" si="47"/>
        <v>13684</v>
      </c>
      <c r="H219" s="172">
        <f t="shared" ref="H219:H228" si="48">IF($G$228=0,0,G219/$G$228)</f>
        <v>0.63313746356359601</v>
      </c>
      <c r="I219" s="473"/>
      <c r="J219" s="168"/>
      <c r="K219" s="168"/>
    </row>
    <row r="220" spans="1:11">
      <c r="A220" s="163"/>
      <c r="B220" s="170" t="s">
        <v>217</v>
      </c>
      <c r="C220" s="530">
        <f>'[27]Sch D'!D9</f>
        <v>0</v>
      </c>
      <c r="D220" s="530"/>
      <c r="E220" s="234">
        <f t="shared" ref="E220:E227" si="49">C220+D220</f>
        <v>0</v>
      </c>
      <c r="F220" s="233">
        <v>0</v>
      </c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'[27]Sch D'!E9</f>
        <v>1455</v>
      </c>
      <c r="D221" s="530"/>
      <c r="E221" s="234">
        <f t="shared" si="49"/>
        <v>1455</v>
      </c>
      <c r="F221" s="233">
        <v>367</v>
      </c>
      <c r="G221" s="234">
        <f t="shared" si="47"/>
        <v>1822</v>
      </c>
      <c r="H221" s="172">
        <f t="shared" si="48"/>
        <v>8.4301115069634017E-2</v>
      </c>
      <c r="I221" s="473"/>
      <c r="J221" s="168"/>
      <c r="K221" s="168"/>
    </row>
    <row r="222" spans="1:11">
      <c r="A222" s="163"/>
      <c r="B222" s="202" t="s">
        <v>334</v>
      </c>
      <c r="C222" s="530">
        <f>'[27]Sch D'!F9</f>
        <v>373</v>
      </c>
      <c r="D222" s="530"/>
      <c r="E222" s="234">
        <f>C222+D222</f>
        <v>373</v>
      </c>
      <c r="F222" s="233">
        <v>40</v>
      </c>
      <c r="G222" s="234">
        <f>E222+F222</f>
        <v>413</v>
      </c>
      <c r="H222" s="172">
        <f t="shared" si="48"/>
        <v>1.9108869661777633E-2</v>
      </c>
      <c r="I222" s="473"/>
      <c r="J222" s="168"/>
      <c r="K222" s="168"/>
    </row>
    <row r="223" spans="1:11">
      <c r="A223" s="163"/>
      <c r="B223" s="170" t="s">
        <v>73</v>
      </c>
      <c r="C223" s="530">
        <f>'[27]Sch D'!G9</f>
        <v>0</v>
      </c>
      <c r="D223" s="530"/>
      <c r="E223" s="234">
        <f t="shared" si="49"/>
        <v>0</v>
      </c>
      <c r="F223" s="233">
        <v>0</v>
      </c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'[27]Sch D'!H9</f>
        <v>2163</v>
      </c>
      <c r="D224" s="530"/>
      <c r="E224" s="234">
        <f t="shared" si="49"/>
        <v>2163</v>
      </c>
      <c r="F224" s="233">
        <v>1034</v>
      </c>
      <c r="G224" s="234">
        <f t="shared" si="47"/>
        <v>3197</v>
      </c>
      <c r="H224" s="172">
        <f t="shared" si="48"/>
        <v>0.1479202331929857</v>
      </c>
      <c r="I224" s="473"/>
      <c r="J224" s="168"/>
      <c r="K224" s="168"/>
    </row>
    <row r="225" spans="1:11">
      <c r="A225" s="163"/>
      <c r="B225" s="170" t="s">
        <v>236</v>
      </c>
      <c r="C225" s="530">
        <f>'[27]Sch D'!I9</f>
        <v>2001</v>
      </c>
      <c r="D225" s="530"/>
      <c r="E225" s="234">
        <f t="shared" si="49"/>
        <v>2001</v>
      </c>
      <c r="F225" s="233">
        <v>458</v>
      </c>
      <c r="G225" s="234">
        <f t="shared" si="47"/>
        <v>2459</v>
      </c>
      <c r="H225" s="172">
        <f t="shared" si="48"/>
        <v>0.11377411742932494</v>
      </c>
      <c r="I225" s="473"/>
      <c r="J225" s="168"/>
      <c r="K225" s="168"/>
    </row>
    <row r="226" spans="1:11">
      <c r="A226" s="163"/>
      <c r="B226" s="170" t="s">
        <v>235</v>
      </c>
      <c r="C226" s="530">
        <f>'[27]Sch D'!J9</f>
        <v>0</v>
      </c>
      <c r="D226" s="530"/>
      <c r="E226" s="234">
        <f>C226+D226</f>
        <v>0</v>
      </c>
      <c r="F226" s="233">
        <v>38</v>
      </c>
      <c r="G226" s="234">
        <f>E226+F226</f>
        <v>38</v>
      </c>
      <c r="H226" s="172">
        <f t="shared" si="48"/>
        <v>1.7582010826817194E-3</v>
      </c>
      <c r="I226" s="473"/>
      <c r="J226" s="168"/>
      <c r="K226" s="168"/>
    </row>
    <row r="227" spans="1:11">
      <c r="A227" s="163"/>
      <c r="B227" s="170" t="s">
        <v>179</v>
      </c>
      <c r="C227" s="530">
        <f>'[27]Sch D'!K9</f>
        <v>0</v>
      </c>
      <c r="D227" s="530"/>
      <c r="E227" s="234">
        <f t="shared" si="49"/>
        <v>0</v>
      </c>
      <c r="F227" s="233">
        <v>0</v>
      </c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16552</v>
      </c>
      <c r="D228" s="530">
        <f>SUM(D219:D227)</f>
        <v>0</v>
      </c>
      <c r="E228" s="236">
        <f>SUM(E219:E227)</f>
        <v>16552</v>
      </c>
      <c r="F228" s="236">
        <f>SUM(F219:F227)</f>
        <v>5061</v>
      </c>
      <c r="G228" s="236">
        <f>SUM(G219:G227)</f>
        <v>21613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'[27]Sch D'!N22</f>
        <v>121</v>
      </c>
      <c r="D231" s="502"/>
      <c r="E231" s="234">
        <f>C231+D231</f>
        <v>121</v>
      </c>
      <c r="F231" s="234"/>
      <c r="G231" s="234">
        <f>E231+F231</f>
        <v>121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'[27]Sch D'!N24</f>
        <v>121</v>
      </c>
      <c r="D232" s="502"/>
      <c r="E232" s="234">
        <f>C232+D232</f>
        <v>121</v>
      </c>
      <c r="F232" s="234"/>
      <c r="G232" s="234">
        <f>E232+F232</f>
        <v>121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274</v>
      </c>
      <c r="D233" s="438"/>
      <c r="E233" s="234">
        <f>C233+D233</f>
        <v>274</v>
      </c>
      <c r="F233" s="238">
        <v>91</v>
      </c>
      <c r="G233" s="234">
        <f>E233+F233</f>
        <v>365</v>
      </c>
      <c r="H233" s="167" t="s">
        <v>556</v>
      </c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'[27]Sch D'!N28</f>
        <v>33154</v>
      </c>
      <c r="D235" s="438"/>
      <c r="E235" s="233">
        <f>E231*E233</f>
        <v>33154</v>
      </c>
      <c r="F235" s="238"/>
      <c r="G235" s="233">
        <f>G231*G233</f>
        <v>44165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'[27]Sch D'!N30</f>
        <v>0.49924594317427762</v>
      </c>
      <c r="D236" s="238"/>
      <c r="E236" s="242">
        <f>E228/E235</f>
        <v>0.49924594317427762</v>
      </c>
      <c r="F236" s="243"/>
      <c r="G236" s="242">
        <f>G228/G235</f>
        <v>0.48936941016642138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'[27]Sch D'!N32</f>
        <v>0.31851360318513605</v>
      </c>
      <c r="D237" s="238"/>
      <c r="E237" s="242">
        <f>(E219+E220)/E235</f>
        <v>0.31851360318513605</v>
      </c>
      <c r="F237" s="243"/>
      <c r="G237" s="242">
        <f>(G219+G220)/G235</f>
        <v>0.30983810709838105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'[27]Sch D'!N34</f>
        <v>0.63798936684388596</v>
      </c>
      <c r="D238" s="238"/>
      <c r="E238" s="242">
        <f>(E237/E236)</f>
        <v>0.63798936684388596</v>
      </c>
      <c r="F238" s="243"/>
      <c r="G238" s="242">
        <f>(G237/G236)</f>
        <v>0.6331374635635959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v>202.02850356294536</v>
      </c>
      <c r="I241" s="475"/>
    </row>
    <row r="242" spans="2:9">
      <c r="F242" s="142" t="s">
        <v>341</v>
      </c>
      <c r="G242" s="501">
        <v>198.76583210603829</v>
      </c>
      <c r="I242" s="475"/>
    </row>
    <row r="243" spans="2:9">
      <c r="F243" s="142" t="s">
        <v>342</v>
      </c>
      <c r="G243" s="501">
        <v>213.15428033866417</v>
      </c>
      <c r="I243" s="475"/>
    </row>
    <row r="244" spans="2:9">
      <c r="F244" s="142" t="s">
        <v>343</v>
      </c>
      <c r="G244" s="501">
        <v>203.58994197292068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E28CAB"/>
  </sheetPr>
  <dimension ref="A1:O249"/>
  <sheetViews>
    <sheetView showGridLines="0" zoomScaleNormal="100" workbookViewId="0">
      <pane xSplit="2" topLeftCell="F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377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436" t="s">
        <v>392</v>
      </c>
      <c r="D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'[3]Sch B'!E10</f>
        <v>2693684</v>
      </c>
      <c r="D11" s="501">
        <f>'[3]Sch B'!G10</f>
        <v>0</v>
      </c>
      <c r="E11" s="171">
        <f>C11+D11</f>
        <v>2693684</v>
      </c>
      <c r="F11" s="171"/>
      <c r="G11" s="171">
        <f t="shared" ref="G11:G20" si="0">E11+F11</f>
        <v>2693684</v>
      </c>
      <c r="H11" s="172">
        <f t="shared" ref="H11:H21" si="1">IF($G$21=0,0,G11/$G$21)</f>
        <v>0.45308360911487788</v>
      </c>
      <c r="I11" s="473"/>
      <c r="J11" s="336" t="s">
        <v>344</v>
      </c>
      <c r="K11" s="337">
        <f>G21</f>
        <v>5945225</v>
      </c>
    </row>
    <row r="12" spans="1:11" s="167" customFormat="1">
      <c r="A12" s="169" t="s">
        <v>15</v>
      </c>
      <c r="B12" s="170" t="s">
        <v>212</v>
      </c>
      <c r="C12" s="501">
        <f>'[3]Sch B'!E15</f>
        <v>0</v>
      </c>
      <c r="D12" s="501">
        <f>'[3]Sch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6241805</v>
      </c>
    </row>
    <row r="13" spans="1:11" s="167" customFormat="1">
      <c r="A13" s="169" t="s">
        <v>16</v>
      </c>
      <c r="B13" s="170" t="s">
        <v>170</v>
      </c>
      <c r="C13" s="501">
        <f>'[3]Sch B'!E21</f>
        <v>1269317</v>
      </c>
      <c r="D13" s="501">
        <f>'[3]Sch B'!G21</f>
        <v>0</v>
      </c>
      <c r="E13" s="171">
        <f t="shared" si="2"/>
        <v>1269317</v>
      </c>
      <c r="F13" s="171"/>
      <c r="G13" s="171">
        <f t="shared" si="0"/>
        <v>1269317</v>
      </c>
      <c r="H13" s="172">
        <f t="shared" si="1"/>
        <v>0.21350192801786308</v>
      </c>
      <c r="I13" s="473"/>
      <c r="J13" s="338" t="s">
        <v>346</v>
      </c>
      <c r="K13" s="339">
        <f>G228</f>
        <v>23835</v>
      </c>
    </row>
    <row r="14" spans="1:11" s="167" customFormat="1">
      <c r="A14" s="173" t="s">
        <v>18</v>
      </c>
      <c r="B14" s="174" t="s">
        <v>306</v>
      </c>
      <c r="C14" s="501">
        <f>'[3]Sch B'!E27</f>
        <v>715747</v>
      </c>
      <c r="D14" s="501">
        <f>'[3]Sch B'!G27</f>
        <v>0</v>
      </c>
      <c r="E14" s="171">
        <f t="shared" si="2"/>
        <v>715747</v>
      </c>
      <c r="F14" s="175"/>
      <c r="G14" s="175">
        <f>E14+F14</f>
        <v>715747</v>
      </c>
      <c r="H14" s="176">
        <f t="shared" si="1"/>
        <v>0.12039022913346425</v>
      </c>
      <c r="I14" s="479"/>
      <c r="J14" s="338" t="s">
        <v>347</v>
      </c>
      <c r="K14" s="339">
        <f>G231</f>
        <v>122</v>
      </c>
    </row>
    <row r="15" spans="1:11" s="167" customFormat="1">
      <c r="A15" s="169" t="s">
        <v>19</v>
      </c>
      <c r="B15" s="170" t="s">
        <v>171</v>
      </c>
      <c r="C15" s="501">
        <f>'[3]Sch B'!E32</f>
        <v>0</v>
      </c>
      <c r="D15" s="501">
        <f>'[3]Sch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44530</v>
      </c>
    </row>
    <row r="16" spans="1:11" s="167" customFormat="1">
      <c r="A16" s="169" t="s">
        <v>21</v>
      </c>
      <c r="B16" s="170" t="s">
        <v>172</v>
      </c>
      <c r="C16" s="501">
        <f>'[3]Sch B'!E37</f>
        <v>662680</v>
      </c>
      <c r="D16" s="501">
        <f>'[3]Sch B'!G37</f>
        <v>0</v>
      </c>
      <c r="E16" s="171">
        <f t="shared" si="2"/>
        <v>662680</v>
      </c>
      <c r="F16" s="171"/>
      <c r="G16" s="171">
        <f t="shared" si="0"/>
        <v>662680</v>
      </c>
      <c r="H16" s="172">
        <f t="shared" si="1"/>
        <v>0.11146424231210762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'[3]Sch B'!E42</f>
        <v>347548</v>
      </c>
      <c r="D17" s="501">
        <f>'[3]Sch B'!G42</f>
        <v>0</v>
      </c>
      <c r="E17" s="171">
        <f t="shared" si="2"/>
        <v>347548</v>
      </c>
      <c r="F17" s="171"/>
      <c r="G17" s="171">
        <f>E17+F17</f>
        <v>347548</v>
      </c>
      <c r="H17" s="172">
        <f t="shared" si="1"/>
        <v>5.8458342619497158E-2</v>
      </c>
      <c r="I17" s="473"/>
      <c r="J17" s="338" t="s">
        <v>156</v>
      </c>
      <c r="K17" s="339">
        <f>J208</f>
        <v>106075</v>
      </c>
    </row>
    <row r="18" spans="1:11" s="167" customFormat="1" ht="13.5" thickBot="1">
      <c r="A18" s="169" t="s">
        <v>216</v>
      </c>
      <c r="B18" s="170" t="s">
        <v>229</v>
      </c>
      <c r="C18" s="501">
        <f>'[3]Sch B'!E47</f>
        <v>0</v>
      </c>
      <c r="D18" s="501">
        <f>'[3]Sch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113497</v>
      </c>
    </row>
    <row r="19" spans="1:11" s="167" customFormat="1">
      <c r="A19" s="169" t="s">
        <v>227</v>
      </c>
      <c r="B19" s="177" t="s">
        <v>173</v>
      </c>
      <c r="C19" s="501">
        <f>'[3]Sch B'!E52</f>
        <v>119755</v>
      </c>
      <c r="D19" s="501">
        <f>'[3]Sch B'!G52</f>
        <v>0</v>
      </c>
      <c r="E19" s="171">
        <f t="shared" si="2"/>
        <v>119755</v>
      </c>
      <c r="F19" s="171"/>
      <c r="G19" s="171">
        <f t="shared" si="0"/>
        <v>119755</v>
      </c>
      <c r="H19" s="172">
        <f t="shared" si="1"/>
        <v>2.0143055981901442E-2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'[3]Sch B'!E67</f>
        <v>138710</v>
      </c>
      <c r="D20" s="501">
        <f>'[3]Sch B'!G67</f>
        <v>-2216</v>
      </c>
      <c r="E20" s="171">
        <f t="shared" si="2"/>
        <v>136494</v>
      </c>
      <c r="F20" s="171"/>
      <c r="G20" s="171">
        <f t="shared" si="0"/>
        <v>136494</v>
      </c>
      <c r="H20" s="172">
        <f t="shared" si="1"/>
        <v>2.2958592820288552E-2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5947441</v>
      </c>
      <c r="D21" s="501">
        <f>SUM(D11:D20)</f>
        <v>-2216</v>
      </c>
      <c r="E21" s="171">
        <f>SUM(E11:E20)</f>
        <v>5945225</v>
      </c>
      <c r="F21" s="171">
        <f>SUM(F11:F20)</f>
        <v>0</v>
      </c>
      <c r="G21" s="171">
        <f>SUM(G11:G20)</f>
        <v>5945225</v>
      </c>
      <c r="H21" s="172">
        <f t="shared" si="1"/>
        <v>1</v>
      </c>
      <c r="I21" s="473"/>
      <c r="J21" s="168"/>
      <c r="K21" s="168"/>
    </row>
    <row r="22" spans="1:1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'[3]Sch C'!D10</f>
        <v>0</v>
      </c>
      <c r="D25" s="501">
        <f>'[3]Sch C'!F10</f>
        <v>123896</v>
      </c>
      <c r="E25" s="171">
        <f t="shared" ref="E25:E60" si="3">C25+D25</f>
        <v>123896</v>
      </c>
      <c r="F25" s="171"/>
      <c r="G25" s="182">
        <f>E25+F25</f>
        <v>123896</v>
      </c>
      <c r="H25" s="172">
        <f>IF($G$208=0,0,G25/$G$208)</f>
        <v>1.9849386515599254E-2</v>
      </c>
      <c r="I25" s="547"/>
      <c r="J25" s="183">
        <v>1896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'[3]Sch C'!D11</f>
        <v>0</v>
      </c>
      <c r="D26" s="501">
        <f>'[3]Sch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547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'[3]Sch C'!D12</f>
        <v>257020</v>
      </c>
      <c r="D27" s="501">
        <f>'[3]Sch C'!F12</f>
        <v>-123896</v>
      </c>
      <c r="E27" s="171">
        <f t="shared" si="3"/>
        <v>133124</v>
      </c>
      <c r="F27" s="171"/>
      <c r="G27" s="171">
        <f t="shared" si="4"/>
        <v>133124</v>
      </c>
      <c r="H27" s="172">
        <f t="shared" si="5"/>
        <v>2.1327805017939523E-2</v>
      </c>
      <c r="I27" s="547"/>
      <c r="J27" s="183">
        <v>6564</v>
      </c>
      <c r="K27" s="183">
        <v>6935</v>
      </c>
    </row>
    <row r="28" spans="1:11" s="167" customFormat="1">
      <c r="A28" s="169" t="s">
        <v>86</v>
      </c>
      <c r="B28" s="170" t="s">
        <v>45</v>
      </c>
      <c r="C28" s="501">
        <f>'[3]Sch C'!D13</f>
        <v>43654</v>
      </c>
      <c r="D28" s="501">
        <f>'[3]Sch C'!F13</f>
        <v>0</v>
      </c>
      <c r="E28" s="171">
        <f t="shared" si="3"/>
        <v>43654</v>
      </c>
      <c r="F28" s="171"/>
      <c r="G28" s="171">
        <f t="shared" si="4"/>
        <v>43654</v>
      </c>
      <c r="H28" s="172">
        <f t="shared" si="5"/>
        <v>6.9938102840444395E-3</v>
      </c>
      <c r="I28" s="547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'[3]Sch C'!D14</f>
        <v>0</v>
      </c>
      <c r="D29" s="501">
        <f>'[3]Sch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547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'[3]Sch C'!D15</f>
        <v>0</v>
      </c>
      <c r="D30" s="501">
        <f>'[3]Sch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547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'[3]Sch C'!D16</f>
        <v>296925</v>
      </c>
      <c r="D31" s="501">
        <f>'[3]Sch C'!F16</f>
        <v>-4454</v>
      </c>
      <c r="E31" s="171">
        <f t="shared" si="3"/>
        <v>292471</v>
      </c>
      <c r="F31" s="171"/>
      <c r="G31" s="171">
        <f t="shared" si="4"/>
        <v>292471</v>
      </c>
      <c r="H31" s="172">
        <f t="shared" si="5"/>
        <v>4.6856798634369388E-2</v>
      </c>
      <c r="I31" s="547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'[3]Sch C'!D17</f>
        <v>803</v>
      </c>
      <c r="D32" s="501">
        <f>'[3]Sch C'!F17</f>
        <v>-803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547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'[3]Sch C'!D18</f>
        <v>20140</v>
      </c>
      <c r="D33" s="501">
        <f>'[3]Sch C'!F18</f>
        <v>0</v>
      </c>
      <c r="E33" s="171">
        <f t="shared" si="3"/>
        <v>20140</v>
      </c>
      <c r="F33" s="171"/>
      <c r="G33" s="171">
        <f t="shared" si="4"/>
        <v>20140</v>
      </c>
      <c r="H33" s="172">
        <f t="shared" si="5"/>
        <v>3.2266307582502177E-3</v>
      </c>
      <c r="I33" s="547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'[3]Sch C'!D19</f>
        <v>11250</v>
      </c>
      <c r="D34" s="501">
        <f>'[3]Sch C'!F19</f>
        <v>0</v>
      </c>
      <c r="E34" s="171">
        <f t="shared" si="3"/>
        <v>11250</v>
      </c>
      <c r="F34" s="171"/>
      <c r="G34" s="171">
        <f t="shared" si="4"/>
        <v>11250</v>
      </c>
      <c r="H34" s="172">
        <f t="shared" si="5"/>
        <v>1.8023632587048138E-3</v>
      </c>
      <c r="I34" s="547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'[3]Sch C'!D20</f>
        <v>15270</v>
      </c>
      <c r="D35" s="501">
        <f>'[3]Sch C'!F20</f>
        <v>0</v>
      </c>
      <c r="E35" s="171">
        <f t="shared" si="3"/>
        <v>15270</v>
      </c>
      <c r="F35" s="171"/>
      <c r="G35" s="171">
        <f t="shared" si="4"/>
        <v>15270</v>
      </c>
      <c r="H35" s="172">
        <f t="shared" si="5"/>
        <v>2.4464077298153339E-3</v>
      </c>
      <c r="I35" s="547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'[3]Sch C'!D21</f>
        <v>19020</v>
      </c>
      <c r="D36" s="501">
        <f>'[3]Sch C'!F21</f>
        <v>0</v>
      </c>
      <c r="E36" s="171">
        <f t="shared" si="3"/>
        <v>19020</v>
      </c>
      <c r="F36" s="171"/>
      <c r="G36" s="171">
        <f t="shared" si="4"/>
        <v>19020</v>
      </c>
      <c r="H36" s="172">
        <f t="shared" si="5"/>
        <v>3.0471954827169384E-3</v>
      </c>
      <c r="I36" s="547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'[3]Sch C'!D22</f>
        <v>0</v>
      </c>
      <c r="D37" s="501">
        <f>'[3]Sch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547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'[3]Sch C'!D23</f>
        <v>3435</v>
      </c>
      <c r="D38" s="501">
        <f>'[3]Sch C'!F23</f>
        <v>0</v>
      </c>
      <c r="E38" s="171">
        <f t="shared" si="3"/>
        <v>3435</v>
      </c>
      <c r="F38" s="171"/>
      <c r="G38" s="171">
        <f t="shared" si="4"/>
        <v>3435</v>
      </c>
      <c r="H38" s="172">
        <f t="shared" si="5"/>
        <v>5.5032158165786976E-4</v>
      </c>
      <c r="I38" s="547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'[3]Sch C'!D24</f>
        <v>91</v>
      </c>
      <c r="D39" s="501">
        <f>'[3]Sch C'!F24</f>
        <v>0</v>
      </c>
      <c r="E39" s="171">
        <f t="shared" si="3"/>
        <v>91</v>
      </c>
      <c r="F39" s="171"/>
      <c r="G39" s="171">
        <f t="shared" si="4"/>
        <v>91</v>
      </c>
      <c r="H39" s="172">
        <f t="shared" si="5"/>
        <v>1.4579116137078938E-5</v>
      </c>
      <c r="I39" s="547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'[3]Sch C'!D25</f>
        <v>7487</v>
      </c>
      <c r="D40" s="501">
        <f>'[3]Sch C'!F25</f>
        <v>0</v>
      </c>
      <c r="E40" s="171">
        <f t="shared" si="3"/>
        <v>7487</v>
      </c>
      <c r="F40" s="171"/>
      <c r="G40" s="171">
        <f t="shared" si="4"/>
        <v>7487</v>
      </c>
      <c r="H40" s="172">
        <f t="shared" si="5"/>
        <v>1.1994927749264836E-3</v>
      </c>
      <c r="I40" s="547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'[3]Sch C'!D26</f>
        <v>368072</v>
      </c>
      <c r="D41" s="501">
        <f>'[3]Sch C'!F26</f>
        <v>0</v>
      </c>
      <c r="E41" s="171">
        <f t="shared" si="3"/>
        <v>368072</v>
      </c>
      <c r="F41" s="171"/>
      <c r="G41" s="171">
        <f t="shared" si="4"/>
        <v>368072</v>
      </c>
      <c r="H41" s="172">
        <f t="shared" si="5"/>
        <v>5.8968839942933171E-2</v>
      </c>
      <c r="I41" s="547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'[3]Sch C'!D27</f>
        <v>24684</v>
      </c>
      <c r="D42" s="501">
        <f>'[3]Sch C'!F27</f>
        <v>-107</v>
      </c>
      <c r="E42" s="171">
        <f t="shared" si="3"/>
        <v>24577</v>
      </c>
      <c r="F42" s="171"/>
      <c r="G42" s="171">
        <f t="shared" si="4"/>
        <v>24577</v>
      </c>
      <c r="H42" s="172">
        <f t="shared" si="5"/>
        <v>3.937482827483396E-3</v>
      </c>
      <c r="I42" s="547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'[3]Sch C'!D28</f>
        <v>0</v>
      </c>
      <c r="D43" s="501">
        <f>'[3]Sch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547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'[3]Sch C'!D29</f>
        <v>51736</v>
      </c>
      <c r="D44" s="501">
        <f>'[3]Sch C'!F29</f>
        <v>-51736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547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'[3]Sch C'!D30</f>
        <v>0</v>
      </c>
      <c r="D45" s="501">
        <f>'[3]Sch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547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'[3]Sch C'!D31</f>
        <v>0</v>
      </c>
      <c r="D46" s="501">
        <f>'[3]Sch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547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'[3]Sch C'!D32</f>
        <v>65990</v>
      </c>
      <c r="D47" s="501">
        <f>'[3]Sch C'!F32</f>
        <v>0</v>
      </c>
      <c r="E47" s="171">
        <f t="shared" si="3"/>
        <v>65990</v>
      </c>
      <c r="F47" s="171"/>
      <c r="G47" s="171">
        <f t="shared" si="4"/>
        <v>65990</v>
      </c>
      <c r="H47" s="172">
        <f t="shared" si="5"/>
        <v>1.0572262350393836E-2</v>
      </c>
      <c r="I47" s="547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'[3]Sch C'!D33</f>
        <v>0</v>
      </c>
      <c r="D48" s="501">
        <f>'[3]Sch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547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'[3]Sch C'!D34</f>
        <v>64</v>
      </c>
      <c r="D49" s="501">
        <f>'[3]Sch C'!F34</f>
        <v>0</v>
      </c>
      <c r="E49" s="171">
        <f t="shared" si="3"/>
        <v>64</v>
      </c>
      <c r="F49" s="171"/>
      <c r="G49" s="171">
        <f t="shared" si="4"/>
        <v>64</v>
      </c>
      <c r="H49" s="172">
        <f t="shared" si="5"/>
        <v>1.0253444316187385E-5</v>
      </c>
      <c r="I49" s="547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'[3]Sch C'!D35</f>
        <v>3040</v>
      </c>
      <c r="D50" s="501">
        <f>'[3]Sch C'!F35</f>
        <v>-3040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547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'[3]Sch C'!D36</f>
        <v>0</v>
      </c>
      <c r="D51" s="501">
        <f>'[3]Sch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547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'[3]Sch C'!D37</f>
        <v>0</v>
      </c>
      <c r="D52" s="501">
        <f>'[3]Sch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547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'[3]Sch C'!D38</f>
        <v>0</v>
      </c>
      <c r="D53" s="501">
        <f>'[3]Sch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547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'[3]Sch C'!D39</f>
        <v>3441</v>
      </c>
      <c r="D54" s="501">
        <f>'[3]Sch C'!F39</f>
        <v>0</v>
      </c>
      <c r="E54" s="171">
        <f t="shared" si="3"/>
        <v>3441</v>
      </c>
      <c r="F54" s="171"/>
      <c r="G54" s="171">
        <f t="shared" si="4"/>
        <v>3441</v>
      </c>
      <c r="H54" s="172">
        <f t="shared" si="5"/>
        <v>5.5128284206251233E-4</v>
      </c>
      <c r="I54" s="547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'[3]Sch C'!D40</f>
        <v>3672</v>
      </c>
      <c r="D55" s="501">
        <f>'[3]Sch C'!F40</f>
        <v>-3672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547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'[3]Sch C'!D41</f>
        <v>170554</v>
      </c>
      <c r="D56" s="501">
        <f>'[3]Sch C'!F41</f>
        <v>67</v>
      </c>
      <c r="E56" s="171">
        <f t="shared" si="3"/>
        <v>170621</v>
      </c>
      <c r="F56" s="171"/>
      <c r="G56" s="171">
        <f t="shared" si="4"/>
        <v>170621</v>
      </c>
      <c r="H56" s="172">
        <f t="shared" si="5"/>
        <v>2.7335201916753246E-2</v>
      </c>
      <c r="I56" s="547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'[3]Sch C'!D42</f>
        <v>0</v>
      </c>
      <c r="D57" s="501">
        <f>'[3]Sch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547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'[3]Sch C'!D43</f>
        <v>9344</v>
      </c>
      <c r="D58" s="501">
        <f>'[3]Sch C'!F43</f>
        <v>-9344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547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'[3]Sch C'!D44</f>
        <v>0</v>
      </c>
      <c r="D59" s="501">
        <f>'[3]Sch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547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'[3]Sch C'!D45</f>
        <v>5933</v>
      </c>
      <c r="D60" s="501">
        <f>'[3]Sch C'!F45</f>
        <v>-1966</v>
      </c>
      <c r="E60" s="171">
        <f t="shared" si="3"/>
        <v>3967</v>
      </c>
      <c r="F60" s="171"/>
      <c r="G60" s="171">
        <f t="shared" si="4"/>
        <v>3967</v>
      </c>
      <c r="H60" s="172">
        <f t="shared" si="5"/>
        <v>6.3555333753617747E-4</v>
      </c>
      <c r="I60" s="547"/>
      <c r="J60" s="168"/>
      <c r="K60" s="168"/>
    </row>
    <row r="61" spans="1:11" s="167" customFormat="1">
      <c r="A61" s="163"/>
      <c r="B61" s="170" t="s">
        <v>177</v>
      </c>
      <c r="C61" s="501">
        <f>SUM(C25:C60)</f>
        <v>1381625</v>
      </c>
      <c r="D61" s="501">
        <f>SUM(D25:D60)</f>
        <v>-75055</v>
      </c>
      <c r="E61" s="171">
        <f t="shared" ref="E61:F61" si="6">SUM(E25:E60)</f>
        <v>1306570</v>
      </c>
      <c r="F61" s="171">
        <f t="shared" si="6"/>
        <v>0</v>
      </c>
      <c r="G61" s="171">
        <f>SUM(G25:G60)</f>
        <v>1306570</v>
      </c>
      <c r="H61" s="186">
        <f t="shared" si="5"/>
        <v>0.20932566781563985</v>
      </c>
      <c r="I61" s="547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547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47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'[3]Sch C'!D57</f>
        <v>0</v>
      </c>
      <c r="D64" s="501">
        <f>'[3]Sch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547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'[3]Sch C'!D58</f>
        <v>168711</v>
      </c>
      <c r="D65" s="501">
        <f>'[3]Sch C'!F58</f>
        <v>0</v>
      </c>
      <c r="E65" s="171">
        <f t="shared" si="7"/>
        <v>168711</v>
      </c>
      <c r="F65" s="171"/>
      <c r="G65" s="171">
        <f t="shared" si="8"/>
        <v>168711</v>
      </c>
      <c r="H65" s="172">
        <f t="shared" si="9"/>
        <v>2.7029200687942029E-2</v>
      </c>
      <c r="I65" s="547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'[3]Sch C'!D59</f>
        <v>245653</v>
      </c>
      <c r="D66" s="501">
        <f>'[3]Sch C'!F59</f>
        <v>0</v>
      </c>
      <c r="E66" s="171">
        <f t="shared" si="7"/>
        <v>245653</v>
      </c>
      <c r="F66" s="171"/>
      <c r="G66" s="171">
        <f t="shared" si="8"/>
        <v>245653</v>
      </c>
      <c r="H66" s="172">
        <f t="shared" si="9"/>
        <v>3.9356083696943434E-2</v>
      </c>
      <c r="I66" s="547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'[3]Sch C'!D60</f>
        <v>32499</v>
      </c>
      <c r="D67" s="501">
        <f>'[3]Sch C'!F60</f>
        <v>0</v>
      </c>
      <c r="E67" s="171">
        <f t="shared" si="7"/>
        <v>32499</v>
      </c>
      <c r="F67" s="171"/>
      <c r="G67" s="171">
        <f t="shared" si="8"/>
        <v>32499</v>
      </c>
      <c r="H67" s="172">
        <f t="shared" si="9"/>
        <v>5.2066669817464658E-3</v>
      </c>
      <c r="I67" s="547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'[3]Sch C'!D61</f>
        <v>41463</v>
      </c>
      <c r="D68" s="501">
        <f>'[3]Sch C'!F61</f>
        <v>0</v>
      </c>
      <c r="E68" s="171">
        <f t="shared" si="7"/>
        <v>41463</v>
      </c>
      <c r="F68" s="171"/>
      <c r="G68" s="171">
        <f t="shared" si="8"/>
        <v>41463</v>
      </c>
      <c r="H68" s="172">
        <f t="shared" si="9"/>
        <v>6.6427900262824614E-3</v>
      </c>
      <c r="I68" s="547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'[3]Sch C'!D62</f>
        <v>782</v>
      </c>
      <c r="D69" s="501">
        <f>'[3]Sch C'!F62</f>
        <v>0</v>
      </c>
      <c r="E69" s="171">
        <f t="shared" si="7"/>
        <v>782</v>
      </c>
      <c r="F69" s="171"/>
      <c r="G69" s="171">
        <f t="shared" si="8"/>
        <v>782</v>
      </c>
      <c r="H69" s="172">
        <f t="shared" si="9"/>
        <v>1.2528427273841462E-4</v>
      </c>
      <c r="I69" s="547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'[3]Sch C'!D63</f>
        <v>0</v>
      </c>
      <c r="D70" s="501">
        <f>'[3]Sch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547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'[3]Sch C'!D64</f>
        <v>0</v>
      </c>
      <c r="D71" s="501">
        <f>'[3]Sch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547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'[3]Sch C'!D65</f>
        <v>0</v>
      </c>
      <c r="D72" s="501">
        <f>'[3]Sch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547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'[3]Sch C'!D66</f>
        <v>60376</v>
      </c>
      <c r="D73" s="501">
        <f>'[3]Sch C'!F66</f>
        <v>-956</v>
      </c>
      <c r="E73" s="171">
        <f t="shared" si="7"/>
        <v>59420</v>
      </c>
      <c r="F73" s="171"/>
      <c r="G73" s="171">
        <f t="shared" si="8"/>
        <v>59420</v>
      </c>
      <c r="H73" s="172">
        <f t="shared" si="9"/>
        <v>9.5196822073102243E-3</v>
      </c>
      <c r="I73" s="547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'[3]Sch C'!D67</f>
        <v>60851</v>
      </c>
      <c r="D74" s="501">
        <f>'[3]Sch C'!F67</f>
        <v>0</v>
      </c>
      <c r="E74" s="171">
        <f t="shared" si="7"/>
        <v>60851</v>
      </c>
      <c r="F74" s="171"/>
      <c r="G74" s="171">
        <f t="shared" si="8"/>
        <v>60851</v>
      </c>
      <c r="H74" s="172">
        <f t="shared" si="9"/>
        <v>9.748942813817477E-3</v>
      </c>
      <c r="I74" s="547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'[3]Sch C'!D68</f>
        <v>0</v>
      </c>
      <c r="D75" s="501">
        <f>'[3]Sch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547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'[3]Sch C'!D69</f>
        <v>5653</v>
      </c>
      <c r="D76" s="501">
        <f>'[3]Sch C'!F69</f>
        <v>0</v>
      </c>
      <c r="E76" s="171">
        <f t="shared" si="7"/>
        <v>5653</v>
      </c>
      <c r="F76" s="171"/>
      <c r="G76" s="171">
        <f t="shared" si="8"/>
        <v>5653</v>
      </c>
      <c r="H76" s="172">
        <f t="shared" si="9"/>
        <v>9.0566751124073884E-4</v>
      </c>
      <c r="I76" s="547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'[3]Sch C'!D70</f>
        <v>0</v>
      </c>
      <c r="D77" s="501">
        <f>'[3]Sch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547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'[3]Sch C'!D71</f>
        <v>0</v>
      </c>
      <c r="D78" s="501">
        <f>'[3]Sch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547"/>
      <c r="J78" s="195"/>
      <c r="K78" s="168"/>
    </row>
    <row r="79" spans="1:11" s="167" customFormat="1">
      <c r="A79" s="163"/>
      <c r="B79" s="170" t="s">
        <v>150</v>
      </c>
      <c r="C79" s="501">
        <f>SUM(C64:C78)</f>
        <v>615988</v>
      </c>
      <c r="D79" s="501">
        <f>SUM(D64:D78)</f>
        <v>-956</v>
      </c>
      <c r="E79" s="171">
        <f t="shared" ref="E79:F79" si="10">SUM(E64:E78)</f>
        <v>615032</v>
      </c>
      <c r="F79" s="171">
        <f t="shared" si="10"/>
        <v>0</v>
      </c>
      <c r="G79" s="171">
        <f>SUM(G64:G78)</f>
        <v>615032</v>
      </c>
      <c r="H79" s="172">
        <f t="shared" si="9"/>
        <v>9.8534318198021248E-2</v>
      </c>
      <c r="I79" s="547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547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47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'[3]Sch C'!D75</f>
        <v>40220</v>
      </c>
      <c r="D82" s="501">
        <f>'[3]Sch C'!F75</f>
        <v>0</v>
      </c>
      <c r="E82" s="171">
        <f t="shared" ref="E82:E92" si="11">C82+D82</f>
        <v>40220</v>
      </c>
      <c r="F82" s="171"/>
      <c r="G82" s="171">
        <f t="shared" ref="G82:G92" si="12">E82+F82</f>
        <v>40220</v>
      </c>
      <c r="H82" s="172">
        <f t="shared" ref="H82:H93" si="13">IF($G$208=0,0,G82/$G$208)</f>
        <v>6.4436489124540097E-3</v>
      </c>
      <c r="I82" s="547"/>
      <c r="J82" s="183">
        <v>1992</v>
      </c>
      <c r="K82" s="183">
        <v>2104</v>
      </c>
    </row>
    <row r="83" spans="1:11" s="167" customFormat="1">
      <c r="A83" s="169" t="s">
        <v>86</v>
      </c>
      <c r="B83" s="199" t="s">
        <v>45</v>
      </c>
      <c r="C83" s="501">
        <f>'[3]Sch C'!D76</f>
        <v>7676</v>
      </c>
      <c r="D83" s="501">
        <f>'[3]Sch C'!F76</f>
        <v>0</v>
      </c>
      <c r="E83" s="171">
        <f t="shared" si="11"/>
        <v>7676</v>
      </c>
      <c r="F83" s="171"/>
      <c r="G83" s="171">
        <f t="shared" si="12"/>
        <v>7676</v>
      </c>
      <c r="H83" s="172">
        <f t="shared" si="13"/>
        <v>1.2297724776727246E-3</v>
      </c>
      <c r="I83" s="547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'[3]Sch C'!D77</f>
        <v>15454</v>
      </c>
      <c r="D84" s="501">
        <f>'[3]Sch C'!F77</f>
        <v>0</v>
      </c>
      <c r="E84" s="171">
        <f t="shared" si="11"/>
        <v>15454</v>
      </c>
      <c r="F84" s="171"/>
      <c r="G84" s="171">
        <f t="shared" si="12"/>
        <v>15454</v>
      </c>
      <c r="H84" s="172">
        <f t="shared" si="13"/>
        <v>2.4758863822243724E-3</v>
      </c>
      <c r="I84" s="547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'[3]Sch C'!D78</f>
        <v>0</v>
      </c>
      <c r="D85" s="501">
        <f>'[3]Sch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547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'[3]Sch C'!D79</f>
        <v>4928</v>
      </c>
      <c r="D86" s="501">
        <f>'[3]Sch C'!F79</f>
        <v>0</v>
      </c>
      <c r="E86" s="171">
        <f t="shared" si="11"/>
        <v>4928</v>
      </c>
      <c r="F86" s="171"/>
      <c r="G86" s="171">
        <f>E86+F86</f>
        <v>4928</v>
      </c>
      <c r="H86" s="172">
        <f t="shared" si="13"/>
        <v>7.895152123464286E-4</v>
      </c>
      <c r="I86" s="547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'[3]Sch C'!D80</f>
        <v>35353</v>
      </c>
      <c r="D87" s="501">
        <f>'[3]Sch C'!F80</f>
        <v>0</v>
      </c>
      <c r="E87" s="171">
        <f t="shared" si="11"/>
        <v>35353</v>
      </c>
      <c r="F87" s="171"/>
      <c r="G87" s="171">
        <f t="shared" si="12"/>
        <v>35353</v>
      </c>
      <c r="H87" s="172">
        <f t="shared" si="13"/>
        <v>5.6639065142214473E-3</v>
      </c>
      <c r="I87" s="547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'[3]Sch C'!D81</f>
        <v>25191</v>
      </c>
      <c r="D88" s="501">
        <f>'[3]Sch C'!F81</f>
        <v>0</v>
      </c>
      <c r="E88" s="171">
        <f t="shared" si="11"/>
        <v>25191</v>
      </c>
      <c r="F88" s="171"/>
      <c r="G88" s="171">
        <f t="shared" si="12"/>
        <v>25191</v>
      </c>
      <c r="H88" s="172">
        <f t="shared" si="13"/>
        <v>4.035851808891819E-3</v>
      </c>
      <c r="I88" s="547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'[3]Sch C'!D82</f>
        <v>10771</v>
      </c>
      <c r="D89" s="501">
        <f>'[3]Sch C'!F82</f>
        <v>0</v>
      </c>
      <c r="E89" s="171">
        <f t="shared" si="11"/>
        <v>10771</v>
      </c>
      <c r="F89" s="171"/>
      <c r="G89" s="171">
        <f t="shared" si="12"/>
        <v>10771</v>
      </c>
      <c r="H89" s="172">
        <f t="shared" si="13"/>
        <v>1.7256226364008487E-3</v>
      </c>
      <c r="I89" s="547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'[3]Sch C'!D83</f>
        <v>1415</v>
      </c>
      <c r="D90" s="501">
        <f>'[3]Sch C'!F83</f>
        <v>0</v>
      </c>
      <c r="E90" s="171">
        <f t="shared" si="11"/>
        <v>1415</v>
      </c>
      <c r="F90" s="171"/>
      <c r="G90" s="171">
        <f t="shared" si="12"/>
        <v>1415</v>
      </c>
      <c r="H90" s="172">
        <f t="shared" si="13"/>
        <v>2.2669724542820547E-4</v>
      </c>
      <c r="I90" s="547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'[3]Sch C'!D84</f>
        <v>81992</v>
      </c>
      <c r="D91" s="501">
        <f>'[3]Sch C'!F84</f>
        <v>0</v>
      </c>
      <c r="E91" s="171">
        <f t="shared" si="11"/>
        <v>81992</v>
      </c>
      <c r="F91" s="171"/>
      <c r="G91" s="171">
        <f t="shared" si="12"/>
        <v>81992</v>
      </c>
      <c r="H91" s="172">
        <f t="shared" si="13"/>
        <v>1.3135943849575563E-2</v>
      </c>
      <c r="I91" s="547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'[3]Sch C'!D85</f>
        <v>0</v>
      </c>
      <c r="D92" s="501">
        <f>'[3]Sch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547"/>
      <c r="J92" s="168"/>
      <c r="K92" s="168"/>
    </row>
    <row r="93" spans="1:11" s="167" customFormat="1">
      <c r="A93" s="163"/>
      <c r="B93" s="170" t="s">
        <v>50</v>
      </c>
      <c r="C93" s="501">
        <f>SUM(C82:C92)</f>
        <v>223000</v>
      </c>
      <c r="D93" s="501">
        <f>SUM(D82:D92)</f>
        <v>0</v>
      </c>
      <c r="E93" s="171">
        <f t="shared" ref="E93:F93" si="14">SUM(E82:E92)</f>
        <v>223000</v>
      </c>
      <c r="F93" s="171">
        <f t="shared" si="14"/>
        <v>0</v>
      </c>
      <c r="G93" s="171">
        <f>SUM(G82:G92)</f>
        <v>223000</v>
      </c>
      <c r="H93" s="172">
        <f t="shared" si="13"/>
        <v>3.5726845039215423E-2</v>
      </c>
      <c r="I93" s="547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547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47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'[3]Sch C'!D89</f>
        <v>0</v>
      </c>
      <c r="D96" s="501">
        <f>'[3]Sch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547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'[3]Sch C'!D90</f>
        <v>0</v>
      </c>
      <c r="D97" s="501">
        <f>'[3]Sch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547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'[3]Sch C'!D91</f>
        <v>490540</v>
      </c>
      <c r="D98" s="501">
        <f>'[3]Sch C'!F91</f>
        <v>0</v>
      </c>
      <c r="E98" s="171">
        <f t="shared" si="15"/>
        <v>490540</v>
      </c>
      <c r="F98" s="171"/>
      <c r="G98" s="171">
        <f t="shared" si="16"/>
        <v>490540</v>
      </c>
      <c r="H98" s="172">
        <f t="shared" si="17"/>
        <v>7.8589446482227501E-2</v>
      </c>
      <c r="I98" s="547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'[3]Sch C'!D92</f>
        <v>7485</v>
      </c>
      <c r="D99" s="501">
        <f>'[3]Sch C'!F92</f>
        <v>-2743</v>
      </c>
      <c r="E99" s="171">
        <f t="shared" si="15"/>
        <v>4742</v>
      </c>
      <c r="F99" s="171"/>
      <c r="G99" s="171">
        <f t="shared" si="16"/>
        <v>4742</v>
      </c>
      <c r="H99" s="172">
        <f t="shared" si="17"/>
        <v>7.597161398025091E-4</v>
      </c>
      <c r="I99" s="547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'[3]Sch C'!D93</f>
        <v>12142</v>
      </c>
      <c r="D100" s="501">
        <f>'[3]Sch C'!F93</f>
        <v>0</v>
      </c>
      <c r="E100" s="171">
        <f t="shared" si="15"/>
        <v>12142</v>
      </c>
      <c r="F100" s="171"/>
      <c r="G100" s="171">
        <f t="shared" si="16"/>
        <v>12142</v>
      </c>
      <c r="H100" s="172">
        <f t="shared" si="17"/>
        <v>1.9452706388616754E-3</v>
      </c>
      <c r="I100" s="547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'[3]Sch C'!D94</f>
        <v>0</v>
      </c>
      <c r="D101" s="501">
        <f>'[3]Sch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547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510167</v>
      </c>
      <c r="D102" s="501">
        <f>SUM(D96:D101)</f>
        <v>-2743</v>
      </c>
      <c r="E102" s="171">
        <f t="shared" ref="E102:F102" si="18">SUM(E96:E101)</f>
        <v>507424</v>
      </c>
      <c r="F102" s="171">
        <f t="shared" si="18"/>
        <v>0</v>
      </c>
      <c r="G102" s="171">
        <f>SUM(G96:G101)</f>
        <v>507424</v>
      </c>
      <c r="H102" s="172">
        <f t="shared" si="17"/>
        <v>8.1294433260891683E-2</v>
      </c>
      <c r="I102" s="547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547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47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'[3]Sch C'!D98</f>
        <v>0</v>
      </c>
      <c r="D105" s="501">
        <f>'[3]Sch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547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'[3]Sch C'!D99</f>
        <v>0</v>
      </c>
      <c r="D106" s="501">
        <f>'[3]Sch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547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'[3]Sch C'!D100</f>
        <v>330</v>
      </c>
      <c r="D107" s="501">
        <f>'[3]Sch C'!F100</f>
        <v>0</v>
      </c>
      <c r="E107" s="171">
        <f t="shared" si="19"/>
        <v>330</v>
      </c>
      <c r="F107" s="171"/>
      <c r="G107" s="171">
        <f t="shared" si="20"/>
        <v>330</v>
      </c>
      <c r="H107" s="172">
        <f t="shared" si="21"/>
        <v>5.2869322255341205E-5</v>
      </c>
      <c r="I107" s="547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'[3]Sch C'!D101</f>
        <v>61267</v>
      </c>
      <c r="D108" s="501">
        <f>'[3]Sch C'!F101</f>
        <v>0</v>
      </c>
      <c r="E108" s="171">
        <f t="shared" si="19"/>
        <v>61267</v>
      </c>
      <c r="F108" s="171"/>
      <c r="G108" s="171">
        <f t="shared" si="20"/>
        <v>61267</v>
      </c>
      <c r="H108" s="172">
        <f t="shared" si="21"/>
        <v>9.8155902018726947E-3</v>
      </c>
      <c r="I108" s="547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'[3]Sch C'!D102</f>
        <v>5295</v>
      </c>
      <c r="D109" s="501">
        <f>'[3]Sch C'!F102</f>
        <v>0</v>
      </c>
      <c r="E109" s="171">
        <f t="shared" si="19"/>
        <v>5295</v>
      </c>
      <c r="F109" s="171"/>
      <c r="G109" s="171">
        <f t="shared" si="20"/>
        <v>5295</v>
      </c>
      <c r="H109" s="172">
        <f t="shared" si="21"/>
        <v>8.4831230709706571E-4</v>
      </c>
      <c r="I109" s="547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'[3]Sch C'!D103</f>
        <v>0</v>
      </c>
      <c r="D110" s="501">
        <f>'[3]Sch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547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66892</v>
      </c>
      <c r="D111" s="501">
        <f>SUM(D105:D110)</f>
        <v>0</v>
      </c>
      <c r="E111" s="171">
        <f t="shared" ref="E111:F111" si="22">SUM(E105:E110)</f>
        <v>66892</v>
      </c>
      <c r="F111" s="171">
        <f t="shared" si="22"/>
        <v>0</v>
      </c>
      <c r="G111" s="171">
        <f>SUM(G105:G110)</f>
        <v>66892</v>
      </c>
      <c r="H111" s="172">
        <f t="shared" si="21"/>
        <v>1.0716771831225103E-2</v>
      </c>
      <c r="I111" s="547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547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47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'[3]Sch C'!D115</f>
        <v>0</v>
      </c>
      <c r="D114" s="501">
        <f>'[3]Sch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547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'[3]Sch C'!D116</f>
        <v>0</v>
      </c>
      <c r="D115" s="501">
        <f>'[3]Sch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547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'[3]Sch C'!D117</f>
        <v>10841</v>
      </c>
      <c r="D116" s="501">
        <f>'[3]Sch C'!F117</f>
        <v>0</v>
      </c>
      <c r="E116" s="171">
        <f t="shared" si="23"/>
        <v>10841</v>
      </c>
      <c r="F116" s="171"/>
      <c r="G116" s="171">
        <f>E116+F116</f>
        <v>10841</v>
      </c>
      <c r="H116" s="172">
        <f t="shared" si="24"/>
        <v>1.7368373411216788E-3</v>
      </c>
      <c r="I116" s="547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'[3]Sch C'!D118</f>
        <v>91900</v>
      </c>
      <c r="D117" s="501">
        <f>'[3]Sch C'!F118</f>
        <v>0</v>
      </c>
      <c r="E117" s="171">
        <f t="shared" si="23"/>
        <v>91900</v>
      </c>
      <c r="F117" s="171"/>
      <c r="G117" s="171">
        <f>E117+F117</f>
        <v>91900</v>
      </c>
      <c r="H117" s="172">
        <f t="shared" si="24"/>
        <v>1.4723305197775323E-2</v>
      </c>
      <c r="I117" s="547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'[3]Sch C'!D119</f>
        <v>229</v>
      </c>
      <c r="D118" s="501">
        <f>'[3]Sch C'!F119</f>
        <v>0</v>
      </c>
      <c r="E118" s="171">
        <f t="shared" si="23"/>
        <v>229</v>
      </c>
      <c r="F118" s="171"/>
      <c r="G118" s="171">
        <f>E118+F118</f>
        <v>229</v>
      </c>
      <c r="H118" s="172">
        <f t="shared" si="24"/>
        <v>3.6688105443857989E-5</v>
      </c>
      <c r="I118" s="547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102970</v>
      </c>
      <c r="D119" s="501">
        <f>SUM(D114:D118)</f>
        <v>0</v>
      </c>
      <c r="E119" s="171">
        <f t="shared" ref="E119:F119" si="25">SUM(E114:E118)</f>
        <v>102970</v>
      </c>
      <c r="F119" s="171">
        <f t="shared" si="25"/>
        <v>0</v>
      </c>
      <c r="G119" s="171">
        <f>SUM(G114:G118)</f>
        <v>102970</v>
      </c>
      <c r="H119" s="172">
        <f t="shared" si="24"/>
        <v>1.6496830644340859E-2</v>
      </c>
      <c r="I119" s="547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547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47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47"/>
      <c r="J122" s="204"/>
      <c r="K122" s="204"/>
    </row>
    <row r="123" spans="1:11" s="167" customFormat="1">
      <c r="B123" s="163" t="s">
        <v>232</v>
      </c>
      <c r="C123" s="501">
        <f>'[3]Sch C'!D124</f>
        <v>0</v>
      </c>
      <c r="D123" s="501">
        <f>'[3]Sch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547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'[3]Sch C'!D125</f>
        <v>179819</v>
      </c>
      <c r="D124" s="501">
        <f>'[3]Sch C'!F125</f>
        <v>0</v>
      </c>
      <c r="E124" s="171">
        <f t="shared" si="26"/>
        <v>179819</v>
      </c>
      <c r="F124" s="171"/>
      <c r="G124" s="171">
        <f>E124+F124</f>
        <v>179819</v>
      </c>
      <c r="H124" s="172">
        <f>IF($G$208=0,0,G124/$G$208)</f>
        <v>2.8808814117070303E-2</v>
      </c>
      <c r="I124" s="547"/>
      <c r="J124" s="183">
        <v>5435</v>
      </c>
      <c r="K124" s="183">
        <v>5650</v>
      </c>
    </row>
    <row r="125" spans="1:11" s="167" customFormat="1">
      <c r="A125" s="163" t="s">
        <v>198</v>
      </c>
      <c r="B125" s="163" t="s">
        <v>195</v>
      </c>
      <c r="C125" s="501">
        <f>'[3]Sch C'!D126</f>
        <v>0</v>
      </c>
      <c r="D125" s="501">
        <f>'[3]Sch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547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'[3]Sch C'!D127</f>
        <v>0</v>
      </c>
      <c r="D126" s="501">
        <f>'[3]Sch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547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'[3]Sch C'!D128</f>
        <v>65117</v>
      </c>
      <c r="D127" s="501">
        <f>'[3]Sch C'!F128</f>
        <v>0</v>
      </c>
      <c r="E127" s="171">
        <f t="shared" si="26"/>
        <v>65117</v>
      </c>
      <c r="F127" s="171"/>
      <c r="G127" s="171">
        <f>E127+F127</f>
        <v>65117</v>
      </c>
      <c r="H127" s="172">
        <f>IF($G$208=0,0,G127/$G$208)</f>
        <v>1.0432398961518343E-2</v>
      </c>
      <c r="I127" s="547"/>
      <c r="J127" s="183">
        <v>3950</v>
      </c>
      <c r="K127" s="183">
        <v>4282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615"/>
      <c r="J128" s="207"/>
      <c r="K128" s="207"/>
    </row>
    <row r="129" spans="1:11" s="167" customFormat="1">
      <c r="A129" s="169"/>
      <c r="B129" s="163" t="s">
        <v>232</v>
      </c>
      <c r="C129" s="501">
        <f>'[3]Sch C'!D130</f>
        <v>0</v>
      </c>
      <c r="D129" s="501">
        <f>'[3]Sch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547"/>
      <c r="J129" s="204"/>
      <c r="K129" s="204"/>
    </row>
    <row r="130" spans="1:11" s="167" customFormat="1">
      <c r="A130" s="169"/>
      <c r="B130" s="163" t="s">
        <v>194</v>
      </c>
      <c r="C130" s="501">
        <f>'[3]Sch C'!D131</f>
        <v>12515</v>
      </c>
      <c r="D130" s="501">
        <f>'[3]Sch C'!F131</f>
        <v>0</v>
      </c>
      <c r="E130" s="171">
        <f t="shared" si="27"/>
        <v>12515</v>
      </c>
      <c r="F130" s="171"/>
      <c r="G130" s="171">
        <f>E130+F130</f>
        <v>12515</v>
      </c>
      <c r="H130" s="172">
        <f>IF($G$208=0,0,G130/$G$208)</f>
        <v>2.005028994016955E-3</v>
      </c>
      <c r="I130" s="547"/>
      <c r="J130" s="204"/>
      <c r="K130" s="204"/>
    </row>
    <row r="131" spans="1:11" s="167" customFormat="1">
      <c r="B131" s="163" t="s">
        <v>195</v>
      </c>
      <c r="C131" s="501">
        <f>'[3]Sch C'!D132</f>
        <v>0</v>
      </c>
      <c r="D131" s="501">
        <f>'[3]Sch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547"/>
      <c r="J131" s="168"/>
      <c r="K131" s="168"/>
    </row>
    <row r="132" spans="1:11" s="167" customFormat="1">
      <c r="B132" s="163" t="s">
        <v>196</v>
      </c>
      <c r="C132" s="501">
        <f>'[3]Sch C'!D133</f>
        <v>0</v>
      </c>
      <c r="D132" s="501">
        <f>'[3]Sch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547"/>
      <c r="J132" s="168"/>
      <c r="K132" s="168"/>
    </row>
    <row r="133" spans="1:11" s="167" customFormat="1">
      <c r="B133" s="163" t="s">
        <v>197</v>
      </c>
      <c r="C133" s="501">
        <f>'[3]Sch C'!D134</f>
        <v>23302</v>
      </c>
      <c r="D133" s="501">
        <f>'[3]Sch C'!F134</f>
        <v>0</v>
      </c>
      <c r="E133" s="171">
        <f t="shared" si="27"/>
        <v>23302</v>
      </c>
      <c r="F133" s="171"/>
      <c r="G133" s="171">
        <f>E133+F133</f>
        <v>23302</v>
      </c>
      <c r="H133" s="172">
        <f>IF($G$208=0,0,G133/$G$208)</f>
        <v>3.7332149914968507E-3</v>
      </c>
      <c r="I133" s="547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616"/>
      <c r="J134" s="204"/>
      <c r="K134" s="204"/>
    </row>
    <row r="135" spans="1:11" s="167" customFormat="1">
      <c r="A135" s="169"/>
      <c r="B135" s="163" t="s">
        <v>194</v>
      </c>
      <c r="C135" s="501">
        <f>'[3]Sch C'!D136</f>
        <v>855955</v>
      </c>
      <c r="D135" s="501">
        <f>'[3]Sch C'!F136</f>
        <v>0</v>
      </c>
      <c r="E135" s="171">
        <f t="shared" ref="E135:E138" si="28">C135+D135</f>
        <v>855955</v>
      </c>
      <c r="F135" s="171"/>
      <c r="G135" s="171">
        <f>E135+F135</f>
        <v>855955</v>
      </c>
      <c r="H135" s="172">
        <f>IF($G$208=0,0,G135/$G$208)</f>
        <v>0.13713260827597146</v>
      </c>
      <c r="I135" s="547"/>
      <c r="J135" s="183">
        <v>25885</v>
      </c>
      <c r="K135" s="183">
        <v>27338</v>
      </c>
    </row>
    <row r="136" spans="1:11" s="167" customFormat="1">
      <c r="A136" s="169"/>
      <c r="B136" s="163" t="s">
        <v>195</v>
      </c>
      <c r="C136" s="501">
        <f>'[3]Sch C'!D137</f>
        <v>83796</v>
      </c>
      <c r="D136" s="501">
        <f>'[3]Sch C'!F137</f>
        <v>0</v>
      </c>
      <c r="E136" s="171">
        <f t="shared" si="28"/>
        <v>83796</v>
      </c>
      <c r="F136" s="171"/>
      <c r="G136" s="171">
        <f>E136+F136</f>
        <v>83796</v>
      </c>
      <c r="H136" s="172">
        <f>IF($G$208=0,0,G136/$G$208)</f>
        <v>1.3424962811238096E-2</v>
      </c>
      <c r="I136" s="547"/>
      <c r="J136" s="183">
        <v>3655</v>
      </c>
      <c r="K136" s="183">
        <v>3766</v>
      </c>
    </row>
    <row r="137" spans="1:11" s="167" customFormat="1">
      <c r="A137" s="169"/>
      <c r="B137" s="163" t="s">
        <v>196</v>
      </c>
      <c r="C137" s="501">
        <f>'[3]Sch C'!D138</f>
        <v>584532</v>
      </c>
      <c r="D137" s="501">
        <f>'[3]Sch C'!F138</f>
        <v>86670</v>
      </c>
      <c r="E137" s="171">
        <f t="shared" si="28"/>
        <v>671202</v>
      </c>
      <c r="F137" s="171"/>
      <c r="G137" s="171">
        <f>E137+F137</f>
        <v>671202</v>
      </c>
      <c r="H137" s="172">
        <f>IF($G$208=0,0,G137/$G$208)</f>
        <v>0.10753331768615008</v>
      </c>
      <c r="I137" s="547"/>
      <c r="J137" s="183">
        <v>48207</v>
      </c>
      <c r="K137" s="183">
        <v>52428</v>
      </c>
    </row>
    <row r="138" spans="1:11" s="167" customFormat="1">
      <c r="A138" s="169"/>
      <c r="B138" s="163" t="s">
        <v>197</v>
      </c>
      <c r="C138" s="501">
        <f>'[3]Sch C'!D139</f>
        <v>86670</v>
      </c>
      <c r="D138" s="501">
        <f>'[3]Sch C'!F139</f>
        <v>-86670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547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616"/>
      <c r="J139" s="372"/>
      <c r="K139" s="372"/>
    </row>
    <row r="140" spans="1:11" s="167" customFormat="1">
      <c r="A140" s="169"/>
      <c r="B140" s="163" t="s">
        <v>194</v>
      </c>
      <c r="C140" s="501">
        <f>'[3]Sch C'!D141</f>
        <v>297876</v>
      </c>
      <c r="D140" s="501">
        <f>'[3]Sch C'!F141</f>
        <v>-139604.18724072023</v>
      </c>
      <c r="E140" s="171">
        <f t="shared" ref="E140:E143" si="29">C140+D140</f>
        <v>158271.81275927977</v>
      </c>
      <c r="F140" s="171"/>
      <c r="G140" s="171">
        <f>E140+F140</f>
        <v>158271.81275927977</v>
      </c>
      <c r="H140" s="172">
        <f>IF($G$208=0,0,G140/$G$208)</f>
        <v>2.5356737796082988E-2</v>
      </c>
      <c r="I140" s="547"/>
      <c r="J140" s="168"/>
      <c r="K140" s="168"/>
    </row>
    <row r="141" spans="1:11" s="167" customFormat="1">
      <c r="A141" s="169"/>
      <c r="B141" s="163" t="s">
        <v>195</v>
      </c>
      <c r="C141" s="501">
        <f>'[3]Sch C'!D142</f>
        <v>0</v>
      </c>
      <c r="D141" s="501">
        <f>'[3]Sch C'!F142</f>
        <v>15494.441672724157</v>
      </c>
      <c r="E141" s="171">
        <f t="shared" si="29"/>
        <v>15494.441672724157</v>
      </c>
      <c r="F141" s="171"/>
      <c r="G141" s="171">
        <f>E141+F141</f>
        <v>15494.441672724157</v>
      </c>
      <c r="H141" s="172">
        <f>IF($G$208=0,0,G141/$G$208)</f>
        <v>2.4823655453389136E-3</v>
      </c>
      <c r="I141" s="547"/>
      <c r="J141" s="168"/>
      <c r="K141" s="168"/>
    </row>
    <row r="142" spans="1:11" s="167" customFormat="1">
      <c r="A142" s="169"/>
      <c r="B142" s="163" t="s">
        <v>196</v>
      </c>
      <c r="C142" s="501">
        <f>'[3]Sch C'!D143</f>
        <v>0</v>
      </c>
      <c r="D142" s="501">
        <f>'[3]Sch C'!F143</f>
        <v>124109.74556799608</v>
      </c>
      <c r="E142" s="171">
        <f t="shared" si="29"/>
        <v>124109.74556799608</v>
      </c>
      <c r="F142" s="171"/>
      <c r="G142" s="171">
        <f>E142+F142</f>
        <v>124109.74556799608</v>
      </c>
      <c r="H142" s="172">
        <f>IF($G$208=0,0,G142/$G$208)</f>
        <v>1.9883630707462997E-2</v>
      </c>
      <c r="I142" s="547"/>
      <c r="J142" s="168"/>
      <c r="K142" s="168"/>
    </row>
    <row r="143" spans="1:11" s="167" customFormat="1">
      <c r="A143" s="169"/>
      <c r="B143" s="163" t="s">
        <v>197</v>
      </c>
      <c r="C143" s="501">
        <f>'[3]Sch C'!D144</f>
        <v>0</v>
      </c>
      <c r="D143" s="501">
        <f>'[3]Sch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547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616"/>
      <c r="J144" s="204"/>
      <c r="K144" s="204"/>
    </row>
    <row r="145" spans="1:11" s="167" customFormat="1">
      <c r="A145" s="169"/>
      <c r="B145" s="163" t="s">
        <v>232</v>
      </c>
      <c r="C145" s="501">
        <f>'[3]Sch C'!D146</f>
        <v>48618</v>
      </c>
      <c r="D145" s="501">
        <f>'[3]Sch C'!F146</f>
        <v>0</v>
      </c>
      <c r="E145" s="171">
        <f t="shared" ref="E145:E153" si="30">C145+D145</f>
        <v>48618</v>
      </c>
      <c r="F145" s="171"/>
      <c r="G145" s="171">
        <f t="shared" ref="G145:G153" si="31">E145+F145</f>
        <v>48618</v>
      </c>
      <c r="H145" s="172">
        <f t="shared" ref="H145:H153" si="32">IF($G$208=0,0,G145/$G$208)</f>
        <v>7.7890930588187229E-3</v>
      </c>
      <c r="I145" s="547"/>
      <c r="J145" s="183">
        <v>228</v>
      </c>
      <c r="K145" s="183">
        <v>228</v>
      </c>
    </row>
    <row r="146" spans="1:11" s="167" customFormat="1">
      <c r="A146" s="169"/>
      <c r="B146" s="163" t="s">
        <v>194</v>
      </c>
      <c r="C146" s="501">
        <f>'[3]Sch C'!D147</f>
        <v>35503</v>
      </c>
      <c r="D146" s="501">
        <f>'[3]Sch C'!F147</f>
        <v>0</v>
      </c>
      <c r="E146" s="171">
        <f t="shared" si="30"/>
        <v>35503</v>
      </c>
      <c r="F146" s="171"/>
      <c r="G146" s="171">
        <f t="shared" si="31"/>
        <v>35503</v>
      </c>
      <c r="H146" s="172">
        <f t="shared" si="32"/>
        <v>5.6879380243375112E-3</v>
      </c>
      <c r="I146" s="547"/>
      <c r="J146" s="183">
        <v>664</v>
      </c>
      <c r="K146" s="183">
        <v>664</v>
      </c>
    </row>
    <row r="147" spans="1:11" s="167" customFormat="1">
      <c r="A147" s="169"/>
      <c r="B147" s="163" t="s">
        <v>195</v>
      </c>
      <c r="C147" s="501">
        <f>'[3]Sch C'!D148</f>
        <v>8657</v>
      </c>
      <c r="D147" s="501">
        <f>'[3]Sch C'!F148</f>
        <v>0</v>
      </c>
      <c r="E147" s="171">
        <f t="shared" si="30"/>
        <v>8657</v>
      </c>
      <c r="F147" s="171"/>
      <c r="G147" s="171">
        <f t="shared" si="31"/>
        <v>8657</v>
      </c>
      <c r="H147" s="172">
        <f t="shared" si="32"/>
        <v>1.3869385538317841E-3</v>
      </c>
      <c r="I147" s="547"/>
      <c r="J147" s="183">
        <v>344</v>
      </c>
      <c r="K147" s="183">
        <v>344</v>
      </c>
    </row>
    <row r="148" spans="1:11" s="167" customFormat="1">
      <c r="A148" s="169"/>
      <c r="B148" s="163" t="s">
        <v>196</v>
      </c>
      <c r="C148" s="501">
        <f>'[3]Sch C'!D149</f>
        <v>34304</v>
      </c>
      <c r="D148" s="501">
        <f>'[3]Sch C'!F149</f>
        <v>0</v>
      </c>
      <c r="E148" s="171">
        <f t="shared" si="30"/>
        <v>34304</v>
      </c>
      <c r="F148" s="171"/>
      <c r="G148" s="171">
        <f t="shared" si="31"/>
        <v>34304</v>
      </c>
      <c r="H148" s="172">
        <f t="shared" si="32"/>
        <v>5.4958461534764386E-3</v>
      </c>
      <c r="I148" s="547"/>
      <c r="J148" s="183">
        <v>1581</v>
      </c>
      <c r="K148" s="183">
        <v>1581</v>
      </c>
    </row>
    <row r="149" spans="1:11" s="167" customFormat="1">
      <c r="A149" s="169"/>
      <c r="B149" s="163" t="s">
        <v>197</v>
      </c>
      <c r="C149" s="501">
        <f>'[3]Sch C'!D150</f>
        <v>3956</v>
      </c>
      <c r="D149" s="501">
        <f>'[3]Sch C'!F150</f>
        <v>0</v>
      </c>
      <c r="E149" s="171">
        <f t="shared" si="30"/>
        <v>3956</v>
      </c>
      <c r="F149" s="171"/>
      <c r="G149" s="171">
        <f t="shared" si="31"/>
        <v>3956</v>
      </c>
      <c r="H149" s="172">
        <f t="shared" si="32"/>
        <v>6.3379102679433268E-4</v>
      </c>
      <c r="I149" s="547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'[3]Sch C'!D151</f>
        <v>92354</v>
      </c>
      <c r="D150" s="501">
        <f>'[3]Sch C'!F151</f>
        <v>3543</v>
      </c>
      <c r="E150" s="171">
        <f t="shared" si="30"/>
        <v>95897</v>
      </c>
      <c r="F150" s="171"/>
      <c r="G150" s="171">
        <f t="shared" si="31"/>
        <v>95897</v>
      </c>
      <c r="H150" s="172">
        <f t="shared" si="32"/>
        <v>1.5363664837334713E-2</v>
      </c>
      <c r="I150" s="547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'[3]Sch C'!D152</f>
        <v>4410</v>
      </c>
      <c r="D151" s="501">
        <f>'[3]Sch C'!F152</f>
        <v>0</v>
      </c>
      <c r="E151" s="171">
        <f t="shared" si="30"/>
        <v>4410</v>
      </c>
      <c r="F151" s="171"/>
      <c r="G151" s="171">
        <f t="shared" si="31"/>
        <v>4410</v>
      </c>
      <c r="H151" s="172">
        <f t="shared" si="32"/>
        <v>7.0652639741228696E-4</v>
      </c>
      <c r="I151" s="547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'[3]Sch C'!D153</f>
        <v>0</v>
      </c>
      <c r="D152" s="501">
        <f>'[3]Sch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547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'[3]Sch C'!D154</f>
        <v>0</v>
      </c>
      <c r="D153" s="501">
        <f>'[3]Sch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547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547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'[3]Sch C'!D156</f>
        <v>0</v>
      </c>
      <c r="D155" s="501">
        <f>'[3]Sch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547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'[3]Sch C'!D157</f>
        <v>0</v>
      </c>
      <c r="D156" s="501">
        <f>'[3]Sch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547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'[3]Sch C'!D158</f>
        <v>2469</v>
      </c>
      <c r="D157" s="501">
        <f>'[3]Sch C'!F158</f>
        <v>0</v>
      </c>
      <c r="E157" s="171">
        <f t="shared" si="33"/>
        <v>2469</v>
      </c>
      <c r="F157" s="171"/>
      <c r="G157" s="171">
        <f t="shared" si="34"/>
        <v>2469</v>
      </c>
      <c r="H157" s="172">
        <f t="shared" si="35"/>
        <v>3.9555865651041646E-4</v>
      </c>
      <c r="I157" s="547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'[3]Sch C'!D159</f>
        <v>0</v>
      </c>
      <c r="D158" s="501">
        <f>'[3]Sch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547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'[3]Sch C'!D160</f>
        <v>0</v>
      </c>
      <c r="D159" s="501">
        <f>'[3]Sch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547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'[3]Sch C'!D161</f>
        <v>15227</v>
      </c>
      <c r="D160" s="501">
        <f>'[3]Sch C'!F161</f>
        <v>592</v>
      </c>
      <c r="E160" s="171">
        <f t="shared" si="33"/>
        <v>15819</v>
      </c>
      <c r="F160" s="171"/>
      <c r="G160" s="171">
        <f t="shared" si="34"/>
        <v>15819</v>
      </c>
      <c r="H160" s="172">
        <f t="shared" si="35"/>
        <v>2.5343630568401289E-3</v>
      </c>
      <c r="I160" s="547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2435080</v>
      </c>
      <c r="D161" s="501">
        <f>SUM(D123:D160)</f>
        <v>4135.0000000000146</v>
      </c>
      <c r="E161" s="171">
        <f t="shared" ref="E161:F161" si="36">SUM(E123:E160)</f>
        <v>2439215</v>
      </c>
      <c r="F161" s="171">
        <f t="shared" si="36"/>
        <v>0</v>
      </c>
      <c r="G161" s="171">
        <f>SUM(G123:G160)</f>
        <v>2439215</v>
      </c>
      <c r="H161" s="172">
        <f t="shared" si="35"/>
        <v>0.39078679965170332</v>
      </c>
      <c r="I161" s="547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547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47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'[3]Sch C'!D175</f>
        <v>0</v>
      </c>
      <c r="D164" s="501">
        <f>'[3]Sch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617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'[3]Sch C'!D176</f>
        <v>0</v>
      </c>
      <c r="D165" s="501">
        <f>'[3]Sch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618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'[3]Sch C'!D177</f>
        <v>0</v>
      </c>
      <c r="D166" s="501">
        <f>'[3]Sch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617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'[3]Sch C'!D178</f>
        <v>0</v>
      </c>
      <c r="D167" s="501">
        <f>'[3]Sch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618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'[3]Sch C'!D179</f>
        <v>0</v>
      </c>
      <c r="D168" s="501">
        <f>'[3]Sch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617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'[3]Sch C'!D180</f>
        <v>0</v>
      </c>
      <c r="D169" s="501">
        <f>'[3]Sch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618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'[3]Sch C'!D181</f>
        <v>0</v>
      </c>
      <c r="D170" s="501">
        <f>'[3]Sch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617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'[3]Sch C'!D182</f>
        <v>0</v>
      </c>
      <c r="D171" s="501">
        <f>'[3]Sch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618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'[3]Sch C'!D183</f>
        <v>0</v>
      </c>
      <c r="D172" s="501">
        <f>'[3]Sch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617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'[3]Sch C'!D184</f>
        <v>0</v>
      </c>
      <c r="D173" s="501">
        <f>'[3]Sch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618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'[3]Sch C'!D185</f>
        <v>0</v>
      </c>
      <c r="D174" s="501">
        <f>'[3]Sch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617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'[3]Sch C'!D186</f>
        <v>0</v>
      </c>
      <c r="D175" s="501">
        <f>'[3]Sch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619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'[3]Sch C'!D187</f>
        <v>0</v>
      </c>
      <c r="D176" s="501">
        <f>'[3]Sch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619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'[3]Sch C'!D188</f>
        <v>255</v>
      </c>
      <c r="D177" s="501">
        <f>'[3]Sch C'!F188</f>
        <v>0</v>
      </c>
      <c r="E177" s="171">
        <f t="shared" si="37"/>
        <v>255</v>
      </c>
      <c r="F177" s="216"/>
      <c r="G177" s="171">
        <f t="shared" si="38"/>
        <v>255</v>
      </c>
      <c r="H177" s="172">
        <f t="shared" si="39"/>
        <v>4.0853567197309109E-5</v>
      </c>
      <c r="I177" s="619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'[3]Sch C'!D189</f>
        <v>0</v>
      </c>
      <c r="D178" s="501">
        <f>'[3]Sch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619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'[3]Sch C'!D190</f>
        <v>0</v>
      </c>
      <c r="D179" s="501">
        <f>'[3]Sch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619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'[3]Sch C'!D191</f>
        <v>0</v>
      </c>
      <c r="D180" s="501">
        <f>'[3]Sch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619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'[3]Sch C'!D192</f>
        <v>1201</v>
      </c>
      <c r="D181" s="501">
        <f>'[3]Sch C'!F192</f>
        <v>0</v>
      </c>
      <c r="E181" s="171">
        <f t="shared" si="37"/>
        <v>1201</v>
      </c>
      <c r="F181" s="216"/>
      <c r="G181" s="171">
        <f t="shared" si="38"/>
        <v>1201</v>
      </c>
      <c r="H181" s="172">
        <f t="shared" si="39"/>
        <v>1.9241229099595388E-4</v>
      </c>
      <c r="I181" s="619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'[3]Sch C'!D193</f>
        <v>136</v>
      </c>
      <c r="D182" s="501">
        <f>'[3]Sch C'!F193</f>
        <v>0</v>
      </c>
      <c r="E182" s="171">
        <f t="shared" si="37"/>
        <v>136</v>
      </c>
      <c r="F182" s="216"/>
      <c r="G182" s="171">
        <f t="shared" si="38"/>
        <v>136</v>
      </c>
      <c r="H182" s="172">
        <f t="shared" si="39"/>
        <v>2.1788569171898193E-5</v>
      </c>
      <c r="I182" s="619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'[3]Sch C'!D194</f>
        <v>265159</v>
      </c>
      <c r="D183" s="501">
        <f>'[3]Sch C'!F194</f>
        <v>-10262</v>
      </c>
      <c r="E183" s="171">
        <f t="shared" si="37"/>
        <v>254897</v>
      </c>
      <c r="F183" s="216"/>
      <c r="G183" s="171">
        <f t="shared" si="38"/>
        <v>254897</v>
      </c>
      <c r="H183" s="172">
        <f t="shared" si="39"/>
        <v>4.0837065560362748E-2</v>
      </c>
      <c r="I183" s="619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'[3]Sch C'!D195</f>
        <v>108955</v>
      </c>
      <c r="D184" s="501">
        <f>'[3]Sch C'!F195</f>
        <v>-4217</v>
      </c>
      <c r="E184" s="171">
        <f t="shared" si="37"/>
        <v>104738</v>
      </c>
      <c r="F184" s="216"/>
      <c r="G184" s="171">
        <f t="shared" si="38"/>
        <v>104738</v>
      </c>
      <c r="H184" s="172">
        <f t="shared" si="39"/>
        <v>1.6780082043575537E-2</v>
      </c>
      <c r="I184" s="619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'[3]Sch C'!D196</f>
        <v>0</v>
      </c>
      <c r="D185" s="501">
        <f>'[3]Sch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619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'[3]Sch C'!D197</f>
        <v>245959</v>
      </c>
      <c r="D186" s="501">
        <f>'[3]Sch C'!F197</f>
        <v>-9519</v>
      </c>
      <c r="E186" s="171">
        <f t="shared" si="37"/>
        <v>236440</v>
      </c>
      <c r="F186" s="216"/>
      <c r="G186" s="171">
        <f t="shared" si="38"/>
        <v>236440</v>
      </c>
      <c r="H186" s="172">
        <f t="shared" si="39"/>
        <v>3.7880068345614769E-2</v>
      </c>
      <c r="I186" s="619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'[3]Sch C'!D198</f>
        <v>48393</v>
      </c>
      <c r="D187" s="501">
        <f>'[3]Sch C'!F198</f>
        <v>0</v>
      </c>
      <c r="E187" s="171">
        <f t="shared" si="37"/>
        <v>48393</v>
      </c>
      <c r="F187" s="216"/>
      <c r="G187" s="171">
        <f t="shared" si="38"/>
        <v>48393</v>
      </c>
      <c r="H187" s="172">
        <f t="shared" si="39"/>
        <v>7.7530457936446267E-3</v>
      </c>
      <c r="I187" s="619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'[3]Sch C'!D199</f>
        <v>0</v>
      </c>
      <c r="D188" s="501">
        <f>'[3]Sch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619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'[3]Sch C'!D200</f>
        <v>0</v>
      </c>
      <c r="D189" s="501">
        <f>'[3]Sch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619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'[3]Sch C'!D201</f>
        <v>0</v>
      </c>
      <c r="D190" s="501">
        <f>'[3]Sch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619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'[3]Sch C'!D202</f>
        <v>0</v>
      </c>
      <c r="D191" s="501">
        <f>'[3]Sch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619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'[3]Sch C'!D203</f>
        <v>0</v>
      </c>
      <c r="D192" s="501">
        <f>'[3]Sch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619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'[3]Sch C'!D204</f>
        <v>0</v>
      </c>
      <c r="D193" s="501">
        <f>'[3]Sch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619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'[3]Sch C'!D205</f>
        <v>169072</v>
      </c>
      <c r="D194" s="501">
        <f>'[3]Sch C'!F205</f>
        <v>10729</v>
      </c>
      <c r="E194" s="171">
        <f t="shared" si="37"/>
        <v>179801</v>
      </c>
      <c r="F194" s="216"/>
      <c r="G194" s="171">
        <f t="shared" si="38"/>
        <v>179801</v>
      </c>
      <c r="H194" s="172">
        <f t="shared" si="39"/>
        <v>2.8805930335856374E-2</v>
      </c>
      <c r="I194" s="619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'[3]Sch C'!D206</f>
        <v>680</v>
      </c>
      <c r="D195" s="501">
        <f>'[3]Sch C'!F206</f>
        <v>0</v>
      </c>
      <c r="E195" s="171">
        <f t="shared" si="37"/>
        <v>680</v>
      </c>
      <c r="F195" s="216"/>
      <c r="G195" s="171">
        <f t="shared" si="38"/>
        <v>680</v>
      </c>
      <c r="H195" s="172">
        <f t="shared" si="39"/>
        <v>1.0894284585949096E-4</v>
      </c>
      <c r="I195" s="619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'[3]Sch C'!D207</f>
        <v>0</v>
      </c>
      <c r="D196" s="501">
        <f>'[3]Sch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619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839810</v>
      </c>
      <c r="D197" s="501">
        <f>SUM(D164:D196)</f>
        <v>-13269</v>
      </c>
      <c r="E197" s="171">
        <f t="shared" ref="E197:F197" si="40">SUM(E164:E196)</f>
        <v>826541</v>
      </c>
      <c r="F197" s="171">
        <f t="shared" si="40"/>
        <v>0</v>
      </c>
      <c r="G197" s="171">
        <f>SUM(G164:G196)</f>
        <v>826541</v>
      </c>
      <c r="H197" s="172">
        <f>IF($G$208=0,0,G197/$G$208)</f>
        <v>0.1324201893522787</v>
      </c>
      <c r="I197" s="547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547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47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'[3]Sch C'!D211</f>
        <v>102126</v>
      </c>
      <c r="D200" s="501">
        <f>'[3]Sch C'!F211</f>
        <v>0</v>
      </c>
      <c r="E200" s="171">
        <f t="shared" ref="E200:E205" si="41">C200+D200</f>
        <v>102126</v>
      </c>
      <c r="F200" s="171"/>
      <c r="G200" s="171">
        <f t="shared" ref="G200:G205" si="42">E200+F200</f>
        <v>102126</v>
      </c>
      <c r="H200" s="172">
        <f t="shared" ref="H200:H206" si="43">IF($G$208=0,0,G200/$G$208)</f>
        <v>1.6361613347421138E-2</v>
      </c>
      <c r="I200" s="547"/>
      <c r="J200" s="183">
        <v>5674</v>
      </c>
      <c r="K200" s="183">
        <v>6097</v>
      </c>
    </row>
    <row r="201" spans="1:14" s="167" customFormat="1">
      <c r="A201" s="169" t="s">
        <v>86</v>
      </c>
      <c r="B201" s="170" t="s">
        <v>45</v>
      </c>
      <c r="C201" s="501">
        <f>'[3]Sch C'!D212</f>
        <v>42402</v>
      </c>
      <c r="D201" s="501">
        <f>'[3]Sch C'!F212</f>
        <v>0</v>
      </c>
      <c r="E201" s="171">
        <f t="shared" si="41"/>
        <v>42402</v>
      </c>
      <c r="F201" s="171"/>
      <c r="G201" s="171">
        <f t="shared" si="42"/>
        <v>42402</v>
      </c>
      <c r="H201" s="172">
        <f t="shared" si="43"/>
        <v>6.7932272796090232E-3</v>
      </c>
      <c r="I201" s="547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'[3]Sch C'!D213</f>
        <v>6630</v>
      </c>
      <c r="D202" s="501">
        <f>'[3]Sch C'!F213</f>
        <v>0</v>
      </c>
      <c r="E202" s="171">
        <f t="shared" si="41"/>
        <v>6630</v>
      </c>
      <c r="F202" s="171"/>
      <c r="G202" s="171">
        <f t="shared" si="42"/>
        <v>6630</v>
      </c>
      <c r="H202" s="172">
        <f t="shared" si="43"/>
        <v>1.0621927471300369E-3</v>
      </c>
      <c r="I202" s="547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'[3]Sch C'!D214</f>
        <v>0</v>
      </c>
      <c r="D203" s="501">
        <f>'[3]Sch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547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'[3]Sch C'!D215</f>
        <v>0</v>
      </c>
      <c r="D204" s="501">
        <f>'[3]Sch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547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'[3]Sch C'!D216</f>
        <v>3003</v>
      </c>
      <c r="D205" s="501">
        <f>'[3]Sch C'!F216</f>
        <v>0</v>
      </c>
      <c r="E205" s="171">
        <f t="shared" si="41"/>
        <v>3003</v>
      </c>
      <c r="F205" s="171"/>
      <c r="G205" s="171">
        <f t="shared" si="42"/>
        <v>3003</v>
      </c>
      <c r="H205" s="172">
        <f t="shared" si="43"/>
        <v>4.8111083252360494E-4</v>
      </c>
      <c r="I205" s="547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154161</v>
      </c>
      <c r="D206" s="501">
        <f>SUM(D200:D205)</f>
        <v>0</v>
      </c>
      <c r="E206" s="171">
        <f t="shared" ref="E206:F206" si="44">SUM(E200:E205)</f>
        <v>154161</v>
      </c>
      <c r="F206" s="171">
        <f t="shared" si="44"/>
        <v>0</v>
      </c>
      <c r="G206" s="171">
        <f>SUM(G200:G205)</f>
        <v>154161</v>
      </c>
      <c r="H206" s="172">
        <f t="shared" si="43"/>
        <v>2.4698144206683804E-2</v>
      </c>
      <c r="I206" s="547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547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6329693</v>
      </c>
      <c r="D208" s="501">
        <f>SUM(D25:D206)/2</f>
        <v>-87888</v>
      </c>
      <c r="E208" s="171">
        <f t="shared" ref="E208:F208" si="45">SUM(E25:E206)/2</f>
        <v>6241805</v>
      </c>
      <c r="F208" s="171">
        <f t="shared" si="45"/>
        <v>0</v>
      </c>
      <c r="G208" s="171">
        <f>SUM(G25:G206)/2</f>
        <v>6241805</v>
      </c>
      <c r="H208" s="172">
        <f>IF($G$208=0,0,G208/$G$208)</f>
        <v>1</v>
      </c>
      <c r="I208" s="547"/>
      <c r="J208" s="183">
        <f>SUM(J25:J200)</f>
        <v>106075</v>
      </c>
      <c r="K208" s="183">
        <f>SUM(K25:K200)</f>
        <v>113497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547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547"/>
      <c r="J210" s="168"/>
      <c r="K210" s="168"/>
    </row>
    <row r="211" spans="1:11" s="167" customFormat="1" ht="15.5">
      <c r="A211" s="163"/>
      <c r="B211" s="228" t="s">
        <v>181</v>
      </c>
      <c r="C211" s="501">
        <f>'[3]Sch C'!D221</f>
        <v>6329693</v>
      </c>
      <c r="D211" s="196"/>
      <c r="E211" s="165"/>
      <c r="F211"/>
      <c r="G211"/>
      <c r="I211" s="547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547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547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547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-382252</v>
      </c>
      <c r="D215" s="501">
        <f>D21-D208</f>
        <v>85672</v>
      </c>
      <c r="E215" s="171">
        <f t="shared" ref="E215:F215" si="46">E21-E208</f>
        <v>-296580</v>
      </c>
      <c r="F215" s="171">
        <f t="shared" si="46"/>
        <v>0</v>
      </c>
      <c r="G215" s="171">
        <f>G21-G208</f>
        <v>-296580</v>
      </c>
      <c r="I215" s="547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547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547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547"/>
      <c r="J218" s="168"/>
      <c r="K218" s="168"/>
    </row>
    <row r="219" spans="1:11">
      <c r="A219" s="163"/>
      <c r="B219" s="170" t="s">
        <v>218</v>
      </c>
      <c r="C219" s="530">
        <f>'[3]Sch D'!C9</f>
        <v>14381</v>
      </c>
      <c r="D219" s="530"/>
      <c r="E219" s="234">
        <f t="shared" ref="E219:G227" si="47">C219+D219</f>
        <v>14381</v>
      </c>
      <c r="F219" s="233"/>
      <c r="G219" s="234">
        <f t="shared" si="47"/>
        <v>14381</v>
      </c>
      <c r="H219" s="172">
        <f t="shared" ref="H219:H228" si="48">IF($G$228=0,0,G219/$G$228)</f>
        <v>0.60335640864275231</v>
      </c>
      <c r="I219" s="547"/>
      <c r="J219" s="168"/>
      <c r="K219" s="168"/>
    </row>
    <row r="220" spans="1:11">
      <c r="A220" s="163"/>
      <c r="B220" s="170" t="s">
        <v>217</v>
      </c>
      <c r="C220" s="530">
        <f>'[3]Sch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547"/>
      <c r="J220" s="168"/>
      <c r="K220" s="168"/>
    </row>
    <row r="221" spans="1:11">
      <c r="A221" s="163"/>
      <c r="B221" s="170" t="s">
        <v>72</v>
      </c>
      <c r="C221" s="530">
        <f>'[3]Sch D'!E9</f>
        <v>2416</v>
      </c>
      <c r="D221" s="530"/>
      <c r="E221" s="234">
        <f t="shared" si="49"/>
        <v>2416</v>
      </c>
      <c r="F221" s="233"/>
      <c r="G221" s="234">
        <f t="shared" si="47"/>
        <v>2416</v>
      </c>
      <c r="H221" s="172">
        <f t="shared" si="48"/>
        <v>0.10136354101111811</v>
      </c>
      <c r="I221" s="547"/>
      <c r="J221" s="168"/>
      <c r="K221" s="168"/>
    </row>
    <row r="222" spans="1:11">
      <c r="A222" s="163"/>
      <c r="B222" s="202" t="s">
        <v>334</v>
      </c>
      <c r="C222" s="530">
        <f>'[3]Sch D'!F9</f>
        <v>1746</v>
      </c>
      <c r="D222" s="530"/>
      <c r="E222" s="234">
        <f>C222+D222</f>
        <v>1746</v>
      </c>
      <c r="F222" s="233"/>
      <c r="G222" s="234">
        <f>E222+F222</f>
        <v>1746</v>
      </c>
      <c r="H222" s="172">
        <f t="shared" si="48"/>
        <v>7.3253618628067965E-2</v>
      </c>
      <c r="I222" s="547"/>
      <c r="J222" s="168"/>
      <c r="K222" s="168"/>
    </row>
    <row r="223" spans="1:11">
      <c r="A223" s="163"/>
      <c r="B223" s="170" t="s">
        <v>73</v>
      </c>
      <c r="C223" s="530">
        <f>'[3]Sch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547"/>
      <c r="J223" s="168"/>
      <c r="K223" s="168"/>
    </row>
    <row r="224" spans="1:11">
      <c r="A224" s="163"/>
      <c r="B224" s="170" t="s">
        <v>74</v>
      </c>
      <c r="C224" s="530">
        <f>'[3]Sch D'!H9</f>
        <v>2921</v>
      </c>
      <c r="D224" s="530"/>
      <c r="E224" s="234">
        <f t="shared" si="49"/>
        <v>2921</v>
      </c>
      <c r="F224" s="233"/>
      <c r="G224" s="234">
        <f t="shared" si="47"/>
        <v>2921</v>
      </c>
      <c r="H224" s="172">
        <f t="shared" si="48"/>
        <v>0.12255087056849172</v>
      </c>
      <c r="I224" s="547"/>
      <c r="J224" s="168"/>
      <c r="K224" s="168"/>
    </row>
    <row r="225" spans="1:11">
      <c r="A225" s="163"/>
      <c r="B225" s="170" t="s">
        <v>236</v>
      </c>
      <c r="C225" s="530">
        <f>'[3]Sch D'!I9</f>
        <v>1856</v>
      </c>
      <c r="D225" s="530"/>
      <c r="E225" s="234">
        <f t="shared" si="49"/>
        <v>1856</v>
      </c>
      <c r="F225" s="233"/>
      <c r="G225" s="234">
        <f t="shared" si="47"/>
        <v>1856</v>
      </c>
      <c r="H225" s="172">
        <f t="shared" si="48"/>
        <v>7.786868051185232E-2</v>
      </c>
      <c r="I225" s="547"/>
      <c r="J225" s="168"/>
      <c r="K225" s="168"/>
    </row>
    <row r="226" spans="1:11">
      <c r="A226" s="163"/>
      <c r="B226" s="170" t="s">
        <v>235</v>
      </c>
      <c r="C226" s="530">
        <f>'[3]Sch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547"/>
      <c r="J226" s="168"/>
      <c r="K226" s="168"/>
    </row>
    <row r="227" spans="1:11">
      <c r="A227" s="163"/>
      <c r="B227" s="170" t="s">
        <v>179</v>
      </c>
      <c r="C227" s="530">
        <f>'[3]Sch D'!K9</f>
        <v>515</v>
      </c>
      <c r="D227" s="530"/>
      <c r="E227" s="234">
        <f t="shared" si="49"/>
        <v>515</v>
      </c>
      <c r="F227" s="233"/>
      <c r="G227" s="234">
        <f t="shared" si="47"/>
        <v>515</v>
      </c>
      <c r="H227" s="172">
        <f t="shared" si="48"/>
        <v>2.1606880637717641E-2</v>
      </c>
      <c r="I227" s="547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23835</v>
      </c>
      <c r="D228" s="530">
        <f>SUM(D219:D227)</f>
        <v>0</v>
      </c>
      <c r="E228" s="236">
        <f>SUM(E219:E227)</f>
        <v>23835</v>
      </c>
      <c r="F228" s="236">
        <f>SUM(F219:F227)</f>
        <v>0</v>
      </c>
      <c r="G228" s="236">
        <f>SUM(G219:G227)</f>
        <v>23835</v>
      </c>
      <c r="H228" s="172">
        <f t="shared" si="48"/>
        <v>1</v>
      </c>
      <c r="I228" s="547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547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547"/>
      <c r="J230" s="168"/>
      <c r="K230" s="168"/>
    </row>
    <row r="231" spans="1:11">
      <c r="A231" s="163"/>
      <c r="B231" s="202" t="s">
        <v>219</v>
      </c>
      <c r="C231" s="531">
        <f>'[3]Sch D'!N22</f>
        <v>122</v>
      </c>
      <c r="D231" s="502"/>
      <c r="E231" s="234">
        <f>C231+D231</f>
        <v>122</v>
      </c>
      <c r="F231" s="234"/>
      <c r="G231" s="234">
        <f>E231+F231</f>
        <v>122</v>
      </c>
      <c r="H231" s="167"/>
      <c r="I231" s="547"/>
      <c r="J231" s="168"/>
      <c r="K231" s="168"/>
    </row>
    <row r="232" spans="1:11">
      <c r="A232" s="163"/>
      <c r="B232" s="202" t="s">
        <v>290</v>
      </c>
      <c r="C232" s="531">
        <f>'[3]Sch D'!N24</f>
        <v>122</v>
      </c>
      <c r="D232" s="502"/>
      <c r="E232" s="234">
        <f>C232+D232</f>
        <v>122</v>
      </c>
      <c r="F232" s="234"/>
      <c r="G232" s="234">
        <f>E232+F232</f>
        <v>122</v>
      </c>
      <c r="H232" s="167"/>
      <c r="I232" s="547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547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547"/>
      <c r="J234" s="168"/>
      <c r="K234" s="168"/>
    </row>
    <row r="235" spans="1:11" ht="26">
      <c r="A235" s="163"/>
      <c r="B235" s="241" t="s">
        <v>335</v>
      </c>
      <c r="C235" s="531">
        <f>'[3]Sch D'!N28</f>
        <v>44530</v>
      </c>
      <c r="D235" s="438"/>
      <c r="E235" s="233">
        <f>E231*E233</f>
        <v>44530</v>
      </c>
      <c r="F235" s="238"/>
      <c r="G235" s="233">
        <f>G231*G233</f>
        <v>44530</v>
      </c>
      <c r="H235" s="167"/>
      <c r="I235" s="547"/>
      <c r="J235" s="168"/>
      <c r="K235" s="168"/>
    </row>
    <row r="236" spans="1:11" ht="26">
      <c r="A236" s="163"/>
      <c r="B236" s="241" t="s">
        <v>336</v>
      </c>
      <c r="C236" s="532">
        <f>'[3]Sch D'!N30</f>
        <v>0.53525713002470243</v>
      </c>
      <c r="D236" s="238"/>
      <c r="E236" s="242">
        <f>IFERROR(E228/E235,"0")</f>
        <v>0.53525713002470243</v>
      </c>
      <c r="F236" s="243"/>
      <c r="G236" s="242">
        <f>IFERROR(G228/G235,"0")</f>
        <v>0.53525713002470243</v>
      </c>
      <c r="H236" s="167"/>
      <c r="I236" s="547"/>
      <c r="J236" s="168"/>
      <c r="K236" s="168"/>
    </row>
    <row r="237" spans="1:11" ht="26">
      <c r="A237" s="163"/>
      <c r="B237" s="241" t="s">
        <v>337</v>
      </c>
      <c r="C237" s="532">
        <f>'[3]Sch D'!N32</f>
        <v>0.32295081967213113</v>
      </c>
      <c r="D237" s="238"/>
      <c r="E237" s="242">
        <f>IFERROR((E219+E220)/E235,"0")</f>
        <v>0.32295081967213113</v>
      </c>
      <c r="F237" s="243"/>
      <c r="G237" s="242">
        <f>IFERROR((G219+G220)/G235,"0")</f>
        <v>0.32295081967213113</v>
      </c>
      <c r="H237" s="167"/>
      <c r="I237" s="547"/>
      <c r="J237" s="168"/>
      <c r="K237" s="168"/>
    </row>
    <row r="238" spans="1:11" ht="26">
      <c r="A238" s="163"/>
      <c r="B238" s="241" t="s">
        <v>338</v>
      </c>
      <c r="C238" s="532">
        <f>'[3]Sch D'!N34</f>
        <v>0.6033564086427522</v>
      </c>
      <c r="D238" s="238"/>
      <c r="E238" s="242">
        <f>IFERROR((E237/E236),"0")</f>
        <v>0.6033564086427522</v>
      </c>
      <c r="F238" s="243"/>
      <c r="G238" s="242">
        <f>IFERROR((G237/G236),"0")</f>
        <v>0.6033564086427522</v>
      </c>
      <c r="H238" s="167"/>
      <c r="I238" s="547"/>
      <c r="J238" s="168"/>
      <c r="K238" s="168"/>
    </row>
    <row r="239" spans="1:11">
      <c r="I239" s="546"/>
    </row>
    <row r="240" spans="1:11">
      <c r="I240" s="546"/>
    </row>
    <row r="241" spans="2:9">
      <c r="B241" s="148" t="s">
        <v>339</v>
      </c>
      <c r="F241" s="142" t="s">
        <v>340</v>
      </c>
      <c r="G241" s="501">
        <f>'[3]Sch B'!C85</f>
        <v>226.86712095400341</v>
      </c>
      <c r="I241" s="546"/>
    </row>
    <row r="242" spans="2:9">
      <c r="F242" s="142" t="s">
        <v>341</v>
      </c>
      <c r="G242" s="501">
        <f>'[3]Sch B'!E85</f>
        <v>226.86720554272517</v>
      </c>
      <c r="I242" s="546"/>
    </row>
    <row r="243" spans="2:9">
      <c r="F243" s="142" t="s">
        <v>342</v>
      </c>
      <c r="G243" s="501">
        <f>'[3]Sch B'!G85</f>
        <v>226.86787204450627</v>
      </c>
      <c r="I243" s="546"/>
    </row>
    <row r="244" spans="2:9">
      <c r="F244" s="142" t="s">
        <v>343</v>
      </c>
      <c r="G244" s="501">
        <f>'[3]Sch B'!I85</f>
        <v>226.86782376502003</v>
      </c>
      <c r="I244" s="546"/>
    </row>
    <row r="245" spans="2:9">
      <c r="F245" s="142"/>
      <c r="I245" s="546"/>
    </row>
    <row r="246" spans="2:9">
      <c r="I246" s="546"/>
    </row>
    <row r="247" spans="2:9">
      <c r="I247" s="140"/>
    </row>
    <row r="248" spans="2:9">
      <c r="I248" s="140"/>
    </row>
    <row r="249" spans="2:9">
      <c r="I249" s="140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2">
    <tabColor rgb="FFE28CAB"/>
  </sheetPr>
  <dimension ref="A1:O246"/>
  <sheetViews>
    <sheetView showGridLines="0" topLeftCell="A23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483</v>
      </c>
      <c r="D2" s="244"/>
      <c r="E2" s="144"/>
      <c r="F2" s="421"/>
    </row>
    <row r="3" spans="1:11">
      <c r="A3" s="145"/>
      <c r="B3" s="140" t="s">
        <v>79</v>
      </c>
      <c r="C3" s="441">
        <v>42552</v>
      </c>
      <c r="D3" s="144"/>
      <c r="E3" s="147"/>
      <c r="F3" s="409"/>
    </row>
    <row r="4" spans="1:11">
      <c r="A4" s="145"/>
      <c r="B4" s="148" t="s">
        <v>80</v>
      </c>
      <c r="C4" s="441">
        <v>42916</v>
      </c>
      <c r="D4" s="144"/>
      <c r="E4" s="149"/>
      <c r="F4" s="409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E9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'[28]Sch B'!E10</f>
        <v>3710496</v>
      </c>
      <c r="D11" s="501">
        <f>'[28]Sch B'!G10</f>
        <v>0</v>
      </c>
      <c r="E11" s="171">
        <f>C11+D11</f>
        <v>3710496</v>
      </c>
      <c r="F11" s="660">
        <f>677266+91852</f>
        <v>769118</v>
      </c>
      <c r="G11" s="171">
        <f t="shared" ref="G11:G20" si="0">E11+F11</f>
        <v>4479614</v>
      </c>
      <c r="H11" s="172">
        <f t="shared" ref="H11:H21" si="1">IF($G$21=0,0,G11/$G$21)</f>
        <v>0.49040223125968369</v>
      </c>
      <c r="I11" s="472"/>
      <c r="J11" s="336" t="s">
        <v>344</v>
      </c>
      <c r="K11" s="337">
        <f>G21</f>
        <v>9134571</v>
      </c>
    </row>
    <row r="12" spans="1:11" s="167" customFormat="1">
      <c r="A12" s="169" t="s">
        <v>15</v>
      </c>
      <c r="B12" s="170" t="s">
        <v>212</v>
      </c>
      <c r="C12" s="501">
        <f>'[28]Sch B'!E15</f>
        <v>0</v>
      </c>
      <c r="D12" s="501">
        <f>'[28]Sch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6893919</v>
      </c>
    </row>
    <row r="13" spans="1:11" s="167" customFormat="1">
      <c r="A13" s="169" t="s">
        <v>16</v>
      </c>
      <c r="B13" s="170" t="s">
        <v>170</v>
      </c>
      <c r="C13" s="501">
        <f>'[28]Sch B'!E21</f>
        <v>1467536</v>
      </c>
      <c r="D13" s="501">
        <f>'[28]Sch B'!G21</f>
        <v>0</v>
      </c>
      <c r="E13" s="171">
        <f t="shared" si="2"/>
        <v>1467536</v>
      </c>
      <c r="F13" s="171"/>
      <c r="G13" s="171">
        <f t="shared" si="0"/>
        <v>1467536</v>
      </c>
      <c r="H13" s="172">
        <f t="shared" si="1"/>
        <v>0.16065735325720276</v>
      </c>
      <c r="I13" s="473"/>
      <c r="J13" s="338" t="s">
        <v>346</v>
      </c>
      <c r="K13" s="339">
        <f>G228</f>
        <v>28571</v>
      </c>
    </row>
    <row r="14" spans="1:11" s="167" customFormat="1">
      <c r="A14" s="173" t="s">
        <v>18</v>
      </c>
      <c r="B14" s="174" t="s">
        <v>306</v>
      </c>
      <c r="C14" s="501">
        <f>'[28]Sch B'!E27</f>
        <v>1537991</v>
      </c>
      <c r="D14" s="501">
        <f>'[28]Sch B'!G27</f>
        <v>0</v>
      </c>
      <c r="E14" s="171">
        <f t="shared" si="2"/>
        <v>1537991</v>
      </c>
      <c r="F14" s="175"/>
      <c r="G14" s="175">
        <f>E14+F14</f>
        <v>1537991</v>
      </c>
      <c r="H14" s="176">
        <f t="shared" si="1"/>
        <v>0.16837035915534512</v>
      </c>
      <c r="I14" s="479"/>
      <c r="J14" s="338" t="s">
        <v>347</v>
      </c>
      <c r="K14" s="339">
        <f>G231</f>
        <v>120</v>
      </c>
    </row>
    <row r="15" spans="1:11" s="167" customFormat="1">
      <c r="A15" s="169" t="s">
        <v>19</v>
      </c>
      <c r="B15" s="170" t="s">
        <v>171</v>
      </c>
      <c r="C15" s="501">
        <f>'[28]Sch B'!E32</f>
        <v>477221</v>
      </c>
      <c r="D15" s="501">
        <f>'[28]Sch B'!G32</f>
        <v>0</v>
      </c>
      <c r="E15" s="171">
        <f t="shared" si="2"/>
        <v>477221</v>
      </c>
      <c r="F15" s="171"/>
      <c r="G15" s="171">
        <f t="shared" si="0"/>
        <v>477221</v>
      </c>
      <c r="H15" s="172">
        <f t="shared" si="1"/>
        <v>5.2243394900537747E-2</v>
      </c>
      <c r="I15" s="473"/>
      <c r="J15" s="338" t="s">
        <v>348</v>
      </c>
      <c r="K15" s="339">
        <f>G235</f>
        <v>43800</v>
      </c>
    </row>
    <row r="16" spans="1:11" s="167" customFormat="1">
      <c r="A16" s="169" t="s">
        <v>21</v>
      </c>
      <c r="B16" s="170" t="s">
        <v>172</v>
      </c>
      <c r="C16" s="501">
        <f>'[28]Sch B'!E37</f>
        <v>584792</v>
      </c>
      <c r="D16" s="501">
        <f>'[28]Sch B'!G37</f>
        <v>0</v>
      </c>
      <c r="E16" s="171">
        <f t="shared" si="2"/>
        <v>584792</v>
      </c>
      <c r="F16" s="171"/>
      <c r="G16" s="171">
        <f t="shared" si="0"/>
        <v>584792</v>
      </c>
      <c r="H16" s="172">
        <f t="shared" si="1"/>
        <v>6.4019645804931621E-2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'[28]Sch B'!E42</f>
        <v>0</v>
      </c>
      <c r="D17" s="501">
        <f>'[28]Sch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184601</v>
      </c>
    </row>
    <row r="18" spans="1:11" s="167" customFormat="1" ht="13.5" thickBot="1">
      <c r="A18" s="169" t="s">
        <v>216</v>
      </c>
      <c r="B18" s="170" t="s">
        <v>229</v>
      </c>
      <c r="C18" s="501">
        <f>'[28]Sch B'!E47</f>
        <v>586658</v>
      </c>
      <c r="D18" s="501">
        <f>'[28]Sch B'!G47</f>
        <v>0</v>
      </c>
      <c r="E18" s="171">
        <f t="shared" si="2"/>
        <v>586658</v>
      </c>
      <c r="F18" s="171"/>
      <c r="G18" s="171">
        <f>E18+F18</f>
        <v>586658</v>
      </c>
      <c r="H18" s="172">
        <f t="shared" si="1"/>
        <v>6.4223924692248816E-2</v>
      </c>
      <c r="I18" s="473"/>
      <c r="J18" s="341" t="s">
        <v>252</v>
      </c>
      <c r="K18" s="342">
        <f>K208</f>
        <v>196072</v>
      </c>
    </row>
    <row r="19" spans="1:11" s="167" customFormat="1">
      <c r="A19" s="169" t="s">
        <v>227</v>
      </c>
      <c r="B19" s="177" t="s">
        <v>173</v>
      </c>
      <c r="C19" s="501">
        <f>'[28]Sch B'!E52</f>
        <v>0</v>
      </c>
      <c r="D19" s="501">
        <f>'[28]Sch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'[28]Sch B'!E67</f>
        <v>759</v>
      </c>
      <c r="D20" s="501">
        <f>'[28]Sch B'!G67</f>
        <v>0</v>
      </c>
      <c r="E20" s="171">
        <f t="shared" si="2"/>
        <v>759</v>
      </c>
      <c r="F20" s="171"/>
      <c r="G20" s="171">
        <f t="shared" si="0"/>
        <v>759</v>
      </c>
      <c r="H20" s="172">
        <f t="shared" si="1"/>
        <v>8.3090930050245388E-5</v>
      </c>
      <c r="I20" s="472"/>
      <c r="J20" s="168"/>
      <c r="K20" s="168"/>
    </row>
    <row r="21" spans="1:11" s="167" customFormat="1">
      <c r="A21" s="169"/>
      <c r="B21" s="178" t="s">
        <v>77</v>
      </c>
      <c r="C21" s="501">
        <f>SUM(C11:C20)</f>
        <v>8365453</v>
      </c>
      <c r="D21" s="501">
        <f>SUM(D11:D20)</f>
        <v>0</v>
      </c>
      <c r="E21" s="171">
        <f>SUM(E11:E20)</f>
        <v>8365453</v>
      </c>
      <c r="F21" s="171">
        <f>SUM(F11:F20)</f>
        <v>769118</v>
      </c>
      <c r="G21" s="171">
        <f>SUM(G11:G20)</f>
        <v>9134571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 t="s">
        <v>643</v>
      </c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'[28]Sch C'!D10</f>
        <v>171188</v>
      </c>
      <c r="D25" s="501">
        <f>'[28]Sch C'!F10</f>
        <v>11037</v>
      </c>
      <c r="E25" s="171">
        <f t="shared" ref="E25:E60" si="3">C25+D25</f>
        <v>182225</v>
      </c>
      <c r="F25" s="171"/>
      <c r="G25" s="182">
        <f>E25+F25</f>
        <v>182225</v>
      </c>
      <c r="H25" s="172">
        <f>IF($G$208=0,0,G25/$G$208)</f>
        <v>2.6432715557000306E-2</v>
      </c>
      <c r="I25" s="473"/>
      <c r="J25" s="183">
        <v>2585</v>
      </c>
      <c r="K25" s="183">
        <v>2752</v>
      </c>
    </row>
    <row r="26" spans="1:11" s="167" customFormat="1">
      <c r="A26" s="169" t="s">
        <v>84</v>
      </c>
      <c r="B26" s="170" t="s">
        <v>176</v>
      </c>
      <c r="C26" s="501">
        <f>'[28]Sch C'!D11</f>
        <v>0</v>
      </c>
      <c r="D26" s="501">
        <f>'[28]Sch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'[28]Sch C'!D12</f>
        <v>297574</v>
      </c>
      <c r="D27" s="501">
        <f>'[28]Sch C'!F12</f>
        <v>19183</v>
      </c>
      <c r="E27" s="171">
        <f t="shared" si="3"/>
        <v>316757</v>
      </c>
      <c r="F27" s="660"/>
      <c r="G27" s="171">
        <f t="shared" si="4"/>
        <v>316757</v>
      </c>
      <c r="H27" s="172">
        <f t="shared" si="5"/>
        <v>4.5947305154006017E-2</v>
      </c>
      <c r="I27" s="473"/>
      <c r="J27" s="183">
        <v>13663</v>
      </c>
      <c r="K27" s="183">
        <v>14544</v>
      </c>
    </row>
    <row r="28" spans="1:11" s="167" customFormat="1">
      <c r="A28" s="169" t="s">
        <v>86</v>
      </c>
      <c r="B28" s="170" t="s">
        <v>45</v>
      </c>
      <c r="C28" s="501">
        <f>'[28]Sch C'!D13</f>
        <v>768454</v>
      </c>
      <c r="D28" s="501">
        <f>'[28]Sch C'!F13</f>
        <v>-707468</v>
      </c>
      <c r="E28" s="171">
        <f t="shared" si="3"/>
        <v>60986</v>
      </c>
      <c r="F28" s="660"/>
      <c r="G28" s="171">
        <f t="shared" si="4"/>
        <v>60986</v>
      </c>
      <c r="H28" s="172">
        <f t="shared" si="5"/>
        <v>8.8463470487541267E-3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'[28]Sch C'!D14</f>
        <v>0</v>
      </c>
      <c r="D29" s="501">
        <f>'[28]Sch C'!F14</f>
        <v>0</v>
      </c>
      <c r="E29" s="171">
        <f t="shared" si="3"/>
        <v>0</v>
      </c>
      <c r="F29" s="660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'[28]Sch C'!D15</f>
        <v>0</v>
      </c>
      <c r="D30" s="501">
        <f>'[28]Sch C'!F15</f>
        <v>0</v>
      </c>
      <c r="E30" s="171">
        <f t="shared" si="3"/>
        <v>0</v>
      </c>
      <c r="F30" s="660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'[28]Sch C'!D16</f>
        <v>417926</v>
      </c>
      <c r="D31" s="501">
        <f>'[28]Sch C'!F16</f>
        <v>195859</v>
      </c>
      <c r="E31" s="171">
        <f t="shared" si="3"/>
        <v>613785</v>
      </c>
      <c r="F31" s="660">
        <v>-46745.500004077898</v>
      </c>
      <c r="G31" s="171">
        <f t="shared" si="4"/>
        <v>567039.49999592209</v>
      </c>
      <c r="H31" s="172">
        <f t="shared" si="5"/>
        <v>8.2252126837568315E-2</v>
      </c>
      <c r="I31" s="473" t="s">
        <v>402</v>
      </c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'[28]Sch C'!D17</f>
        <v>0</v>
      </c>
      <c r="D32" s="501">
        <f>'[28]Sch C'!F17</f>
        <v>0</v>
      </c>
      <c r="E32" s="171">
        <f t="shared" si="3"/>
        <v>0</v>
      </c>
      <c r="F32" s="660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'[28]Sch C'!D18</f>
        <v>21086</v>
      </c>
      <c r="D33" s="501">
        <f>'[28]Sch C'!F18</f>
        <v>0</v>
      </c>
      <c r="E33" s="171">
        <f t="shared" si="3"/>
        <v>21086</v>
      </c>
      <c r="F33" s="660">
        <v>-258</v>
      </c>
      <c r="G33" s="171">
        <f t="shared" si="4"/>
        <v>20828</v>
      </c>
      <c r="H33" s="172">
        <f t="shared" si="5"/>
        <v>3.0212133330838379E-3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'[28]Sch C'!D19</f>
        <v>21682</v>
      </c>
      <c r="D34" s="501">
        <f>'[28]Sch C'!F19</f>
        <v>-334</v>
      </c>
      <c r="E34" s="171">
        <f t="shared" si="3"/>
        <v>21348</v>
      </c>
      <c r="F34" s="660"/>
      <c r="G34" s="171">
        <f t="shared" si="4"/>
        <v>21348</v>
      </c>
      <c r="H34" s="172">
        <f t="shared" si="5"/>
        <v>3.0966421276490195E-3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'[28]Sch C'!D20</f>
        <v>32672</v>
      </c>
      <c r="D35" s="501">
        <f>'[28]Sch C'!F20</f>
        <v>0</v>
      </c>
      <c r="E35" s="171">
        <f t="shared" si="3"/>
        <v>32672</v>
      </c>
      <c r="F35" s="660"/>
      <c r="G35" s="171">
        <f t="shared" si="4"/>
        <v>32672</v>
      </c>
      <c r="H35" s="172">
        <f t="shared" si="5"/>
        <v>4.7392491846800057E-3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'[28]Sch C'!D21</f>
        <v>15198</v>
      </c>
      <c r="D36" s="501">
        <f>'[28]Sch C'!F21</f>
        <v>0</v>
      </c>
      <c r="E36" s="171">
        <f t="shared" si="3"/>
        <v>15198</v>
      </c>
      <c r="F36" s="660">
        <v>-13267</v>
      </c>
      <c r="G36" s="171">
        <f t="shared" si="4"/>
        <v>1931</v>
      </c>
      <c r="H36" s="172">
        <f t="shared" si="5"/>
        <v>2.801019275103174E-4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'[28]Sch C'!D22</f>
        <v>0</v>
      </c>
      <c r="D37" s="501">
        <f>'[28]Sch C'!F22</f>
        <v>0</v>
      </c>
      <c r="E37" s="171">
        <f t="shared" si="3"/>
        <v>0</v>
      </c>
      <c r="F37" s="660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'[28]Sch C'!D23</f>
        <v>3358</v>
      </c>
      <c r="D38" s="501">
        <f>'[28]Sch C'!F23</f>
        <v>0</v>
      </c>
      <c r="E38" s="171">
        <f t="shared" si="3"/>
        <v>3358</v>
      </c>
      <c r="F38" s="660"/>
      <c r="G38" s="171">
        <f t="shared" si="4"/>
        <v>3358</v>
      </c>
      <c r="H38" s="172">
        <f t="shared" si="5"/>
        <v>4.870959464420745E-4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'[28]Sch C'!D24</f>
        <v>59185</v>
      </c>
      <c r="D39" s="501">
        <f>'[28]Sch C'!F24</f>
        <v>-12600</v>
      </c>
      <c r="E39" s="171">
        <f t="shared" si="3"/>
        <v>46585</v>
      </c>
      <c r="F39" s="660">
        <v>-1042</v>
      </c>
      <c r="G39" s="171">
        <f t="shared" si="4"/>
        <v>45543</v>
      </c>
      <c r="H39" s="172">
        <f t="shared" si="5"/>
        <v>6.6062569055424063E-3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'[28]Sch C'!D25</f>
        <v>0</v>
      </c>
      <c r="D40" s="501">
        <f>'[28]Sch C'!F25</f>
        <v>0</v>
      </c>
      <c r="E40" s="171">
        <f t="shared" si="3"/>
        <v>0</v>
      </c>
      <c r="F40" s="660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'[28]Sch C'!D26</f>
        <v>417523</v>
      </c>
      <c r="D41" s="501">
        <f>'[28]Sch C'!F26</f>
        <v>0</v>
      </c>
      <c r="E41" s="171">
        <f t="shared" si="3"/>
        <v>417523</v>
      </c>
      <c r="F41" s="660"/>
      <c r="G41" s="171">
        <f t="shared" si="4"/>
        <v>417523</v>
      </c>
      <c r="H41" s="172">
        <f t="shared" si="5"/>
        <v>6.0563954986996509E-2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'[28]Sch C'!D27</f>
        <v>0</v>
      </c>
      <c r="D42" s="501">
        <f>'[28]Sch C'!F27</f>
        <v>0</v>
      </c>
      <c r="E42" s="171">
        <f t="shared" si="3"/>
        <v>0</v>
      </c>
      <c r="F42" s="660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'[28]Sch C'!D28</f>
        <v>0</v>
      </c>
      <c r="D43" s="501">
        <f>'[28]Sch C'!F28</f>
        <v>0</v>
      </c>
      <c r="E43" s="171">
        <f t="shared" si="3"/>
        <v>0</v>
      </c>
      <c r="F43" s="660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'[28]Sch C'!D29</f>
        <v>202102</v>
      </c>
      <c r="D44" s="501">
        <f>'[28]Sch C'!F29</f>
        <v>-202102</v>
      </c>
      <c r="E44" s="171">
        <f t="shared" si="3"/>
        <v>0</v>
      </c>
      <c r="F44" s="660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'[28]Sch C'!D30</f>
        <v>0</v>
      </c>
      <c r="D45" s="501">
        <f>'[28]Sch C'!F30</f>
        <v>0</v>
      </c>
      <c r="E45" s="171">
        <f t="shared" si="3"/>
        <v>0</v>
      </c>
      <c r="F45" s="660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'[28]Sch C'!D31</f>
        <v>98695</v>
      </c>
      <c r="D46" s="501">
        <f>'[28]Sch C'!F31</f>
        <v>0</v>
      </c>
      <c r="E46" s="171">
        <f t="shared" si="3"/>
        <v>98695</v>
      </c>
      <c r="F46" s="660"/>
      <c r="G46" s="171">
        <f t="shared" si="4"/>
        <v>98695</v>
      </c>
      <c r="H46" s="172">
        <f t="shared" si="5"/>
        <v>1.4316240153097244E-2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'[28]Sch C'!D32</f>
        <v>78435</v>
      </c>
      <c r="D47" s="501">
        <f>'[28]Sch C'!F32</f>
        <v>-26809</v>
      </c>
      <c r="E47" s="171">
        <f t="shared" si="3"/>
        <v>51626</v>
      </c>
      <c r="F47" s="660"/>
      <c r="G47" s="171">
        <f t="shared" si="4"/>
        <v>51626</v>
      </c>
      <c r="H47" s="172">
        <f t="shared" si="5"/>
        <v>7.4886287465808637E-3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'[28]Sch C'!D33</f>
        <v>0</v>
      </c>
      <c r="D48" s="501">
        <f>'[28]Sch C'!F33</f>
        <v>0</v>
      </c>
      <c r="E48" s="171">
        <f t="shared" si="3"/>
        <v>0</v>
      </c>
      <c r="F48" s="660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'[28]Sch C'!D34</f>
        <v>0</v>
      </c>
      <c r="D49" s="501">
        <f>'[28]Sch C'!F34</f>
        <v>0</v>
      </c>
      <c r="E49" s="171">
        <f t="shared" si="3"/>
        <v>0</v>
      </c>
      <c r="F49" s="660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'[28]Sch C'!D35</f>
        <v>0</v>
      </c>
      <c r="D50" s="501">
        <f>'[28]Sch C'!F35</f>
        <v>0</v>
      </c>
      <c r="E50" s="171">
        <f t="shared" si="3"/>
        <v>0</v>
      </c>
      <c r="F50" s="660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'[28]Sch C'!D36</f>
        <v>0</v>
      </c>
      <c r="D51" s="501">
        <f>'[28]Sch C'!F36</f>
        <v>0</v>
      </c>
      <c r="E51" s="171">
        <f t="shared" si="3"/>
        <v>0</v>
      </c>
      <c r="F51" s="660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'[28]Sch C'!D37</f>
        <v>0</v>
      </c>
      <c r="D52" s="501">
        <f>'[28]Sch C'!F37</f>
        <v>0</v>
      </c>
      <c r="E52" s="171">
        <f t="shared" si="3"/>
        <v>0</v>
      </c>
      <c r="F52" s="660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'[28]Sch C'!D38</f>
        <v>155</v>
      </c>
      <c r="D53" s="501">
        <f>'[28]Sch C'!F38</f>
        <v>-155</v>
      </c>
      <c r="E53" s="171">
        <f t="shared" si="3"/>
        <v>0</v>
      </c>
      <c r="F53" s="660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'[28]Sch C'!D39</f>
        <v>6501</v>
      </c>
      <c r="D54" s="501">
        <f>'[28]Sch C'!F39</f>
        <v>0</v>
      </c>
      <c r="E54" s="171">
        <f t="shared" si="3"/>
        <v>6501</v>
      </c>
      <c r="F54" s="660"/>
      <c r="G54" s="171">
        <f t="shared" si="4"/>
        <v>6501</v>
      </c>
      <c r="H54" s="172">
        <f t="shared" si="5"/>
        <v>9.4300498743892988E-4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'[28]Sch C'!D40</f>
        <v>14993</v>
      </c>
      <c r="D55" s="501">
        <f>'[28]Sch C'!F40</f>
        <v>0</v>
      </c>
      <c r="E55" s="171">
        <f t="shared" si="3"/>
        <v>14993</v>
      </c>
      <c r="F55" s="660">
        <v>-809</v>
      </c>
      <c r="G55" s="171">
        <f t="shared" si="4"/>
        <v>14184</v>
      </c>
      <c r="H55" s="172">
        <f t="shared" si="5"/>
        <v>2.0574654271394831E-3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'[28]Sch C'!D41</f>
        <v>15671</v>
      </c>
      <c r="D56" s="501">
        <f>'[28]Sch C'!F41</f>
        <v>0</v>
      </c>
      <c r="E56" s="171">
        <f t="shared" si="3"/>
        <v>15671</v>
      </c>
      <c r="F56" s="660"/>
      <c r="G56" s="171">
        <f t="shared" si="4"/>
        <v>15671</v>
      </c>
      <c r="H56" s="172">
        <f t="shared" si="5"/>
        <v>2.2731627685210693E-3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'[28]Sch C'!D42</f>
        <v>5141</v>
      </c>
      <c r="D57" s="501">
        <f>'[28]Sch C'!F42</f>
        <v>0</v>
      </c>
      <c r="E57" s="171">
        <f t="shared" si="3"/>
        <v>5141</v>
      </c>
      <c r="F57" s="171"/>
      <c r="G57" s="171">
        <f t="shared" si="4"/>
        <v>5141</v>
      </c>
      <c r="H57" s="172">
        <f t="shared" si="5"/>
        <v>7.4572967857614806E-4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'[28]Sch C'!D43</f>
        <v>8613</v>
      </c>
      <c r="D58" s="501">
        <f>'[28]Sch C'!F43</f>
        <v>0</v>
      </c>
      <c r="E58" s="171">
        <f t="shared" si="3"/>
        <v>8613</v>
      </c>
      <c r="F58" s="171"/>
      <c r="G58" s="171">
        <f t="shared" si="4"/>
        <v>8613</v>
      </c>
      <c r="H58" s="172">
        <f t="shared" si="5"/>
        <v>1.2493619376728968E-3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'[28]Sch C'!D44</f>
        <v>0</v>
      </c>
      <c r="D59" s="501">
        <f>'[28]Sch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'[28]Sch C'!D45</f>
        <v>28990</v>
      </c>
      <c r="D60" s="501">
        <f>'[28]Sch C'!F45</f>
        <v>-567</v>
      </c>
      <c r="E60" s="171">
        <f t="shared" si="3"/>
        <v>28423</v>
      </c>
      <c r="F60" s="171"/>
      <c r="G60" s="171">
        <f t="shared" si="4"/>
        <v>28423</v>
      </c>
      <c r="H60" s="172">
        <f t="shared" si="5"/>
        <v>4.1229088998579761E-3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2685142</v>
      </c>
      <c r="D61" s="501">
        <f>SUM(D25:D60)</f>
        <v>-723956</v>
      </c>
      <c r="E61" s="171">
        <f t="shared" ref="E61:F61" si="6">SUM(E25:E60)</f>
        <v>1961186</v>
      </c>
      <c r="F61" s="171">
        <f t="shared" si="6"/>
        <v>-62121.500004077898</v>
      </c>
      <c r="G61" s="171">
        <f>SUM(G25:G60)</f>
        <v>1899064.4999959222</v>
      </c>
      <c r="H61" s="186">
        <f t="shared" si="5"/>
        <v>0.27546951160811756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'[28]Sch C'!D57</f>
        <v>575741</v>
      </c>
      <c r="D64" s="501">
        <f>'[28]Sch C'!F57</f>
        <v>0</v>
      </c>
      <c r="E64" s="171">
        <f t="shared" ref="E64:E78" si="7">C64+D64</f>
        <v>575741</v>
      </c>
      <c r="F64" s="660">
        <v>-575741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'[28]Sch C'!D58</f>
        <v>4665</v>
      </c>
      <c r="D65" s="501">
        <f>'[28]Sch C'!F58</f>
        <v>0</v>
      </c>
      <c r="E65" s="171">
        <f t="shared" si="7"/>
        <v>4665</v>
      </c>
      <c r="F65" s="660">
        <v>135998</v>
      </c>
      <c r="G65" s="171">
        <f t="shared" si="8"/>
        <v>140663</v>
      </c>
      <c r="H65" s="172">
        <f t="shared" si="9"/>
        <v>2.0403924096004028E-2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'[28]Sch C'!D59</f>
        <v>0</v>
      </c>
      <c r="D66" s="501">
        <f>'[28]Sch C'!F59</f>
        <v>0</v>
      </c>
      <c r="E66" s="171">
        <f t="shared" si="7"/>
        <v>0</v>
      </c>
      <c r="F66" s="660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'[28]Sch C'!D60</f>
        <v>32364</v>
      </c>
      <c r="D67" s="501">
        <f>'[28]Sch C'!F60</f>
        <v>0</v>
      </c>
      <c r="E67" s="171">
        <f t="shared" si="7"/>
        <v>32364</v>
      </c>
      <c r="F67" s="171"/>
      <c r="G67" s="171">
        <f t="shared" si="8"/>
        <v>32364</v>
      </c>
      <c r="H67" s="172">
        <f t="shared" si="9"/>
        <v>4.694572129437552E-3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'[28]Sch C'!D61</f>
        <v>7704</v>
      </c>
      <c r="D68" s="501">
        <f>'[28]Sch C'!F61</f>
        <v>0</v>
      </c>
      <c r="E68" s="171">
        <f t="shared" si="7"/>
        <v>7704</v>
      </c>
      <c r="F68" s="171"/>
      <c r="G68" s="171">
        <f t="shared" si="8"/>
        <v>7704</v>
      </c>
      <c r="H68" s="172">
        <f t="shared" si="9"/>
        <v>1.1175066025579934E-3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'[28]Sch C'!D62</f>
        <v>15699</v>
      </c>
      <c r="D69" s="501">
        <f>'[28]Sch C'!F62</f>
        <v>0</v>
      </c>
      <c r="E69" s="171">
        <f t="shared" si="7"/>
        <v>15699</v>
      </c>
      <c r="F69" s="171"/>
      <c r="G69" s="171">
        <f t="shared" si="8"/>
        <v>15699</v>
      </c>
      <c r="H69" s="172">
        <f t="shared" si="9"/>
        <v>2.2772243189976555E-3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'[28]Sch C'!D63</f>
        <v>0</v>
      </c>
      <c r="D70" s="501">
        <f>'[28]Sch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'[28]Sch C'!D64</f>
        <v>0</v>
      </c>
      <c r="D71" s="501">
        <f>'[28]Sch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'[28]Sch C'!D65</f>
        <v>6891</v>
      </c>
      <c r="D72" s="501">
        <f>'[28]Sch C'!F65</f>
        <v>0</v>
      </c>
      <c r="E72" s="171">
        <f t="shared" si="7"/>
        <v>6891</v>
      </c>
      <c r="F72" s="171"/>
      <c r="G72" s="171">
        <f t="shared" si="8"/>
        <v>6891</v>
      </c>
      <c r="H72" s="172">
        <f t="shared" si="9"/>
        <v>9.995765833628158E-4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'[28]Sch C'!D66</f>
        <v>6093</v>
      </c>
      <c r="D73" s="501">
        <f>'[28]Sch C'!F66</f>
        <v>0</v>
      </c>
      <c r="E73" s="171">
        <f t="shared" si="7"/>
        <v>6093</v>
      </c>
      <c r="F73" s="171"/>
      <c r="G73" s="171">
        <f t="shared" si="8"/>
        <v>6093</v>
      </c>
      <c r="H73" s="172">
        <f t="shared" si="9"/>
        <v>8.8382239478009537E-4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'[28]Sch C'!D67</f>
        <v>41913</v>
      </c>
      <c r="D74" s="501">
        <f>'[28]Sch C'!F67</f>
        <v>0</v>
      </c>
      <c r="E74" s="171">
        <f t="shared" si="7"/>
        <v>41913</v>
      </c>
      <c r="F74" s="171"/>
      <c r="G74" s="171">
        <f t="shared" si="8"/>
        <v>41913</v>
      </c>
      <c r="H74" s="172">
        <f t="shared" si="9"/>
        <v>6.0797058973277758E-3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'[28]Sch C'!D68</f>
        <v>0</v>
      </c>
      <c r="D75" s="501">
        <f>'[28]Sch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'[28]Sch C'!D69</f>
        <v>4366</v>
      </c>
      <c r="D76" s="501">
        <f>'[28]Sch C'!F69</f>
        <v>0</v>
      </c>
      <c r="E76" s="171">
        <f t="shared" si="7"/>
        <v>4366</v>
      </c>
      <c r="F76" s="171"/>
      <c r="G76" s="171">
        <f t="shared" si="8"/>
        <v>4366</v>
      </c>
      <c r="H76" s="172">
        <f t="shared" si="9"/>
        <v>6.3331176359919517E-4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'[28]Sch C'!D70</f>
        <v>0</v>
      </c>
      <c r="D77" s="501">
        <f>'[28]Sch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'[28]Sch C'!D71</f>
        <v>0</v>
      </c>
      <c r="D78" s="501">
        <f>'[28]Sch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695436</v>
      </c>
      <c r="D79" s="501">
        <f>SUM(D64:D78)</f>
        <v>0</v>
      </c>
      <c r="E79" s="171">
        <f t="shared" ref="E79:F79" si="10">SUM(E64:E78)</f>
        <v>695436</v>
      </c>
      <c r="F79" s="171">
        <f t="shared" si="10"/>
        <v>-439743</v>
      </c>
      <c r="G79" s="171">
        <f>SUM(G64:G78)</f>
        <v>255693</v>
      </c>
      <c r="H79" s="172">
        <f t="shared" si="9"/>
        <v>3.7089643786067113E-2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'[28]Sch C'!D75</f>
        <v>85282</v>
      </c>
      <c r="D82" s="501">
        <f>'[28]Sch C'!F75</f>
        <v>5498</v>
      </c>
      <c r="E82" s="171">
        <f t="shared" ref="E82:E92" si="11">C82+D82</f>
        <v>90780</v>
      </c>
      <c r="F82" s="171"/>
      <c r="G82" s="171">
        <f t="shared" ref="G82:G92" si="12">E82+F82</f>
        <v>90780</v>
      </c>
      <c r="H82" s="172">
        <f t="shared" ref="H82:H93" si="13">IF($G$208=0,0,G82/$G$208)</f>
        <v>1.3168126866590687E-2</v>
      </c>
      <c r="I82" s="473"/>
      <c r="J82" s="183">
        <v>4371</v>
      </c>
      <c r="K82" s="183">
        <v>4653</v>
      </c>
    </row>
    <row r="83" spans="1:11" s="167" customFormat="1">
      <c r="A83" s="169" t="s">
        <v>86</v>
      </c>
      <c r="B83" s="199" t="s">
        <v>45</v>
      </c>
      <c r="C83" s="501">
        <f>'[28]Sch C'!D76</f>
        <v>0</v>
      </c>
      <c r="D83" s="501">
        <f>'[28]Sch C'!F76</f>
        <v>11014</v>
      </c>
      <c r="E83" s="171">
        <f t="shared" si="11"/>
        <v>11014</v>
      </c>
      <c r="F83" s="171"/>
      <c r="G83" s="171">
        <f t="shared" si="12"/>
        <v>11014</v>
      </c>
      <c r="H83" s="172">
        <f t="shared" si="13"/>
        <v>1.597639891040205E-3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'[28]Sch C'!D77</f>
        <v>15782</v>
      </c>
      <c r="D84" s="501">
        <f>'[28]Sch C'!F77</f>
        <v>0</v>
      </c>
      <c r="E84" s="171">
        <f t="shared" si="11"/>
        <v>15782</v>
      </c>
      <c r="F84" s="171"/>
      <c r="G84" s="171">
        <f t="shared" si="12"/>
        <v>15782</v>
      </c>
      <c r="H84" s="172">
        <f t="shared" si="13"/>
        <v>2.2892639150532521E-3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'[28]Sch C'!D78</f>
        <v>0</v>
      </c>
      <c r="D85" s="501">
        <f>'[28]Sch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'[28]Sch C'!D79</f>
        <v>11819</v>
      </c>
      <c r="D86" s="501">
        <f>'[28]Sch C'!F79</f>
        <v>0</v>
      </c>
      <c r="E86" s="171">
        <f t="shared" si="11"/>
        <v>11819</v>
      </c>
      <c r="F86" s="171"/>
      <c r="G86" s="171">
        <f>E86+F86</f>
        <v>11819</v>
      </c>
      <c r="H86" s="172">
        <f t="shared" si="13"/>
        <v>1.7144094672420724E-3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'[28]Sch C'!D80</f>
        <v>15462</v>
      </c>
      <c r="D87" s="501">
        <f>'[28]Sch C'!F80</f>
        <v>0</v>
      </c>
      <c r="E87" s="171">
        <f t="shared" si="11"/>
        <v>15462</v>
      </c>
      <c r="F87" s="171"/>
      <c r="G87" s="171">
        <f t="shared" si="12"/>
        <v>15462</v>
      </c>
      <c r="H87" s="172">
        <f t="shared" si="13"/>
        <v>2.2428461953208326E-3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'[28]Sch C'!D81</f>
        <v>17730</v>
      </c>
      <c r="D88" s="501">
        <f>'[28]Sch C'!F81</f>
        <v>0</v>
      </c>
      <c r="E88" s="171">
        <f t="shared" si="11"/>
        <v>17730</v>
      </c>
      <c r="F88" s="171"/>
      <c r="G88" s="171">
        <f t="shared" si="12"/>
        <v>17730</v>
      </c>
      <c r="H88" s="172">
        <f t="shared" si="13"/>
        <v>2.5718317839243544E-3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'[28]Sch C'!D82</f>
        <v>4538</v>
      </c>
      <c r="D89" s="501">
        <f>'[28]Sch C'!F82</f>
        <v>0</v>
      </c>
      <c r="E89" s="171">
        <f t="shared" si="11"/>
        <v>4538</v>
      </c>
      <c r="F89" s="171"/>
      <c r="G89" s="171">
        <f t="shared" si="12"/>
        <v>4538</v>
      </c>
      <c r="H89" s="172">
        <f t="shared" si="13"/>
        <v>6.5826128795537053E-4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'[28]Sch C'!D83</f>
        <v>0</v>
      </c>
      <c r="D90" s="501">
        <f>'[28]Sch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'[28]Sch C'!D84</f>
        <v>87902</v>
      </c>
      <c r="D91" s="501">
        <f>'[28]Sch C'!F84</f>
        <v>0</v>
      </c>
      <c r="E91" s="171">
        <f t="shared" si="11"/>
        <v>87902</v>
      </c>
      <c r="F91" s="171"/>
      <c r="G91" s="171">
        <f t="shared" si="12"/>
        <v>87902</v>
      </c>
      <c r="H91" s="172">
        <f t="shared" si="13"/>
        <v>1.275065749974724E-2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'[28]Sch C'!D85</f>
        <v>0</v>
      </c>
      <c r="D92" s="501">
        <f>'[28]Sch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238515</v>
      </c>
      <c r="D93" s="501">
        <f>SUM(D82:D92)</f>
        <v>16512</v>
      </c>
      <c r="E93" s="171">
        <f t="shared" ref="E93:F93" si="14">SUM(E82:E92)</f>
        <v>255027</v>
      </c>
      <c r="F93" s="171">
        <f t="shared" si="14"/>
        <v>0</v>
      </c>
      <c r="G93" s="171">
        <f>SUM(G82:G92)</f>
        <v>255027</v>
      </c>
      <c r="H93" s="172">
        <f t="shared" si="13"/>
        <v>3.6993036906874013E-2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'[28]Sch C'!D89</f>
        <v>204918</v>
      </c>
      <c r="D96" s="501">
        <f>'[28]Sch C'!F89</f>
        <v>13212</v>
      </c>
      <c r="E96" s="171">
        <f t="shared" ref="E96:E101" si="15">C96+D96</f>
        <v>218130</v>
      </c>
      <c r="F96" s="171"/>
      <c r="G96" s="171">
        <f t="shared" ref="G96:G101" si="16">E96+F96</f>
        <v>218130</v>
      </c>
      <c r="H96" s="172">
        <f t="shared" ref="H96:H102" si="17">IF($G$208=0,0,G96/$G$208)</f>
        <v>3.1640928766351911E-2</v>
      </c>
      <c r="I96" s="473"/>
      <c r="J96" s="183">
        <v>17162</v>
      </c>
      <c r="K96" s="183">
        <v>18269</v>
      </c>
    </row>
    <row r="97" spans="1:11" s="167" customFormat="1">
      <c r="A97" s="169" t="s">
        <v>86</v>
      </c>
      <c r="B97" s="170" t="s">
        <v>45</v>
      </c>
      <c r="C97" s="501">
        <f>'[28]Sch C'!D90</f>
        <v>0</v>
      </c>
      <c r="D97" s="501">
        <f>'[28]Sch C'!F90</f>
        <v>26463</v>
      </c>
      <c r="E97" s="171">
        <f t="shared" si="15"/>
        <v>26463</v>
      </c>
      <c r="F97" s="171"/>
      <c r="G97" s="171">
        <f t="shared" si="16"/>
        <v>26463</v>
      </c>
      <c r="H97" s="172">
        <f t="shared" si="17"/>
        <v>3.8386003664969085E-3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'[28]Sch C'!D91</f>
        <v>17365</v>
      </c>
      <c r="D98" s="501">
        <f>'[28]Sch C'!F91</f>
        <v>0</v>
      </c>
      <c r="E98" s="171">
        <f t="shared" si="15"/>
        <v>17365</v>
      </c>
      <c r="F98" s="171"/>
      <c r="G98" s="171">
        <f t="shared" si="16"/>
        <v>17365</v>
      </c>
      <c r="H98" s="172">
        <f t="shared" si="17"/>
        <v>2.5188865723545636E-3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'[28]Sch C'!D92</f>
        <v>193416</v>
      </c>
      <c r="D99" s="501">
        <f>'[28]Sch C'!F92</f>
        <v>0</v>
      </c>
      <c r="E99" s="171">
        <f t="shared" si="15"/>
        <v>193416</v>
      </c>
      <c r="F99" s="171"/>
      <c r="G99" s="171">
        <f t="shared" si="16"/>
        <v>193416</v>
      </c>
      <c r="H99" s="172">
        <f t="shared" si="17"/>
        <v>2.8056030249267505E-2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'[28]Sch C'!D93</f>
        <v>14613</v>
      </c>
      <c r="D100" s="501">
        <f>'[28]Sch C'!F93</f>
        <v>0</v>
      </c>
      <c r="E100" s="171">
        <f t="shared" si="15"/>
        <v>14613</v>
      </c>
      <c r="F100" s="171"/>
      <c r="G100" s="171">
        <f t="shared" si="16"/>
        <v>14613</v>
      </c>
      <c r="H100" s="172">
        <f t="shared" si="17"/>
        <v>2.1196941826557578E-3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'[28]Sch C'!D94</f>
        <v>0</v>
      </c>
      <c r="D101" s="501">
        <f>'[28]Sch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430312</v>
      </c>
      <c r="D102" s="501">
        <f>SUM(D96:D101)</f>
        <v>39675</v>
      </c>
      <c r="E102" s="171">
        <f t="shared" ref="E102:F102" si="18">SUM(E96:E101)</f>
        <v>469987</v>
      </c>
      <c r="F102" s="171">
        <f t="shared" si="18"/>
        <v>0</v>
      </c>
      <c r="G102" s="171">
        <f>SUM(G96:G101)</f>
        <v>469987</v>
      </c>
      <c r="H102" s="172">
        <f t="shared" si="17"/>
        <v>6.8174140137126651E-2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'[28]Sch C'!D98</f>
        <v>0</v>
      </c>
      <c r="D105" s="501">
        <f>'[28]Sch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'[28]Sch C'!D99</f>
        <v>0</v>
      </c>
      <c r="D106" s="501">
        <f>'[28]Sch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'[28]Sch C'!D100</f>
        <v>1474</v>
      </c>
      <c r="D107" s="501">
        <f>'[28]Sch C'!F100</f>
        <v>0</v>
      </c>
      <c r="E107" s="171">
        <f t="shared" si="19"/>
        <v>1474</v>
      </c>
      <c r="F107" s="171"/>
      <c r="G107" s="171">
        <f t="shared" si="20"/>
        <v>1474</v>
      </c>
      <c r="H107" s="172">
        <f t="shared" si="21"/>
        <v>2.1381162151745618E-4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'[28]Sch C'!D101</f>
        <v>0</v>
      </c>
      <c r="D108" s="501">
        <f>'[28]Sch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'[28]Sch C'!D102</f>
        <v>5111</v>
      </c>
      <c r="D109" s="501">
        <f>'[28]Sch C'!F102</f>
        <v>0</v>
      </c>
      <c r="E109" s="171">
        <f t="shared" si="19"/>
        <v>5111</v>
      </c>
      <c r="F109" s="171"/>
      <c r="G109" s="171">
        <f t="shared" si="20"/>
        <v>5111</v>
      </c>
      <c r="H109" s="172">
        <f t="shared" si="21"/>
        <v>7.4137801735123373E-4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'[28]Sch C'!D103</f>
        <v>2799</v>
      </c>
      <c r="D110" s="501">
        <f>'[28]Sch C'!F103</f>
        <v>0</v>
      </c>
      <c r="E110" s="171">
        <f t="shared" si="19"/>
        <v>2799</v>
      </c>
      <c r="F110" s="171"/>
      <c r="G110" s="171">
        <f t="shared" si="20"/>
        <v>2799</v>
      </c>
      <c r="H110" s="172">
        <f t="shared" si="21"/>
        <v>4.0600999228450465E-4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9384</v>
      </c>
      <c r="D111" s="501">
        <f>SUM(D105:D110)</f>
        <v>0</v>
      </c>
      <c r="E111" s="171">
        <f t="shared" ref="E111:F111" si="22">SUM(E105:E110)</f>
        <v>9384</v>
      </c>
      <c r="F111" s="171">
        <f t="shared" si="22"/>
        <v>0</v>
      </c>
      <c r="G111" s="171">
        <f>SUM(G105:G110)</f>
        <v>9384</v>
      </c>
      <c r="H111" s="172">
        <f t="shared" si="21"/>
        <v>1.3611996311531946E-3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'[28]Sch C'!D115</f>
        <v>113265</v>
      </c>
      <c r="D114" s="501">
        <f>'[28]Sch C'!F115</f>
        <v>7303</v>
      </c>
      <c r="E114" s="171">
        <f t="shared" ref="E114:E118" si="23">C114+D114</f>
        <v>120568</v>
      </c>
      <c r="F114" s="171"/>
      <c r="G114" s="171">
        <f>E114+F114</f>
        <v>120568</v>
      </c>
      <c r="H114" s="172">
        <f t="shared" ref="H114:H119" si="24">IF($G$208=0,0,G114/$G$208)</f>
        <v>1.7489036352182265E-2</v>
      </c>
      <c r="I114" s="473"/>
      <c r="J114" s="183">
        <v>11083</v>
      </c>
      <c r="K114" s="183">
        <v>11798</v>
      </c>
    </row>
    <row r="115" spans="1:11" s="167" customFormat="1">
      <c r="A115" s="169" t="s">
        <v>86</v>
      </c>
      <c r="B115" s="170" t="s">
        <v>151</v>
      </c>
      <c r="C115" s="501">
        <f>'[28]Sch C'!D116</f>
        <v>0</v>
      </c>
      <c r="D115" s="501">
        <f>'[28]Sch C'!F116</f>
        <v>14627</v>
      </c>
      <c r="E115" s="171">
        <f t="shared" si="23"/>
        <v>14627</v>
      </c>
      <c r="F115" s="171"/>
      <c r="G115" s="171">
        <f>E115+F115</f>
        <v>14627</v>
      </c>
      <c r="H115" s="172">
        <f t="shared" si="24"/>
        <v>2.1217249578940512E-3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'[28]Sch C'!D117</f>
        <v>22227</v>
      </c>
      <c r="D116" s="501">
        <f>'[28]Sch C'!F117</f>
        <v>0</v>
      </c>
      <c r="E116" s="171">
        <f t="shared" si="23"/>
        <v>22227</v>
      </c>
      <c r="F116" s="171"/>
      <c r="G116" s="171">
        <f>E116+F116</f>
        <v>22227</v>
      </c>
      <c r="H116" s="172">
        <f t="shared" si="24"/>
        <v>3.2241458015390087E-3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'[28]Sch C'!D118</f>
        <v>3675</v>
      </c>
      <c r="D117" s="501">
        <f>'[28]Sch C'!F118</f>
        <v>0</v>
      </c>
      <c r="E117" s="171">
        <f t="shared" si="23"/>
        <v>3675</v>
      </c>
      <c r="F117" s="171"/>
      <c r="G117" s="171">
        <f>E117+F117</f>
        <v>3675</v>
      </c>
      <c r="H117" s="172">
        <f t="shared" si="24"/>
        <v>5.3307850005200239E-4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'[28]Sch C'!D119</f>
        <v>1225</v>
      </c>
      <c r="D118" s="501">
        <f>'[28]Sch C'!F119</f>
        <v>0</v>
      </c>
      <c r="E118" s="171">
        <f t="shared" si="23"/>
        <v>1225</v>
      </c>
      <c r="F118" s="171"/>
      <c r="G118" s="171">
        <f>E118+F118</f>
        <v>1225</v>
      </c>
      <c r="H118" s="172">
        <f t="shared" si="24"/>
        <v>1.7769283335066746E-4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140392</v>
      </c>
      <c r="D119" s="501">
        <f>SUM(D114:D118)</f>
        <v>21930</v>
      </c>
      <c r="E119" s="171">
        <f t="shared" ref="E119:F119" si="25">SUM(E114:E118)</f>
        <v>162322</v>
      </c>
      <c r="F119" s="171">
        <f t="shared" si="25"/>
        <v>0</v>
      </c>
      <c r="G119" s="171">
        <f>SUM(G114:G118)</f>
        <v>162322</v>
      </c>
      <c r="H119" s="172">
        <f t="shared" si="24"/>
        <v>2.3545678445017995E-2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'[28]Sch C'!D124</f>
        <v>0</v>
      </c>
      <c r="D123" s="501">
        <f>'[28]Sch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'[28]Sch C'!D125</f>
        <v>148439</v>
      </c>
      <c r="D124" s="501">
        <f>'[28]Sch C'!F125</f>
        <v>9570</v>
      </c>
      <c r="E124" s="171">
        <f t="shared" si="26"/>
        <v>158009</v>
      </c>
      <c r="F124" s="660">
        <v>41520.592632464832</v>
      </c>
      <c r="G124" s="171">
        <f>E124+F124</f>
        <v>199529.59263246483</v>
      </c>
      <c r="H124" s="172">
        <f>IF($G$208=0,0,G124/$G$208)</f>
        <v>2.8942839716054807E-2</v>
      </c>
      <c r="I124" s="473" t="s">
        <v>402</v>
      </c>
      <c r="J124" s="183">
        <v>2931</v>
      </c>
      <c r="K124" s="183">
        <v>3120</v>
      </c>
    </row>
    <row r="125" spans="1:11" s="167" customFormat="1">
      <c r="A125" s="163" t="s">
        <v>198</v>
      </c>
      <c r="B125" s="163" t="s">
        <v>195</v>
      </c>
      <c r="C125" s="501">
        <f>'[28]Sch C'!D126</f>
        <v>68685</v>
      </c>
      <c r="D125" s="501">
        <f>'[28]Sch C'!F126</f>
        <v>4428</v>
      </c>
      <c r="E125" s="171">
        <f t="shared" si="26"/>
        <v>73113</v>
      </c>
      <c r="F125" s="171"/>
      <c r="G125" s="171">
        <f>E125+F125</f>
        <v>73113</v>
      </c>
      <c r="H125" s="172">
        <f>IF($G$208=0,0,G125/$G$208)</f>
        <v>1.0605433571238653E-2</v>
      </c>
      <c r="I125" s="473"/>
      <c r="J125" s="183">
        <v>2015</v>
      </c>
      <c r="K125" s="183">
        <v>2145</v>
      </c>
    </row>
    <row r="126" spans="1:11" s="167" customFormat="1">
      <c r="A126" s="169"/>
      <c r="B126" s="163" t="s">
        <v>196</v>
      </c>
      <c r="C126" s="501">
        <f>'[28]Sch C'!D127</f>
        <v>0</v>
      </c>
      <c r="D126" s="501">
        <f>'[28]Sch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'[28]Sch C'!D128</f>
        <v>39047</v>
      </c>
      <c r="D127" s="501">
        <f>'[28]Sch C'!F128</f>
        <v>2517</v>
      </c>
      <c r="E127" s="171">
        <f t="shared" si="26"/>
        <v>41564</v>
      </c>
      <c r="F127" s="171"/>
      <c r="G127" s="171">
        <f>E127+F127</f>
        <v>41564</v>
      </c>
      <c r="H127" s="172">
        <f>IF($G$208=0,0,G127/$G$208)</f>
        <v>6.029081571744606E-3</v>
      </c>
      <c r="I127" s="473"/>
      <c r="J127" s="183">
        <v>1905</v>
      </c>
      <c r="K127" s="183">
        <v>2028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'[28]Sch C'!D130</f>
        <v>0</v>
      </c>
      <c r="D129" s="501">
        <f>'[28]Sch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'[28]Sch C'!D131</f>
        <v>0</v>
      </c>
      <c r="D130" s="501">
        <f>'[28]Sch C'!F131</f>
        <v>19170</v>
      </c>
      <c r="E130" s="171">
        <f t="shared" si="27"/>
        <v>19170</v>
      </c>
      <c r="F130" s="660">
        <v>5224.9073716131015</v>
      </c>
      <c r="G130" s="171">
        <f>E130+F130</f>
        <v>24394.907371613102</v>
      </c>
      <c r="H130" s="172">
        <f>IF($G$208=0,0,G130/$G$208)</f>
        <v>3.5386124164808294E-3</v>
      </c>
      <c r="I130" s="473" t="s">
        <v>402</v>
      </c>
      <c r="J130" s="204"/>
      <c r="K130" s="204"/>
    </row>
    <row r="131" spans="1:11" s="167" customFormat="1">
      <c r="B131" s="163" t="s">
        <v>195</v>
      </c>
      <c r="C131" s="501">
        <f>'[28]Sch C'!D132</f>
        <v>0</v>
      </c>
      <c r="D131" s="501">
        <f>'[28]Sch C'!F132</f>
        <v>8871</v>
      </c>
      <c r="E131" s="171">
        <f t="shared" si="27"/>
        <v>8871</v>
      </c>
      <c r="F131" s="171"/>
      <c r="G131" s="171">
        <f>E131+F131</f>
        <v>8871</v>
      </c>
      <c r="H131" s="172">
        <f>IF($G$208=0,0,G131/$G$208)</f>
        <v>1.28678622420716E-3</v>
      </c>
      <c r="I131" s="473"/>
      <c r="J131" s="168"/>
      <c r="K131" s="168"/>
    </row>
    <row r="132" spans="1:11" s="167" customFormat="1">
      <c r="B132" s="163" t="s">
        <v>196</v>
      </c>
      <c r="C132" s="501">
        <f>'[28]Sch C'!D133</f>
        <v>0</v>
      </c>
      <c r="D132" s="501">
        <f>'[28]Sch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'[28]Sch C'!D134</f>
        <v>0</v>
      </c>
      <c r="D133" s="501">
        <f>'[28]Sch C'!F134</f>
        <v>5043</v>
      </c>
      <c r="E133" s="171">
        <f t="shared" si="27"/>
        <v>5043</v>
      </c>
      <c r="F133" s="171"/>
      <c r="G133" s="171">
        <f>E133+F133</f>
        <v>5043</v>
      </c>
      <c r="H133" s="172">
        <f>IF($G$208=0,0,G133/$G$208)</f>
        <v>7.315142519080947E-4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'[28]Sch C'!D136</f>
        <v>644338</v>
      </c>
      <c r="D135" s="501">
        <f>'[28]Sch C'!F136</f>
        <v>41543</v>
      </c>
      <c r="E135" s="171">
        <f t="shared" ref="E135:E138" si="28">C135+D135</f>
        <v>685881</v>
      </c>
      <c r="F135" s="171"/>
      <c r="G135" s="171">
        <f>E135+F135</f>
        <v>685881</v>
      </c>
      <c r="H135" s="172">
        <f>IF($G$208=0,0,G135/$G$208)</f>
        <v>9.9490725086848281E-2</v>
      </c>
      <c r="I135" s="473"/>
      <c r="J135" s="183">
        <v>21293</v>
      </c>
      <c r="K135" s="183">
        <v>22666</v>
      </c>
    </row>
    <row r="136" spans="1:11" s="167" customFormat="1">
      <c r="A136" s="169"/>
      <c r="B136" s="163" t="s">
        <v>195</v>
      </c>
      <c r="C136" s="501">
        <f>'[28]Sch C'!D137</f>
        <v>295882</v>
      </c>
      <c r="D136" s="501">
        <f>'[28]Sch C'!F137</f>
        <v>19077</v>
      </c>
      <c r="E136" s="171">
        <f t="shared" si="28"/>
        <v>314959</v>
      </c>
      <c r="F136" s="171"/>
      <c r="G136" s="171">
        <f>E136+F136</f>
        <v>314959</v>
      </c>
      <c r="H136" s="172">
        <f>IF($G$208=0,0,G136/$G$208)</f>
        <v>4.5686495591259486E-2</v>
      </c>
      <c r="I136" s="473"/>
      <c r="J136" s="183">
        <v>11567</v>
      </c>
      <c r="K136" s="183">
        <v>12313</v>
      </c>
    </row>
    <row r="137" spans="1:11" s="167" customFormat="1">
      <c r="A137" s="169"/>
      <c r="B137" s="163" t="s">
        <v>196</v>
      </c>
      <c r="C137" s="501">
        <f>'[28]Sch C'!D138</f>
        <v>762282</v>
      </c>
      <c r="D137" s="501">
        <f>'[28]Sch C'!F138</f>
        <v>49147</v>
      </c>
      <c r="E137" s="171">
        <f t="shared" si="28"/>
        <v>811429</v>
      </c>
      <c r="F137" s="171"/>
      <c r="G137" s="171">
        <f>E137+F137</f>
        <v>811429</v>
      </c>
      <c r="H137" s="172">
        <f>IF($G$208=0,0,G137/$G$208)</f>
        <v>0.11770213720236632</v>
      </c>
      <c r="I137" s="473"/>
      <c r="J137" s="183">
        <v>53121</v>
      </c>
      <c r="K137" s="183">
        <v>56546</v>
      </c>
    </row>
    <row r="138" spans="1:11" s="167" customFormat="1">
      <c r="A138" s="169"/>
      <c r="B138" s="163" t="s">
        <v>197</v>
      </c>
      <c r="C138" s="501">
        <f>'[28]Sch C'!D139</f>
        <v>131776</v>
      </c>
      <c r="D138" s="501">
        <f>'[28]Sch C'!F139</f>
        <v>8496</v>
      </c>
      <c r="E138" s="171">
        <f t="shared" si="28"/>
        <v>140272</v>
      </c>
      <c r="F138" s="171"/>
      <c r="G138" s="171">
        <f>E138+F138</f>
        <v>140272</v>
      </c>
      <c r="H138" s="172">
        <f>IF($G$208=0,0,G138/$G$208)</f>
        <v>2.0347207444705979E-2</v>
      </c>
      <c r="I138" s="473"/>
      <c r="J138" s="183">
        <v>9819</v>
      </c>
      <c r="K138" s="183">
        <v>10452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'[28]Sch C'!D141</f>
        <v>0</v>
      </c>
      <c r="D140" s="501">
        <f>'[28]Sch C'!F141</f>
        <v>83210</v>
      </c>
      <c r="E140" s="171">
        <f t="shared" ref="E140:E143" si="29">C140+D140</f>
        <v>83210</v>
      </c>
      <c r="F140" s="171"/>
      <c r="G140" s="171">
        <f>E140+F140</f>
        <v>83210</v>
      </c>
      <c r="H140" s="172">
        <f>IF($G$208=0,0,G140/$G$208)</f>
        <v>1.2070057684170644E-2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'[28]Sch C'!D142</f>
        <v>0</v>
      </c>
      <c r="D141" s="501">
        <f>'[28]Sch C'!F142</f>
        <v>38211</v>
      </c>
      <c r="E141" s="171">
        <f t="shared" si="29"/>
        <v>38211</v>
      </c>
      <c r="F141" s="171"/>
      <c r="G141" s="171">
        <f>E141+F141</f>
        <v>38211</v>
      </c>
      <c r="H141" s="172">
        <f>IF($G$208=0,0,G141/$G$208)</f>
        <v>5.5427109021733501E-3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'[28]Sch C'!D143</f>
        <v>0</v>
      </c>
      <c r="D142" s="501">
        <f>'[28]Sch C'!F143</f>
        <v>98442</v>
      </c>
      <c r="E142" s="171">
        <f t="shared" si="29"/>
        <v>98442</v>
      </c>
      <c r="F142" s="171"/>
      <c r="G142" s="171">
        <f>E142+F142</f>
        <v>98442</v>
      </c>
      <c r="H142" s="172">
        <f>IF($G$208=0,0,G142/$G$208)</f>
        <v>1.4279541143433799E-2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'[28]Sch C'!D144</f>
        <v>0</v>
      </c>
      <c r="D143" s="501">
        <f>'[28]Sch C'!F144</f>
        <v>17018</v>
      </c>
      <c r="E143" s="171">
        <f t="shared" si="29"/>
        <v>17018</v>
      </c>
      <c r="F143" s="171"/>
      <c r="G143" s="171">
        <f>E143+F143</f>
        <v>17018</v>
      </c>
      <c r="H143" s="172">
        <f>IF($G$208=0,0,G143/$G$208)</f>
        <v>2.4685523575197215E-3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'[28]Sch C'!D146</f>
        <v>48700</v>
      </c>
      <c r="D145" s="501">
        <f>'[28]Sch C'!F146</f>
        <v>0</v>
      </c>
      <c r="E145" s="171">
        <f t="shared" ref="E145:E153" si="30">C145+D145</f>
        <v>48700</v>
      </c>
      <c r="F145" s="171"/>
      <c r="G145" s="171">
        <f t="shared" ref="G145:G153" si="31">E145+F145</f>
        <v>48700</v>
      </c>
      <c r="H145" s="172">
        <f t="shared" ref="H145:H153" si="32">IF($G$208=0,0,G145/$G$208)</f>
        <v>7.0641967217775553E-3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'[28]Sch C'!D147</f>
        <v>0</v>
      </c>
      <c r="D146" s="501">
        <f>'[28]Sch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'[28]Sch C'!D148</f>
        <v>0</v>
      </c>
      <c r="D147" s="501">
        <f>'[28]Sch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'[28]Sch C'!D149</f>
        <v>126743</v>
      </c>
      <c r="D148" s="501">
        <f>'[28]Sch C'!F149</f>
        <v>0</v>
      </c>
      <c r="E148" s="171">
        <f t="shared" si="30"/>
        <v>126743</v>
      </c>
      <c r="F148" s="171"/>
      <c r="G148" s="171">
        <f t="shared" si="31"/>
        <v>126743</v>
      </c>
      <c r="H148" s="172">
        <f t="shared" si="32"/>
        <v>1.8384753287643791E-2</v>
      </c>
      <c r="I148" s="473"/>
      <c r="J148" s="183">
        <v>5827</v>
      </c>
      <c r="K148" s="183">
        <v>5827</v>
      </c>
    </row>
    <row r="149" spans="1:11" s="167" customFormat="1">
      <c r="A149" s="169"/>
      <c r="B149" s="163" t="s">
        <v>197</v>
      </c>
      <c r="C149" s="501">
        <f>'[28]Sch C'!D150</f>
        <v>10518</v>
      </c>
      <c r="D149" s="501">
        <f>'[28]Sch C'!F150</f>
        <v>0</v>
      </c>
      <c r="E149" s="171">
        <f t="shared" si="30"/>
        <v>10518</v>
      </c>
      <c r="F149" s="171"/>
      <c r="G149" s="171">
        <f t="shared" si="31"/>
        <v>10518</v>
      </c>
      <c r="H149" s="172">
        <f t="shared" si="32"/>
        <v>1.5256924254549553E-3</v>
      </c>
      <c r="I149" s="473"/>
      <c r="J149" s="183">
        <v>877</v>
      </c>
      <c r="K149" s="183">
        <v>877</v>
      </c>
    </row>
    <row r="150" spans="1:11" s="167" customFormat="1">
      <c r="A150" s="169">
        <v>110</v>
      </c>
      <c r="B150" s="167" t="s">
        <v>65</v>
      </c>
      <c r="C150" s="501">
        <f>'[28]Sch C'!D151</f>
        <v>88189</v>
      </c>
      <c r="D150" s="501">
        <f>'[28]Sch C'!F151</f>
        <v>0</v>
      </c>
      <c r="E150" s="171">
        <f t="shared" si="30"/>
        <v>88189</v>
      </c>
      <c r="F150" s="171"/>
      <c r="G150" s="171">
        <f t="shared" si="31"/>
        <v>88189</v>
      </c>
      <c r="H150" s="172">
        <f t="shared" si="32"/>
        <v>1.2792288392132254E-2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'[28]Sch C'!D152</f>
        <v>737</v>
      </c>
      <c r="D151" s="501">
        <f>'[28]Sch C'!F152</f>
        <v>0</v>
      </c>
      <c r="E151" s="171">
        <f t="shared" si="30"/>
        <v>737</v>
      </c>
      <c r="F151" s="171"/>
      <c r="G151" s="171">
        <f t="shared" si="31"/>
        <v>737</v>
      </c>
      <c r="H151" s="172">
        <f t="shared" si="32"/>
        <v>1.0690581075872809E-4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'[28]Sch C'!D153</f>
        <v>0</v>
      </c>
      <c r="D152" s="501">
        <f>'[28]Sch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'[28]Sch C'!D154</f>
        <v>0</v>
      </c>
      <c r="D153" s="501">
        <f>'[28]Sch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'[28]Sch C'!D156</f>
        <v>0</v>
      </c>
      <c r="D155" s="501">
        <f>'[28]Sch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'[28]Sch C'!D157</f>
        <v>0</v>
      </c>
      <c r="D156" s="501">
        <f>'[28]Sch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'[28]Sch C'!D158</f>
        <v>0</v>
      </c>
      <c r="D157" s="501">
        <f>'[28]Sch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'[28]Sch C'!D159</f>
        <v>0</v>
      </c>
      <c r="D158" s="501">
        <f>'[28]Sch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'[28]Sch C'!D160</f>
        <v>0</v>
      </c>
      <c r="D159" s="501">
        <f>'[28]Sch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'[28]Sch C'!D161</f>
        <v>13188</v>
      </c>
      <c r="D160" s="501">
        <f>'[28]Sch C'!F161</f>
        <v>0</v>
      </c>
      <c r="E160" s="171">
        <f t="shared" si="33"/>
        <v>13188</v>
      </c>
      <c r="F160" s="171"/>
      <c r="G160" s="171">
        <f t="shared" si="34"/>
        <v>13188</v>
      </c>
      <c r="H160" s="172">
        <f t="shared" si="35"/>
        <v>1.9129902744723284E-3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2378524</v>
      </c>
      <c r="D161" s="501">
        <f>SUM(D123:D160)</f>
        <v>404743</v>
      </c>
      <c r="E161" s="171">
        <f t="shared" ref="E161:F161" si="36">SUM(E123:E160)</f>
        <v>2783267</v>
      </c>
      <c r="F161" s="171">
        <f t="shared" si="36"/>
        <v>46745.500004077934</v>
      </c>
      <c r="G161" s="171">
        <f>SUM(G123:G160)</f>
        <v>2830012.5000040778</v>
      </c>
      <c r="H161" s="172">
        <f t="shared" si="35"/>
        <v>0.4105085220763513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'[28]Sch C'!D175</f>
        <v>0</v>
      </c>
      <c r="D164" s="501">
        <f>'[28]Sch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'[28]Sch C'!D176</f>
        <v>0</v>
      </c>
      <c r="D165" s="501">
        <f>'[28]Sch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'[28]Sch C'!D177</f>
        <v>273189</v>
      </c>
      <c r="D166" s="501">
        <f>'[28]Sch C'!F177</f>
        <v>17613</v>
      </c>
      <c r="E166" s="171">
        <f t="shared" si="37"/>
        <v>290802</v>
      </c>
      <c r="F166" s="216"/>
      <c r="G166" s="171">
        <f t="shared" si="38"/>
        <v>290802</v>
      </c>
      <c r="H166" s="172">
        <f t="shared" si="39"/>
        <v>4.218239291758432E-2</v>
      </c>
      <c r="I166" s="483"/>
      <c r="J166" s="183">
        <v>9771</v>
      </c>
      <c r="K166" s="183">
        <v>10401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'[28]Sch C'!D178</f>
        <v>0</v>
      </c>
      <c r="D167" s="501">
        <f>'[28]Sch C'!F178</f>
        <v>35280</v>
      </c>
      <c r="E167" s="171">
        <f t="shared" si="37"/>
        <v>35280</v>
      </c>
      <c r="F167" s="216"/>
      <c r="G167" s="171">
        <f t="shared" si="38"/>
        <v>35280</v>
      </c>
      <c r="H167" s="172">
        <f t="shared" si="39"/>
        <v>5.1175536004992228E-3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'[28]Sch C'!D179</f>
        <v>64221</v>
      </c>
      <c r="D168" s="501">
        <f>'[28]Sch C'!F179</f>
        <v>4141</v>
      </c>
      <c r="E168" s="171">
        <f t="shared" si="37"/>
        <v>68362</v>
      </c>
      <c r="F168" s="216"/>
      <c r="G168" s="171">
        <f t="shared" si="38"/>
        <v>68362</v>
      </c>
      <c r="H168" s="172">
        <f t="shared" si="39"/>
        <v>9.9162754885863905E-3</v>
      </c>
      <c r="I168" s="483"/>
      <c r="J168" s="183">
        <v>1511</v>
      </c>
      <c r="K168" s="183">
        <v>1608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'[28]Sch C'!D180</f>
        <v>0</v>
      </c>
      <c r="D169" s="501">
        <f>'[28]Sch C'!F180</f>
        <v>8294</v>
      </c>
      <c r="E169" s="171">
        <f t="shared" si="37"/>
        <v>8294</v>
      </c>
      <c r="F169" s="216"/>
      <c r="G169" s="171">
        <f t="shared" si="38"/>
        <v>8294</v>
      </c>
      <c r="H169" s="172">
        <f t="shared" si="39"/>
        <v>1.2030892733146416E-3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'[28]Sch C'!D181</f>
        <v>0</v>
      </c>
      <c r="D170" s="501">
        <f>'[28]Sch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'[28]Sch C'!D182</f>
        <v>0</v>
      </c>
      <c r="D171" s="501">
        <f>'[28]Sch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'[28]Sch C'!D183</f>
        <v>172963</v>
      </c>
      <c r="D172" s="501">
        <f>'[28]Sch C'!F183</f>
        <v>11152</v>
      </c>
      <c r="E172" s="171">
        <f t="shared" si="37"/>
        <v>184115</v>
      </c>
      <c r="F172" s="216"/>
      <c r="G172" s="171">
        <f t="shared" si="38"/>
        <v>184115</v>
      </c>
      <c r="H172" s="172">
        <f t="shared" si="39"/>
        <v>2.6706870214169908E-2</v>
      </c>
      <c r="I172" s="483"/>
      <c r="J172" s="183">
        <v>5714</v>
      </c>
      <c r="K172" s="183">
        <v>6082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'[28]Sch C'!D184</f>
        <v>0</v>
      </c>
      <c r="D173" s="501">
        <f>'[28]Sch C'!F184</f>
        <v>22336</v>
      </c>
      <c r="E173" s="171">
        <f t="shared" si="37"/>
        <v>22336</v>
      </c>
      <c r="F173" s="216"/>
      <c r="G173" s="171">
        <f t="shared" si="38"/>
        <v>22336</v>
      </c>
      <c r="H173" s="172">
        <f t="shared" si="39"/>
        <v>3.2399568373228638E-3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'[28]Sch C'!D185</f>
        <v>0</v>
      </c>
      <c r="D174" s="501">
        <f>'[28]Sch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'[28]Sch C'!D186</f>
        <v>0</v>
      </c>
      <c r="D175" s="501">
        <f>'[28]Sch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'[28]Sch C'!D187</f>
        <v>0</v>
      </c>
      <c r="D176" s="501">
        <f>'[28]Sch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'[28]Sch C'!D188</f>
        <v>414</v>
      </c>
      <c r="D177" s="501">
        <f>'[28]Sch C'!F188</f>
        <v>0</v>
      </c>
      <c r="E177" s="171">
        <f t="shared" si="37"/>
        <v>414</v>
      </c>
      <c r="F177" s="216"/>
      <c r="G177" s="171">
        <f t="shared" si="38"/>
        <v>414</v>
      </c>
      <c r="H177" s="172">
        <f t="shared" si="39"/>
        <v>6.0052924903817407E-5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'[28]Sch C'!D189</f>
        <v>0</v>
      </c>
      <c r="D178" s="501">
        <f>'[28]Sch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'[28]Sch C'!D190</f>
        <v>0</v>
      </c>
      <c r="D179" s="501">
        <f>'[28]Sch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'[28]Sch C'!D191</f>
        <v>0</v>
      </c>
      <c r="D180" s="501">
        <f>'[28]Sch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'[28]Sch C'!D192</f>
        <v>0</v>
      </c>
      <c r="D181" s="501">
        <f>'[28]Sch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'[28]Sch C'!D193</f>
        <v>0</v>
      </c>
      <c r="D182" s="501">
        <f>'[28]Sch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'[28]Sch C'!D194</f>
        <v>0</v>
      </c>
      <c r="D183" s="501">
        <f>'[28]Sch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'[28]Sch C'!D195</f>
        <v>3297</v>
      </c>
      <c r="D184" s="501">
        <f>'[28]Sch C'!F195</f>
        <v>0</v>
      </c>
      <c r="E184" s="171">
        <f t="shared" si="37"/>
        <v>3297</v>
      </c>
      <c r="F184" s="216"/>
      <c r="G184" s="171">
        <f t="shared" si="38"/>
        <v>3297</v>
      </c>
      <c r="H184" s="172">
        <f t="shared" si="39"/>
        <v>4.7824756861808209E-4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'[28]Sch C'!D196</f>
        <v>0</v>
      </c>
      <c r="D185" s="501">
        <f>'[28]Sch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'[28]Sch C'!D197</f>
        <v>0</v>
      </c>
      <c r="D186" s="501">
        <f>'[28]Sch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'[28]Sch C'!D198</f>
        <v>20682</v>
      </c>
      <c r="D187" s="501">
        <f>'[28]Sch C'!F198</f>
        <v>-1015</v>
      </c>
      <c r="E187" s="171">
        <f t="shared" si="37"/>
        <v>19667</v>
      </c>
      <c r="F187" s="216"/>
      <c r="G187" s="171">
        <f t="shared" si="38"/>
        <v>19667</v>
      </c>
      <c r="H187" s="172">
        <f t="shared" si="39"/>
        <v>2.8528040436796545E-3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'[28]Sch C'!D199</f>
        <v>636</v>
      </c>
      <c r="D188" s="501">
        <f>'[28]Sch C'!F199</f>
        <v>0</v>
      </c>
      <c r="E188" s="171">
        <f t="shared" si="37"/>
        <v>636</v>
      </c>
      <c r="F188" s="216"/>
      <c r="G188" s="171">
        <f t="shared" si="38"/>
        <v>636</v>
      </c>
      <c r="H188" s="172">
        <f t="shared" si="39"/>
        <v>9.225521796818326E-5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'[28]Sch C'!D200</f>
        <v>0</v>
      </c>
      <c r="D189" s="501">
        <f>'[28]Sch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'[28]Sch C'!D201</f>
        <v>0</v>
      </c>
      <c r="D190" s="501">
        <f>'[28]Sch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'[28]Sch C'!D202</f>
        <v>0</v>
      </c>
      <c r="D191" s="501">
        <f>'[28]Sch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'[28]Sch C'!D203</f>
        <v>0</v>
      </c>
      <c r="D192" s="501">
        <f>'[28]Sch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'[28]Sch C'!D204</f>
        <v>0</v>
      </c>
      <c r="D193" s="501">
        <f>'[28]Sch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'[28]Sch C'!D205</f>
        <v>165812</v>
      </c>
      <c r="D194" s="501">
        <f>'[28]Sch C'!F205</f>
        <v>0</v>
      </c>
      <c r="E194" s="171">
        <f t="shared" si="37"/>
        <v>165812</v>
      </c>
      <c r="F194" s="216"/>
      <c r="G194" s="171">
        <f t="shared" si="38"/>
        <v>165812</v>
      </c>
      <c r="H194" s="172">
        <f t="shared" si="39"/>
        <v>2.4051921700849691E-2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'[28]Sch C'!D206</f>
        <v>8863</v>
      </c>
      <c r="D195" s="501">
        <f>'[28]Sch C'!F206</f>
        <v>0</v>
      </c>
      <c r="E195" s="171">
        <f t="shared" si="37"/>
        <v>8863</v>
      </c>
      <c r="F195" s="216"/>
      <c r="G195" s="171">
        <f t="shared" si="38"/>
        <v>8863</v>
      </c>
      <c r="H195" s="172">
        <f t="shared" si="39"/>
        <v>1.2856257812138496E-3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'[28]Sch C'!D207</f>
        <v>25434</v>
      </c>
      <c r="D196" s="501">
        <f>'[28]Sch C'!F207</f>
        <v>-465</v>
      </c>
      <c r="E196" s="171">
        <f t="shared" si="37"/>
        <v>24969</v>
      </c>
      <c r="F196" s="216"/>
      <c r="G196" s="171">
        <f t="shared" si="38"/>
        <v>24969</v>
      </c>
      <c r="H196" s="172">
        <f t="shared" si="39"/>
        <v>3.6218876374961759E-3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735511</v>
      </c>
      <c r="D197" s="501">
        <f>SUM(D164:D196)</f>
        <v>97336</v>
      </c>
      <c r="E197" s="171">
        <f t="shared" ref="E197:F197" si="40">SUM(E164:E196)</f>
        <v>832847</v>
      </c>
      <c r="F197" s="171">
        <f t="shared" si="40"/>
        <v>0</v>
      </c>
      <c r="G197" s="171">
        <f>SUM(G164:G196)</f>
        <v>832847</v>
      </c>
      <c r="H197" s="172">
        <f>IF($G$208=0,0,G197/$G$208)</f>
        <v>0.12080893320620681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'[28]Sch C'!D211</f>
        <v>140783</v>
      </c>
      <c r="D200" s="501">
        <f>'[28]Sch C'!F211</f>
        <v>9077</v>
      </c>
      <c r="E200" s="171">
        <f t="shared" ref="E200:E205" si="41">C200+D200</f>
        <v>149860</v>
      </c>
      <c r="F200" s="171"/>
      <c r="G200" s="171">
        <f t="shared" ref="G200:G205" si="42">E200+F200</f>
        <v>149860</v>
      </c>
      <c r="H200" s="172">
        <f t="shared" ref="H200:H206" si="43">IF($G$208=0,0,G200/$G$208)</f>
        <v>2.173799837218859E-2</v>
      </c>
      <c r="I200" s="473"/>
      <c r="J200" s="183">
        <v>9386</v>
      </c>
      <c r="K200" s="183">
        <v>9991</v>
      </c>
    </row>
    <row r="201" spans="1:14" s="167" customFormat="1">
      <c r="A201" s="169" t="s">
        <v>86</v>
      </c>
      <c r="B201" s="170" t="s">
        <v>45</v>
      </c>
      <c r="C201" s="501">
        <f>'[28]Sch C'!D212</f>
        <v>0</v>
      </c>
      <c r="D201" s="501">
        <f>'[28]Sch C'!F212</f>
        <v>18181</v>
      </c>
      <c r="E201" s="171">
        <f t="shared" si="41"/>
        <v>18181</v>
      </c>
      <c r="F201" s="171"/>
      <c r="G201" s="171">
        <f t="shared" si="42"/>
        <v>18181</v>
      </c>
      <c r="H201" s="172">
        <f t="shared" si="43"/>
        <v>2.6372517576722324E-3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'[28]Sch C'!D213</f>
        <v>6306</v>
      </c>
      <c r="D202" s="501">
        <f>'[28]Sch C'!F213</f>
        <v>0</v>
      </c>
      <c r="E202" s="171">
        <f t="shared" si="41"/>
        <v>6306</v>
      </c>
      <c r="F202" s="171"/>
      <c r="G202" s="171">
        <f t="shared" si="42"/>
        <v>6306</v>
      </c>
      <c r="H202" s="172">
        <f t="shared" si="43"/>
        <v>9.1471918947698687E-4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'[28]Sch C'!D214</f>
        <v>0</v>
      </c>
      <c r="D203" s="501">
        <f>'[28]Sch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'[28]Sch C'!D215</f>
        <v>0</v>
      </c>
      <c r="D204" s="501">
        <f>'[28]Sch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'[28]Sch C'!D216</f>
        <v>5235</v>
      </c>
      <c r="D205" s="501">
        <f>'[28]Sch C'!F216</f>
        <v>0</v>
      </c>
      <c r="E205" s="171">
        <f t="shared" si="41"/>
        <v>5235</v>
      </c>
      <c r="F205" s="171"/>
      <c r="G205" s="171">
        <f t="shared" si="42"/>
        <v>5235</v>
      </c>
      <c r="H205" s="172">
        <f t="shared" si="43"/>
        <v>7.5936488374754617E-4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152324</v>
      </c>
      <c r="D206" s="501">
        <f>SUM(D200:D205)</f>
        <v>27258</v>
      </c>
      <c r="E206" s="171">
        <f t="shared" ref="E206:F206" si="44">SUM(E200:E205)</f>
        <v>179582</v>
      </c>
      <c r="F206" s="171">
        <f t="shared" si="44"/>
        <v>0</v>
      </c>
      <c r="G206" s="171">
        <f>SUM(G200:G205)</f>
        <v>179582</v>
      </c>
      <c r="H206" s="172">
        <f t="shared" si="43"/>
        <v>2.6049334203085358E-2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7465540</v>
      </c>
      <c r="D208" s="501">
        <f>SUM(D25:D206)/2</f>
        <v>-116502</v>
      </c>
      <c r="E208" s="171">
        <f t="shared" ref="E208:F208" si="45">SUM(E25:E206)/2</f>
        <v>7349038</v>
      </c>
      <c r="F208" s="171">
        <f t="shared" si="45"/>
        <v>-455119</v>
      </c>
      <c r="G208" s="171">
        <f>SUM(G25:G206)/2</f>
        <v>6893919</v>
      </c>
      <c r="H208" s="172">
        <f>IF($G$208=0,0,G208/$G$208)</f>
        <v>1</v>
      </c>
      <c r="I208" s="473"/>
      <c r="J208" s="183">
        <f>SUM(J25:J200)</f>
        <v>184601</v>
      </c>
      <c r="K208" s="183">
        <f>SUM(K25:K200)</f>
        <v>196072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'[28]Sch C'!D221</f>
        <v>7465540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899913</v>
      </c>
      <c r="D215" s="501">
        <f>D21-D208</f>
        <v>116502</v>
      </c>
      <c r="E215" s="171">
        <f t="shared" ref="E215:F215" si="46">E21-E208</f>
        <v>1016415</v>
      </c>
      <c r="F215" s="171">
        <f t="shared" si="46"/>
        <v>1224237</v>
      </c>
      <c r="G215" s="171">
        <f>G21-G208</f>
        <v>2240652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'[28]Sch D'!C9</f>
        <v>14803</v>
      </c>
      <c r="D219" s="530"/>
      <c r="E219" s="234">
        <f t="shared" ref="E219:G227" si="47">C219+D219</f>
        <v>14803</v>
      </c>
      <c r="F219" s="233"/>
      <c r="G219" s="234">
        <f t="shared" si="47"/>
        <v>14803</v>
      </c>
      <c r="H219" s="172">
        <f t="shared" ref="H219:H228" si="48">IF($G$228=0,0,G219/$G$228)</f>
        <v>0.51811277169157532</v>
      </c>
      <c r="I219" s="473"/>
      <c r="J219" s="168"/>
      <c r="K219" s="168"/>
    </row>
    <row r="220" spans="1:11">
      <c r="A220" s="163"/>
      <c r="B220" s="170" t="s">
        <v>217</v>
      </c>
      <c r="C220" s="530">
        <f>'[28]Sch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'[28]Sch D'!E9</f>
        <v>2763</v>
      </c>
      <c r="D221" s="530"/>
      <c r="E221" s="234">
        <f t="shared" si="49"/>
        <v>2763</v>
      </c>
      <c r="F221" s="233"/>
      <c r="G221" s="234">
        <f t="shared" si="47"/>
        <v>2763</v>
      </c>
      <c r="H221" s="172">
        <f t="shared" si="48"/>
        <v>9.6706450596758947E-2</v>
      </c>
      <c r="I221" s="473"/>
      <c r="J221" s="168"/>
      <c r="K221" s="168"/>
    </row>
    <row r="222" spans="1:11">
      <c r="A222" s="163"/>
      <c r="B222" s="202" t="s">
        <v>334</v>
      </c>
      <c r="C222" s="530">
        <f>'[28]Sch D'!F9</f>
        <v>3480</v>
      </c>
      <c r="D222" s="530"/>
      <c r="E222" s="234">
        <f>C222+D222</f>
        <v>3480</v>
      </c>
      <c r="F222" s="233"/>
      <c r="G222" s="234">
        <f>E222+F222</f>
        <v>3480</v>
      </c>
      <c r="H222" s="172">
        <f t="shared" si="48"/>
        <v>0.12180182702740541</v>
      </c>
      <c r="I222" s="473"/>
      <c r="J222" s="168"/>
      <c r="K222" s="168"/>
    </row>
    <row r="223" spans="1:11">
      <c r="A223" s="163"/>
      <c r="B223" s="170" t="s">
        <v>73</v>
      </c>
      <c r="C223" s="530">
        <f>'[28]Sch D'!G9</f>
        <v>2061</v>
      </c>
      <c r="D223" s="530"/>
      <c r="E223" s="234">
        <f t="shared" si="49"/>
        <v>2061</v>
      </c>
      <c r="F223" s="233"/>
      <c r="G223" s="234">
        <f t="shared" si="47"/>
        <v>2061</v>
      </c>
      <c r="H223" s="172">
        <f t="shared" si="48"/>
        <v>7.213608204123062E-2</v>
      </c>
      <c r="I223" s="473"/>
      <c r="J223" s="168"/>
      <c r="K223" s="168"/>
    </row>
    <row r="224" spans="1:11">
      <c r="A224" s="163"/>
      <c r="B224" s="170" t="s">
        <v>74</v>
      </c>
      <c r="C224" s="530">
        <f>'[28]Sch D'!H9</f>
        <v>2527</v>
      </c>
      <c r="D224" s="530"/>
      <c r="E224" s="234">
        <f t="shared" si="49"/>
        <v>2527</v>
      </c>
      <c r="F224" s="233"/>
      <c r="G224" s="234">
        <f t="shared" si="47"/>
        <v>2527</v>
      </c>
      <c r="H224" s="172">
        <f t="shared" si="48"/>
        <v>8.8446326694900421E-2</v>
      </c>
      <c r="I224" s="473"/>
      <c r="J224" s="168"/>
      <c r="K224" s="168"/>
    </row>
    <row r="225" spans="1:11">
      <c r="A225" s="163"/>
      <c r="B225" s="170" t="s">
        <v>236</v>
      </c>
      <c r="C225" s="530">
        <f>'[28]Sch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'[28]Sch D'!J9</f>
        <v>2937</v>
      </c>
      <c r="D226" s="530"/>
      <c r="E226" s="234">
        <f>C226+D226</f>
        <v>2937</v>
      </c>
      <c r="F226" s="233"/>
      <c r="G226" s="234">
        <f>E226+F226</f>
        <v>2937</v>
      </c>
      <c r="H226" s="172">
        <f t="shared" si="48"/>
        <v>0.10279654194812922</v>
      </c>
      <c r="I226" s="473"/>
      <c r="J226" s="168"/>
      <c r="K226" s="168"/>
    </row>
    <row r="227" spans="1:11">
      <c r="A227" s="163"/>
      <c r="B227" s="170" t="s">
        <v>179</v>
      </c>
      <c r="C227" s="530">
        <f>'[28]Sch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28571</v>
      </c>
      <c r="D228" s="530">
        <f>SUM(D219:D227)</f>
        <v>0</v>
      </c>
      <c r="E228" s="236">
        <f>SUM(E219:E227)</f>
        <v>28571</v>
      </c>
      <c r="F228" s="236">
        <f>SUM(F219:F227)</f>
        <v>0</v>
      </c>
      <c r="G228" s="236">
        <f>SUM(G219:G227)</f>
        <v>28571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'[28]Sch D'!N22</f>
        <v>120</v>
      </c>
      <c r="D231" s="502"/>
      <c r="E231" s="234">
        <f>C231+D231</f>
        <v>120</v>
      </c>
      <c r="F231" s="234"/>
      <c r="G231" s="234">
        <f>E231+F231</f>
        <v>120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'[28]Sch D'!N24</f>
        <v>120</v>
      </c>
      <c r="D232" s="502"/>
      <c r="E232" s="234">
        <f>C232+D232</f>
        <v>120</v>
      </c>
      <c r="F232" s="234"/>
      <c r="G232" s="234">
        <f>E232+F232</f>
        <v>120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'[28]Sch D'!N28</f>
        <v>43800</v>
      </c>
      <c r="D235" s="438"/>
      <c r="E235" s="233">
        <f>E231*E233</f>
        <v>43800</v>
      </c>
      <c r="F235" s="238"/>
      <c r="G235" s="233">
        <f>G231*G233</f>
        <v>43800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'[28]Sch D'!N30</f>
        <v>0.65230593607305931</v>
      </c>
      <c r="D236" s="238"/>
      <c r="E236" s="242">
        <f>E228/E235</f>
        <v>0.65230593607305931</v>
      </c>
      <c r="F236" s="243"/>
      <c r="G236" s="242">
        <f>G228/G235</f>
        <v>0.65230593607305931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'[28]Sch D'!N32</f>
        <v>0.33796803652968038</v>
      </c>
      <c r="D237" s="238"/>
      <c r="E237" s="242">
        <f>(E219+E220)/E235</f>
        <v>0.33796803652968038</v>
      </c>
      <c r="F237" s="243"/>
      <c r="G237" s="242">
        <f>(G219+G220)/G235</f>
        <v>0.33796803652968038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'[28]Sch D'!N34</f>
        <v>0.51811277169157544</v>
      </c>
      <c r="D238" s="238"/>
      <c r="E238" s="242">
        <f>(E237/E236)</f>
        <v>0.51811277169157544</v>
      </c>
      <c r="F238" s="243"/>
      <c r="G238" s="242">
        <f>(G237/G236)</f>
        <v>0.51811277169157544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'[28]Sch B'!C85</f>
        <v>228.76348039215685</v>
      </c>
      <c r="I241" s="475"/>
    </row>
    <row r="242" spans="2:9">
      <c r="F242" s="142" t="s">
        <v>341</v>
      </c>
      <c r="G242" s="501">
        <f>'[28]Sch B'!E85</f>
        <v>235.50939457202506</v>
      </c>
      <c r="I242" s="475"/>
    </row>
    <row r="243" spans="2:9">
      <c r="F243" s="142" t="s">
        <v>342</v>
      </c>
      <c r="G243" s="501">
        <f>'[28]Sch B'!G85</f>
        <v>229.93572496263079</v>
      </c>
      <c r="I243" s="475"/>
    </row>
    <row r="244" spans="2:9">
      <c r="F244" s="142" t="s">
        <v>343</v>
      </c>
      <c r="G244" s="501">
        <f>'[28]Sch B'!I85</f>
        <v>233.54351687388987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3">
    <tabColor rgb="FFE28CAB"/>
  </sheetPr>
  <dimension ref="A1:O246"/>
  <sheetViews>
    <sheetView showGridLines="0" zoomScaleNormal="100" workbookViewId="0">
      <pane xSplit="2" ySplit="10" topLeftCell="C11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484</v>
      </c>
      <c r="D2" s="144"/>
      <c r="E2" s="144"/>
      <c r="F2" s="421"/>
    </row>
    <row r="3" spans="1:11">
      <c r="A3" s="145"/>
      <c r="B3" s="140" t="s">
        <v>79</v>
      </c>
      <c r="C3" s="441">
        <v>42552</v>
      </c>
      <c r="D3" s="144"/>
      <c r="E3" s="147"/>
      <c r="F3" s="409"/>
    </row>
    <row r="4" spans="1:11">
      <c r="A4" s="145"/>
      <c r="B4" s="148" t="s">
        <v>80</v>
      </c>
      <c r="C4" s="441">
        <v>42916</v>
      </c>
      <c r="D4" s="144"/>
      <c r="E4" s="149"/>
      <c r="F4" s="409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 t="s">
        <v>638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'[29]Sch B'!E10</f>
        <v>1805218</v>
      </c>
      <c r="D11" s="501">
        <f>'[29]Sch B'!G10</f>
        <v>0</v>
      </c>
      <c r="E11" s="171">
        <f>C11+D11</f>
        <v>1805218</v>
      </c>
      <c r="F11" s="171">
        <f>448138+45299</f>
        <v>493437</v>
      </c>
      <c r="G11" s="171">
        <f t="shared" ref="G11:G20" si="0">E11+F11</f>
        <v>2298655</v>
      </c>
      <c r="H11" s="172">
        <f t="shared" ref="H11:H21" si="1">IF($G$21=0,0,G11/$G$21)</f>
        <v>0.57392883412789919</v>
      </c>
      <c r="I11" s="473"/>
      <c r="J11" s="336" t="s">
        <v>344</v>
      </c>
      <c r="K11" s="337">
        <f>G21</f>
        <v>4005122</v>
      </c>
    </row>
    <row r="12" spans="1:11" s="167" customFormat="1">
      <c r="A12" s="169" t="s">
        <v>15</v>
      </c>
      <c r="B12" s="170" t="s">
        <v>212</v>
      </c>
      <c r="C12" s="501">
        <f>'[29]Sch B'!E15</f>
        <v>0</v>
      </c>
      <c r="D12" s="501">
        <f>'[29]Sch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2834388</v>
      </c>
    </row>
    <row r="13" spans="1:11" s="167" customFormat="1">
      <c r="A13" s="169" t="s">
        <v>16</v>
      </c>
      <c r="B13" s="170" t="s">
        <v>170</v>
      </c>
      <c r="C13" s="501">
        <f>'[29]Sch B'!E21</f>
        <v>1256942</v>
      </c>
      <c r="D13" s="501">
        <f>'[29]Sch B'!G21</f>
        <v>0</v>
      </c>
      <c r="E13" s="171">
        <f t="shared" si="2"/>
        <v>1256942</v>
      </c>
      <c r="F13" s="171"/>
      <c r="G13" s="171">
        <f t="shared" si="0"/>
        <v>1256942</v>
      </c>
      <c r="H13" s="172">
        <f t="shared" si="1"/>
        <v>0.31383363602906478</v>
      </c>
      <c r="I13" s="473"/>
      <c r="J13" s="338" t="s">
        <v>346</v>
      </c>
      <c r="K13" s="339">
        <f>G228</f>
        <v>12095</v>
      </c>
    </row>
    <row r="14" spans="1:11" s="167" customFormat="1">
      <c r="A14" s="173" t="s">
        <v>18</v>
      </c>
      <c r="B14" s="174" t="s">
        <v>306</v>
      </c>
      <c r="C14" s="501">
        <f>'[29]Sch B'!E27</f>
        <v>222711</v>
      </c>
      <c r="D14" s="501">
        <f>'[29]Sch B'!G27</f>
        <v>0</v>
      </c>
      <c r="E14" s="171">
        <f t="shared" si="2"/>
        <v>222711</v>
      </c>
      <c r="F14" s="175"/>
      <c r="G14" s="175">
        <f>E14+F14</f>
        <v>222711</v>
      </c>
      <c r="H14" s="176">
        <f t="shared" si="1"/>
        <v>5.5606545818079951E-2</v>
      </c>
      <c r="I14" s="479"/>
      <c r="J14" s="338" t="s">
        <v>347</v>
      </c>
      <c r="K14" s="339">
        <f>G231</f>
        <v>60</v>
      </c>
    </row>
    <row r="15" spans="1:11" s="167" customFormat="1">
      <c r="A15" s="169" t="s">
        <v>19</v>
      </c>
      <c r="B15" s="170" t="s">
        <v>171</v>
      </c>
      <c r="C15" s="501">
        <f>'[29]Sch B'!E32</f>
        <v>0</v>
      </c>
      <c r="D15" s="501">
        <f>'[29]Sch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21900</v>
      </c>
    </row>
    <row r="16" spans="1:11" s="167" customFormat="1">
      <c r="A16" s="169" t="s">
        <v>21</v>
      </c>
      <c r="B16" s="170" t="s">
        <v>172</v>
      </c>
      <c r="C16" s="501">
        <f>'[29]Sch B'!E37</f>
        <v>219306</v>
      </c>
      <c r="D16" s="501">
        <f>'[29]Sch B'!G37</f>
        <v>0</v>
      </c>
      <c r="E16" s="171">
        <f t="shared" si="2"/>
        <v>219306</v>
      </c>
      <c r="F16" s="171"/>
      <c r="G16" s="171">
        <f t="shared" si="0"/>
        <v>219306</v>
      </c>
      <c r="H16" s="172">
        <f t="shared" si="1"/>
        <v>5.4756384449712141E-2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'[29]Sch B'!E42</f>
        <v>0</v>
      </c>
      <c r="D17" s="501">
        <f>'[29]Sch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79173</v>
      </c>
    </row>
    <row r="18" spans="1:11" s="167" customFormat="1" ht="13.5" thickBot="1">
      <c r="A18" s="169" t="s">
        <v>216</v>
      </c>
      <c r="B18" s="170" t="s">
        <v>229</v>
      </c>
      <c r="C18" s="501">
        <f>'[29]Sch B'!E47</f>
        <v>7336</v>
      </c>
      <c r="D18" s="501">
        <f>'[29]Sch B'!G47</f>
        <v>0</v>
      </c>
      <c r="E18" s="171">
        <f t="shared" si="2"/>
        <v>7336</v>
      </c>
      <c r="F18" s="171"/>
      <c r="G18" s="171">
        <f>E18+F18</f>
        <v>7336</v>
      </c>
      <c r="H18" s="172">
        <f t="shared" si="1"/>
        <v>1.8316545663278172E-3</v>
      </c>
      <c r="I18" s="473"/>
      <c r="J18" s="341" t="s">
        <v>252</v>
      </c>
      <c r="K18" s="342">
        <f>K208</f>
        <v>82822</v>
      </c>
    </row>
    <row r="19" spans="1:11" s="167" customFormat="1">
      <c r="A19" s="169" t="s">
        <v>227</v>
      </c>
      <c r="B19" s="177" t="s">
        <v>173</v>
      </c>
      <c r="C19" s="501">
        <f>'[29]Sch B'!E52</f>
        <v>0</v>
      </c>
      <c r="D19" s="501">
        <f>'[29]Sch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'[29]Sch B'!E67</f>
        <v>172</v>
      </c>
      <c r="D20" s="501">
        <f>'[29]Sch B'!G67</f>
        <v>0</v>
      </c>
      <c r="E20" s="171">
        <f t="shared" si="2"/>
        <v>172</v>
      </c>
      <c r="F20" s="171"/>
      <c r="G20" s="171">
        <f t="shared" si="0"/>
        <v>172</v>
      </c>
      <c r="H20" s="172">
        <f t="shared" si="1"/>
        <v>4.2945008916082956E-5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3511685</v>
      </c>
      <c r="D21" s="501">
        <f>SUM(D11:D20)</f>
        <v>0</v>
      </c>
      <c r="E21" s="171">
        <f>SUM(E11:E20)</f>
        <v>3511685</v>
      </c>
      <c r="F21" s="171">
        <f>SUM(F11:F20)</f>
        <v>493437</v>
      </c>
      <c r="G21" s="171">
        <f>SUM(G11:G20)</f>
        <v>4005122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0" t="s">
        <v>653</v>
      </c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'[29]Sch C'!D10</f>
        <v>180544</v>
      </c>
      <c r="D25" s="501">
        <f>'[29]Sch C'!F10</f>
        <v>8755</v>
      </c>
      <c r="E25" s="171">
        <f t="shared" ref="E25:E60" si="3">C25+D25</f>
        <v>189299</v>
      </c>
      <c r="F25" s="171"/>
      <c r="G25" s="182">
        <f>E25+F25</f>
        <v>189299</v>
      </c>
      <c r="H25" s="172">
        <f>IF($G$208=0,0,G25/$G$208)</f>
        <v>6.678655145308264E-2</v>
      </c>
      <c r="I25" s="473"/>
      <c r="J25" s="183">
        <v>2837</v>
      </c>
      <c r="K25" s="183">
        <v>2975</v>
      </c>
    </row>
    <row r="26" spans="1:11" s="167" customFormat="1">
      <c r="A26" s="169" t="s">
        <v>84</v>
      </c>
      <c r="B26" s="170" t="s">
        <v>176</v>
      </c>
      <c r="C26" s="501">
        <f>'[29]Sch C'!D11</f>
        <v>0</v>
      </c>
      <c r="D26" s="501">
        <f>'[29]Sch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'[29]Sch C'!D12</f>
        <v>69328</v>
      </c>
      <c r="D27" s="501">
        <f>'[29]Sch C'!F12</f>
        <v>3359</v>
      </c>
      <c r="E27" s="171">
        <f t="shared" si="3"/>
        <v>72687</v>
      </c>
      <c r="F27" s="171"/>
      <c r="G27" s="171">
        <f t="shared" si="4"/>
        <v>72687</v>
      </c>
      <c r="H27" s="172">
        <f t="shared" si="5"/>
        <v>2.5644689435603031E-2</v>
      </c>
      <c r="I27" s="473"/>
      <c r="J27" s="183">
        <v>3308</v>
      </c>
      <c r="K27" s="183">
        <v>3468</v>
      </c>
    </row>
    <row r="28" spans="1:11" s="167" customFormat="1">
      <c r="A28" s="169" t="s">
        <v>86</v>
      </c>
      <c r="B28" s="170" t="s">
        <v>45</v>
      </c>
      <c r="C28" s="501">
        <f>'[29]Sch C'!D13</f>
        <v>300668</v>
      </c>
      <c r="D28" s="501">
        <f>'[29]Sch C'!F13</f>
        <v>-269797</v>
      </c>
      <c r="E28" s="171">
        <f t="shared" si="3"/>
        <v>30871</v>
      </c>
      <c r="F28" s="171"/>
      <c r="G28" s="171">
        <f t="shared" si="4"/>
        <v>30871</v>
      </c>
      <c r="H28" s="172">
        <f t="shared" si="5"/>
        <v>1.089159282356544E-2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'[29]Sch C'!D14</f>
        <v>0</v>
      </c>
      <c r="D29" s="501">
        <f>'[29]Sch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'[29]Sch C'!D15</f>
        <v>0</v>
      </c>
      <c r="D30" s="501">
        <f>'[29]Sch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'[29]Sch C'!D16</f>
        <v>171973</v>
      </c>
      <c r="D31" s="501">
        <f>'[29]Sch C'!F16</f>
        <v>63848</v>
      </c>
      <c r="E31" s="171">
        <f t="shared" si="3"/>
        <v>235821</v>
      </c>
      <c r="F31" s="171">
        <v>-40374.135153934199</v>
      </c>
      <c r="G31" s="171">
        <f t="shared" si="4"/>
        <v>195446.86484606582</v>
      </c>
      <c r="H31" s="172">
        <f t="shared" si="5"/>
        <v>6.8955578716134072E-2</v>
      </c>
      <c r="I31" s="473" t="s">
        <v>402</v>
      </c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'[29]Sch C'!D17</f>
        <v>0</v>
      </c>
      <c r="D32" s="501">
        <f>'[29]Sch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'[29]Sch C'!D18</f>
        <v>10943</v>
      </c>
      <c r="D33" s="501">
        <f>'[29]Sch C'!F18</f>
        <v>0</v>
      </c>
      <c r="E33" s="171">
        <f t="shared" si="3"/>
        <v>10943</v>
      </c>
      <c r="F33" s="171">
        <v>-75</v>
      </c>
      <c r="G33" s="171">
        <f t="shared" si="4"/>
        <v>10868</v>
      </c>
      <c r="H33" s="172">
        <f t="shared" si="5"/>
        <v>3.8343374301612904E-3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'[29]Sch C'!D19</f>
        <v>8666</v>
      </c>
      <c r="D34" s="501">
        <f>'[29]Sch C'!F19</f>
        <v>-500</v>
      </c>
      <c r="E34" s="171">
        <f t="shared" si="3"/>
        <v>8166</v>
      </c>
      <c r="F34" s="171">
        <v>-198</v>
      </c>
      <c r="G34" s="171">
        <f t="shared" si="4"/>
        <v>7968</v>
      </c>
      <c r="H34" s="172">
        <f t="shared" si="5"/>
        <v>2.8111888704016527E-3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'[29]Sch C'!D20</f>
        <v>15052</v>
      </c>
      <c r="D35" s="501">
        <f>'[29]Sch C'!F20</f>
        <v>0</v>
      </c>
      <c r="E35" s="171">
        <f t="shared" si="3"/>
        <v>15052</v>
      </c>
      <c r="F35" s="171"/>
      <c r="G35" s="171">
        <f t="shared" si="4"/>
        <v>15052</v>
      </c>
      <c r="H35" s="172">
        <f t="shared" si="5"/>
        <v>5.310493835000713E-3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'[29]Sch C'!D21</f>
        <v>15468</v>
      </c>
      <c r="D36" s="501">
        <f>'[29]Sch C'!F21</f>
        <v>0</v>
      </c>
      <c r="E36" s="171">
        <f t="shared" si="3"/>
        <v>15468</v>
      </c>
      <c r="F36" s="171">
        <v>-13436</v>
      </c>
      <c r="G36" s="171">
        <f t="shared" si="4"/>
        <v>2032</v>
      </c>
      <c r="H36" s="172">
        <f t="shared" si="5"/>
        <v>7.1690961152813234E-4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'[29]Sch C'!D22</f>
        <v>0</v>
      </c>
      <c r="D37" s="501">
        <f>'[29]Sch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'[29]Sch C'!D23</f>
        <v>2262</v>
      </c>
      <c r="D38" s="501">
        <f>'[29]Sch C'!F23</f>
        <v>0</v>
      </c>
      <c r="E38" s="171">
        <f t="shared" si="3"/>
        <v>2262</v>
      </c>
      <c r="F38" s="171"/>
      <c r="G38" s="171">
        <f t="shared" si="4"/>
        <v>2262</v>
      </c>
      <c r="H38" s="172">
        <f t="shared" si="5"/>
        <v>7.9805587661251737E-4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'[29]Sch C'!D24</f>
        <v>35136</v>
      </c>
      <c r="D39" s="501">
        <f>'[29]Sch C'!F24</f>
        <v>-5760</v>
      </c>
      <c r="E39" s="171">
        <f t="shared" si="3"/>
        <v>29376</v>
      </c>
      <c r="F39" s="171"/>
      <c r="G39" s="171">
        <f t="shared" si="4"/>
        <v>29376</v>
      </c>
      <c r="H39" s="172">
        <f t="shared" si="5"/>
        <v>1.0364142100516937E-2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'[29]Sch C'!D25</f>
        <v>0</v>
      </c>
      <c r="D40" s="501">
        <f>'[29]Sch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'[29]Sch C'!D26</f>
        <v>169955</v>
      </c>
      <c r="D41" s="501">
        <f>'[29]Sch C'!F26</f>
        <v>0</v>
      </c>
      <c r="E41" s="171">
        <f t="shared" si="3"/>
        <v>169955</v>
      </c>
      <c r="F41" s="171"/>
      <c r="G41" s="171">
        <f t="shared" si="4"/>
        <v>169955</v>
      </c>
      <c r="H41" s="172">
        <f t="shared" si="5"/>
        <v>5.9961797749637662E-2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'[29]Sch C'!D27</f>
        <v>0</v>
      </c>
      <c r="D42" s="501">
        <f>'[29]Sch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'[29]Sch C'!D28</f>
        <v>0</v>
      </c>
      <c r="D43" s="501">
        <f>'[29]Sch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'[29]Sch C'!D29</f>
        <v>34885</v>
      </c>
      <c r="D44" s="501">
        <f>'[29]Sch C'!F29</f>
        <v>-34885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'[29]Sch C'!D30</f>
        <v>0</v>
      </c>
      <c r="D45" s="501">
        <f>'[29]Sch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'[29]Sch C'!D31</f>
        <v>18205</v>
      </c>
      <c r="D46" s="501">
        <f>'[29]Sch C'!F31</f>
        <v>0</v>
      </c>
      <c r="E46" s="171">
        <f t="shared" si="3"/>
        <v>18205</v>
      </c>
      <c r="F46" s="171"/>
      <c r="G46" s="171">
        <f t="shared" si="4"/>
        <v>18205</v>
      </c>
      <c r="H46" s="172">
        <f t="shared" si="5"/>
        <v>6.4229032863531736E-3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'[29]Sch C'!D32</f>
        <v>33264</v>
      </c>
      <c r="D47" s="501">
        <f>'[29]Sch C'!F32</f>
        <v>-11369</v>
      </c>
      <c r="E47" s="171">
        <f t="shared" si="3"/>
        <v>21895</v>
      </c>
      <c r="F47" s="171"/>
      <c r="G47" s="171">
        <f t="shared" si="4"/>
        <v>21895</v>
      </c>
      <c r="H47" s="172">
        <f t="shared" si="5"/>
        <v>7.7247716261852643E-3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'[29]Sch C'!D33</f>
        <v>0</v>
      </c>
      <c r="D48" s="501">
        <f>'[29]Sch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'[29]Sch C'!D34</f>
        <v>0</v>
      </c>
      <c r="D49" s="501">
        <f>'[29]Sch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'[29]Sch C'!D35</f>
        <v>103</v>
      </c>
      <c r="D50" s="501">
        <f>'[29]Sch C'!F35</f>
        <v>-103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'[29]Sch C'!D36</f>
        <v>0</v>
      </c>
      <c r="D51" s="501">
        <f>'[29]Sch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'[29]Sch C'!D37</f>
        <v>0</v>
      </c>
      <c r="D52" s="501">
        <f>'[29]Sch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'[29]Sch C'!D38</f>
        <v>0</v>
      </c>
      <c r="D53" s="501">
        <f>'[29]Sch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'[29]Sch C'!D39</f>
        <v>4045</v>
      </c>
      <c r="D54" s="501">
        <f>'[29]Sch C'!F39</f>
        <v>0</v>
      </c>
      <c r="E54" s="171">
        <f t="shared" si="3"/>
        <v>4045</v>
      </c>
      <c r="F54" s="171"/>
      <c r="G54" s="171">
        <f t="shared" si="4"/>
        <v>4045</v>
      </c>
      <c r="H54" s="172">
        <f t="shared" si="5"/>
        <v>1.4271158359405981E-3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'[29]Sch C'!D40</f>
        <v>6592</v>
      </c>
      <c r="D55" s="501">
        <f>'[29]Sch C'!F40</f>
        <v>0</v>
      </c>
      <c r="E55" s="171">
        <f t="shared" si="3"/>
        <v>6592</v>
      </c>
      <c r="F55" s="171"/>
      <c r="G55" s="171">
        <f t="shared" si="4"/>
        <v>6592</v>
      </c>
      <c r="H55" s="172">
        <f t="shared" si="5"/>
        <v>2.3257225192881144E-3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'[29]Sch C'!D41</f>
        <v>10575</v>
      </c>
      <c r="D56" s="501">
        <f>'[29]Sch C'!F41</f>
        <v>0</v>
      </c>
      <c r="E56" s="171">
        <f t="shared" si="3"/>
        <v>10575</v>
      </c>
      <c r="F56" s="171">
        <f>-353-845</f>
        <v>-1198</v>
      </c>
      <c r="G56" s="171">
        <f t="shared" si="4"/>
        <v>9377</v>
      </c>
      <c r="H56" s="172">
        <f t="shared" si="5"/>
        <v>3.3082979465055597E-3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'[29]Sch C'!D42</f>
        <v>1228</v>
      </c>
      <c r="D57" s="501">
        <f>'[29]Sch C'!F42</f>
        <v>0</v>
      </c>
      <c r="E57" s="171">
        <f t="shared" si="3"/>
        <v>1228</v>
      </c>
      <c r="F57" s="171"/>
      <c r="G57" s="171">
        <f t="shared" si="4"/>
        <v>1228</v>
      </c>
      <c r="H57" s="172">
        <f t="shared" si="5"/>
        <v>4.3325049358097762E-4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'[29]Sch C'!D43</f>
        <v>6228</v>
      </c>
      <c r="D58" s="501">
        <f>'[29]Sch C'!F43</f>
        <v>0</v>
      </c>
      <c r="E58" s="171">
        <f t="shared" si="3"/>
        <v>6228</v>
      </c>
      <c r="F58" s="171"/>
      <c r="G58" s="171">
        <f t="shared" si="4"/>
        <v>6228</v>
      </c>
      <c r="H58" s="172">
        <f t="shared" si="5"/>
        <v>2.1972997345458701E-3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'[29]Sch C'!D44</f>
        <v>0</v>
      </c>
      <c r="D59" s="501">
        <f>'[29]Sch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'[29]Sch C'!D45</f>
        <v>2359</v>
      </c>
      <c r="D60" s="501">
        <f>'[29]Sch C'!F45</f>
        <v>-165</v>
      </c>
      <c r="E60" s="171">
        <f t="shared" si="3"/>
        <v>2194</v>
      </c>
      <c r="F60" s="171">
        <v>-112.62</v>
      </c>
      <c r="G60" s="171">
        <f t="shared" si="4"/>
        <v>2081.38</v>
      </c>
      <c r="H60" s="172">
        <f t="shared" si="5"/>
        <v>7.3433136183190164E-4</v>
      </c>
      <c r="I60" s="473" t="s">
        <v>634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1097479</v>
      </c>
      <c r="D61" s="501">
        <f>SUM(D25:D60)</f>
        <v>-246617</v>
      </c>
      <c r="E61" s="171">
        <f t="shared" ref="E61" si="6">SUM(E25:E60)</f>
        <v>850862</v>
      </c>
      <c r="F61" s="171">
        <f>SUM(F25:F60)</f>
        <v>-55393.755153934202</v>
      </c>
      <c r="G61" s="171">
        <f>SUM(G25:G60)</f>
        <v>795468.24484606588</v>
      </c>
      <c r="H61" s="186">
        <f t="shared" si="5"/>
        <v>0.28064903070647557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'[29]Sch C'!D57</f>
        <v>278788</v>
      </c>
      <c r="D64" s="501">
        <f>'[29]Sch C'!F57</f>
        <v>0</v>
      </c>
      <c r="E64" s="171">
        <f t="shared" ref="E64:E78" si="7">C64+D64</f>
        <v>278788</v>
      </c>
      <c r="F64" s="171">
        <v>-278788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'[29]Sch C'!D58</f>
        <v>11422</v>
      </c>
      <c r="D65" s="501">
        <f>'[29]Sch C'!F58</f>
        <v>0</v>
      </c>
      <c r="E65" s="171">
        <f t="shared" si="7"/>
        <v>11422</v>
      </c>
      <c r="F65" s="171">
        <v>54787</v>
      </c>
      <c r="G65" s="171">
        <f t="shared" si="8"/>
        <v>66209</v>
      </c>
      <c r="H65" s="172">
        <f t="shared" si="9"/>
        <v>2.3359187239008913E-2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'[29]Sch C'!D59</f>
        <v>0</v>
      </c>
      <c r="D66" s="501">
        <f>'[29]Sch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'[29]Sch C'!D60</f>
        <v>12869</v>
      </c>
      <c r="D67" s="501">
        <f>'[29]Sch C'!F60</f>
        <v>0</v>
      </c>
      <c r="E67" s="171">
        <f t="shared" si="7"/>
        <v>12869</v>
      </c>
      <c r="F67" s="171"/>
      <c r="G67" s="171">
        <f t="shared" si="8"/>
        <v>12869</v>
      </c>
      <c r="H67" s="172">
        <f t="shared" si="9"/>
        <v>4.5403099363954405E-3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'[29]Sch C'!D61</f>
        <v>4345</v>
      </c>
      <c r="D68" s="501">
        <f>'[29]Sch C'!F61</f>
        <v>0</v>
      </c>
      <c r="E68" s="171">
        <f t="shared" si="7"/>
        <v>4345</v>
      </c>
      <c r="F68" s="171"/>
      <c r="G68" s="171">
        <f t="shared" si="8"/>
        <v>4345</v>
      </c>
      <c r="H68" s="172">
        <f t="shared" si="9"/>
        <v>1.5329587903984917E-3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'[29]Sch C'!D62</f>
        <v>8661</v>
      </c>
      <c r="D69" s="501">
        <f>'[29]Sch C'!F62</f>
        <v>0</v>
      </c>
      <c r="E69" s="171">
        <f t="shared" si="7"/>
        <v>8661</v>
      </c>
      <c r="F69" s="171"/>
      <c r="G69" s="171">
        <f t="shared" si="8"/>
        <v>8661</v>
      </c>
      <c r="H69" s="172">
        <f t="shared" si="9"/>
        <v>3.0556860951993872E-3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'[29]Sch C'!D63</f>
        <v>0</v>
      </c>
      <c r="D70" s="501">
        <f>'[29]Sch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'[29]Sch C'!D64</f>
        <v>0</v>
      </c>
      <c r="D71" s="501">
        <f>'[29]Sch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'[29]Sch C'!D65</f>
        <v>6227</v>
      </c>
      <c r="D72" s="501">
        <f>'[29]Sch C'!F65</f>
        <v>0</v>
      </c>
      <c r="E72" s="171">
        <f t="shared" si="7"/>
        <v>6227</v>
      </c>
      <c r="F72" s="171"/>
      <c r="G72" s="171">
        <f t="shared" si="8"/>
        <v>6227</v>
      </c>
      <c r="H72" s="172">
        <f t="shared" si="9"/>
        <v>2.1969469246976773E-3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'[29]Sch C'!D66</f>
        <v>798</v>
      </c>
      <c r="D73" s="501">
        <f>'[29]Sch C'!F66</f>
        <v>0</v>
      </c>
      <c r="E73" s="171">
        <f t="shared" si="7"/>
        <v>798</v>
      </c>
      <c r="F73" s="171"/>
      <c r="G73" s="171">
        <f t="shared" si="8"/>
        <v>798</v>
      </c>
      <c r="H73" s="172">
        <f t="shared" si="9"/>
        <v>2.8154225885799686E-4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'[29]Sch C'!D67</f>
        <v>19553</v>
      </c>
      <c r="D74" s="501">
        <f>'[29]Sch C'!F67</f>
        <v>0</v>
      </c>
      <c r="E74" s="171">
        <f t="shared" si="7"/>
        <v>19553</v>
      </c>
      <c r="F74" s="171"/>
      <c r="G74" s="171">
        <f t="shared" si="8"/>
        <v>19553</v>
      </c>
      <c r="H74" s="172">
        <f t="shared" si="9"/>
        <v>6.8984909617173093E-3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'[29]Sch C'!D68</f>
        <v>0</v>
      </c>
      <c r="D75" s="501">
        <f>'[29]Sch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'[29]Sch C'!D69</f>
        <v>2045</v>
      </c>
      <c r="D76" s="501">
        <f>'[29]Sch C'!F69</f>
        <v>0</v>
      </c>
      <c r="E76" s="171">
        <f t="shared" si="7"/>
        <v>2045</v>
      </c>
      <c r="F76" s="171"/>
      <c r="G76" s="171">
        <f t="shared" si="8"/>
        <v>2045</v>
      </c>
      <c r="H76" s="172">
        <f t="shared" si="9"/>
        <v>7.2149613955464103E-4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'[29]Sch C'!D70</f>
        <v>0</v>
      </c>
      <c r="D77" s="501">
        <f>'[29]Sch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'[29]Sch C'!D71</f>
        <v>0</v>
      </c>
      <c r="D78" s="501">
        <f>'[29]Sch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344708</v>
      </c>
      <c r="D79" s="501">
        <f>SUM(D64:D78)</f>
        <v>0</v>
      </c>
      <c r="E79" s="171">
        <f t="shared" ref="E79" si="10">SUM(E64:E78)</f>
        <v>344708</v>
      </c>
      <c r="F79" s="171">
        <f>SUM(F64:F78)</f>
        <v>-224001</v>
      </c>
      <c r="G79" s="171">
        <f>SUM(G64:G78)</f>
        <v>120707</v>
      </c>
      <c r="H79" s="172">
        <f t="shared" si="9"/>
        <v>4.2586618345829858E-2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'[29]Sch C'!D75</f>
        <v>39588</v>
      </c>
      <c r="D82" s="501">
        <f>'[29]Sch C'!F75</f>
        <v>1920</v>
      </c>
      <c r="E82" s="171">
        <f t="shared" ref="E82:E92" si="11">C82+D82</f>
        <v>41508</v>
      </c>
      <c r="F82" s="171"/>
      <c r="G82" s="171">
        <f t="shared" ref="G82:G92" si="12">E82+F82</f>
        <v>41508</v>
      </c>
      <c r="H82" s="172">
        <f t="shared" ref="H82:H93" si="13">IF($G$208=0,0,G82/$G$208)</f>
        <v>1.4644431178794153E-2</v>
      </c>
      <c r="I82" s="473"/>
      <c r="J82" s="183">
        <v>2128</v>
      </c>
      <c r="K82" s="183">
        <v>2231</v>
      </c>
    </row>
    <row r="83" spans="1:11" s="167" customFormat="1">
      <c r="A83" s="169" t="s">
        <v>86</v>
      </c>
      <c r="B83" s="199" t="s">
        <v>45</v>
      </c>
      <c r="C83" s="501">
        <f>'[29]Sch C'!D76</f>
        <v>0</v>
      </c>
      <c r="D83" s="501">
        <f>'[29]Sch C'!F76</f>
        <v>4884</v>
      </c>
      <c r="E83" s="171">
        <f t="shared" si="11"/>
        <v>4884</v>
      </c>
      <c r="F83" s="171"/>
      <c r="G83" s="171">
        <f t="shared" si="12"/>
        <v>4884</v>
      </c>
      <c r="H83" s="172">
        <f t="shared" si="13"/>
        <v>1.7231232985745071E-3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'[29]Sch C'!D77</f>
        <v>7430</v>
      </c>
      <c r="D84" s="501">
        <f>'[29]Sch C'!F77</f>
        <v>0</v>
      </c>
      <c r="E84" s="171">
        <f t="shared" si="11"/>
        <v>7430</v>
      </c>
      <c r="F84" s="171"/>
      <c r="G84" s="171">
        <f t="shared" si="12"/>
        <v>7430</v>
      </c>
      <c r="H84" s="172">
        <f t="shared" si="13"/>
        <v>2.6213771720738303E-3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'[29]Sch C'!D78</f>
        <v>0</v>
      </c>
      <c r="D85" s="501">
        <f>'[29]Sch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'[29]Sch C'!D79</f>
        <v>1201</v>
      </c>
      <c r="D86" s="501">
        <f>'[29]Sch C'!F79</f>
        <v>0</v>
      </c>
      <c r="E86" s="171">
        <f t="shared" si="11"/>
        <v>1201</v>
      </c>
      <c r="F86" s="171"/>
      <c r="G86" s="171">
        <f>E86+F86</f>
        <v>1201</v>
      </c>
      <c r="H86" s="172">
        <f t="shared" si="13"/>
        <v>4.2372462767976721E-4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'[29]Sch C'!D80</f>
        <v>2551</v>
      </c>
      <c r="D87" s="501">
        <f>'[29]Sch C'!F80</f>
        <v>0</v>
      </c>
      <c r="E87" s="171">
        <f t="shared" si="11"/>
        <v>2551</v>
      </c>
      <c r="F87" s="171"/>
      <c r="G87" s="171">
        <f t="shared" si="12"/>
        <v>2551</v>
      </c>
      <c r="H87" s="172">
        <f t="shared" si="13"/>
        <v>9.0001792274028818E-4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'[29]Sch C'!D81</f>
        <v>13511</v>
      </c>
      <c r="D88" s="501">
        <f>'[29]Sch C'!F81</f>
        <v>0</v>
      </c>
      <c r="E88" s="171">
        <f t="shared" si="11"/>
        <v>13511</v>
      </c>
      <c r="F88" s="171"/>
      <c r="G88" s="171">
        <f t="shared" si="12"/>
        <v>13511</v>
      </c>
      <c r="H88" s="172">
        <f t="shared" si="13"/>
        <v>4.7668138589353325E-3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'[29]Sch C'!D82</f>
        <v>1244</v>
      </c>
      <c r="D89" s="501">
        <f>'[29]Sch C'!F82</f>
        <v>0</v>
      </c>
      <c r="E89" s="171">
        <f t="shared" si="11"/>
        <v>1244</v>
      </c>
      <c r="F89" s="171"/>
      <c r="G89" s="171">
        <f t="shared" si="12"/>
        <v>1244</v>
      </c>
      <c r="H89" s="172">
        <f t="shared" si="13"/>
        <v>4.3889545115206527E-4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'[29]Sch C'!D83</f>
        <v>0</v>
      </c>
      <c r="D90" s="501">
        <f>'[29]Sch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'[29]Sch C'!D84</f>
        <v>48756</v>
      </c>
      <c r="D91" s="501">
        <f>'[29]Sch C'!F84</f>
        <v>0</v>
      </c>
      <c r="E91" s="171">
        <f t="shared" si="11"/>
        <v>48756</v>
      </c>
      <c r="F91" s="171"/>
      <c r="G91" s="171">
        <f t="shared" si="12"/>
        <v>48756</v>
      </c>
      <c r="H91" s="172">
        <f t="shared" si="13"/>
        <v>1.7201596958496861E-2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'[29]Sch C'!D85</f>
        <v>0</v>
      </c>
      <c r="D92" s="501">
        <f>'[29]Sch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114281</v>
      </c>
      <c r="D93" s="501">
        <f>SUM(D82:D92)</f>
        <v>6804</v>
      </c>
      <c r="E93" s="171">
        <f t="shared" ref="E93" si="14">SUM(E82:E92)</f>
        <v>121085</v>
      </c>
      <c r="F93" s="171">
        <f>SUM(F82:F92)</f>
        <v>0</v>
      </c>
      <c r="G93" s="171">
        <f>SUM(G82:G92)</f>
        <v>121085</v>
      </c>
      <c r="H93" s="172">
        <f t="shared" si="13"/>
        <v>4.2719980468446807E-2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'[29]Sch C'!D89</f>
        <v>84735</v>
      </c>
      <c r="D96" s="501">
        <f>'[29]Sch C'!F89</f>
        <v>4109</v>
      </c>
      <c r="E96" s="171">
        <f t="shared" ref="E96:E101" si="15">C96+D96</f>
        <v>88844</v>
      </c>
      <c r="F96" s="171"/>
      <c r="G96" s="171">
        <f t="shared" ref="G96:G101" si="16">E96+F96</f>
        <v>88844</v>
      </c>
      <c r="H96" s="172">
        <f t="shared" ref="H96:H102" si="17">IF($G$208=0,0,G96/$G$208)</f>
        <v>3.1345038152856983E-2</v>
      </c>
      <c r="I96" s="473"/>
      <c r="J96" s="183">
        <v>7199</v>
      </c>
      <c r="K96" s="183">
        <v>7548</v>
      </c>
    </row>
    <row r="97" spans="1:11" s="167" customFormat="1">
      <c r="A97" s="169" t="s">
        <v>86</v>
      </c>
      <c r="B97" s="170" t="s">
        <v>45</v>
      </c>
      <c r="C97" s="501">
        <f>'[29]Sch C'!D90</f>
        <v>0</v>
      </c>
      <c r="D97" s="501">
        <f>'[29]Sch C'!F90</f>
        <v>10454</v>
      </c>
      <c r="E97" s="171">
        <f t="shared" si="15"/>
        <v>10454</v>
      </c>
      <c r="F97" s="171"/>
      <c r="G97" s="171">
        <f t="shared" si="16"/>
        <v>10454</v>
      </c>
      <c r="H97" s="172">
        <f t="shared" si="17"/>
        <v>3.6882741530093973E-3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'[29]Sch C'!D91</f>
        <v>6154</v>
      </c>
      <c r="D98" s="501">
        <f>'[29]Sch C'!F91</f>
        <v>0</v>
      </c>
      <c r="E98" s="171">
        <f t="shared" si="15"/>
        <v>6154</v>
      </c>
      <c r="F98" s="171"/>
      <c r="G98" s="171">
        <f t="shared" si="16"/>
        <v>6154</v>
      </c>
      <c r="H98" s="172">
        <f t="shared" si="17"/>
        <v>2.17119180577959E-3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'[29]Sch C'!D92</f>
        <v>63340</v>
      </c>
      <c r="D99" s="501">
        <f>'[29]Sch C'!F92</f>
        <v>0</v>
      </c>
      <c r="E99" s="171">
        <f t="shared" si="15"/>
        <v>63340</v>
      </c>
      <c r="F99" s="171"/>
      <c r="G99" s="171">
        <f t="shared" si="16"/>
        <v>63340</v>
      </c>
      <c r="H99" s="172">
        <f t="shared" si="17"/>
        <v>2.2346975784543258E-2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'[29]Sch C'!D93</f>
        <v>11209</v>
      </c>
      <c r="D100" s="501">
        <f>'[29]Sch C'!F93</f>
        <v>0</v>
      </c>
      <c r="E100" s="171">
        <f t="shared" si="15"/>
        <v>11209</v>
      </c>
      <c r="F100" s="171"/>
      <c r="G100" s="171">
        <f t="shared" si="16"/>
        <v>11209</v>
      </c>
      <c r="H100" s="172">
        <f t="shared" si="17"/>
        <v>3.9546455883950962E-3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'[29]Sch C'!D94</f>
        <v>0</v>
      </c>
      <c r="D101" s="501">
        <f>'[29]Sch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165438</v>
      </c>
      <c r="D102" s="501">
        <f>SUM(D96:D101)</f>
        <v>14563</v>
      </c>
      <c r="E102" s="171">
        <f t="shared" ref="E102" si="18">SUM(E96:E101)</f>
        <v>180001</v>
      </c>
      <c r="F102" s="171">
        <f>SUM(F96:F101)</f>
        <v>0</v>
      </c>
      <c r="G102" s="171">
        <f>SUM(G96:G101)</f>
        <v>180001</v>
      </c>
      <c r="H102" s="172">
        <f t="shared" si="17"/>
        <v>6.3506125484584328E-2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'[29]Sch C'!D98</f>
        <v>17290</v>
      </c>
      <c r="D105" s="501">
        <f>'[29]Sch C'!F98</f>
        <v>838</v>
      </c>
      <c r="E105" s="171">
        <f t="shared" ref="E105:E110" si="19">C105+D105</f>
        <v>18128</v>
      </c>
      <c r="F105" s="171"/>
      <c r="G105" s="171">
        <f t="shared" ref="G105:G110" si="20">E105+F105</f>
        <v>18128</v>
      </c>
      <c r="H105" s="172">
        <f t="shared" ref="H105:H111" si="21">IF($G$208=0,0,G105/$G$208)</f>
        <v>6.3957369280423148E-3</v>
      </c>
      <c r="I105" s="473"/>
      <c r="J105" s="183">
        <v>1834</v>
      </c>
      <c r="K105" s="183">
        <v>1923</v>
      </c>
    </row>
    <row r="106" spans="1:11" s="167" customFormat="1">
      <c r="A106" s="169" t="s">
        <v>86</v>
      </c>
      <c r="B106" s="170" t="s">
        <v>45</v>
      </c>
      <c r="C106" s="501">
        <f>'[29]Sch C'!D99</f>
        <v>0</v>
      </c>
      <c r="D106" s="501">
        <f>'[29]Sch C'!F99</f>
        <v>2133</v>
      </c>
      <c r="E106" s="171">
        <f t="shared" si="19"/>
        <v>2133</v>
      </c>
      <c r="F106" s="171"/>
      <c r="G106" s="171">
        <f t="shared" si="20"/>
        <v>2133</v>
      </c>
      <c r="H106" s="172">
        <f t="shared" si="21"/>
        <v>7.5254340619562319E-4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'[29]Sch C'!D100</f>
        <v>2860</v>
      </c>
      <c r="D107" s="501">
        <f>'[29]Sch C'!F100</f>
        <v>0</v>
      </c>
      <c r="E107" s="171">
        <f t="shared" si="19"/>
        <v>2860</v>
      </c>
      <c r="F107" s="171"/>
      <c r="G107" s="171">
        <f t="shared" si="20"/>
        <v>2860</v>
      </c>
      <c r="H107" s="172">
        <f t="shared" si="21"/>
        <v>1.0090361658319186E-3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'[29]Sch C'!D101</f>
        <v>0</v>
      </c>
      <c r="D108" s="501">
        <f>'[29]Sch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'[29]Sch C'!D102</f>
        <v>1517</v>
      </c>
      <c r="D109" s="501">
        <f>'[29]Sch C'!F102</f>
        <v>0</v>
      </c>
      <c r="E109" s="171">
        <f t="shared" si="19"/>
        <v>1517</v>
      </c>
      <c r="F109" s="171"/>
      <c r="G109" s="171">
        <f t="shared" si="20"/>
        <v>1517</v>
      </c>
      <c r="H109" s="172">
        <f t="shared" si="21"/>
        <v>5.3521253970874837E-4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'[29]Sch C'!D103</f>
        <v>0</v>
      </c>
      <c r="D110" s="501">
        <f>'[29]Sch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21667</v>
      </c>
      <c r="D111" s="501">
        <f>SUM(D105:D110)</f>
        <v>2971</v>
      </c>
      <c r="E111" s="171">
        <f t="shared" ref="E111" si="22">SUM(E105:E110)</f>
        <v>24638</v>
      </c>
      <c r="F111" s="171">
        <f>SUM(F105:F110)</f>
        <v>0</v>
      </c>
      <c r="G111" s="171">
        <f>SUM(G105:G110)</f>
        <v>24638</v>
      </c>
      <c r="H111" s="172">
        <f t="shared" si="21"/>
        <v>8.6925290397786049E-3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'[29]Sch C'!D115</f>
        <v>43529</v>
      </c>
      <c r="D114" s="501">
        <f>'[29]Sch C'!F115</f>
        <v>2111</v>
      </c>
      <c r="E114" s="171">
        <f t="shared" ref="E114:E118" si="23">C114+D114</f>
        <v>45640</v>
      </c>
      <c r="F114" s="171"/>
      <c r="G114" s="171">
        <f>E114+F114</f>
        <v>45640</v>
      </c>
      <c r="H114" s="172">
        <f t="shared" ref="H114:H119" si="24">IF($G$208=0,0,G114/$G$208)</f>
        <v>1.6102241471527539E-2</v>
      </c>
      <c r="I114" s="473"/>
      <c r="J114" s="183">
        <v>4234</v>
      </c>
      <c r="K114" s="183">
        <v>4439</v>
      </c>
    </row>
    <row r="115" spans="1:11" s="167" customFormat="1">
      <c r="A115" s="169" t="s">
        <v>86</v>
      </c>
      <c r="B115" s="170" t="s">
        <v>151</v>
      </c>
      <c r="C115" s="501">
        <f>'[29]Sch C'!D116</f>
        <v>0</v>
      </c>
      <c r="D115" s="501">
        <f>'[29]Sch C'!F116</f>
        <v>5371</v>
      </c>
      <c r="E115" s="171">
        <f t="shared" si="23"/>
        <v>5371</v>
      </c>
      <c r="F115" s="171"/>
      <c r="G115" s="171">
        <f>E115+F115</f>
        <v>5371</v>
      </c>
      <c r="H115" s="172">
        <f t="shared" si="24"/>
        <v>1.8949416946444876E-3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'[29]Sch C'!D117</f>
        <v>9708</v>
      </c>
      <c r="D116" s="501">
        <f>'[29]Sch C'!F117</f>
        <v>0</v>
      </c>
      <c r="E116" s="171">
        <f t="shared" si="23"/>
        <v>9708</v>
      </c>
      <c r="F116" s="171"/>
      <c r="G116" s="171">
        <f>E116+F116</f>
        <v>9708</v>
      </c>
      <c r="H116" s="172">
        <f t="shared" si="24"/>
        <v>3.4250780062574353E-3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'[29]Sch C'!D118</f>
        <v>2352</v>
      </c>
      <c r="D117" s="501">
        <f>'[29]Sch C'!F118</f>
        <v>0</v>
      </c>
      <c r="E117" s="171">
        <f t="shared" si="23"/>
        <v>2352</v>
      </c>
      <c r="F117" s="171"/>
      <c r="G117" s="171">
        <f>E117+F117</f>
        <v>2352</v>
      </c>
      <c r="H117" s="172">
        <f t="shared" si="24"/>
        <v>8.2980876294988547E-4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'[29]Sch C'!D119</f>
        <v>582</v>
      </c>
      <c r="D118" s="501">
        <f>'[29]Sch C'!F119</f>
        <v>0</v>
      </c>
      <c r="E118" s="171">
        <f t="shared" si="23"/>
        <v>582</v>
      </c>
      <c r="F118" s="171"/>
      <c r="G118" s="171">
        <f>E118+F118</f>
        <v>582</v>
      </c>
      <c r="H118" s="172">
        <f t="shared" si="24"/>
        <v>2.0533533164831351E-4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56171</v>
      </c>
      <c r="D119" s="501">
        <f>SUM(D114:D118)</f>
        <v>7482</v>
      </c>
      <c r="E119" s="171">
        <f t="shared" ref="E119" si="25">SUM(E114:E118)</f>
        <v>63653</v>
      </c>
      <c r="F119" s="171">
        <f>SUM(F114:F118)</f>
        <v>0</v>
      </c>
      <c r="G119" s="171">
        <f>SUM(G114:G118)</f>
        <v>63653</v>
      </c>
      <c r="H119" s="172">
        <f t="shared" si="24"/>
        <v>2.245740526702766E-2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'[29]Sch C'!D124</f>
        <v>0</v>
      </c>
      <c r="D123" s="501">
        <f>'[29]Sch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'[29]Sch C'!D125</f>
        <v>73496</v>
      </c>
      <c r="D124" s="501">
        <f>'[29]Sch C'!F125</f>
        <v>3564</v>
      </c>
      <c r="E124" s="171">
        <f t="shared" si="26"/>
        <v>77060</v>
      </c>
      <c r="F124" s="171">
        <v>38269.30554595562</v>
      </c>
      <c r="G124" s="171">
        <f>E124+F124</f>
        <v>115329.30554595562</v>
      </c>
      <c r="H124" s="172">
        <f>IF($G$208=0,0,G124/$G$208)</f>
        <v>4.0689314781870239E-2</v>
      </c>
      <c r="I124" s="473" t="s">
        <v>402</v>
      </c>
      <c r="J124" s="183">
        <v>1976</v>
      </c>
      <c r="K124" s="183">
        <v>2072</v>
      </c>
    </row>
    <row r="125" spans="1:11" s="167" customFormat="1">
      <c r="A125" s="163" t="s">
        <v>198</v>
      </c>
      <c r="B125" s="163" t="s">
        <v>195</v>
      </c>
      <c r="C125" s="501">
        <f>'[29]Sch C'!D126</f>
        <v>14173</v>
      </c>
      <c r="D125" s="501">
        <f>'[29]Sch C'!F126</f>
        <v>687</v>
      </c>
      <c r="E125" s="171">
        <f t="shared" si="26"/>
        <v>14860</v>
      </c>
      <c r="F125" s="171"/>
      <c r="G125" s="171">
        <f>E125+F125</f>
        <v>14860</v>
      </c>
      <c r="H125" s="172">
        <f>IF($G$208=0,0,G125/$G$208)</f>
        <v>5.2427543441476605E-3</v>
      </c>
      <c r="I125" s="473"/>
      <c r="J125" s="183">
        <v>465</v>
      </c>
      <c r="K125" s="183">
        <v>488</v>
      </c>
    </row>
    <row r="126" spans="1:11" s="167" customFormat="1">
      <c r="A126" s="169"/>
      <c r="B126" s="163" t="s">
        <v>196</v>
      </c>
      <c r="C126" s="501">
        <f>'[29]Sch C'!D127</f>
        <v>0</v>
      </c>
      <c r="D126" s="501">
        <f>'[29]Sch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'[29]Sch C'!D128</f>
        <v>34789</v>
      </c>
      <c r="D127" s="501">
        <f>'[29]Sch C'!F128</f>
        <v>1687</v>
      </c>
      <c r="E127" s="171">
        <f t="shared" si="26"/>
        <v>36476</v>
      </c>
      <c r="F127" s="171"/>
      <c r="G127" s="171">
        <f>E127+F127</f>
        <v>36476</v>
      </c>
      <c r="H127" s="172">
        <f>IF($G$208=0,0,G127/$G$208)</f>
        <v>1.2869092022687085E-2</v>
      </c>
      <c r="I127" s="473"/>
      <c r="J127" s="183">
        <v>2517</v>
      </c>
      <c r="K127" s="183">
        <v>2639</v>
      </c>
    </row>
    <row r="128" spans="1:11" s="167" customFormat="1" ht="15.5">
      <c r="A128" s="169" t="s">
        <v>95</v>
      </c>
      <c r="B128" s="170" t="s">
        <v>152</v>
      </c>
      <c r="C128" s="505"/>
      <c r="D128" s="505"/>
      <c r="E128" s="205"/>
      <c r="F128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'[29]Sch C'!D130</f>
        <v>0</v>
      </c>
      <c r="D129" s="501">
        <f>'[29]Sch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'[29]Sch C'!D131</f>
        <v>0</v>
      </c>
      <c r="D130" s="501">
        <f>'[29]Sch C'!F131</f>
        <v>9068</v>
      </c>
      <c r="E130" s="171">
        <f t="shared" si="27"/>
        <v>9068</v>
      </c>
      <c r="F130" s="171">
        <v>2104.8296079786223</v>
      </c>
      <c r="G130" s="171">
        <f>E130+F130</f>
        <v>11172.829607978623</v>
      </c>
      <c r="H130" s="172">
        <f>IF($G$208=0,0,G130/$G$208)</f>
        <v>3.9418843178769536E-3</v>
      </c>
      <c r="I130" s="473" t="s">
        <v>402</v>
      </c>
      <c r="J130" s="204"/>
      <c r="K130" s="204"/>
    </row>
    <row r="131" spans="1:11" s="167" customFormat="1">
      <c r="B131" s="163" t="s">
        <v>195</v>
      </c>
      <c r="C131" s="501">
        <f>'[29]Sch C'!D132</f>
        <v>0</v>
      </c>
      <c r="D131" s="501">
        <f>'[29]Sch C'!F132</f>
        <v>1748</v>
      </c>
      <c r="E131" s="171">
        <f t="shared" si="27"/>
        <v>1748</v>
      </c>
      <c r="F131" s="171"/>
      <c r="G131" s="171">
        <f>E131+F131</f>
        <v>1748</v>
      </c>
      <c r="H131" s="172">
        <f>IF($G$208=0,0,G131/$G$208)</f>
        <v>6.1671161464132648E-4</v>
      </c>
      <c r="I131" s="473"/>
      <c r="J131" s="168"/>
      <c r="K131" s="168"/>
    </row>
    <row r="132" spans="1:11" s="167" customFormat="1">
      <c r="B132" s="163" t="s">
        <v>196</v>
      </c>
      <c r="C132" s="501">
        <f>'[29]Sch C'!D133</f>
        <v>0</v>
      </c>
      <c r="D132" s="501">
        <f>'[29]Sch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'[29]Sch C'!D134</f>
        <v>0</v>
      </c>
      <c r="D133" s="501">
        <f>'[29]Sch C'!F134</f>
        <v>4292</v>
      </c>
      <c r="E133" s="171">
        <f t="shared" si="27"/>
        <v>4292</v>
      </c>
      <c r="F133" s="171"/>
      <c r="G133" s="171">
        <f>E133+F133</f>
        <v>4292</v>
      </c>
      <c r="H133" s="172">
        <f>IF($G$208=0,0,G133/$G$208)</f>
        <v>1.5142598684442638E-3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'[29]Sch C'!D136</f>
        <v>178697</v>
      </c>
      <c r="D135" s="501">
        <f>'[29]Sch C'!F136</f>
        <v>8665</v>
      </c>
      <c r="E135" s="171">
        <f t="shared" ref="E135:E138" si="28">C135+D135</f>
        <v>187362</v>
      </c>
      <c r="F135" s="171"/>
      <c r="G135" s="171">
        <f>E135+F135</f>
        <v>187362</v>
      </c>
      <c r="H135" s="172">
        <f>IF($G$208=0,0,G135/$G$208)</f>
        <v>6.6103158777132839E-2</v>
      </c>
      <c r="I135" s="473"/>
      <c r="J135" s="183">
        <v>6865</v>
      </c>
      <c r="K135" s="183">
        <v>7009</v>
      </c>
    </row>
    <row r="136" spans="1:11" s="167" customFormat="1">
      <c r="A136" s="169"/>
      <c r="B136" s="163" t="s">
        <v>195</v>
      </c>
      <c r="C136" s="501">
        <f>'[29]Sch C'!D137</f>
        <v>178099</v>
      </c>
      <c r="D136" s="501">
        <f>'[29]Sch C'!F137</f>
        <v>8636</v>
      </c>
      <c r="E136" s="171">
        <f t="shared" si="28"/>
        <v>186735</v>
      </c>
      <c r="F136" s="171"/>
      <c r="G136" s="171">
        <f>E136+F136</f>
        <v>186735</v>
      </c>
      <c r="H136" s="172">
        <f>IF($G$208=0,0,G136/$G$208)</f>
        <v>6.5881947002315838E-2</v>
      </c>
      <c r="I136" s="473"/>
      <c r="J136" s="183">
        <v>7598</v>
      </c>
      <c r="K136" s="183">
        <v>7966</v>
      </c>
    </row>
    <row r="137" spans="1:11" s="167" customFormat="1">
      <c r="A137" s="169"/>
      <c r="B137" s="163" t="s">
        <v>196</v>
      </c>
      <c r="C137" s="501">
        <f>'[29]Sch C'!D138</f>
        <v>304684</v>
      </c>
      <c r="D137" s="501">
        <f>'[29]Sch C'!F138</f>
        <v>14775</v>
      </c>
      <c r="E137" s="171">
        <f t="shared" si="28"/>
        <v>319459</v>
      </c>
      <c r="F137" s="171"/>
      <c r="G137" s="171">
        <f>E137+F137</f>
        <v>319459</v>
      </c>
      <c r="H137" s="172">
        <f>IF($G$208=0,0,G137/$G$208)</f>
        <v>0.11270828129388072</v>
      </c>
      <c r="I137" s="473"/>
      <c r="J137" s="183">
        <v>25306</v>
      </c>
      <c r="K137" s="183">
        <v>26533</v>
      </c>
    </row>
    <row r="138" spans="1:11" s="167" customFormat="1">
      <c r="A138" s="169"/>
      <c r="B138" s="163" t="s">
        <v>197</v>
      </c>
      <c r="C138" s="501">
        <f>'[29]Sch C'!D139</f>
        <v>17765</v>
      </c>
      <c r="D138" s="501">
        <f>'[29]Sch C'!F139</f>
        <v>861</v>
      </c>
      <c r="E138" s="171">
        <f t="shared" si="28"/>
        <v>18626</v>
      </c>
      <c r="F138" s="171"/>
      <c r="G138" s="171">
        <f>E138+F138</f>
        <v>18626</v>
      </c>
      <c r="H138" s="172">
        <f>IF($G$208=0,0,G138/$G$208)</f>
        <v>6.5714362324424177E-3</v>
      </c>
      <c r="I138" s="473"/>
      <c r="J138" s="183">
        <v>1710</v>
      </c>
      <c r="K138" s="183">
        <v>1793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'[29]Sch C'!D141</f>
        <v>0</v>
      </c>
      <c r="D140" s="501">
        <f>'[29]Sch C'!F141</f>
        <v>22046</v>
      </c>
      <c r="E140" s="171">
        <f t="shared" ref="E140:E143" si="29">C140+D140</f>
        <v>22046</v>
      </c>
      <c r="F140" s="171"/>
      <c r="G140" s="171">
        <f>E140+F140</f>
        <v>22046</v>
      </c>
      <c r="H140" s="172">
        <f>IF($G$208=0,0,G140/$G$208)</f>
        <v>7.7780459132624049E-3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'[29]Sch C'!D142</f>
        <v>0</v>
      </c>
      <c r="D141" s="501">
        <f>'[29]Sch C'!F142</f>
        <v>21972</v>
      </c>
      <c r="E141" s="171">
        <f t="shared" si="29"/>
        <v>21972</v>
      </c>
      <c r="F141" s="171"/>
      <c r="G141" s="171">
        <f>E141+F141</f>
        <v>21972</v>
      </c>
      <c r="H141" s="172">
        <f>IF($G$208=0,0,G141/$G$208)</f>
        <v>7.7519379844961239E-3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'[29]Sch C'!D143</f>
        <v>0</v>
      </c>
      <c r="D142" s="501">
        <f>'[29]Sch C'!F143</f>
        <v>37589</v>
      </c>
      <c r="E142" s="171">
        <f t="shared" si="29"/>
        <v>37589</v>
      </c>
      <c r="F142" s="171"/>
      <c r="G142" s="171">
        <f>E142+F142</f>
        <v>37589</v>
      </c>
      <c r="H142" s="172">
        <f>IF($G$208=0,0,G142/$G$208)</f>
        <v>1.326176938372587E-2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'[29]Sch C'!D144</f>
        <v>0</v>
      </c>
      <c r="D143" s="501">
        <f>'[29]Sch C'!F144</f>
        <v>2192</v>
      </c>
      <c r="E143" s="171">
        <f t="shared" si="29"/>
        <v>2192</v>
      </c>
      <c r="F143" s="171"/>
      <c r="G143" s="171">
        <f>E143+F143</f>
        <v>2192</v>
      </c>
      <c r="H143" s="172">
        <f>IF($G$208=0,0,G143/$G$208)</f>
        <v>7.7335918723900896E-4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'[29]Sch C'!D146</f>
        <v>12000</v>
      </c>
      <c r="D145" s="501">
        <f>'[29]Sch C'!F146</f>
        <v>0</v>
      </c>
      <c r="E145" s="171">
        <f t="shared" ref="E145:E153" si="30">C145+D145</f>
        <v>12000</v>
      </c>
      <c r="F145" s="171"/>
      <c r="G145" s="171">
        <f t="shared" ref="G145:G153" si="31">E145+F145</f>
        <v>12000</v>
      </c>
      <c r="H145" s="172">
        <f t="shared" ref="H145:H153" si="32">IF($G$208=0,0,G145/$G$208)</f>
        <v>4.2337181783157424E-3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'[29]Sch C'!D147</f>
        <v>0</v>
      </c>
      <c r="D146" s="501">
        <f>'[29]Sch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'[29]Sch C'!D148</f>
        <v>0</v>
      </c>
      <c r="D147" s="501">
        <f>'[29]Sch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'[29]Sch C'!D149</f>
        <v>0</v>
      </c>
      <c r="D148" s="501">
        <f>'[29]Sch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'[29]Sch C'!D150</f>
        <v>135</v>
      </c>
      <c r="D149" s="501">
        <f>'[29]Sch C'!F150</f>
        <v>0</v>
      </c>
      <c r="E149" s="171">
        <f t="shared" si="30"/>
        <v>135</v>
      </c>
      <c r="F149" s="171"/>
      <c r="G149" s="171">
        <f t="shared" si="31"/>
        <v>135</v>
      </c>
      <c r="H149" s="172">
        <f t="shared" si="32"/>
        <v>4.7629329506052103E-5</v>
      </c>
      <c r="I149" s="473"/>
      <c r="J149" s="183">
        <v>9</v>
      </c>
      <c r="K149" s="183">
        <v>9</v>
      </c>
    </row>
    <row r="150" spans="1:11" s="167" customFormat="1">
      <c r="A150" s="169">
        <v>110</v>
      </c>
      <c r="B150" s="167" t="s">
        <v>65</v>
      </c>
      <c r="C150" s="501">
        <f>'[29]Sch C'!D151</f>
        <v>37841</v>
      </c>
      <c r="D150" s="501">
        <f>'[29]Sch C'!F151</f>
        <v>0</v>
      </c>
      <c r="E150" s="171">
        <f t="shared" si="30"/>
        <v>37841</v>
      </c>
      <c r="F150" s="171"/>
      <c r="G150" s="171">
        <f t="shared" si="31"/>
        <v>37841</v>
      </c>
      <c r="H150" s="172">
        <f t="shared" si="32"/>
        <v>1.3350677465470501E-2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'[29]Sch C'!D152</f>
        <v>1439</v>
      </c>
      <c r="D151" s="501">
        <f>'[29]Sch C'!F152</f>
        <v>0</v>
      </c>
      <c r="E151" s="171">
        <f t="shared" si="30"/>
        <v>1439</v>
      </c>
      <c r="F151" s="171"/>
      <c r="G151" s="171">
        <f t="shared" si="31"/>
        <v>1439</v>
      </c>
      <c r="H151" s="172">
        <f t="shared" si="32"/>
        <v>5.076933715496961E-4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'[29]Sch C'!D153</f>
        <v>0</v>
      </c>
      <c r="D152" s="501">
        <f>'[29]Sch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'[29]Sch C'!D154</f>
        <v>0</v>
      </c>
      <c r="D153" s="501">
        <f>'[29]Sch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50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'[29]Sch C'!D156</f>
        <v>0</v>
      </c>
      <c r="D155" s="501">
        <f>'[29]Sch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'[29]Sch C'!D157</f>
        <v>0</v>
      </c>
      <c r="D156" s="501">
        <f>'[29]Sch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'[29]Sch C'!D158</f>
        <v>0</v>
      </c>
      <c r="D157" s="501">
        <f>'[29]Sch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'[29]Sch C'!D159</f>
        <v>0</v>
      </c>
      <c r="D158" s="501">
        <f>'[29]Sch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'[29]Sch C'!D160</f>
        <v>0</v>
      </c>
      <c r="D159" s="501">
        <f>'[29]Sch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'[29]Sch C'!D161</f>
        <v>1140</v>
      </c>
      <c r="D160" s="501">
        <f>'[29]Sch C'!F161</f>
        <v>0</v>
      </c>
      <c r="E160" s="171">
        <f t="shared" si="33"/>
        <v>1140</v>
      </c>
      <c r="F160" s="171"/>
      <c r="G160" s="171">
        <f t="shared" si="34"/>
        <v>1140</v>
      </c>
      <c r="H160" s="172">
        <f t="shared" si="35"/>
        <v>4.0220322693999551E-4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854258</v>
      </c>
      <c r="D161" s="501">
        <f>SUM(D123:D160)</f>
        <v>137782</v>
      </c>
      <c r="E161" s="171">
        <f t="shared" ref="E161" si="36">SUM(E123:E160)</f>
        <v>992040</v>
      </c>
      <c r="F161" s="171">
        <f>SUM(F123:F160)</f>
        <v>40374.135153934243</v>
      </c>
      <c r="G161" s="171">
        <f>SUM(G123:G160)</f>
        <v>1032414.1351539342</v>
      </c>
      <c r="H161" s="172">
        <f t="shared" si="35"/>
        <v>0.36424587429594474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'[29]Sch C'!D175</f>
        <v>0</v>
      </c>
      <c r="D164" s="501">
        <f>'[29]Sch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'[29]Sch C'!D176</f>
        <v>0</v>
      </c>
      <c r="D165" s="501">
        <f>'[29]Sch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'[29]Sch C'!D177</f>
        <v>166499</v>
      </c>
      <c r="D166" s="501">
        <f>'[29]Sch C'!F177</f>
        <v>8074</v>
      </c>
      <c r="E166" s="171">
        <f t="shared" si="37"/>
        <v>174573</v>
      </c>
      <c r="F166" s="171"/>
      <c r="G166" s="171">
        <f t="shared" si="38"/>
        <v>174573</v>
      </c>
      <c r="H166" s="172">
        <f t="shared" si="39"/>
        <v>6.1591073628592841E-2</v>
      </c>
      <c r="I166" s="483"/>
      <c r="J166" s="183">
        <v>4643</v>
      </c>
      <c r="K166" s="183">
        <v>4868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'[29]Sch C'!D178</f>
        <v>0</v>
      </c>
      <c r="D167" s="501">
        <f>'[29]Sch C'!F178</f>
        <v>20541</v>
      </c>
      <c r="E167" s="171">
        <f t="shared" si="37"/>
        <v>20541</v>
      </c>
      <c r="F167" s="171"/>
      <c r="G167" s="171">
        <f t="shared" si="38"/>
        <v>20541</v>
      </c>
      <c r="H167" s="172">
        <f t="shared" si="39"/>
        <v>7.2470670917319721E-3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'[29]Sch C'!D179</f>
        <v>8055</v>
      </c>
      <c r="D168" s="501">
        <f>'[29]Sch C'!F179</f>
        <v>391</v>
      </c>
      <c r="E168" s="171">
        <f t="shared" si="37"/>
        <v>8446</v>
      </c>
      <c r="F168" s="171"/>
      <c r="G168" s="171">
        <f t="shared" si="38"/>
        <v>8446</v>
      </c>
      <c r="H168" s="172">
        <f t="shared" si="39"/>
        <v>2.9798319778378967E-3</v>
      </c>
      <c r="I168" s="483"/>
      <c r="J168" s="183">
        <v>181</v>
      </c>
      <c r="K168" s="183">
        <v>190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'[29]Sch C'!D180</f>
        <v>0</v>
      </c>
      <c r="D169" s="501">
        <f>'[29]Sch C'!F180</f>
        <v>993</v>
      </c>
      <c r="E169" s="171">
        <f t="shared" si="37"/>
        <v>993</v>
      </c>
      <c r="F169" s="171"/>
      <c r="G169" s="171">
        <f t="shared" si="38"/>
        <v>993</v>
      </c>
      <c r="H169" s="172">
        <f t="shared" si="39"/>
        <v>3.5034017925562769E-4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'[29]Sch C'!D181</f>
        <v>0</v>
      </c>
      <c r="D170" s="501">
        <f>'[29]Sch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'[29]Sch C'!D182</f>
        <v>0</v>
      </c>
      <c r="D171" s="501">
        <f>'[29]Sch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'[29]Sch C'!D183</f>
        <v>81986</v>
      </c>
      <c r="D172" s="501">
        <f>'[29]Sch C'!F183</f>
        <v>3976</v>
      </c>
      <c r="E172" s="171">
        <f t="shared" si="37"/>
        <v>85962</v>
      </c>
      <c r="F172" s="171"/>
      <c r="G172" s="171">
        <f t="shared" si="38"/>
        <v>85962</v>
      </c>
      <c r="H172" s="172">
        <f t="shared" si="39"/>
        <v>3.0328240170364819E-2</v>
      </c>
      <c r="I172" s="483"/>
      <c r="J172" s="183">
        <v>2319</v>
      </c>
      <c r="K172" s="183">
        <v>2431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'[29]Sch C'!D184</f>
        <v>0</v>
      </c>
      <c r="D173" s="501">
        <f>'[29]Sch C'!F184</f>
        <v>10115</v>
      </c>
      <c r="E173" s="171">
        <f t="shared" si="37"/>
        <v>10115</v>
      </c>
      <c r="F173" s="171"/>
      <c r="G173" s="171">
        <f t="shared" si="38"/>
        <v>10115</v>
      </c>
      <c r="H173" s="172">
        <f t="shared" si="39"/>
        <v>3.5686716144719779E-3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'[29]Sch C'!D185</f>
        <v>0</v>
      </c>
      <c r="D174" s="501">
        <f>'[29]Sch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'[29]Sch C'!D186</f>
        <v>0</v>
      </c>
      <c r="D175" s="501">
        <f>'[29]Sch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'[29]Sch C'!D187</f>
        <v>0</v>
      </c>
      <c r="D176" s="501">
        <f>'[29]Sch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'[29]Sch C'!D188</f>
        <v>943</v>
      </c>
      <c r="D177" s="501">
        <f>'[29]Sch C'!F188</f>
        <v>0</v>
      </c>
      <c r="E177" s="171">
        <f t="shared" si="37"/>
        <v>943</v>
      </c>
      <c r="F177" s="171"/>
      <c r="G177" s="171">
        <f t="shared" si="38"/>
        <v>943</v>
      </c>
      <c r="H177" s="172">
        <f t="shared" si="39"/>
        <v>3.3269968684597874E-4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'[29]Sch C'!D189</f>
        <v>0</v>
      </c>
      <c r="D178" s="501">
        <f>'[29]Sch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'[29]Sch C'!D190</f>
        <v>0</v>
      </c>
      <c r="D179" s="501">
        <f>'[29]Sch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'[29]Sch C'!D191</f>
        <v>0</v>
      </c>
      <c r="D180" s="501">
        <f>'[29]Sch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'[29]Sch C'!D192</f>
        <v>0</v>
      </c>
      <c r="D181" s="501">
        <f>'[29]Sch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'[29]Sch C'!D193</f>
        <v>0</v>
      </c>
      <c r="D182" s="501">
        <f>'[29]Sch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'[29]Sch C'!D194</f>
        <v>0</v>
      </c>
      <c r="D183" s="501">
        <f>'[29]Sch C'!F194</f>
        <v>0</v>
      </c>
      <c r="E183" s="171">
        <f t="shared" si="37"/>
        <v>0</v>
      </c>
      <c r="F183" s="171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'[29]Sch C'!D195</f>
        <v>0</v>
      </c>
      <c r="D184" s="501">
        <f>'[29]Sch C'!F195</f>
        <v>0</v>
      </c>
      <c r="E184" s="171">
        <f t="shared" si="37"/>
        <v>0</v>
      </c>
      <c r="F184" s="171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'[29]Sch C'!D196</f>
        <v>0</v>
      </c>
      <c r="D185" s="501">
        <f>'[29]Sch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'[29]Sch C'!D197</f>
        <v>0</v>
      </c>
      <c r="D186" s="501">
        <f>'[29]Sch C'!F197</f>
        <v>0</v>
      </c>
      <c r="E186" s="171">
        <f t="shared" si="37"/>
        <v>0</v>
      </c>
      <c r="F186" s="171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'[29]Sch C'!D198</f>
        <v>9916</v>
      </c>
      <c r="D187" s="501">
        <f>'[29]Sch C'!F198</f>
        <v>0</v>
      </c>
      <c r="E187" s="171">
        <f t="shared" si="37"/>
        <v>9916</v>
      </c>
      <c r="F187" s="171"/>
      <c r="G187" s="171">
        <f t="shared" si="38"/>
        <v>9916</v>
      </c>
      <c r="H187" s="172">
        <f t="shared" si="39"/>
        <v>3.4984624546815749E-3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'[29]Sch C'!D199</f>
        <v>0</v>
      </c>
      <c r="D188" s="501">
        <f>'[29]Sch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'[29]Sch C'!D200</f>
        <v>0</v>
      </c>
      <c r="D189" s="501">
        <f>'[29]Sch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'[29]Sch C'!D201</f>
        <v>0</v>
      </c>
      <c r="D190" s="501">
        <f>'[29]Sch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'[29]Sch C'!D202</f>
        <v>0</v>
      </c>
      <c r="D191" s="501">
        <f>'[29]Sch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'[29]Sch C'!D203</f>
        <v>0</v>
      </c>
      <c r="D192" s="501">
        <f>'[29]Sch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'[29]Sch C'!D204</f>
        <v>0</v>
      </c>
      <c r="D193" s="501">
        <f>'[29]Sch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'[29]Sch C'!D205</f>
        <v>107198</v>
      </c>
      <c r="D194" s="501">
        <f>'[29]Sch C'!F205</f>
        <v>-95</v>
      </c>
      <c r="E194" s="171">
        <f t="shared" si="37"/>
        <v>107103</v>
      </c>
      <c r="F194" s="171"/>
      <c r="G194" s="171">
        <f t="shared" si="38"/>
        <v>107103</v>
      </c>
      <c r="H194" s="172">
        <f t="shared" si="39"/>
        <v>3.7786993171012577E-2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'[29]Sch C'!D206</f>
        <v>120</v>
      </c>
      <c r="D195" s="501">
        <f>'[29]Sch C'!F206</f>
        <v>0</v>
      </c>
      <c r="E195" s="171">
        <f t="shared" si="37"/>
        <v>120</v>
      </c>
      <c r="F195" s="171"/>
      <c r="G195" s="171">
        <f t="shared" si="38"/>
        <v>120</v>
      </c>
      <c r="H195" s="172">
        <f t="shared" si="39"/>
        <v>4.233718178315742E-5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'[29]Sch C'!D207</f>
        <v>2538</v>
      </c>
      <c r="D196" s="501">
        <f>'[29]Sch C'!F207</f>
        <v>-346</v>
      </c>
      <c r="E196" s="171">
        <f t="shared" si="37"/>
        <v>2192</v>
      </c>
      <c r="F196" s="171"/>
      <c r="G196" s="171">
        <f t="shared" si="38"/>
        <v>2192</v>
      </c>
      <c r="H196" s="172">
        <f t="shared" si="39"/>
        <v>7.7335918723900896E-4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377255</v>
      </c>
      <c r="D197" s="501">
        <f>SUM(D164:D196)</f>
        <v>43649</v>
      </c>
      <c r="E197" s="171">
        <f t="shared" ref="E197" si="40">SUM(E164:E196)</f>
        <v>420904</v>
      </c>
      <c r="F197" s="171">
        <f>SUM(F164:F196)</f>
        <v>0</v>
      </c>
      <c r="G197" s="171">
        <f>SUM(G164:G196)</f>
        <v>420904</v>
      </c>
      <c r="H197" s="172">
        <f>IF($G$208=0,0,G197/$G$208)</f>
        <v>0.14849907634381743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'[29]Sch C'!D211</f>
        <v>58065</v>
      </c>
      <c r="D200" s="501">
        <f>'[29]Sch C'!F211</f>
        <v>2816</v>
      </c>
      <c r="E200" s="171">
        <f t="shared" ref="E200:E205" si="41">C200+D200</f>
        <v>60881</v>
      </c>
      <c r="F200" s="171"/>
      <c r="G200" s="171">
        <f t="shared" ref="G200:G205" si="42">E200+F200</f>
        <v>60881</v>
      </c>
      <c r="H200" s="172">
        <f t="shared" ref="H200:H206" si="43">IF($G$208=0,0,G200/$G$208)</f>
        <v>2.1479416367836724E-2</v>
      </c>
      <c r="I200" s="473"/>
      <c r="J200" s="183">
        <v>4044</v>
      </c>
      <c r="K200" s="183">
        <v>4240</v>
      </c>
    </row>
    <row r="201" spans="1:14" s="167" customFormat="1">
      <c r="A201" s="169" t="s">
        <v>86</v>
      </c>
      <c r="B201" s="170" t="s">
        <v>45</v>
      </c>
      <c r="C201" s="501">
        <f>'[29]Sch C'!D212</f>
        <v>0</v>
      </c>
      <c r="D201" s="501">
        <f>'[29]Sch C'!F212</f>
        <v>7164</v>
      </c>
      <c r="E201" s="171">
        <f t="shared" si="41"/>
        <v>7164</v>
      </c>
      <c r="F201" s="171"/>
      <c r="G201" s="171">
        <f t="shared" si="42"/>
        <v>7164</v>
      </c>
      <c r="H201" s="172">
        <f t="shared" si="43"/>
        <v>2.5275297524544982E-3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'[29]Sch C'!D213</f>
        <v>2568</v>
      </c>
      <c r="D202" s="501">
        <f>'[29]Sch C'!F213</f>
        <v>0</v>
      </c>
      <c r="E202" s="171">
        <f t="shared" si="41"/>
        <v>2568</v>
      </c>
      <c r="F202" s="171"/>
      <c r="G202" s="171">
        <f t="shared" si="42"/>
        <v>2568</v>
      </c>
      <c r="H202" s="172">
        <f t="shared" si="43"/>
        <v>9.0601569015956885E-4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'[29]Sch C'!D214</f>
        <v>0</v>
      </c>
      <c r="D203" s="501">
        <f>'[29]Sch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'[29]Sch C'!D215</f>
        <v>0</v>
      </c>
      <c r="D204" s="501">
        <f>'[29]Sch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'[29]Sch C'!D216</f>
        <v>4792</v>
      </c>
      <c r="D205" s="501">
        <f>'[29]Sch C'!F216</f>
        <v>0</v>
      </c>
      <c r="E205" s="171">
        <f t="shared" si="41"/>
        <v>4792</v>
      </c>
      <c r="F205" s="171">
        <v>112.62</v>
      </c>
      <c r="G205" s="171">
        <f t="shared" si="42"/>
        <v>4904.62</v>
      </c>
      <c r="H205" s="172">
        <f t="shared" si="43"/>
        <v>1.7303982376442463E-3</v>
      </c>
      <c r="I205" s="473" t="s">
        <v>633</v>
      </c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65425</v>
      </c>
      <c r="D206" s="501">
        <f>SUM(D200:D205)</f>
        <v>9980</v>
      </c>
      <c r="E206" s="171">
        <f t="shared" ref="E206:F206" si="44">SUM(E200:E205)</f>
        <v>75405</v>
      </c>
      <c r="F206" s="171">
        <f t="shared" si="44"/>
        <v>112.62</v>
      </c>
      <c r="G206" s="171">
        <f>SUM(G200:G205)</f>
        <v>75517.62</v>
      </c>
      <c r="H206" s="172">
        <f t="shared" si="43"/>
        <v>2.6643360048095036E-2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3096682</v>
      </c>
      <c r="D208" s="501">
        <f>SUM(D25:D206)/2</f>
        <v>-23386</v>
      </c>
      <c r="E208" s="171">
        <f t="shared" ref="E208:F208" si="45">SUM(E25:E206)/2</f>
        <v>3073296</v>
      </c>
      <c r="F208" s="171">
        <f t="shared" si="45"/>
        <v>-238908</v>
      </c>
      <c r="G208" s="171">
        <f>SUM(G25:G206)/2</f>
        <v>2834388</v>
      </c>
      <c r="H208" s="172">
        <f>IF($G$208=0,0,G208/$G$208)</f>
        <v>1</v>
      </c>
      <c r="I208" s="473"/>
      <c r="J208" s="183">
        <f>SUM(J25:J200)</f>
        <v>79173</v>
      </c>
      <c r="K208" s="183">
        <f>SUM(K25:K200)</f>
        <v>82822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 s="421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'[29]Sch C'!D221</f>
        <v>3096682</v>
      </c>
      <c r="D211" s="196"/>
      <c r="E211" s="165"/>
      <c r="F211" s="409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09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415003</v>
      </c>
      <c r="D215" s="501">
        <f>D21-D208</f>
        <v>23386</v>
      </c>
      <c r="E215" s="171">
        <f t="shared" ref="E215:F215" si="46">E21-E208</f>
        <v>438389</v>
      </c>
      <c r="F215" s="171">
        <f t="shared" si="46"/>
        <v>732345</v>
      </c>
      <c r="G215" s="171">
        <f>G21-G208</f>
        <v>1170734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'[29]Sch D'!C9</f>
        <v>7703</v>
      </c>
      <c r="D219" s="530"/>
      <c r="E219" s="234">
        <f t="shared" ref="E219:G227" si="47">C219+D219</f>
        <v>7703</v>
      </c>
      <c r="F219" s="233"/>
      <c r="G219" s="234">
        <f t="shared" si="47"/>
        <v>7703</v>
      </c>
      <c r="H219" s="172">
        <f t="shared" ref="H219:H228" si="48">IF($G$228=0,0,G219/$G$228)</f>
        <v>0.63687474162877222</v>
      </c>
      <c r="I219" s="473"/>
      <c r="J219" s="168"/>
      <c r="K219" s="168"/>
    </row>
    <row r="220" spans="1:11">
      <c r="A220" s="163"/>
      <c r="B220" s="170" t="s">
        <v>217</v>
      </c>
      <c r="C220" s="530">
        <f>'[29]Sch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'[29]Sch D'!E9</f>
        <v>2464</v>
      </c>
      <c r="D221" s="530"/>
      <c r="E221" s="234">
        <f t="shared" si="49"/>
        <v>2464</v>
      </c>
      <c r="F221" s="233"/>
      <c r="G221" s="234">
        <f t="shared" si="47"/>
        <v>2464</v>
      </c>
      <c r="H221" s="172">
        <f t="shared" si="48"/>
        <v>0.20372054568003306</v>
      </c>
      <c r="I221" s="473"/>
      <c r="J221" s="168"/>
      <c r="K221" s="168"/>
    </row>
    <row r="222" spans="1:11">
      <c r="A222" s="163"/>
      <c r="B222" s="202" t="s">
        <v>334</v>
      </c>
      <c r="C222" s="530">
        <f>'[29]Sch D'!F9</f>
        <v>539</v>
      </c>
      <c r="D222" s="530"/>
      <c r="E222" s="234">
        <f>C222+D222</f>
        <v>539</v>
      </c>
      <c r="F222" s="233"/>
      <c r="G222" s="234">
        <f>E222+F222</f>
        <v>539</v>
      </c>
      <c r="H222" s="172">
        <f t="shared" si="48"/>
        <v>4.4563869367507232E-2</v>
      </c>
      <c r="I222" s="473"/>
      <c r="J222" s="168"/>
      <c r="K222" s="168"/>
    </row>
    <row r="223" spans="1:11">
      <c r="A223" s="163"/>
      <c r="B223" s="170" t="s">
        <v>73</v>
      </c>
      <c r="C223" s="530">
        <f>'[29]Sch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'[29]Sch D'!H9</f>
        <v>1337</v>
      </c>
      <c r="D224" s="530"/>
      <c r="E224" s="234">
        <f t="shared" si="49"/>
        <v>1337</v>
      </c>
      <c r="F224" s="233"/>
      <c r="G224" s="234">
        <f t="shared" si="47"/>
        <v>1337</v>
      </c>
      <c r="H224" s="172">
        <f t="shared" si="48"/>
        <v>0.11054154609342703</v>
      </c>
      <c r="I224" s="473"/>
      <c r="J224" s="168"/>
      <c r="K224" s="168"/>
    </row>
    <row r="225" spans="1:11">
      <c r="A225" s="163"/>
      <c r="B225" s="170" t="s">
        <v>236</v>
      </c>
      <c r="C225" s="530">
        <f>'[29]Sch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'[29]Sch D'!J9</f>
        <v>52</v>
      </c>
      <c r="D226" s="530"/>
      <c r="E226" s="234">
        <f>C226+D226</f>
        <v>52</v>
      </c>
      <c r="F226" s="233"/>
      <c r="G226" s="234">
        <f>E226+F226</f>
        <v>52</v>
      </c>
      <c r="H226" s="172">
        <f t="shared" si="48"/>
        <v>4.299297230260438E-3</v>
      </c>
      <c r="I226" s="473"/>
      <c r="J226" s="168"/>
      <c r="K226" s="168"/>
    </row>
    <row r="227" spans="1:11">
      <c r="A227" s="163"/>
      <c r="B227" s="170" t="s">
        <v>179</v>
      </c>
      <c r="C227" s="530">
        <f>'[29]Sch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12095</v>
      </c>
      <c r="D228" s="530">
        <f>SUM(D219:D227)</f>
        <v>0</v>
      </c>
      <c r="E228" s="236">
        <f>SUM(E219:E227)</f>
        <v>12095</v>
      </c>
      <c r="F228" s="236">
        <f>SUM(F219:F227)</f>
        <v>0</v>
      </c>
      <c r="G228" s="236">
        <f>SUM(G219:G227)</f>
        <v>12095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'[29]Sch D'!N22</f>
        <v>60</v>
      </c>
      <c r="D231" s="502"/>
      <c r="E231" s="234">
        <f>C231+D231</f>
        <v>60</v>
      </c>
      <c r="F231" s="234"/>
      <c r="G231" s="234">
        <f>E231+F231</f>
        <v>60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'[29]Sch D'!N24</f>
        <v>60</v>
      </c>
      <c r="D232" s="502"/>
      <c r="E232" s="234">
        <f>C232+D232</f>
        <v>60</v>
      </c>
      <c r="F232" s="234"/>
      <c r="G232" s="234">
        <f>E232+F232</f>
        <v>60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'[29]Sch D'!N28</f>
        <v>21900</v>
      </c>
      <c r="D235" s="438"/>
      <c r="E235" s="233">
        <f>E231*E233</f>
        <v>21900</v>
      </c>
      <c r="F235" s="238"/>
      <c r="G235" s="233">
        <f>G231*G233</f>
        <v>21900</v>
      </c>
      <c r="H235" s="167"/>
      <c r="I235" s="475"/>
      <c r="J235" s="168"/>
      <c r="K235" s="168"/>
    </row>
    <row r="236" spans="1:11" ht="33" customHeight="1">
      <c r="A236" s="163"/>
      <c r="B236" s="241" t="s">
        <v>336</v>
      </c>
      <c r="C236" s="532">
        <f>'[29]Sch D'!N30</f>
        <v>0.55228310502283107</v>
      </c>
      <c r="D236" s="238"/>
      <c r="E236" s="242">
        <f>E228/E235</f>
        <v>0.55228310502283107</v>
      </c>
      <c r="F236" s="243"/>
      <c r="G236" s="242">
        <f>G228/G235</f>
        <v>0.55228310502283107</v>
      </c>
      <c r="H236" s="167"/>
      <c r="I236" s="475"/>
      <c r="J236" s="168"/>
      <c r="K236" s="168"/>
    </row>
    <row r="237" spans="1:11" ht="34.5" customHeight="1">
      <c r="A237" s="163"/>
      <c r="B237" s="241" t="s">
        <v>337</v>
      </c>
      <c r="C237" s="532">
        <f>'[29]Sch D'!N32</f>
        <v>0.35173515981735159</v>
      </c>
      <c r="D237" s="238"/>
      <c r="E237" s="242">
        <f>(E219+E220)/E235</f>
        <v>0.35173515981735159</v>
      </c>
      <c r="F237" s="243"/>
      <c r="G237" s="242">
        <f>(G219+G220)/G235</f>
        <v>0.35173515981735159</v>
      </c>
      <c r="H237" s="167"/>
      <c r="I237" s="475"/>
      <c r="J237" s="168"/>
      <c r="K237" s="168"/>
    </row>
    <row r="238" spans="1:11" ht="33" customHeight="1">
      <c r="A238" s="163"/>
      <c r="B238" s="241" t="s">
        <v>338</v>
      </c>
      <c r="C238" s="532">
        <f>'[29]Sch D'!N34</f>
        <v>0.63687474162877222</v>
      </c>
      <c r="D238" s="238"/>
      <c r="E238" s="242">
        <f>(E237/E236)</f>
        <v>0.63687474162877222</v>
      </c>
      <c r="F238" s="243"/>
      <c r="G238" s="242">
        <f>(G237/G236)</f>
        <v>0.63687474162877222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'[29]Sch B'!C85</f>
        <v>173.14285714285714</v>
      </c>
      <c r="I241" s="475"/>
    </row>
    <row r="242" spans="2:9" ht="15.5">
      <c r="D242"/>
      <c r="E242"/>
      <c r="F242" s="142" t="s">
        <v>341</v>
      </c>
      <c r="G242" s="501">
        <f>'[29]Sch B'!E85</f>
        <v>160.81891891891891</v>
      </c>
      <c r="I242" s="475"/>
    </row>
    <row r="243" spans="2:9" ht="15.5">
      <c r="D243"/>
      <c r="E243"/>
      <c r="F243" s="142" t="s">
        <v>342</v>
      </c>
      <c r="G243" s="501">
        <f>'[29]Sch B'!G85</f>
        <v>161.66666666666666</v>
      </c>
      <c r="I243" s="475"/>
    </row>
    <row r="244" spans="2:9" ht="15.5">
      <c r="D244"/>
      <c r="E244"/>
      <c r="F244" s="142" t="s">
        <v>343</v>
      </c>
      <c r="G244" s="501">
        <f>'[29]Sch B'!I85</f>
        <v>165.30717488789239</v>
      </c>
      <c r="I244" s="475"/>
    </row>
    <row r="245" spans="2:9" ht="15.5">
      <c r="D245"/>
      <c r="E245"/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headerFooter alignWithMargins="0"/>
    </customSheetView>
    <customSheetView guid="{00D6F160-3E2B-11D5-8BE5-C1A1C12816BD}" showPageBreaks="1" showGridLines="0" showRuler="0">
      <selection activeCell="F11" sqref="F11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fitToHeight="4" orientation="portrait" horizontalDpi="300" verticalDpi="300" r:id="rId2"/>
  <headerFooter alignWithMargins="0">
    <oddFooter>&amp;R&amp;D
&amp;T
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7">
    <tabColor rgb="FFE28CAB"/>
  </sheetPr>
  <dimension ref="A1:O245"/>
  <sheetViews>
    <sheetView showGridLines="0" topLeftCell="A207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475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G1" s="429"/>
      <c r="H1" s="429"/>
      <c r="I1" s="474"/>
    </row>
    <row r="2" spans="1:11" ht="23">
      <c r="B2" s="143" t="s">
        <v>189</v>
      </c>
      <c r="C2" s="244" t="s">
        <v>514</v>
      </c>
      <c r="D2" s="244"/>
      <c r="E2" s="144"/>
      <c r="F2" s="508"/>
    </row>
    <row r="3" spans="1:11" ht="15.5">
      <c r="A3" s="145"/>
      <c r="B3" s="140" t="s">
        <v>79</v>
      </c>
      <c r="C3" s="441">
        <v>42552</v>
      </c>
      <c r="D3" s="367" t="s">
        <v>559</v>
      </c>
      <c r="E3" s="147"/>
      <c r="F3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476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'[30]Sch B'!E10</f>
        <v>897075.15</v>
      </c>
      <c r="D11" s="501">
        <f>'[30]Sch B'!G10</f>
        <v>0</v>
      </c>
      <c r="E11" s="171">
        <f>C11+D11</f>
        <v>897075.15</v>
      </c>
      <c r="F11" s="171"/>
      <c r="G11" s="171">
        <f t="shared" ref="G11:G20" si="0">E11+F11</f>
        <v>897075.15</v>
      </c>
      <c r="H11" s="172">
        <f t="shared" ref="H11:H21" si="1">IF($G$21=0,0,G11/$G$21)</f>
        <v>0.67149830227337481</v>
      </c>
      <c r="I11" s="473"/>
      <c r="J11" s="336" t="s">
        <v>344</v>
      </c>
      <c r="K11" s="337">
        <f>G21</f>
        <v>1335930.6299999999</v>
      </c>
    </row>
    <row r="12" spans="1:11" s="167" customFormat="1">
      <c r="A12" s="169" t="s">
        <v>15</v>
      </c>
      <c r="B12" s="170" t="s">
        <v>212</v>
      </c>
      <c r="C12" s="501">
        <f>'[30]Sch B'!E15</f>
        <v>0</v>
      </c>
      <c r="D12" s="501">
        <f>'[30]Sch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1423827.9699999995</v>
      </c>
    </row>
    <row r="13" spans="1:11" s="167" customFormat="1">
      <c r="A13" s="169" t="s">
        <v>16</v>
      </c>
      <c r="B13" s="170" t="s">
        <v>170</v>
      </c>
      <c r="C13" s="501">
        <f>'[30]Sch B'!E21</f>
        <v>140519.06</v>
      </c>
      <c r="D13" s="501">
        <f>'[30]Sch B'!G21</f>
        <v>0</v>
      </c>
      <c r="E13" s="171">
        <f t="shared" si="2"/>
        <v>140519.06</v>
      </c>
      <c r="F13" s="171"/>
      <c r="G13" s="171">
        <f t="shared" si="0"/>
        <v>140519.06</v>
      </c>
      <c r="H13" s="172">
        <f t="shared" si="1"/>
        <v>0.10518439868393467</v>
      </c>
      <c r="I13" s="473"/>
      <c r="J13" s="338" t="s">
        <v>346</v>
      </c>
      <c r="K13" s="339">
        <f>G228</f>
        <v>8077</v>
      </c>
    </row>
    <row r="14" spans="1:11" s="167" customFormat="1">
      <c r="A14" s="173" t="s">
        <v>18</v>
      </c>
      <c r="B14" s="174" t="s">
        <v>306</v>
      </c>
      <c r="C14" s="501">
        <f>'[30]Sch B'!E27</f>
        <v>0</v>
      </c>
      <c r="D14" s="501">
        <f>'[30]Sch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44</v>
      </c>
    </row>
    <row r="15" spans="1:11" s="167" customFormat="1">
      <c r="A15" s="169" t="s">
        <v>19</v>
      </c>
      <c r="B15" s="170" t="s">
        <v>171</v>
      </c>
      <c r="C15" s="501">
        <f>'[30]Sch B'!E32</f>
        <v>0</v>
      </c>
      <c r="D15" s="501">
        <f>'[30]Sch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16060</v>
      </c>
    </row>
    <row r="16" spans="1:11" s="167" customFormat="1">
      <c r="A16" s="169" t="s">
        <v>21</v>
      </c>
      <c r="B16" s="170" t="s">
        <v>172</v>
      </c>
      <c r="C16" s="501">
        <f>'[30]Sch B'!E37</f>
        <v>263347.23000000004</v>
      </c>
      <c r="D16" s="501">
        <f>'[30]Sch B'!G37</f>
        <v>0</v>
      </c>
      <c r="E16" s="171">
        <f t="shared" si="2"/>
        <v>263347.23000000004</v>
      </c>
      <c r="F16" s="171"/>
      <c r="G16" s="171">
        <f t="shared" si="0"/>
        <v>263347.23000000004</v>
      </c>
      <c r="H16" s="172">
        <f t="shared" si="1"/>
        <v>0.19712642564382257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'[30]Sch B'!E42</f>
        <v>1239.2</v>
      </c>
      <c r="D17" s="501">
        <f>'[30]Sch B'!G42</f>
        <v>0</v>
      </c>
      <c r="E17" s="171">
        <f t="shared" si="2"/>
        <v>1239.2</v>
      </c>
      <c r="F17" s="171"/>
      <c r="G17" s="171">
        <f>E17+F17</f>
        <v>1239.2</v>
      </c>
      <c r="H17" s="172">
        <f t="shared" si="1"/>
        <v>9.2759307420026756E-4</v>
      </c>
      <c r="I17" s="473"/>
      <c r="J17" s="338" t="s">
        <v>156</v>
      </c>
      <c r="K17" s="339">
        <f>J208</f>
        <v>50439.18</v>
      </c>
    </row>
    <row r="18" spans="1:11" s="167" customFormat="1" ht="13.5" thickBot="1">
      <c r="A18" s="169" t="s">
        <v>216</v>
      </c>
      <c r="B18" s="170" t="s">
        <v>229</v>
      </c>
      <c r="C18" s="501">
        <f>'[30]Sch B'!E47</f>
        <v>22260</v>
      </c>
      <c r="D18" s="501">
        <f>'[30]Sch B'!G47</f>
        <v>0</v>
      </c>
      <c r="E18" s="171">
        <f t="shared" si="2"/>
        <v>22260</v>
      </c>
      <c r="F18" s="171"/>
      <c r="G18" s="171">
        <f>E18+F18</f>
        <v>22260</v>
      </c>
      <c r="H18" s="172">
        <f t="shared" si="1"/>
        <v>1.6662541826741411E-2</v>
      </c>
      <c r="I18" s="473"/>
      <c r="J18" s="341" t="s">
        <v>252</v>
      </c>
      <c r="K18" s="342">
        <f>K208</f>
        <v>54979.41</v>
      </c>
    </row>
    <row r="19" spans="1:11" s="167" customFormat="1">
      <c r="A19" s="169" t="s">
        <v>227</v>
      </c>
      <c r="B19" s="177" t="s">
        <v>173</v>
      </c>
      <c r="C19" s="501">
        <f>'[30]Sch B'!E52</f>
        <v>0</v>
      </c>
      <c r="D19" s="501">
        <f>'[30]Sch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'[30]Sch B'!E67</f>
        <v>11489.99</v>
      </c>
      <c r="D20" s="501">
        <f>'[30]Sch B'!G67</f>
        <v>0</v>
      </c>
      <c r="E20" s="171">
        <f t="shared" si="2"/>
        <v>11489.99</v>
      </c>
      <c r="F20" s="171"/>
      <c r="G20" s="171">
        <f t="shared" si="0"/>
        <v>11489.99</v>
      </c>
      <c r="H20" s="172">
        <f t="shared" si="1"/>
        <v>8.6007384979263479E-3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1335930.6299999999</v>
      </c>
      <c r="D21" s="501">
        <f>SUM(D11:D20)</f>
        <v>0</v>
      </c>
      <c r="E21" s="171">
        <f>SUM(E11:E20)</f>
        <v>1335930.6299999999</v>
      </c>
      <c r="F21" s="171">
        <f>SUM(F11:F20)</f>
        <v>0</v>
      </c>
      <c r="G21" s="171">
        <f>SUM(G11:G20)</f>
        <v>1335930.6299999999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</row>
    <row r="24" spans="1:11">
      <c r="A24" s="181" t="s">
        <v>161</v>
      </c>
      <c r="B24" s="148" t="s">
        <v>12</v>
      </c>
    </row>
    <row r="25" spans="1:11" s="167" customFormat="1">
      <c r="A25" s="169" t="s">
        <v>83</v>
      </c>
      <c r="B25" s="170" t="s">
        <v>14</v>
      </c>
      <c r="C25" s="501">
        <f>'[30]Sch C'!D10</f>
        <v>25099.599999999999</v>
      </c>
      <c r="D25" s="501">
        <f>'[30]Sch C'!F10</f>
        <v>0</v>
      </c>
      <c r="E25" s="171">
        <f t="shared" ref="E25:E60" si="3">C25+D25</f>
        <v>25099.599999999999</v>
      </c>
      <c r="F25" s="171"/>
      <c r="G25" s="182">
        <f>E25+F25</f>
        <v>25099.599999999999</v>
      </c>
      <c r="H25" s="172">
        <f>IF($G$208=0,0,G25/$G$208)</f>
        <v>1.7628253222192289E-2</v>
      </c>
      <c r="I25" s="473"/>
      <c r="J25" s="183">
        <v>655</v>
      </c>
      <c r="K25" s="183">
        <v>774.7</v>
      </c>
    </row>
    <row r="26" spans="1:11" s="167" customFormat="1">
      <c r="A26" s="169" t="s">
        <v>84</v>
      </c>
      <c r="B26" s="170" t="s">
        <v>176</v>
      </c>
      <c r="C26" s="501">
        <f>'[30]Sch C'!D11</f>
        <v>0</v>
      </c>
      <c r="D26" s="501">
        <f>'[30]Sch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'[30]Sch C'!D12</f>
        <v>10608.2</v>
      </c>
      <c r="D27" s="501">
        <f>'[30]Sch C'!F12</f>
        <v>0</v>
      </c>
      <c r="E27" s="171">
        <f t="shared" si="3"/>
        <v>10608.2</v>
      </c>
      <c r="F27" s="171"/>
      <c r="G27" s="171">
        <f t="shared" si="4"/>
        <v>10608.2</v>
      </c>
      <c r="H27" s="172">
        <f t="shared" si="5"/>
        <v>7.4504787260219396E-3</v>
      </c>
      <c r="I27" s="473"/>
      <c r="J27" s="183">
        <v>583.57000000000005</v>
      </c>
      <c r="K27" s="183">
        <v>687.57</v>
      </c>
    </row>
    <row r="28" spans="1:11" s="167" customFormat="1">
      <c r="A28" s="169" t="s">
        <v>86</v>
      </c>
      <c r="B28" s="170" t="s">
        <v>45</v>
      </c>
      <c r="C28" s="501">
        <f>'[30]Sch C'!D13</f>
        <v>73072.47</v>
      </c>
      <c r="D28" s="501">
        <f>'[30]Sch C'!F13</f>
        <v>-69728.691953585294</v>
      </c>
      <c r="E28" s="171">
        <f t="shared" si="3"/>
        <v>3343.7780464147072</v>
      </c>
      <c r="F28" s="171"/>
      <c r="G28" s="171">
        <f t="shared" si="4"/>
        <v>3343.7780464147072</v>
      </c>
      <c r="H28" s="172">
        <f t="shared" si="5"/>
        <v>2.3484424501189621E-3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'[30]Sch C'!D14</f>
        <v>0</v>
      </c>
      <c r="D29" s="501">
        <f>'[30]Sch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'[30]Sch C'!D15</f>
        <v>32661.65</v>
      </c>
      <c r="D30" s="501">
        <f>'[30]Sch C'!F15</f>
        <v>-32662</v>
      </c>
      <c r="E30" s="171">
        <f t="shared" si="3"/>
        <v>-0.34999999999854481</v>
      </c>
      <c r="F30" s="171"/>
      <c r="G30" s="171">
        <f t="shared" si="4"/>
        <v>-0.34999999999854481</v>
      </c>
      <c r="H30" s="172">
        <f t="shared" si="5"/>
        <v>-2.4581621331581575E-7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'[30]Sch C'!D16</f>
        <v>0</v>
      </c>
      <c r="D31" s="501">
        <f>'[30]Sch C'!F16</f>
        <v>85888</v>
      </c>
      <c r="E31" s="171">
        <f t="shared" si="3"/>
        <v>85888</v>
      </c>
      <c r="F31" s="171"/>
      <c r="G31" s="171">
        <f t="shared" si="4"/>
        <v>85888</v>
      </c>
      <c r="H31" s="172">
        <f t="shared" si="5"/>
        <v>6.03218940838759E-2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'[30]Sch C'!D17</f>
        <v>0</v>
      </c>
      <c r="D32" s="501">
        <f>'[30]Sch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'[30]Sch C'!D18</f>
        <v>10126.700000000001</v>
      </c>
      <c r="D33" s="501">
        <f>'[30]Sch C'!F18</f>
        <v>0</v>
      </c>
      <c r="E33" s="171">
        <f t="shared" si="3"/>
        <v>10126.700000000001</v>
      </c>
      <c r="F33" s="171"/>
      <c r="G33" s="171">
        <f t="shared" si="4"/>
        <v>10126.700000000001</v>
      </c>
      <c r="H33" s="172">
        <f t="shared" si="5"/>
        <v>7.1123058497017753E-3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'[30]Sch C'!D19</f>
        <v>8126.52</v>
      </c>
      <c r="D34" s="501">
        <f>'[30]Sch C'!F19</f>
        <v>0</v>
      </c>
      <c r="E34" s="171">
        <f t="shared" si="3"/>
        <v>8126.52</v>
      </c>
      <c r="F34" s="171"/>
      <c r="G34" s="171">
        <f t="shared" si="4"/>
        <v>8126.52</v>
      </c>
      <c r="H34" s="172">
        <f t="shared" si="5"/>
        <v>5.7075153538387107E-3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'[30]Sch C'!D20</f>
        <v>1576.2</v>
      </c>
      <c r="D35" s="501">
        <f>'[30]Sch C'!F20</f>
        <v>0</v>
      </c>
      <c r="E35" s="171">
        <f t="shared" si="3"/>
        <v>1576.2</v>
      </c>
      <c r="F35" s="171"/>
      <c r="G35" s="171">
        <f t="shared" si="4"/>
        <v>1576.2</v>
      </c>
      <c r="H35" s="172">
        <f t="shared" si="5"/>
        <v>1.1070157583714278E-3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'[30]Sch C'!D21</f>
        <v>5897.79</v>
      </c>
      <c r="D36" s="501">
        <f>'[30]Sch C'!F21</f>
        <v>0</v>
      </c>
      <c r="E36" s="171">
        <f t="shared" si="3"/>
        <v>5897.79</v>
      </c>
      <c r="F36" s="171"/>
      <c r="G36" s="171">
        <f t="shared" si="4"/>
        <v>5897.79</v>
      </c>
      <c r="H36" s="172">
        <f t="shared" si="5"/>
        <v>4.1422068706797504E-3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'[30]Sch C'!D22</f>
        <v>0</v>
      </c>
      <c r="D37" s="501">
        <f>'[30]Sch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'[30]Sch C'!D23</f>
        <v>5423.99</v>
      </c>
      <c r="D38" s="501">
        <f>'[30]Sch C'!F23</f>
        <v>0</v>
      </c>
      <c r="E38" s="171">
        <f t="shared" si="3"/>
        <v>5423.99</v>
      </c>
      <c r="F38" s="171"/>
      <c r="G38" s="171">
        <f t="shared" si="4"/>
        <v>5423.99</v>
      </c>
      <c r="H38" s="172">
        <f t="shared" si="5"/>
        <v>3.8094419510525572E-3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'[30]Sch C'!D24</f>
        <v>17025.310000000001</v>
      </c>
      <c r="D39" s="501">
        <f>'[30]Sch C'!F24</f>
        <v>0</v>
      </c>
      <c r="E39" s="171">
        <f t="shared" si="3"/>
        <v>17025.310000000001</v>
      </c>
      <c r="F39" s="171"/>
      <c r="G39" s="171">
        <f t="shared" si="4"/>
        <v>17025.310000000001</v>
      </c>
      <c r="H39" s="172">
        <f t="shared" si="5"/>
        <v>1.1957420670700835E-2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'[30]Sch C'!D25</f>
        <v>0</v>
      </c>
      <c r="D40" s="501">
        <f>'[30]Sch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'[30]Sch C'!D26</f>
        <v>140272.99</v>
      </c>
      <c r="D41" s="501">
        <f>'[30]Sch C'!F26</f>
        <v>0</v>
      </c>
      <c r="E41" s="171">
        <f t="shared" si="3"/>
        <v>140272.99</v>
      </c>
      <c r="F41" s="171"/>
      <c r="G41" s="171">
        <f t="shared" si="4"/>
        <v>140272.99</v>
      </c>
      <c r="H41" s="172">
        <f t="shared" si="5"/>
        <v>9.8518214949801869E-2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'[30]Sch C'!D27</f>
        <v>0</v>
      </c>
      <c r="D42" s="501">
        <f>'[30]Sch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'[30]Sch C'!D28</f>
        <v>0</v>
      </c>
      <c r="D43" s="501">
        <f>'[30]Sch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'[30]Sch C'!D29</f>
        <v>12378.63</v>
      </c>
      <c r="D44" s="501">
        <f>'[30]Sch C'!F29</f>
        <v>-12378.63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'[30]Sch C'!D30</f>
        <v>600</v>
      </c>
      <c r="D45" s="501">
        <f>'[30]Sch C'!F30</f>
        <v>-600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'[30]Sch C'!D31</f>
        <v>7972.28</v>
      </c>
      <c r="D46" s="501">
        <f>'[30]Sch C'!F31</f>
        <v>0</v>
      </c>
      <c r="E46" s="171">
        <f t="shared" si="3"/>
        <v>7972.28</v>
      </c>
      <c r="F46" s="171"/>
      <c r="G46" s="171">
        <f t="shared" si="4"/>
        <v>7972.28</v>
      </c>
      <c r="H46" s="172">
        <f t="shared" si="5"/>
        <v>5.59918766029017E-3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'[30]Sch C'!D32</f>
        <v>12013.3</v>
      </c>
      <c r="D47" s="501">
        <f>'[30]Sch C'!F32</f>
        <v>0</v>
      </c>
      <c r="E47" s="171">
        <f t="shared" si="3"/>
        <v>12013.3</v>
      </c>
      <c r="F47" s="171"/>
      <c r="G47" s="171">
        <f t="shared" si="4"/>
        <v>12013.3</v>
      </c>
      <c r="H47" s="172">
        <f t="shared" si="5"/>
        <v>8.4373254726833359E-3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'[30]Sch C'!D33</f>
        <v>0</v>
      </c>
      <c r="D48" s="501">
        <f>'[30]Sch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'[30]Sch C'!D34</f>
        <v>0</v>
      </c>
      <c r="D49" s="501">
        <f>'[30]Sch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'[30]Sch C'!D35</f>
        <v>0</v>
      </c>
      <c r="D50" s="501">
        <f>'[30]Sch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'[30]Sch C'!D36</f>
        <v>0</v>
      </c>
      <c r="D51" s="501">
        <f>'[30]Sch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'[30]Sch C'!D37</f>
        <v>0</v>
      </c>
      <c r="D52" s="501">
        <f>'[30]Sch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'[30]Sch C'!D38</f>
        <v>224.4</v>
      </c>
      <c r="D53" s="501">
        <f>'[30]Sch C'!F38</f>
        <v>0</v>
      </c>
      <c r="E53" s="171">
        <f t="shared" si="3"/>
        <v>224.4</v>
      </c>
      <c r="F53" s="171"/>
      <c r="G53" s="171">
        <f t="shared" si="4"/>
        <v>224.4</v>
      </c>
      <c r="H53" s="172">
        <f t="shared" si="5"/>
        <v>1.5760330933799543E-4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'[30]Sch C'!D39</f>
        <v>4655.12</v>
      </c>
      <c r="D54" s="501">
        <f>'[30]Sch C'!F39</f>
        <v>0</v>
      </c>
      <c r="E54" s="171">
        <f t="shared" si="3"/>
        <v>4655.12</v>
      </c>
      <c r="F54" s="171"/>
      <c r="G54" s="171">
        <f t="shared" si="4"/>
        <v>4655.12</v>
      </c>
      <c r="H54" s="172">
        <f t="shared" si="5"/>
        <v>3.2694399169585085E-3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'[30]Sch C'!D40</f>
        <v>3037.37</v>
      </c>
      <c r="D55" s="501">
        <f>'[30]Sch C'!F40</f>
        <v>-3037</v>
      </c>
      <c r="E55" s="171">
        <f t="shared" si="3"/>
        <v>0.36999999999989086</v>
      </c>
      <c r="F55" s="171"/>
      <c r="G55" s="171">
        <f t="shared" si="4"/>
        <v>0.36999999999989086</v>
      </c>
      <c r="H55" s="172">
        <f t="shared" si="5"/>
        <v>2.598628540777233E-7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'[30]Sch C'!D41</f>
        <v>0</v>
      </c>
      <c r="D56" s="501">
        <f>'[30]Sch C'!F41</f>
        <v>0</v>
      </c>
      <c r="E56" s="171">
        <f t="shared" si="3"/>
        <v>0</v>
      </c>
      <c r="F56" s="171"/>
      <c r="G56" s="171">
        <f t="shared" si="4"/>
        <v>0</v>
      </c>
      <c r="H56" s="172">
        <f t="shared" si="5"/>
        <v>0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'[30]Sch C'!D42</f>
        <v>804.75</v>
      </c>
      <c r="D57" s="501">
        <f>'[30]Sch C'!F42</f>
        <v>0</v>
      </c>
      <c r="E57" s="171">
        <f t="shared" si="3"/>
        <v>804.75</v>
      </c>
      <c r="F57" s="171"/>
      <c r="G57" s="171">
        <f t="shared" si="4"/>
        <v>804.75</v>
      </c>
      <c r="H57" s="172">
        <f t="shared" si="5"/>
        <v>5.6520170761921494E-4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'[30]Sch C'!D43</f>
        <v>4592.24</v>
      </c>
      <c r="D58" s="501">
        <f>'[30]Sch C'!F43</f>
        <v>0</v>
      </c>
      <c r="E58" s="171">
        <f t="shared" si="3"/>
        <v>4592.24</v>
      </c>
      <c r="F58" s="171"/>
      <c r="G58" s="171">
        <f t="shared" si="4"/>
        <v>4592.24</v>
      </c>
      <c r="H58" s="172">
        <f t="shared" si="5"/>
        <v>3.2252772784060434E-3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'[30]Sch C'!D44</f>
        <v>169.76</v>
      </c>
      <c r="D59" s="501">
        <f>'[30]Sch C'!F44</f>
        <v>0</v>
      </c>
      <c r="E59" s="171">
        <f t="shared" si="3"/>
        <v>169.76</v>
      </c>
      <c r="F59" s="171"/>
      <c r="G59" s="171">
        <f t="shared" si="4"/>
        <v>169.76</v>
      </c>
      <c r="H59" s="172">
        <f t="shared" si="5"/>
        <v>1.192278867790468E-4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'[30]Sch C'!D45</f>
        <v>0</v>
      </c>
      <c r="D60" s="501">
        <f>'[30]Sch C'!F45</f>
        <v>0</v>
      </c>
      <c r="E60" s="171">
        <f t="shared" si="3"/>
        <v>0</v>
      </c>
      <c r="F60" s="171"/>
      <c r="G60" s="171">
        <f t="shared" si="4"/>
        <v>0</v>
      </c>
      <c r="H60" s="172">
        <f t="shared" si="5"/>
        <v>0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376339.27000000008</v>
      </c>
      <c r="D61" s="501">
        <f>SUM(D25:D60)</f>
        <v>-32518.321953585291</v>
      </c>
      <c r="E61" s="171">
        <f t="shared" ref="E61" si="6">SUM(E25:E60)</f>
        <v>343820.94804641471</v>
      </c>
      <c r="F61" s="171">
        <f>SUM(F25:F60)</f>
        <v>0</v>
      </c>
      <c r="G61" s="171">
        <f>SUM(G25:G60)</f>
        <v>343820.94804641471</v>
      </c>
      <c r="H61" s="186">
        <f t="shared" si="5"/>
        <v>0.2414764671650711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'[30]Sch C'!D57</f>
        <v>27500</v>
      </c>
      <c r="D64" s="501">
        <f>'[30]Sch C'!F57</f>
        <v>-27500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'[30]Sch C'!D58</f>
        <v>0</v>
      </c>
      <c r="D65" s="501">
        <f>'[30]Sch C'!F58</f>
        <v>0</v>
      </c>
      <c r="E65" s="171">
        <f t="shared" si="7"/>
        <v>0</v>
      </c>
      <c r="F65" s="171"/>
      <c r="G65" s="171">
        <f t="shared" si="8"/>
        <v>0</v>
      </c>
      <c r="H65" s="172">
        <f t="shared" si="9"/>
        <v>0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'[30]Sch C'!D59</f>
        <v>0</v>
      </c>
      <c r="D66" s="501">
        <f>'[30]Sch C'!F59</f>
        <v>5979</v>
      </c>
      <c r="E66" s="171">
        <f t="shared" si="7"/>
        <v>5979</v>
      </c>
      <c r="F66" s="171"/>
      <c r="G66" s="171">
        <f t="shared" si="8"/>
        <v>5979</v>
      </c>
      <c r="H66" s="172">
        <f t="shared" si="9"/>
        <v>4.1992432554896373E-3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'[30]Sch C'!D60</f>
        <v>0</v>
      </c>
      <c r="D67" s="501">
        <f>'[30]Sch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'[30]Sch C'!D61</f>
        <v>1958</v>
      </c>
      <c r="D68" s="501">
        <f>'[30]Sch C'!F61</f>
        <v>0</v>
      </c>
      <c r="E68" s="171">
        <f t="shared" si="7"/>
        <v>1958</v>
      </c>
      <c r="F68" s="171"/>
      <c r="G68" s="171">
        <f t="shared" si="8"/>
        <v>1958</v>
      </c>
      <c r="H68" s="172">
        <f t="shared" si="9"/>
        <v>1.3751661304981955E-3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'[30]Sch C'!D62</f>
        <v>0</v>
      </c>
      <c r="D69" s="501">
        <f>'[30]Sch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'[30]Sch C'!D63</f>
        <v>219.75</v>
      </c>
      <c r="D70" s="501">
        <f>'[30]Sch C'!F63</f>
        <v>0</v>
      </c>
      <c r="E70" s="171">
        <f t="shared" si="7"/>
        <v>219.75</v>
      </c>
      <c r="F70" s="171"/>
      <c r="G70" s="171">
        <f t="shared" si="8"/>
        <v>219.75</v>
      </c>
      <c r="H70" s="172">
        <f t="shared" si="9"/>
        <v>1.5433746536107172E-4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'[30]Sch C'!D64</f>
        <v>0</v>
      </c>
      <c r="D71" s="501">
        <f>'[30]Sch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'[30]Sch C'!D65</f>
        <v>2790</v>
      </c>
      <c r="D72" s="501">
        <f>'[30]Sch C'!F65</f>
        <v>0</v>
      </c>
      <c r="E72" s="171">
        <f t="shared" si="7"/>
        <v>2790</v>
      </c>
      <c r="F72" s="171"/>
      <c r="G72" s="171">
        <f t="shared" si="8"/>
        <v>2790</v>
      </c>
      <c r="H72" s="172">
        <f t="shared" si="9"/>
        <v>1.9595063861542212E-3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'[30]Sch C'!D66</f>
        <v>5814.35</v>
      </c>
      <c r="D73" s="501">
        <f>'[30]Sch C'!F66</f>
        <v>0</v>
      </c>
      <c r="E73" s="171">
        <f t="shared" si="7"/>
        <v>5814.35</v>
      </c>
      <c r="F73" s="171"/>
      <c r="G73" s="171">
        <f t="shared" si="8"/>
        <v>5814.35</v>
      </c>
      <c r="H73" s="172">
        <f t="shared" si="9"/>
        <v>4.0836042854250172E-3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'[30]Sch C'!D67</f>
        <v>0</v>
      </c>
      <c r="D74" s="501">
        <f>'[30]Sch C'!F67</f>
        <v>0</v>
      </c>
      <c r="E74" s="171">
        <f t="shared" si="7"/>
        <v>0</v>
      </c>
      <c r="F74" s="171"/>
      <c r="G74" s="171">
        <f t="shared" si="8"/>
        <v>0</v>
      </c>
      <c r="H74" s="172">
        <f t="shared" si="9"/>
        <v>0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'[30]Sch C'!D68</f>
        <v>0</v>
      </c>
      <c r="D75" s="501">
        <f>'[30]Sch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'[30]Sch C'!D69</f>
        <v>353.83</v>
      </c>
      <c r="D76" s="501">
        <f>'[30]Sch C'!F69</f>
        <v>0</v>
      </c>
      <c r="E76" s="171">
        <f t="shared" si="7"/>
        <v>353.83</v>
      </c>
      <c r="F76" s="171"/>
      <c r="G76" s="171">
        <f t="shared" si="8"/>
        <v>353.83</v>
      </c>
      <c r="H76" s="172">
        <f t="shared" si="9"/>
        <v>2.4850614502256206E-4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'[30]Sch C'!D70</f>
        <v>0</v>
      </c>
      <c r="D77" s="501">
        <f>'[30]Sch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'[30]Sch C'!D71</f>
        <v>0</v>
      </c>
      <c r="D78" s="501">
        <f>'[30]Sch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38635.93</v>
      </c>
      <c r="D79" s="501">
        <f>SUM(D64:D78)</f>
        <v>-21521</v>
      </c>
      <c r="E79" s="171">
        <f t="shared" ref="E79" si="10">SUM(E64:E78)</f>
        <v>17114.93</v>
      </c>
      <c r="F79" s="171">
        <f>SUM(F64:F78)</f>
        <v>0</v>
      </c>
      <c r="G79" s="171">
        <f>SUM(G64:G78)</f>
        <v>17114.93</v>
      </c>
      <c r="H79" s="172">
        <f t="shared" si="9"/>
        <v>1.2020363667950704E-2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'[30]Sch C'!D75</f>
        <v>27593.35</v>
      </c>
      <c r="D82" s="501">
        <f>'[30]Sch C'!F75</f>
        <v>0</v>
      </c>
      <c r="E82" s="171">
        <f t="shared" ref="E82:E92" si="11">C82+D82</f>
        <v>27593.35</v>
      </c>
      <c r="F82" s="171"/>
      <c r="G82" s="171">
        <f t="shared" ref="G82:G92" si="12">E82+F82</f>
        <v>27593.35</v>
      </c>
      <c r="H82" s="172">
        <f t="shared" ref="H82:H93" si="13">IF($G$208=0,0,G82/$G$208)</f>
        <v>1.9379693742074759E-2</v>
      </c>
      <c r="I82" s="473"/>
      <c r="J82" s="183">
        <v>1663.31</v>
      </c>
      <c r="K82" s="183">
        <v>1824.75</v>
      </c>
    </row>
    <row r="83" spans="1:11" s="167" customFormat="1">
      <c r="A83" s="169" t="s">
        <v>86</v>
      </c>
      <c r="B83" s="199" t="s">
        <v>45</v>
      </c>
      <c r="C83" s="501">
        <f>'[30]Sch C'!D76</f>
        <v>0</v>
      </c>
      <c r="D83" s="501">
        <f>'[30]Sch C'!F76</f>
        <v>2583.9183023607488</v>
      </c>
      <c r="E83" s="171">
        <f t="shared" si="11"/>
        <v>2583.9183023607488</v>
      </c>
      <c r="F83" s="171"/>
      <c r="G83" s="171">
        <f t="shared" si="12"/>
        <v>2583.9183023607488</v>
      </c>
      <c r="H83" s="172">
        <f t="shared" si="13"/>
        <v>1.814768607446832E-3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'[30]Sch C'!D77</f>
        <v>6437.68</v>
      </c>
      <c r="D84" s="501">
        <f>'[30]Sch C'!F77</f>
        <v>0</v>
      </c>
      <c r="E84" s="171">
        <f t="shared" si="11"/>
        <v>6437.68</v>
      </c>
      <c r="F84" s="171"/>
      <c r="G84" s="171">
        <f t="shared" si="12"/>
        <v>6437.68</v>
      </c>
      <c r="H84" s="172">
        <f t="shared" si="13"/>
        <v>4.521388914701544E-3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'[30]Sch C'!D78</f>
        <v>586.74</v>
      </c>
      <c r="D85" s="501">
        <f>'[30]Sch C'!F78</f>
        <v>0</v>
      </c>
      <c r="E85" s="171">
        <f t="shared" si="11"/>
        <v>586.74</v>
      </c>
      <c r="F85" s="171"/>
      <c r="G85" s="171">
        <f t="shared" si="12"/>
        <v>586.74</v>
      </c>
      <c r="H85" s="172">
        <f t="shared" si="13"/>
        <v>4.1208630000434687E-4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'[30]Sch C'!D79</f>
        <v>2494.63</v>
      </c>
      <c r="D86" s="501">
        <f>'[30]Sch C'!F79</f>
        <v>0</v>
      </c>
      <c r="E86" s="171">
        <f t="shared" si="11"/>
        <v>2494.63</v>
      </c>
      <c r="F86" s="171"/>
      <c r="G86" s="171">
        <f>E86+F86</f>
        <v>2494.63</v>
      </c>
      <c r="H86" s="172">
        <f t="shared" si="13"/>
        <v>1.7520585720759516E-3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'[30]Sch C'!D80</f>
        <v>2939.9</v>
      </c>
      <c r="D87" s="501">
        <f>'[30]Sch C'!F80</f>
        <v>0</v>
      </c>
      <c r="E87" s="171">
        <f t="shared" si="11"/>
        <v>2939.9</v>
      </c>
      <c r="F87" s="171"/>
      <c r="G87" s="171">
        <f t="shared" si="12"/>
        <v>2939.9</v>
      </c>
      <c r="H87" s="172">
        <f t="shared" si="13"/>
        <v>2.0647859586576328E-3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'[30]Sch C'!D81</f>
        <v>7708.73</v>
      </c>
      <c r="D88" s="501">
        <f>'[30]Sch C'!F81</f>
        <v>0</v>
      </c>
      <c r="E88" s="171">
        <f t="shared" si="11"/>
        <v>7708.73</v>
      </c>
      <c r="F88" s="171"/>
      <c r="G88" s="171">
        <f t="shared" si="12"/>
        <v>7708.73</v>
      </c>
      <c r="H88" s="172">
        <f t="shared" si="13"/>
        <v>5.4140880516625909E-3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'[30]Sch C'!D82</f>
        <v>4979.21</v>
      </c>
      <c r="D89" s="501">
        <f>'[30]Sch C'!F82</f>
        <v>0</v>
      </c>
      <c r="E89" s="171">
        <f t="shared" si="11"/>
        <v>4979.21</v>
      </c>
      <c r="F89" s="171"/>
      <c r="G89" s="171">
        <f t="shared" si="12"/>
        <v>4979.21</v>
      </c>
      <c r="H89" s="172">
        <f t="shared" si="13"/>
        <v>3.4970587071695199E-3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'[30]Sch C'!D83</f>
        <v>12184.07</v>
      </c>
      <c r="D90" s="501">
        <f>'[30]Sch C'!F83</f>
        <v>0</v>
      </c>
      <c r="E90" s="171">
        <f t="shared" si="11"/>
        <v>12184.07</v>
      </c>
      <c r="F90" s="171"/>
      <c r="G90" s="171">
        <f t="shared" si="12"/>
        <v>12184.07</v>
      </c>
      <c r="H90" s="172">
        <f t="shared" si="13"/>
        <v>8.5572627148208114E-3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'[30]Sch C'!D84</f>
        <v>26715.68</v>
      </c>
      <c r="D91" s="501">
        <f>'[30]Sch C'!F84</f>
        <v>0</v>
      </c>
      <c r="E91" s="171">
        <f t="shared" si="11"/>
        <v>26715.68</v>
      </c>
      <c r="F91" s="171"/>
      <c r="G91" s="171">
        <f t="shared" si="12"/>
        <v>26715.68</v>
      </c>
      <c r="H91" s="172">
        <f t="shared" si="13"/>
        <v>1.8763277982241078E-2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'[30]Sch C'!D85</f>
        <v>0</v>
      </c>
      <c r="D92" s="501">
        <f>'[30]Sch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91639.989999999991</v>
      </c>
      <c r="D93" s="501">
        <f>SUM(D82:D92)</f>
        <v>2583.9183023607488</v>
      </c>
      <c r="E93" s="171">
        <f t="shared" ref="E93" si="14">SUM(E82:E92)</f>
        <v>94223.908302360738</v>
      </c>
      <c r="F93" s="171">
        <f>SUM(F82:F92)</f>
        <v>0</v>
      </c>
      <c r="G93" s="171">
        <f>SUM(G82:G92)</f>
        <v>94223.908302360738</v>
      </c>
      <c r="H93" s="172">
        <f t="shared" si="13"/>
        <v>6.6176469550855058E-2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'[30]Sch C'!D89</f>
        <v>86426.59</v>
      </c>
      <c r="D96" s="501">
        <f>'[30]Sch C'!F89</f>
        <v>0</v>
      </c>
      <c r="E96" s="171">
        <f t="shared" ref="E96:E101" si="15">C96+D96</f>
        <v>86426.59</v>
      </c>
      <c r="F96" s="171"/>
      <c r="G96" s="171">
        <f t="shared" ref="G96:G101" si="16">E96+F96</f>
        <v>86426.59</v>
      </c>
      <c r="H96" s="172">
        <f t="shared" ref="H96:H102" si="17">IF($G$208=0,0,G96/$G$208)</f>
        <v>6.0700163096248226E-2</v>
      </c>
      <c r="I96" s="473"/>
      <c r="J96" s="183">
        <v>7958.12</v>
      </c>
      <c r="K96" s="183">
        <v>8810.24</v>
      </c>
    </row>
    <row r="97" spans="1:11" s="167" customFormat="1">
      <c r="A97" s="169" t="s">
        <v>86</v>
      </c>
      <c r="B97" s="170" t="s">
        <v>45</v>
      </c>
      <c r="C97" s="501">
        <f>'[30]Sch C'!D90</f>
        <v>0</v>
      </c>
      <c r="D97" s="501">
        <f>'[30]Sch C'!F90</f>
        <v>8093.2270895570291</v>
      </c>
      <c r="E97" s="171">
        <f t="shared" si="15"/>
        <v>8093.2270895570291</v>
      </c>
      <c r="F97" s="171"/>
      <c r="G97" s="171">
        <f t="shared" si="16"/>
        <v>8093.2270895570291</v>
      </c>
      <c r="H97" s="172">
        <f t="shared" si="17"/>
        <v>5.6841326761947458E-3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'[30]Sch C'!D91</f>
        <v>4769</v>
      </c>
      <c r="D98" s="501">
        <f>'[30]Sch C'!F91</f>
        <v>0</v>
      </c>
      <c r="E98" s="171">
        <f t="shared" si="15"/>
        <v>4769</v>
      </c>
      <c r="F98" s="171"/>
      <c r="G98" s="171">
        <f t="shared" si="16"/>
        <v>4769</v>
      </c>
      <c r="H98" s="172">
        <f t="shared" si="17"/>
        <v>3.3494214894514269E-3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'[30]Sch C'!D92</f>
        <v>69358.12</v>
      </c>
      <c r="D99" s="501">
        <f>'[30]Sch C'!F92</f>
        <v>0</v>
      </c>
      <c r="E99" s="171">
        <f t="shared" si="15"/>
        <v>69358.12</v>
      </c>
      <c r="F99" s="171"/>
      <c r="G99" s="171">
        <f t="shared" si="16"/>
        <v>69358.12</v>
      </c>
      <c r="H99" s="172">
        <f t="shared" si="17"/>
        <v>4.8712429774785238E-2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'[30]Sch C'!D93</f>
        <v>10081.86</v>
      </c>
      <c r="D100" s="501">
        <f>'[30]Sch C'!F93</f>
        <v>0</v>
      </c>
      <c r="E100" s="171">
        <f t="shared" si="15"/>
        <v>10081.86</v>
      </c>
      <c r="F100" s="171"/>
      <c r="G100" s="171">
        <f t="shared" si="16"/>
        <v>10081.86</v>
      </c>
      <c r="H100" s="172">
        <f t="shared" si="17"/>
        <v>7.0808132811156985E-3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'[30]Sch C'!D94</f>
        <v>0</v>
      </c>
      <c r="D101" s="501">
        <f>'[30]Sch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170635.57</v>
      </c>
      <c r="D102" s="501">
        <f>SUM(D96:D101)</f>
        <v>8093.2270895570291</v>
      </c>
      <c r="E102" s="171">
        <f t="shared" ref="E102" si="18">SUM(E96:E101)</f>
        <v>178728.79708955699</v>
      </c>
      <c r="F102" s="171">
        <f>SUM(F96:F101)</f>
        <v>0</v>
      </c>
      <c r="G102" s="171">
        <f>SUM(G96:G101)</f>
        <v>178728.79708955699</v>
      </c>
      <c r="H102" s="172">
        <f t="shared" si="17"/>
        <v>0.12552696031779531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'[30]Sch C'!D98</f>
        <v>28763.46</v>
      </c>
      <c r="D105" s="501">
        <f>'[30]Sch C'!F98</f>
        <v>0</v>
      </c>
      <c r="E105" s="171">
        <f t="shared" ref="E105:E110" si="19">C105+D105</f>
        <v>28763.46</v>
      </c>
      <c r="F105" s="171"/>
      <c r="G105" s="171">
        <f t="shared" ref="G105:G110" si="20">E105+F105</f>
        <v>28763.46</v>
      </c>
      <c r="H105" s="172">
        <f t="shared" ref="H105:H111" si="21">IF($G$208=0,0,G105/$G$208)</f>
        <v>2.020149948311523E-2</v>
      </c>
      <c r="I105" s="473"/>
      <c r="J105" s="183">
        <v>2616.7800000000002</v>
      </c>
      <c r="K105" s="183">
        <v>2938.97</v>
      </c>
    </row>
    <row r="106" spans="1:11" s="167" customFormat="1">
      <c r="A106" s="169" t="s">
        <v>86</v>
      </c>
      <c r="B106" s="170" t="s">
        <v>45</v>
      </c>
      <c r="C106" s="501">
        <f>'[30]Sch C'!D99</f>
        <v>0</v>
      </c>
      <c r="D106" s="501">
        <f>'[30]Sch C'!F99</f>
        <v>2693.4906683393388</v>
      </c>
      <c r="E106" s="171">
        <f t="shared" si="19"/>
        <v>2693.4906683393388</v>
      </c>
      <c r="F106" s="171"/>
      <c r="G106" s="171">
        <f t="shared" si="20"/>
        <v>2693.4906683393388</v>
      </c>
      <c r="H106" s="172">
        <f t="shared" si="21"/>
        <v>1.8917247905583282E-3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'[30]Sch C'!D100</f>
        <v>861.03</v>
      </c>
      <c r="D107" s="501">
        <f>'[30]Sch C'!F100</f>
        <v>0</v>
      </c>
      <c r="E107" s="171">
        <f t="shared" si="19"/>
        <v>861.03</v>
      </c>
      <c r="F107" s="171"/>
      <c r="G107" s="171">
        <f t="shared" si="20"/>
        <v>861.03</v>
      </c>
      <c r="H107" s="172">
        <f t="shared" si="21"/>
        <v>6.0472895472056239E-4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'[30]Sch C'!D101</f>
        <v>0</v>
      </c>
      <c r="D108" s="501">
        <f>'[30]Sch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'[30]Sch C'!D102</f>
        <v>2773.42</v>
      </c>
      <c r="D109" s="501">
        <f>'[30]Sch C'!F102</f>
        <v>0</v>
      </c>
      <c r="E109" s="171">
        <f t="shared" si="19"/>
        <v>2773.42</v>
      </c>
      <c r="F109" s="171"/>
      <c r="G109" s="171">
        <f t="shared" si="20"/>
        <v>2773.42</v>
      </c>
      <c r="H109" s="172">
        <f t="shared" si="21"/>
        <v>1.9478617209633838E-3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'[30]Sch C'!D103</f>
        <v>0</v>
      </c>
      <c r="D110" s="501">
        <f>'[30]Sch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32397.909999999996</v>
      </c>
      <c r="D111" s="501">
        <f>SUM(D105:D110)</f>
        <v>2693.4906683393388</v>
      </c>
      <c r="E111" s="171">
        <f t="shared" ref="E111" si="22">SUM(E105:E110)</f>
        <v>35091.400668339338</v>
      </c>
      <c r="F111" s="171">
        <f>SUM(F105:F110)</f>
        <v>0</v>
      </c>
      <c r="G111" s="171">
        <f>SUM(G105:G110)</f>
        <v>35091.400668339338</v>
      </c>
      <c r="H111" s="172">
        <f t="shared" si="21"/>
        <v>2.4645814949357504E-2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'[30]Sch C'!D115</f>
        <v>20447.63</v>
      </c>
      <c r="D114" s="501">
        <f>'[30]Sch C'!F115</f>
        <v>0</v>
      </c>
      <c r="E114" s="171">
        <f t="shared" ref="E114:E118" si="23">C114+D114</f>
        <v>20447.63</v>
      </c>
      <c r="F114" s="171"/>
      <c r="G114" s="171">
        <f>E114+F114</f>
        <v>20447.63</v>
      </c>
      <c r="H114" s="172">
        <f t="shared" ref="H114:H119" si="24">IF($G$208=0,0,G114/$G$208)</f>
        <v>1.4361025651153636E-2</v>
      </c>
      <c r="I114" s="473"/>
      <c r="J114" s="183">
        <v>2268.19</v>
      </c>
      <c r="K114" s="183">
        <v>2381</v>
      </c>
    </row>
    <row r="115" spans="1:11" s="167" customFormat="1">
      <c r="A115" s="169" t="s">
        <v>86</v>
      </c>
      <c r="B115" s="170" t="s">
        <v>151</v>
      </c>
      <c r="C115" s="501">
        <f>'[30]Sch C'!D116</f>
        <v>0</v>
      </c>
      <c r="D115" s="501">
        <f>'[30]Sch C'!F116</f>
        <v>1914.7731390679537</v>
      </c>
      <c r="E115" s="171">
        <f t="shared" si="23"/>
        <v>1914.7731390679537</v>
      </c>
      <c r="F115" s="171"/>
      <c r="G115" s="171">
        <f>E115+F115</f>
        <v>1914.7731390679537</v>
      </c>
      <c r="H115" s="172">
        <f t="shared" si="24"/>
        <v>1.3448065211613693E-3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'[30]Sch C'!D117</f>
        <v>5095.12</v>
      </c>
      <c r="D116" s="501">
        <f>'[30]Sch C'!F117</f>
        <v>0</v>
      </c>
      <c r="E116" s="171">
        <f t="shared" si="23"/>
        <v>5095.12</v>
      </c>
      <c r="F116" s="171"/>
      <c r="G116" s="171">
        <f>E116+F116</f>
        <v>5095.12</v>
      </c>
      <c r="H116" s="172">
        <f t="shared" si="24"/>
        <v>3.5784660136996757E-3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'[30]Sch C'!D118</f>
        <v>0</v>
      </c>
      <c r="D117" s="501">
        <f>'[30]Sch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'[30]Sch C'!D119</f>
        <v>0</v>
      </c>
      <c r="D118" s="501">
        <f>'[30]Sch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25542.75</v>
      </c>
      <c r="D119" s="501">
        <f>SUM(D114:D118)</f>
        <v>1914.7731390679537</v>
      </c>
      <c r="E119" s="171">
        <f t="shared" ref="E119" si="25">SUM(E114:E118)</f>
        <v>27457.523139067955</v>
      </c>
      <c r="F119" s="171">
        <f>SUM(F114:F118)</f>
        <v>0</v>
      </c>
      <c r="G119" s="171">
        <f>SUM(G114:G118)</f>
        <v>27457.523139067955</v>
      </c>
      <c r="H119" s="172">
        <f t="shared" si="24"/>
        <v>1.9284298186014681E-2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'[30]Sch C'!D124</f>
        <v>0</v>
      </c>
      <c r="D123" s="501">
        <f>'[30]Sch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'[30]Sch C'!D125</f>
        <v>55995.76</v>
      </c>
      <c r="D124" s="501">
        <f>'[30]Sch C'!F125</f>
        <v>0</v>
      </c>
      <c r="E124" s="171">
        <f t="shared" si="26"/>
        <v>55995.76</v>
      </c>
      <c r="F124" s="171"/>
      <c r="G124" s="171">
        <f>E124+F124</f>
        <v>55995.76</v>
      </c>
      <c r="H124" s="172">
        <f>IF($G$208=0,0,G124/$G$208)</f>
        <v>3.9327616242852727E-2</v>
      </c>
      <c r="I124" s="473"/>
      <c r="J124" s="183">
        <v>1680</v>
      </c>
      <c r="K124" s="183">
        <v>1750</v>
      </c>
    </row>
    <row r="125" spans="1:11" s="167" customFormat="1">
      <c r="A125" s="163" t="s">
        <v>198</v>
      </c>
      <c r="B125" s="163" t="s">
        <v>195</v>
      </c>
      <c r="C125" s="501">
        <f>'[30]Sch C'!D126</f>
        <v>0</v>
      </c>
      <c r="D125" s="501">
        <f>'[30]Sch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'[30]Sch C'!D127</f>
        <v>0</v>
      </c>
      <c r="D126" s="501">
        <f>'[30]Sch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'[30]Sch C'!D128</f>
        <v>18429.060000000001</v>
      </c>
      <c r="D127" s="501">
        <f>'[30]Sch C'!F128</f>
        <v>0</v>
      </c>
      <c r="E127" s="171">
        <f t="shared" si="26"/>
        <v>18429.060000000001</v>
      </c>
      <c r="F127" s="171"/>
      <c r="G127" s="171">
        <f>E127+F127</f>
        <v>18429.060000000001</v>
      </c>
      <c r="H127" s="172">
        <f>IF($G$208=0,0,G127/$G$208)</f>
        <v>1.2943319269110866E-2</v>
      </c>
      <c r="I127" s="473"/>
      <c r="J127" s="183">
        <v>1189.5999999999999</v>
      </c>
      <c r="K127" s="183">
        <v>1417.62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'[30]Sch C'!D130</f>
        <v>0</v>
      </c>
      <c r="D129" s="501">
        <f>'[30]Sch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'[30]Sch C'!D131</f>
        <v>0</v>
      </c>
      <c r="D130" s="501">
        <f>'[30]Sch C'!F131</f>
        <v>5243.5992410707622</v>
      </c>
      <c r="E130" s="171">
        <f t="shared" si="27"/>
        <v>5243.5992410707622</v>
      </c>
      <c r="F130" s="171"/>
      <c r="G130" s="171">
        <f>E130+F130</f>
        <v>5243.5992410707622</v>
      </c>
      <c r="H130" s="172">
        <f>IF($G$208=0,0,G130/$G$208)</f>
        <v>3.6827477416887409E-3</v>
      </c>
      <c r="I130" s="473"/>
      <c r="J130" s="204"/>
      <c r="K130" s="204"/>
    </row>
    <row r="131" spans="1:11" s="167" customFormat="1">
      <c r="B131" s="163" t="s">
        <v>195</v>
      </c>
      <c r="C131" s="501">
        <f>'[30]Sch C'!D132</f>
        <v>0</v>
      </c>
      <c r="D131" s="501">
        <f>'[30]Sch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'[30]Sch C'!D133</f>
        <v>0</v>
      </c>
      <c r="D132" s="501">
        <f>'[30]Sch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'[30]Sch C'!D134</f>
        <v>0</v>
      </c>
      <c r="D133" s="501">
        <f>'[30]Sch C'!F134</f>
        <v>1725.7486107813797</v>
      </c>
      <c r="E133" s="171">
        <f t="shared" si="27"/>
        <v>1725.7486107813797</v>
      </c>
      <c r="F133" s="171"/>
      <c r="G133" s="171">
        <f>E133+F133</f>
        <v>1725.7486107813797</v>
      </c>
      <c r="H133" s="172">
        <f>IF($G$208=0,0,G133/$G$208)</f>
        <v>1.2120485389687775E-3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'[30]Sch C'!D136</f>
        <v>138669.62</v>
      </c>
      <c r="D135" s="501">
        <f>'[30]Sch C'!F136</f>
        <v>0</v>
      </c>
      <c r="E135" s="171">
        <f t="shared" ref="E135:E138" si="28">C135+D135</f>
        <v>138669.62</v>
      </c>
      <c r="F135" s="171"/>
      <c r="G135" s="171">
        <f>E135+F135</f>
        <v>138669.62</v>
      </c>
      <c r="H135" s="172">
        <f>IF($G$208=0,0,G135/$G$208)</f>
        <v>9.7392116829956674E-2</v>
      </c>
      <c r="I135" s="473"/>
      <c r="J135" s="183">
        <v>5461.32</v>
      </c>
      <c r="K135" s="183">
        <v>5973.83</v>
      </c>
    </row>
    <row r="136" spans="1:11" s="167" customFormat="1">
      <c r="A136" s="169"/>
      <c r="B136" s="163" t="s">
        <v>195</v>
      </c>
      <c r="C136" s="501">
        <f>'[30]Sch C'!D137</f>
        <v>86575.41</v>
      </c>
      <c r="D136" s="501">
        <f>'[30]Sch C'!F137</f>
        <v>0</v>
      </c>
      <c r="E136" s="171">
        <f t="shared" si="28"/>
        <v>86575.41</v>
      </c>
      <c r="F136" s="171"/>
      <c r="G136" s="171">
        <f>E136+F136</f>
        <v>86575.41</v>
      </c>
      <c r="H136" s="172">
        <f>IF($G$208=0,0,G136/$G$208)</f>
        <v>6.0804684150150549E-2</v>
      </c>
      <c r="I136" s="473"/>
      <c r="J136" s="183">
        <v>3683.4</v>
      </c>
      <c r="K136" s="183">
        <v>3922</v>
      </c>
    </row>
    <row r="137" spans="1:11" s="167" customFormat="1">
      <c r="A137" s="169"/>
      <c r="B137" s="163" t="s">
        <v>196</v>
      </c>
      <c r="C137" s="501">
        <f>'[30]Sch C'!D138</f>
        <v>224557.33</v>
      </c>
      <c r="D137" s="501">
        <f>'[30]Sch C'!F138</f>
        <v>0</v>
      </c>
      <c r="E137" s="171">
        <f t="shared" si="28"/>
        <v>224557.33</v>
      </c>
      <c r="F137" s="171"/>
      <c r="G137" s="171">
        <f>E137+F137</f>
        <v>224557.33</v>
      </c>
      <c r="H137" s="172">
        <f>IF($G$208=0,0,G137/$G$208)</f>
        <v>0.15771380723754153</v>
      </c>
      <c r="I137" s="473"/>
      <c r="J137" s="183">
        <v>19525.009999999998</v>
      </c>
      <c r="K137" s="183">
        <v>20922</v>
      </c>
    </row>
    <row r="138" spans="1:11" s="167" customFormat="1">
      <c r="A138" s="169"/>
      <c r="B138" s="163" t="s">
        <v>197</v>
      </c>
      <c r="C138" s="501">
        <f>'[30]Sch C'!D139</f>
        <v>0</v>
      </c>
      <c r="D138" s="501">
        <f>'[30]Sch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'[30]Sch C'!D141</f>
        <v>0</v>
      </c>
      <c r="D140" s="501">
        <f>'[30]Sch C'!F141</f>
        <v>12985.410220194726</v>
      </c>
      <c r="E140" s="171">
        <f t="shared" ref="E140:E143" si="29">C140+D140</f>
        <v>12985.410220194726</v>
      </c>
      <c r="F140" s="171"/>
      <c r="G140" s="171">
        <f>E140+F140</f>
        <v>12985.410220194726</v>
      </c>
      <c r="H140" s="172">
        <f>IF($G$208=0,0,G140/$G$208)</f>
        <v>9.1200696248400926E-3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'[30]Sch C'!D142</f>
        <v>0</v>
      </c>
      <c r="D141" s="501">
        <f>'[30]Sch C'!F142</f>
        <v>8107.1630096884137</v>
      </c>
      <c r="E141" s="171">
        <f t="shared" si="29"/>
        <v>8107.1630096884137</v>
      </c>
      <c r="F141" s="171"/>
      <c r="G141" s="171">
        <f>E141+F141</f>
        <v>8107.1630096884137</v>
      </c>
      <c r="H141" s="172">
        <f>IF($G$208=0,0,G141/$G$208)</f>
        <v>5.6939203193826964E-3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'[30]Sch C'!D143</f>
        <v>0</v>
      </c>
      <c r="D142" s="501">
        <f>'[30]Sch C'!F143</f>
        <v>21028.175082629055</v>
      </c>
      <c r="E142" s="171">
        <f t="shared" si="29"/>
        <v>21028.175082629055</v>
      </c>
      <c r="F142" s="171"/>
      <c r="G142" s="171">
        <f>E142+F142</f>
        <v>21028.175082629055</v>
      </c>
      <c r="H142" s="172">
        <f>IF($G$208=0,0,G142/$G$208)</f>
        <v>1.4768761062215306E-2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'[30]Sch C'!D144</f>
        <v>0</v>
      </c>
      <c r="D143" s="501">
        <f>'[30]Sch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'[30]Sch C'!D146</f>
        <v>1675</v>
      </c>
      <c r="D145" s="501">
        <f>'[30]Sch C'!F146</f>
        <v>0</v>
      </c>
      <c r="E145" s="171">
        <f t="shared" ref="E145:E153" si="30">C145+D145</f>
        <v>1675</v>
      </c>
      <c r="F145" s="171"/>
      <c r="G145" s="171">
        <f t="shared" ref="G145:G153" si="31">E145+F145</f>
        <v>1675</v>
      </c>
      <c r="H145" s="172">
        <f t="shared" ref="H145:H153" si="32">IF($G$208=0,0,G145/$G$208)</f>
        <v>1.1764061637305808E-3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'[30]Sch C'!D147</f>
        <v>0</v>
      </c>
      <c r="D146" s="501">
        <f>'[30]Sch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'[30]Sch C'!D148</f>
        <v>0</v>
      </c>
      <c r="D147" s="501">
        <f>'[30]Sch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'[30]Sch C'!D149</f>
        <v>0</v>
      </c>
      <c r="D148" s="501">
        <f>'[30]Sch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'[30]Sch C'!D150</f>
        <v>3789.7</v>
      </c>
      <c r="D149" s="501">
        <f>'[30]Sch C'!F150</f>
        <v>0</v>
      </c>
      <c r="E149" s="171">
        <f t="shared" si="30"/>
        <v>3789.7</v>
      </c>
      <c r="F149" s="171"/>
      <c r="G149" s="171">
        <f t="shared" si="31"/>
        <v>3789.7</v>
      </c>
      <c r="H149" s="172">
        <f t="shared" si="32"/>
        <v>2.6616277245909148E-3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'[30]Sch C'!D151</f>
        <v>30415.99</v>
      </c>
      <c r="D150" s="501">
        <f>'[30]Sch C'!F151</f>
        <v>0</v>
      </c>
      <c r="E150" s="171">
        <f t="shared" si="30"/>
        <v>30415.99</v>
      </c>
      <c r="F150" s="171"/>
      <c r="G150" s="171">
        <f t="shared" si="31"/>
        <v>30415.99</v>
      </c>
      <c r="H150" s="172">
        <f t="shared" si="32"/>
        <v>2.1362124245950874E-2</v>
      </c>
      <c r="I150" s="472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'[30]Sch C'!D152</f>
        <v>169.62</v>
      </c>
      <c r="D151" s="501">
        <f>'[30]Sch C'!F152</f>
        <v>0</v>
      </c>
      <c r="E151" s="171">
        <f t="shared" si="30"/>
        <v>169.62</v>
      </c>
      <c r="F151" s="171"/>
      <c r="G151" s="171">
        <f t="shared" si="31"/>
        <v>169.62</v>
      </c>
      <c r="H151" s="172">
        <f t="shared" si="32"/>
        <v>1.1912956029372007E-4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'[30]Sch C'!D153</f>
        <v>1929.26</v>
      </c>
      <c r="D152" s="501">
        <f>'[30]Sch C'!F153</f>
        <v>0</v>
      </c>
      <c r="E152" s="171">
        <f t="shared" si="30"/>
        <v>1929.26</v>
      </c>
      <c r="F152" s="171"/>
      <c r="G152" s="171">
        <f t="shared" si="31"/>
        <v>1929.26</v>
      </c>
      <c r="H152" s="172">
        <f t="shared" si="32"/>
        <v>1.3549811077246928E-3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'[30]Sch C'!D154</f>
        <v>0</v>
      </c>
      <c r="D153" s="501">
        <f>'[30]Sch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'[30]Sch C'!D156</f>
        <v>0</v>
      </c>
      <c r="D155" s="501">
        <f>'[30]Sch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'[30]Sch C'!D157</f>
        <v>294</v>
      </c>
      <c r="D156" s="501">
        <f>'[30]Sch C'!F157</f>
        <v>0</v>
      </c>
      <c r="E156" s="171">
        <f t="shared" si="33"/>
        <v>294</v>
      </c>
      <c r="F156" s="171"/>
      <c r="G156" s="171">
        <f t="shared" si="34"/>
        <v>294</v>
      </c>
      <c r="H156" s="172">
        <f t="shared" si="35"/>
        <v>2.0648561918614375E-4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'[30]Sch C'!D158</f>
        <v>225</v>
      </c>
      <c r="D157" s="501">
        <f>'[30]Sch C'!F158</f>
        <v>0</v>
      </c>
      <c r="E157" s="171">
        <f t="shared" si="33"/>
        <v>225</v>
      </c>
      <c r="F157" s="171"/>
      <c r="G157" s="171">
        <f t="shared" si="34"/>
        <v>225</v>
      </c>
      <c r="H157" s="172">
        <f t="shared" si="35"/>
        <v>1.5802470856082429E-4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'[30]Sch C'!D159</f>
        <v>0</v>
      </c>
      <c r="D158" s="501">
        <f>'[30]Sch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'[30]Sch C'!D160</f>
        <v>0</v>
      </c>
      <c r="D159" s="501">
        <f>'[30]Sch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'[30]Sch C'!D161</f>
        <v>0</v>
      </c>
      <c r="D160" s="501">
        <f>'[30]Sch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562725.74999999988</v>
      </c>
      <c r="D161" s="501">
        <f>SUM(D123:D160)</f>
        <v>49090.096164364339</v>
      </c>
      <c r="E161" s="171">
        <f t="shared" ref="E161" si="36">SUM(E123:E160)</f>
        <v>611815.84616436425</v>
      </c>
      <c r="F161" s="171">
        <f>SUM(F123:F160)</f>
        <v>0</v>
      </c>
      <c r="G161" s="171">
        <f>SUM(G123:G160)</f>
        <v>611815.84616436425</v>
      </c>
      <c r="H161" s="172">
        <f t="shared" si="35"/>
        <v>0.42969787014674565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'[30]Sch C'!D175</f>
        <v>0</v>
      </c>
      <c r="D164" s="501">
        <f>'[30]Sch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'[30]Sch C'!D176</f>
        <v>0</v>
      </c>
      <c r="D165" s="501">
        <f>'[30]Sch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'[30]Sch C'!D177</f>
        <v>0</v>
      </c>
      <c r="D166" s="501">
        <f>'[30]Sch C'!F177</f>
        <v>0</v>
      </c>
      <c r="E166" s="171">
        <f t="shared" si="37"/>
        <v>0</v>
      </c>
      <c r="F166" s="171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'[30]Sch C'!D178</f>
        <v>0</v>
      </c>
      <c r="D167" s="501">
        <f>'[30]Sch C'!F178</f>
        <v>0</v>
      </c>
      <c r="E167" s="171">
        <f t="shared" si="37"/>
        <v>0</v>
      </c>
      <c r="F167" s="171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'[30]Sch C'!D179</f>
        <v>0</v>
      </c>
      <c r="D168" s="501">
        <f>'[30]Sch C'!F179</f>
        <v>0</v>
      </c>
      <c r="E168" s="171">
        <f t="shared" si="37"/>
        <v>0</v>
      </c>
      <c r="F168" s="171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'[30]Sch C'!D180</f>
        <v>0</v>
      </c>
      <c r="D169" s="501">
        <f>'[30]Sch C'!F180</f>
        <v>0</v>
      </c>
      <c r="E169" s="171">
        <f t="shared" si="37"/>
        <v>0</v>
      </c>
      <c r="F169" s="171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'[30]Sch C'!D181</f>
        <v>0</v>
      </c>
      <c r="D170" s="501">
        <f>'[30]Sch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'[30]Sch C'!D182</f>
        <v>0</v>
      </c>
      <c r="D171" s="501">
        <f>'[30]Sch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'[30]Sch C'!D183</f>
        <v>0</v>
      </c>
      <c r="D172" s="501">
        <f>'[30]Sch C'!F183</f>
        <v>0</v>
      </c>
      <c r="E172" s="171">
        <f t="shared" si="37"/>
        <v>0</v>
      </c>
      <c r="F172" s="171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'[30]Sch C'!D184</f>
        <v>0</v>
      </c>
      <c r="D173" s="501">
        <f>'[30]Sch C'!F184</f>
        <v>0</v>
      </c>
      <c r="E173" s="171">
        <f t="shared" si="37"/>
        <v>0</v>
      </c>
      <c r="F173" s="171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'[30]Sch C'!D185</f>
        <v>0</v>
      </c>
      <c r="D174" s="501">
        <f>'[30]Sch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'[30]Sch C'!D186</f>
        <v>0</v>
      </c>
      <c r="D175" s="501">
        <f>'[30]Sch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'[30]Sch C'!D187</f>
        <v>0</v>
      </c>
      <c r="D176" s="501">
        <f>'[30]Sch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'[30]Sch C'!D188</f>
        <v>0</v>
      </c>
      <c r="D177" s="501">
        <f>'[30]Sch C'!F188</f>
        <v>0</v>
      </c>
      <c r="E177" s="171">
        <f t="shared" si="37"/>
        <v>0</v>
      </c>
      <c r="F177" s="171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'[30]Sch C'!D189</f>
        <v>0</v>
      </c>
      <c r="D178" s="501">
        <f>'[30]Sch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'[30]Sch C'!D190</f>
        <v>0</v>
      </c>
      <c r="D179" s="501">
        <f>'[30]Sch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'[30]Sch C'!D191</f>
        <v>0</v>
      </c>
      <c r="D180" s="501">
        <f>'[30]Sch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'[30]Sch C'!D192</f>
        <v>0</v>
      </c>
      <c r="D181" s="501">
        <f>'[30]Sch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'[30]Sch C'!D193</f>
        <v>443</v>
      </c>
      <c r="D182" s="501">
        <f>'[30]Sch C'!F193</f>
        <v>0</v>
      </c>
      <c r="E182" s="171">
        <f t="shared" si="37"/>
        <v>443</v>
      </c>
      <c r="F182" s="171"/>
      <c r="G182" s="171">
        <f t="shared" si="38"/>
        <v>443</v>
      </c>
      <c r="H182" s="172">
        <f t="shared" si="39"/>
        <v>3.1113309285531182E-4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'[30]Sch C'!D194</f>
        <v>30994.55</v>
      </c>
      <c r="D183" s="501">
        <f>'[30]Sch C'!F194</f>
        <v>-15498</v>
      </c>
      <c r="E183" s="171">
        <f t="shared" si="37"/>
        <v>15496.55</v>
      </c>
      <c r="F183" s="171"/>
      <c r="G183" s="171">
        <f t="shared" si="38"/>
        <v>15496.55</v>
      </c>
      <c r="H183" s="172">
        <f t="shared" si="39"/>
        <v>1.0883723544214408E-2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'[30]Sch C'!D195</f>
        <v>1804</v>
      </c>
      <c r="D184" s="501">
        <f>'[30]Sch C'!F195</f>
        <v>-902</v>
      </c>
      <c r="E184" s="171">
        <f t="shared" si="37"/>
        <v>902</v>
      </c>
      <c r="F184" s="171"/>
      <c r="G184" s="171">
        <f t="shared" si="38"/>
        <v>902</v>
      </c>
      <c r="H184" s="172">
        <f t="shared" si="39"/>
        <v>6.3350349831939345E-4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'[30]Sch C'!D196</f>
        <v>0</v>
      </c>
      <c r="D185" s="501">
        <f>'[30]Sch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'[30]Sch C'!D197</f>
        <v>22657.3</v>
      </c>
      <c r="D186" s="501">
        <f>'[30]Sch C'!F197</f>
        <v>-11329</v>
      </c>
      <c r="E186" s="171">
        <f t="shared" si="37"/>
        <v>11328.3</v>
      </c>
      <c r="F186" s="171"/>
      <c r="G186" s="171">
        <f t="shared" si="38"/>
        <v>11328.3</v>
      </c>
      <c r="H186" s="172">
        <f t="shared" si="39"/>
        <v>7.9562280266203805E-3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'[30]Sch C'!D198</f>
        <v>4629.07</v>
      </c>
      <c r="D187" s="501">
        <f>'[30]Sch C'!F198</f>
        <v>0</v>
      </c>
      <c r="E187" s="171">
        <f t="shared" si="37"/>
        <v>4629.07</v>
      </c>
      <c r="F187" s="171"/>
      <c r="G187" s="171">
        <f t="shared" si="38"/>
        <v>4629.07</v>
      </c>
      <c r="H187" s="172">
        <f t="shared" si="39"/>
        <v>3.2511441673673549E-3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'[30]Sch C'!D199</f>
        <v>0</v>
      </c>
      <c r="D188" s="501">
        <f>'[30]Sch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'[30]Sch C'!D200</f>
        <v>787</v>
      </c>
      <c r="D189" s="501">
        <f>'[30]Sch C'!F200</f>
        <v>0</v>
      </c>
      <c r="E189" s="171">
        <f t="shared" si="37"/>
        <v>787</v>
      </c>
      <c r="F189" s="171"/>
      <c r="G189" s="171">
        <f t="shared" si="38"/>
        <v>787</v>
      </c>
      <c r="H189" s="172">
        <f t="shared" si="39"/>
        <v>5.5273531394386098E-4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'[30]Sch C'!D201</f>
        <v>0</v>
      </c>
      <c r="D190" s="501">
        <f>'[30]Sch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'[30]Sch C'!D202</f>
        <v>0</v>
      </c>
      <c r="D191" s="501">
        <f>'[30]Sch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'[30]Sch C'!D203</f>
        <v>0</v>
      </c>
      <c r="D192" s="501">
        <f>'[30]Sch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'[30]Sch C'!D204</f>
        <v>0</v>
      </c>
      <c r="D193" s="501">
        <f>'[30]Sch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'[30]Sch C'!D205</f>
        <v>16143.89</v>
      </c>
      <c r="D194" s="501">
        <f>'[30]Sch C'!F205</f>
        <v>0</v>
      </c>
      <c r="E194" s="171">
        <f t="shared" si="37"/>
        <v>16143.89</v>
      </c>
      <c r="F194" s="171"/>
      <c r="G194" s="171">
        <f t="shared" si="38"/>
        <v>16143.89</v>
      </c>
      <c r="H194" s="172">
        <f t="shared" si="39"/>
        <v>1.1338371165724469E-2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'[30]Sch C'!D206</f>
        <v>225.25</v>
      </c>
      <c r="D195" s="501">
        <f>'[30]Sch C'!F206</f>
        <v>0</v>
      </c>
      <c r="E195" s="171">
        <f t="shared" si="37"/>
        <v>225.25</v>
      </c>
      <c r="F195" s="171"/>
      <c r="G195" s="171">
        <f t="shared" si="38"/>
        <v>225.25</v>
      </c>
      <c r="H195" s="172">
        <f t="shared" si="39"/>
        <v>1.5820029157033631E-4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'[30]Sch C'!D207</f>
        <v>0</v>
      </c>
      <c r="D196" s="501">
        <f>'[30]Sch C'!F207</f>
        <v>0</v>
      </c>
      <c r="E196" s="171">
        <f t="shared" si="37"/>
        <v>0</v>
      </c>
      <c r="F196" s="171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77684.06</v>
      </c>
      <c r="D197" s="501">
        <f>SUM(D164:D196)</f>
        <v>-27729</v>
      </c>
      <c r="E197" s="171">
        <f t="shared" ref="E197" si="40">SUM(E164:E196)</f>
        <v>49955.06</v>
      </c>
      <c r="F197" s="171">
        <f>SUM(F164:F196)</f>
        <v>0</v>
      </c>
      <c r="G197" s="171">
        <f>SUM(G164:G196)</f>
        <v>49955.06</v>
      </c>
      <c r="H197" s="172">
        <f>IF($G$208=0,0,G197/$G$208)</f>
        <v>3.5085039100615514E-2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'[30]Sch C'!D211</f>
        <v>57166.03</v>
      </c>
      <c r="D200" s="501">
        <f>'[30]Sch C'!F211</f>
        <v>0</v>
      </c>
      <c r="E200" s="171">
        <f t="shared" ref="E200:E205" si="41">C200+D200</f>
        <v>57166.03</v>
      </c>
      <c r="F200" s="171"/>
      <c r="G200" s="171">
        <f t="shared" ref="G200:G205" si="42">E200+F200</f>
        <v>57166.03</v>
      </c>
      <c r="H200" s="172">
        <f t="shared" ref="H200:H206" si="43">IF($G$208=0,0,G200/$G$208)</f>
        <v>4.0149534357019283E-2</v>
      </c>
      <c r="I200" s="473"/>
      <c r="J200" s="183">
        <v>3154.88</v>
      </c>
      <c r="K200" s="183">
        <v>3576.73</v>
      </c>
    </row>
    <row r="201" spans="1:14" s="167" customFormat="1">
      <c r="A201" s="169" t="s">
        <v>86</v>
      </c>
      <c r="B201" s="170" t="s">
        <v>45</v>
      </c>
      <c r="C201" s="501">
        <f>'[30]Sch C'!D212</f>
        <v>0</v>
      </c>
      <c r="D201" s="501">
        <f>'[30]Sch C'!F212</f>
        <v>5353.1865898958849</v>
      </c>
      <c r="E201" s="171">
        <f t="shared" si="41"/>
        <v>5353.1865898958849</v>
      </c>
      <c r="F201" s="171"/>
      <c r="G201" s="171">
        <f t="shared" si="42"/>
        <v>5353.1865898958849</v>
      </c>
      <c r="H201" s="172">
        <f t="shared" si="43"/>
        <v>3.7597144477333781E-3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'[30]Sch C'!D213</f>
        <v>1435</v>
      </c>
      <c r="D202" s="501">
        <f>'[30]Sch C'!F213</f>
        <v>0</v>
      </c>
      <c r="E202" s="171">
        <f t="shared" si="41"/>
        <v>1435</v>
      </c>
      <c r="F202" s="171"/>
      <c r="G202" s="171">
        <f t="shared" si="42"/>
        <v>1435</v>
      </c>
      <c r="H202" s="172">
        <f t="shared" si="43"/>
        <v>1.0078464745990349E-3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'[30]Sch C'!D214</f>
        <v>0</v>
      </c>
      <c r="D203" s="501">
        <f>'[30]Sch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'[30]Sch C'!D215</f>
        <v>0</v>
      </c>
      <c r="D204" s="501">
        <f>'[30]Sch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'[30]Sch C'!D216</f>
        <v>1665.34</v>
      </c>
      <c r="D205" s="501">
        <f>'[30]Sch C'!F216</f>
        <v>0</v>
      </c>
      <c r="E205" s="171">
        <f t="shared" si="41"/>
        <v>1665.34</v>
      </c>
      <c r="F205" s="171"/>
      <c r="G205" s="171">
        <f t="shared" si="42"/>
        <v>1665.34</v>
      </c>
      <c r="H205" s="172">
        <f t="shared" si="43"/>
        <v>1.1696216362430361E-3</v>
      </c>
      <c r="I205" s="472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60266.369999999995</v>
      </c>
      <c r="D206" s="501">
        <f>SUM(D200:D205)</f>
        <v>5353.1865898958849</v>
      </c>
      <c r="E206" s="171">
        <f t="shared" ref="E206:F206" si="44">SUM(E200:E205)</f>
        <v>65619.556589895888</v>
      </c>
      <c r="F206" s="171">
        <f t="shared" si="44"/>
        <v>0</v>
      </c>
      <c r="G206" s="171">
        <f>SUM(G200:G205)</f>
        <v>65619.556589895888</v>
      </c>
      <c r="H206" s="172">
        <f t="shared" si="43"/>
        <v>4.6086716915594732E-2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1435867.5999999999</v>
      </c>
      <c r="D208" s="501">
        <f>SUM(D25:D206)/2</f>
        <v>-12039.630000000012</v>
      </c>
      <c r="E208" s="171">
        <f t="shared" ref="E208:F208" si="45">SUM(E25:E206)/2</f>
        <v>1423827.9699999995</v>
      </c>
      <c r="F208" s="171">
        <f t="shared" si="45"/>
        <v>0</v>
      </c>
      <c r="G208" s="171">
        <f>SUM(G25:G206)/2</f>
        <v>1423827.9699999995</v>
      </c>
      <c r="H208" s="172">
        <f>IF($G$208=0,0,G208/$G$208)</f>
        <v>1</v>
      </c>
      <c r="I208" s="473"/>
      <c r="J208" s="183">
        <f>SUM(J25:J200)</f>
        <v>50439.18</v>
      </c>
      <c r="K208" s="183">
        <f>SUM(K25:K200)</f>
        <v>54979.41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'[30]Sch C'!D221</f>
        <v>1435867.6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-99936.969999999972</v>
      </c>
      <c r="D215" s="501">
        <f>D21-D208</f>
        <v>12039.630000000012</v>
      </c>
      <c r="E215" s="171">
        <f t="shared" ref="E215:F215" si="46">E21-E208</f>
        <v>-87897.339999999618</v>
      </c>
      <c r="F215" s="171">
        <f t="shared" si="46"/>
        <v>0</v>
      </c>
      <c r="G215" s="171">
        <f>G21-G208</f>
        <v>-87897.339999999618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'[30]Sch D'!C9</f>
        <v>5587</v>
      </c>
      <c r="D219" s="530"/>
      <c r="E219" s="234">
        <f t="shared" ref="E219:G227" si="47">C219+D219</f>
        <v>5587</v>
      </c>
      <c r="F219" s="233"/>
      <c r="G219" s="234">
        <f t="shared" si="47"/>
        <v>5587</v>
      </c>
      <c r="H219" s="172">
        <f t="shared" ref="H219:H228" si="48">IF($G$228=0,0,G219/$G$228)</f>
        <v>0.69171722174074535</v>
      </c>
      <c r="I219" s="473"/>
      <c r="J219" s="168"/>
      <c r="K219" s="168"/>
    </row>
    <row r="220" spans="1:11">
      <c r="A220" s="163"/>
      <c r="B220" s="170" t="s">
        <v>217</v>
      </c>
      <c r="C220" s="530">
        <f>'[30]Sch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'[30]Sch D'!E9</f>
        <v>371</v>
      </c>
      <c r="D221" s="530"/>
      <c r="E221" s="234">
        <f t="shared" si="49"/>
        <v>371</v>
      </c>
      <c r="F221" s="233"/>
      <c r="G221" s="234">
        <f t="shared" si="47"/>
        <v>371</v>
      </c>
      <c r="H221" s="172">
        <f t="shared" si="48"/>
        <v>4.593289587718212E-2</v>
      </c>
      <c r="I221" s="473"/>
      <c r="J221" s="168"/>
      <c r="K221" s="168"/>
    </row>
    <row r="222" spans="1:11">
      <c r="A222" s="163"/>
      <c r="B222" s="202" t="s">
        <v>334</v>
      </c>
      <c r="C222" s="530">
        <f>'[30]Sch D'!F9</f>
        <v>0</v>
      </c>
      <c r="D222" s="530"/>
      <c r="E222" s="234">
        <f>C222+D222</f>
        <v>0</v>
      </c>
      <c r="F222" s="233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'[30]Sch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'[30]Sch D'!H9</f>
        <v>1937</v>
      </c>
      <c r="D224" s="530"/>
      <c r="E224" s="234">
        <f t="shared" si="49"/>
        <v>1937</v>
      </c>
      <c r="F224" s="233"/>
      <c r="G224" s="234">
        <f t="shared" si="47"/>
        <v>1937</v>
      </c>
      <c r="H224" s="172">
        <f t="shared" si="48"/>
        <v>0.23981676364987001</v>
      </c>
      <c r="I224" s="473"/>
      <c r="J224" s="168"/>
      <c r="K224" s="168"/>
    </row>
    <row r="225" spans="1:11">
      <c r="A225" s="163"/>
      <c r="B225" s="170" t="s">
        <v>236</v>
      </c>
      <c r="C225" s="530">
        <f>'[30]Sch D'!I9</f>
        <v>8</v>
      </c>
      <c r="D225" s="530"/>
      <c r="E225" s="234">
        <f t="shared" si="49"/>
        <v>8</v>
      </c>
      <c r="F225" s="233"/>
      <c r="G225" s="234">
        <f t="shared" si="47"/>
        <v>8</v>
      </c>
      <c r="H225" s="172">
        <f t="shared" si="48"/>
        <v>9.9046675745945276E-4</v>
      </c>
      <c r="I225" s="472"/>
      <c r="J225" s="168"/>
      <c r="K225" s="168"/>
    </row>
    <row r="226" spans="1:11">
      <c r="A226" s="163"/>
      <c r="B226" s="170" t="s">
        <v>235</v>
      </c>
      <c r="C226" s="530">
        <f>'[30]Sch D'!J9</f>
        <v>174</v>
      </c>
      <c r="D226" s="530"/>
      <c r="E226" s="234">
        <f>C226+D226</f>
        <v>174</v>
      </c>
      <c r="F226" s="233"/>
      <c r="G226" s="234">
        <f>E226+F226</f>
        <v>174</v>
      </c>
      <c r="H226" s="172">
        <f t="shared" si="48"/>
        <v>2.1542651974743098E-2</v>
      </c>
      <c r="I226" s="472"/>
      <c r="J226" s="168"/>
      <c r="K226" s="168"/>
    </row>
    <row r="227" spans="1:11">
      <c r="A227" s="163"/>
      <c r="B227" s="170" t="s">
        <v>179</v>
      </c>
      <c r="C227" s="530">
        <f>'[30]Sch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8077</v>
      </c>
      <c r="D228" s="530">
        <f>SUM(D219:D227)</f>
        <v>0</v>
      </c>
      <c r="E228" s="236">
        <f>SUM(E219:E227)</f>
        <v>8077</v>
      </c>
      <c r="F228" s="236">
        <f>SUM(F219:F227)</f>
        <v>0</v>
      </c>
      <c r="G228" s="236">
        <f>SUM(G219:G227)</f>
        <v>8077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457"/>
      <c r="J230" s="168"/>
      <c r="K230" s="168"/>
    </row>
    <row r="231" spans="1:11">
      <c r="A231" s="163"/>
      <c r="B231" s="202" t="s">
        <v>219</v>
      </c>
      <c r="C231" s="531">
        <f>'[30]Sch D'!N22</f>
        <v>44</v>
      </c>
      <c r="D231" s="502"/>
      <c r="E231" s="234">
        <f>C231+D231</f>
        <v>44</v>
      </c>
      <c r="F231" s="234"/>
      <c r="G231" s="234">
        <f>E231+F231</f>
        <v>44</v>
      </c>
      <c r="H231" s="421" t="s">
        <v>612</v>
      </c>
      <c r="J231" s="168"/>
      <c r="K231" s="168"/>
    </row>
    <row r="232" spans="1:11">
      <c r="A232" s="163"/>
      <c r="B232" s="202" t="s">
        <v>290</v>
      </c>
      <c r="C232" s="531">
        <f>'[30]Sch D'!N24</f>
        <v>31</v>
      </c>
      <c r="D232" s="502"/>
      <c r="E232" s="234">
        <f>C232+D232</f>
        <v>31</v>
      </c>
      <c r="F232" s="234"/>
      <c r="G232" s="234">
        <f>E232+F232</f>
        <v>31</v>
      </c>
      <c r="H232" s="457" t="s">
        <v>613</v>
      </c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 t="s">
        <v>614</v>
      </c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J234" s="168"/>
      <c r="K234" s="168"/>
    </row>
    <row r="235" spans="1:11" ht="26">
      <c r="A235" s="163"/>
      <c r="B235" s="241" t="s">
        <v>335</v>
      </c>
      <c r="C235" s="531">
        <f>'[30]Sch D'!N28</f>
        <v>16060</v>
      </c>
      <c r="D235" s="438"/>
      <c r="E235" s="233">
        <f>E231*E233</f>
        <v>16060</v>
      </c>
      <c r="F235" s="238"/>
      <c r="G235" s="233">
        <f>G231*G233</f>
        <v>16060</v>
      </c>
      <c r="H235" s="167"/>
      <c r="J235" s="168"/>
      <c r="K235" s="168"/>
    </row>
    <row r="236" spans="1:11" ht="26">
      <c r="A236" s="163"/>
      <c r="B236" s="241" t="s">
        <v>336</v>
      </c>
      <c r="C236" s="532">
        <f>'[30]Sch D'!N30</f>
        <v>0.5029265255292652</v>
      </c>
      <c r="D236" s="238"/>
      <c r="E236" s="242">
        <f>E228/E235</f>
        <v>0.5029265255292652</v>
      </c>
      <c r="F236" s="243"/>
      <c r="G236" s="242">
        <f>G228/G235</f>
        <v>0.5029265255292652</v>
      </c>
      <c r="H236" s="167"/>
      <c r="J236" s="168"/>
      <c r="K236" s="168"/>
    </row>
    <row r="237" spans="1:11" ht="26">
      <c r="A237" s="163"/>
      <c r="B237" s="241" t="s">
        <v>337</v>
      </c>
      <c r="C237" s="532">
        <f>'[30]Sch D'!N32</f>
        <v>0.34788293897882938</v>
      </c>
      <c r="D237" s="238"/>
      <c r="E237" s="242">
        <f>(E219+E220)/E235</f>
        <v>0.34788293897882938</v>
      </c>
      <c r="F237" s="243"/>
      <c r="G237" s="242">
        <f>(G219+G220)/G235</f>
        <v>0.34788293897882938</v>
      </c>
      <c r="H237" s="167"/>
      <c r="J237" s="168"/>
      <c r="K237" s="168"/>
    </row>
    <row r="238" spans="1:11" ht="26">
      <c r="A238" s="163"/>
      <c r="B238" s="241" t="s">
        <v>338</v>
      </c>
      <c r="C238" s="532">
        <f>'[30]Sch D'!N34</f>
        <v>0.69171722174074535</v>
      </c>
      <c r="D238" s="238"/>
      <c r="E238" s="242">
        <f>(E237/E236)</f>
        <v>0.69171722174074535</v>
      </c>
      <c r="F238" s="243"/>
      <c r="G238" s="242">
        <f>(G237/G236)</f>
        <v>0.69171722174074535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01">
        <f>'[30]Sch B'!C85</f>
        <v>128.59787822878229</v>
      </c>
    </row>
    <row r="242" spans="2:7">
      <c r="F242" s="142" t="s">
        <v>341</v>
      </c>
      <c r="G242" s="501">
        <f>'[30]Sch B'!E85</f>
        <v>134.37293525179857</v>
      </c>
    </row>
    <row r="243" spans="2:7" ht="16.5">
      <c r="B243" s="485"/>
      <c r="F243" s="142" t="s">
        <v>342</v>
      </c>
      <c r="G243" s="501">
        <f>'[30]Sch B'!G85</f>
        <v>137.4924824355972</v>
      </c>
    </row>
    <row r="244" spans="2:7" ht="16.5">
      <c r="B244" s="485"/>
      <c r="F244" s="142" t="s">
        <v>343</v>
      </c>
      <c r="G244" s="501">
        <f>'[30]Sch B'!I85</f>
        <v>152.19304029304027</v>
      </c>
    </row>
    <row r="245" spans="2:7" ht="16.5">
      <c r="B245" s="485"/>
      <c r="F245" s="142"/>
    </row>
  </sheetData>
  <customSheetViews>
    <customSheetView guid="{8B6AA640-12E9-11D5-ABB1-E7A21A3D4A14}" showGridLines="0" showRuler="0">
      <selection activeCell="A9" sqref="A9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D9" sqref="D9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0">
    <tabColor rgb="FFE28CAB"/>
  </sheetPr>
  <dimension ref="A1:O246"/>
  <sheetViews>
    <sheetView showGridLines="0" topLeftCell="A30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365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'[31]Sch B'!E10</f>
        <v>2144097</v>
      </c>
      <c r="D11" s="501">
        <f>'[31]Sch B'!G10</f>
        <v>0</v>
      </c>
      <c r="E11" s="171">
        <f>C11+D11</f>
        <v>2144097</v>
      </c>
      <c r="F11" s="171"/>
      <c r="G11" s="171">
        <f t="shared" ref="G11:G20" si="0">E11+F11</f>
        <v>2144097</v>
      </c>
      <c r="H11" s="172">
        <f t="shared" ref="H11:H21" si="1">IF($G$21=0,0,G11/$G$21)</f>
        <v>0.33100073792534912</v>
      </c>
      <c r="I11" s="473"/>
      <c r="J11" s="336" t="s">
        <v>344</v>
      </c>
      <c r="K11" s="337">
        <f>G21</f>
        <v>6477620</v>
      </c>
    </row>
    <row r="12" spans="1:11" s="167" customFormat="1">
      <c r="A12" s="169" t="s">
        <v>15</v>
      </c>
      <c r="B12" s="170" t="s">
        <v>212</v>
      </c>
      <c r="C12" s="501">
        <f>'[31]Sch B'!E15</f>
        <v>0</v>
      </c>
      <c r="D12" s="501">
        <f>'[31]Sch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6927045.5725456299</v>
      </c>
    </row>
    <row r="13" spans="1:11" s="167" customFormat="1">
      <c r="A13" s="169" t="s">
        <v>16</v>
      </c>
      <c r="B13" s="170" t="s">
        <v>170</v>
      </c>
      <c r="C13" s="501">
        <f>'[31]Sch B'!E21</f>
        <v>1958128</v>
      </c>
      <c r="D13" s="501">
        <f>'[31]Sch B'!G21</f>
        <v>0</v>
      </c>
      <c r="E13" s="171">
        <f t="shared" si="2"/>
        <v>1958128</v>
      </c>
      <c r="F13" s="171"/>
      <c r="G13" s="171">
        <f t="shared" si="0"/>
        <v>1958128</v>
      </c>
      <c r="H13" s="172">
        <f t="shared" si="1"/>
        <v>0.30229127364680236</v>
      </c>
      <c r="I13" s="473"/>
      <c r="J13" s="338" t="s">
        <v>346</v>
      </c>
      <c r="K13" s="339">
        <f>G228</f>
        <v>26339</v>
      </c>
    </row>
    <row r="14" spans="1:11" s="167" customFormat="1">
      <c r="A14" s="173" t="s">
        <v>18</v>
      </c>
      <c r="B14" s="174" t="s">
        <v>306</v>
      </c>
      <c r="C14" s="501">
        <f>'[31]Sch B'!E27</f>
        <v>336257</v>
      </c>
      <c r="D14" s="501">
        <f>'[31]Sch B'!G27</f>
        <v>75565.28891809567</v>
      </c>
      <c r="E14" s="171">
        <f t="shared" si="2"/>
        <v>411822.28891809564</v>
      </c>
      <c r="F14" s="175"/>
      <c r="G14" s="175">
        <f>E14+F14</f>
        <v>411822.28891809564</v>
      </c>
      <c r="H14" s="176">
        <f t="shared" si="1"/>
        <v>6.3576172871841141E-2</v>
      </c>
      <c r="I14" s="479"/>
      <c r="J14" s="338" t="s">
        <v>347</v>
      </c>
      <c r="K14" s="339">
        <f>G231</f>
        <v>100</v>
      </c>
    </row>
    <row r="15" spans="1:11" s="167" customFormat="1">
      <c r="A15" s="169" t="s">
        <v>19</v>
      </c>
      <c r="B15" s="170" t="s">
        <v>171</v>
      </c>
      <c r="C15" s="501">
        <f>'[31]Sch B'!E32</f>
        <v>0</v>
      </c>
      <c r="D15" s="501">
        <f>'[31]Sch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36500</v>
      </c>
    </row>
    <row r="16" spans="1:11" s="167" customFormat="1">
      <c r="A16" s="169" t="s">
        <v>21</v>
      </c>
      <c r="B16" s="170" t="s">
        <v>172</v>
      </c>
      <c r="C16" s="501">
        <f>'[31]Sch B'!E37</f>
        <v>1158013</v>
      </c>
      <c r="D16" s="501">
        <f>'[31]Sch B'!G37</f>
        <v>0</v>
      </c>
      <c r="E16" s="171">
        <f t="shared" si="2"/>
        <v>1158013</v>
      </c>
      <c r="F16" s="171"/>
      <c r="G16" s="171">
        <f t="shared" si="0"/>
        <v>1158013</v>
      </c>
      <c r="H16" s="172">
        <f t="shared" si="1"/>
        <v>0.17877136973147545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'[31]Sch B'!E42</f>
        <v>291828</v>
      </c>
      <c r="D17" s="501">
        <f>'[31]Sch B'!G42</f>
        <v>201462.4095662171</v>
      </c>
      <c r="E17" s="171">
        <f t="shared" si="2"/>
        <v>493290.4095662171</v>
      </c>
      <c r="F17" s="171"/>
      <c r="G17" s="171">
        <f>E17+F17</f>
        <v>493290.4095662171</v>
      </c>
      <c r="H17" s="172">
        <f t="shared" si="1"/>
        <v>7.6153032991471734E-2</v>
      </c>
      <c r="I17" s="473"/>
      <c r="J17" s="338" t="s">
        <v>156</v>
      </c>
      <c r="K17" s="339">
        <f>J208</f>
        <v>164913.20142857145</v>
      </c>
    </row>
    <row r="18" spans="1:11" s="167" customFormat="1" ht="13.5" thickBot="1">
      <c r="A18" s="169" t="s">
        <v>216</v>
      </c>
      <c r="B18" s="170" t="s">
        <v>229</v>
      </c>
      <c r="C18" s="501">
        <f>'[31]Sch B'!E47</f>
        <v>0</v>
      </c>
      <c r="D18" s="501">
        <f>'[31]Sch B'!G47</f>
        <v>2109.5812240893106</v>
      </c>
      <c r="E18" s="171">
        <f t="shared" si="2"/>
        <v>2109.5812240893106</v>
      </c>
      <c r="F18" s="171"/>
      <c r="G18" s="171">
        <f>E18+F18</f>
        <v>2109.5812240893106</v>
      </c>
      <c r="H18" s="172">
        <f t="shared" si="1"/>
        <v>3.2567227223722766E-4</v>
      </c>
      <c r="I18" s="473"/>
      <c r="J18" s="341" t="s">
        <v>252</v>
      </c>
      <c r="K18" s="342">
        <f>K208</f>
        <v>179197.86428571428</v>
      </c>
    </row>
    <row r="19" spans="1:11" s="167" customFormat="1">
      <c r="A19" s="169" t="s">
        <v>227</v>
      </c>
      <c r="B19" s="177" t="s">
        <v>173</v>
      </c>
      <c r="C19" s="501">
        <f>'[31]Sch B'!E52</f>
        <v>599876</v>
      </c>
      <c r="D19" s="501">
        <f>'[31]Sch B'!G52</f>
        <v>-279137.27970840188</v>
      </c>
      <c r="E19" s="171">
        <f t="shared" si="2"/>
        <v>320738.72029159812</v>
      </c>
      <c r="F19" s="171"/>
      <c r="G19" s="171">
        <f t="shared" si="0"/>
        <v>320738.72029159812</v>
      </c>
      <c r="H19" s="172">
        <f t="shared" si="1"/>
        <v>4.9514902123248682E-2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'[31]Sch B'!E67</f>
        <v>-251211</v>
      </c>
      <c r="D20" s="501">
        <f>'[31]Sch B'!G67</f>
        <v>240632</v>
      </c>
      <c r="E20" s="171">
        <f t="shared" si="2"/>
        <v>-10579</v>
      </c>
      <c r="F20" s="171"/>
      <c r="G20" s="171">
        <f t="shared" si="0"/>
        <v>-10579</v>
      </c>
      <c r="H20" s="172">
        <f t="shared" si="1"/>
        <v>-1.6331615624257058E-3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6236988</v>
      </c>
      <c r="D21" s="501">
        <f>SUM(D11:D20)</f>
        <v>240632.00000000017</v>
      </c>
      <c r="E21" s="171">
        <f>SUM(E11:E20)</f>
        <v>6477620</v>
      </c>
      <c r="F21" s="171">
        <f>SUM(F11:F20)</f>
        <v>0</v>
      </c>
      <c r="G21" s="171">
        <f>SUM(G11:G20)</f>
        <v>6477620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'[31]Sch C'!D10</f>
        <v>149542</v>
      </c>
      <c r="D25" s="501">
        <f>'[31]Sch C'!F10</f>
        <v>-24005</v>
      </c>
      <c r="E25" s="171">
        <f t="shared" ref="E25:E60" si="3">C25+D25</f>
        <v>125537</v>
      </c>
      <c r="F25" s="171"/>
      <c r="G25" s="182">
        <f>E25+F25</f>
        <v>125537</v>
      </c>
      <c r="H25" s="172">
        <f>IF($G$208=0,0,G25/$G$208)</f>
        <v>1.8122733376772955E-2</v>
      </c>
      <c r="I25" s="473"/>
      <c r="J25" s="439">
        <v>1907</v>
      </c>
      <c r="K25" s="439">
        <v>1907</v>
      </c>
    </row>
    <row r="26" spans="1:11" s="167" customFormat="1">
      <c r="A26" s="169" t="s">
        <v>84</v>
      </c>
      <c r="B26" s="170" t="s">
        <v>176</v>
      </c>
      <c r="C26" s="501">
        <f>'[31]Sch C'!D11</f>
        <v>0</v>
      </c>
      <c r="D26" s="501">
        <f>'[31]Sch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439">
        <v>0</v>
      </c>
      <c r="K26" s="439">
        <v>0</v>
      </c>
    </row>
    <row r="27" spans="1:11" s="167" customFormat="1">
      <c r="A27" s="169" t="s">
        <v>85</v>
      </c>
      <c r="B27" s="170" t="s">
        <v>17</v>
      </c>
      <c r="C27" s="501">
        <f>'[31]Sch C'!D12</f>
        <v>134062</v>
      </c>
      <c r="D27" s="501">
        <f>'[31]Sch C'!F12</f>
        <v>73599.893387274817</v>
      </c>
      <c r="E27" s="171">
        <f t="shared" si="3"/>
        <v>207661.89338727482</v>
      </c>
      <c r="F27" s="171"/>
      <c r="G27" s="171">
        <f t="shared" si="4"/>
        <v>207661.89338727482</v>
      </c>
      <c r="H27" s="172">
        <f t="shared" si="5"/>
        <v>2.9978421711315643E-2</v>
      </c>
      <c r="I27" s="473"/>
      <c r="J27" s="439">
        <v>8517.1721428571436</v>
      </c>
      <c r="K27" s="439">
        <v>9423.7178571428558</v>
      </c>
    </row>
    <row r="28" spans="1:11" s="167" customFormat="1">
      <c r="A28" s="169" t="s">
        <v>86</v>
      </c>
      <c r="B28" s="170" t="s">
        <v>45</v>
      </c>
      <c r="C28" s="501">
        <f>'[31]Sch C'!D13</f>
        <v>258288</v>
      </c>
      <c r="D28" s="501">
        <f>'[31]Sch C'!F13</f>
        <v>-234090.48428571428</v>
      </c>
      <c r="E28" s="171">
        <f t="shared" si="3"/>
        <v>24197.515714285721</v>
      </c>
      <c r="F28" s="171"/>
      <c r="G28" s="171">
        <f t="shared" si="4"/>
        <v>24197.515714285721</v>
      </c>
      <c r="H28" s="172">
        <f t="shared" si="5"/>
        <v>3.493194242894715E-3</v>
      </c>
      <c r="I28" s="473"/>
      <c r="J28" s="461"/>
      <c r="K28" s="461"/>
    </row>
    <row r="29" spans="1:11" s="167" customFormat="1">
      <c r="A29" s="169" t="s">
        <v>175</v>
      </c>
      <c r="B29" s="170" t="s">
        <v>20</v>
      </c>
      <c r="C29" s="501">
        <f>'[31]Sch C'!D14</f>
        <v>0</v>
      </c>
      <c r="D29" s="501">
        <f>'[31]Sch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461"/>
      <c r="K29" s="461"/>
    </row>
    <row r="30" spans="1:11" s="167" customFormat="1">
      <c r="A30" s="169" t="s">
        <v>88</v>
      </c>
      <c r="B30" s="170" t="s">
        <v>22</v>
      </c>
      <c r="C30" s="501">
        <f>'[31]Sch C'!D15</f>
        <v>0</v>
      </c>
      <c r="D30" s="501">
        <f>'[31]Sch C'!F15</f>
        <v>239473.20844800002</v>
      </c>
      <c r="E30" s="171">
        <f t="shared" si="3"/>
        <v>239473.20844800002</v>
      </c>
      <c r="F30" s="171"/>
      <c r="G30" s="171">
        <f t="shared" si="4"/>
        <v>239473.20844800002</v>
      </c>
      <c r="H30" s="172">
        <f t="shared" si="5"/>
        <v>3.4570756889072358E-2</v>
      </c>
      <c r="I30" s="473"/>
      <c r="J30" s="461"/>
      <c r="K30" s="461"/>
    </row>
    <row r="31" spans="1:11" s="167" customFormat="1">
      <c r="A31" s="169" t="s">
        <v>89</v>
      </c>
      <c r="B31" s="170" t="s">
        <v>148</v>
      </c>
      <c r="C31" s="501">
        <f>'[31]Sch C'!D16</f>
        <v>0</v>
      </c>
      <c r="D31" s="501">
        <f>'[31]Sch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461"/>
      <c r="K31" s="461"/>
    </row>
    <row r="32" spans="1:11" s="167" customFormat="1">
      <c r="A32" s="169" t="s">
        <v>90</v>
      </c>
      <c r="B32" s="170" t="s">
        <v>23</v>
      </c>
      <c r="C32" s="501">
        <f>'[31]Sch C'!D17</f>
        <v>0</v>
      </c>
      <c r="D32" s="501">
        <f>'[31]Sch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461"/>
      <c r="K32" s="461"/>
    </row>
    <row r="33" spans="1:11" s="167" customFormat="1">
      <c r="A33" s="169" t="s">
        <v>91</v>
      </c>
      <c r="B33" s="170" t="s">
        <v>24</v>
      </c>
      <c r="C33" s="501">
        <f>'[31]Sch C'!D18</f>
        <v>23071</v>
      </c>
      <c r="D33" s="501">
        <f>'[31]Sch C'!F18</f>
        <v>0</v>
      </c>
      <c r="E33" s="171">
        <f t="shared" si="3"/>
        <v>23071</v>
      </c>
      <c r="F33" s="171"/>
      <c r="G33" s="171">
        <f t="shared" si="4"/>
        <v>23071</v>
      </c>
      <c r="H33" s="172">
        <f t="shared" si="5"/>
        <v>3.3305685314730222E-3</v>
      </c>
      <c r="I33" s="473"/>
      <c r="J33" s="461"/>
      <c r="K33" s="461"/>
    </row>
    <row r="34" spans="1:11" s="167" customFormat="1">
      <c r="A34" s="169" t="s">
        <v>92</v>
      </c>
      <c r="B34" s="170" t="s">
        <v>25</v>
      </c>
      <c r="C34" s="501">
        <f>'[31]Sch C'!D19</f>
        <v>21476</v>
      </c>
      <c r="D34" s="501">
        <f>'[31]Sch C'!F19</f>
        <v>-1826</v>
      </c>
      <c r="E34" s="171">
        <f t="shared" si="3"/>
        <v>19650</v>
      </c>
      <c r="F34" s="171"/>
      <c r="G34" s="171">
        <f t="shared" si="4"/>
        <v>19650</v>
      </c>
      <c r="H34" s="172">
        <f t="shared" si="5"/>
        <v>2.8367071927287457E-3</v>
      </c>
      <c r="I34" s="473"/>
      <c r="J34" s="461"/>
      <c r="K34" s="461"/>
    </row>
    <row r="35" spans="1:11" s="167" customFormat="1">
      <c r="A35" s="169" t="s">
        <v>93</v>
      </c>
      <c r="B35" s="170" t="s">
        <v>26</v>
      </c>
      <c r="C35" s="501">
        <f>'[31]Sch C'!D20</f>
        <v>21037</v>
      </c>
      <c r="D35" s="501">
        <f>'[31]Sch C'!F20</f>
        <v>-104.42</v>
      </c>
      <c r="E35" s="171">
        <f t="shared" si="3"/>
        <v>20932.580000000002</v>
      </c>
      <c r="F35" s="171"/>
      <c r="G35" s="171">
        <f t="shared" si="4"/>
        <v>20932.580000000002</v>
      </c>
      <c r="H35" s="172">
        <f t="shared" si="5"/>
        <v>3.0218626080595365E-3</v>
      </c>
      <c r="I35" s="473"/>
      <c r="J35" s="461"/>
      <c r="K35" s="461"/>
    </row>
    <row r="36" spans="1:11" s="167" customFormat="1">
      <c r="A36" s="169" t="s">
        <v>94</v>
      </c>
      <c r="B36" s="170" t="s">
        <v>27</v>
      </c>
      <c r="C36" s="501">
        <f>'[31]Sch C'!D21</f>
        <v>5994</v>
      </c>
      <c r="D36" s="501">
        <f>'[31]Sch C'!F21</f>
        <v>1596</v>
      </c>
      <c r="E36" s="171">
        <f t="shared" si="3"/>
        <v>7590</v>
      </c>
      <c r="F36" s="171"/>
      <c r="G36" s="171">
        <f t="shared" si="4"/>
        <v>7590</v>
      </c>
      <c r="H36" s="172">
        <f t="shared" si="5"/>
        <v>1.0957052210082024E-3</v>
      </c>
      <c r="I36" s="473"/>
      <c r="J36" s="461"/>
      <c r="K36" s="461"/>
    </row>
    <row r="37" spans="1:11" s="167" customFormat="1">
      <c r="A37" s="163">
        <v>130</v>
      </c>
      <c r="B37" s="170" t="s">
        <v>28</v>
      </c>
      <c r="C37" s="501">
        <f>'[31]Sch C'!D22</f>
        <v>0</v>
      </c>
      <c r="D37" s="501">
        <f>'[31]Sch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461"/>
      <c r="K37" s="461"/>
    </row>
    <row r="38" spans="1:11" s="167" customFormat="1">
      <c r="A38" s="163">
        <v>140</v>
      </c>
      <c r="B38" s="170" t="s">
        <v>149</v>
      </c>
      <c r="C38" s="501">
        <f>'[31]Sch C'!D23</f>
        <v>9571</v>
      </c>
      <c r="D38" s="501">
        <f>'[31]Sch C'!F23</f>
        <v>-3543.58</v>
      </c>
      <c r="E38" s="171">
        <f t="shared" si="3"/>
        <v>6027.42</v>
      </c>
      <c r="F38" s="171"/>
      <c r="G38" s="171">
        <f t="shared" si="4"/>
        <v>6027.42</v>
      </c>
      <c r="H38" s="172">
        <f t="shared" si="5"/>
        <v>8.7012853270214223E-4</v>
      </c>
      <c r="I38" s="473"/>
      <c r="J38" s="461"/>
      <c r="K38" s="461"/>
    </row>
    <row r="39" spans="1:11" s="167" customFormat="1">
      <c r="A39" s="163">
        <v>150</v>
      </c>
      <c r="B39" s="170" t="s">
        <v>29</v>
      </c>
      <c r="C39" s="501">
        <f>'[31]Sch C'!D24</f>
        <v>0</v>
      </c>
      <c r="D39" s="501">
        <f>'[31]Sch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461"/>
      <c r="K39" s="461"/>
    </row>
    <row r="40" spans="1:11" s="167" customFormat="1">
      <c r="A40" s="163">
        <v>160</v>
      </c>
      <c r="B40" s="170" t="s">
        <v>30</v>
      </c>
      <c r="C40" s="501">
        <f>'[31]Sch C'!D25</f>
        <v>0</v>
      </c>
      <c r="D40" s="501">
        <f>'[31]Sch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461"/>
      <c r="K40" s="461"/>
    </row>
    <row r="41" spans="1:11" s="167" customFormat="1">
      <c r="A41" s="163">
        <v>170</v>
      </c>
      <c r="B41" s="170" t="s">
        <v>31</v>
      </c>
      <c r="C41" s="501">
        <f>'[31]Sch C'!D26</f>
        <v>401410</v>
      </c>
      <c r="D41" s="501">
        <f>'[31]Sch C'!F26</f>
        <v>0</v>
      </c>
      <c r="E41" s="171">
        <f t="shared" si="3"/>
        <v>401410</v>
      </c>
      <c r="F41" s="171"/>
      <c r="G41" s="171">
        <f t="shared" si="4"/>
        <v>401410</v>
      </c>
      <c r="H41" s="172">
        <f t="shared" si="5"/>
        <v>5.7948225660724974E-2</v>
      </c>
      <c r="I41" s="473"/>
      <c r="J41" s="461"/>
      <c r="K41" s="461"/>
    </row>
    <row r="42" spans="1:11" s="167" customFormat="1">
      <c r="A42" s="163">
        <v>180</v>
      </c>
      <c r="B42" s="170" t="s">
        <v>32</v>
      </c>
      <c r="C42" s="501">
        <f>'[31]Sch C'!D27</f>
        <v>0</v>
      </c>
      <c r="D42" s="501">
        <f>'[31]Sch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461"/>
      <c r="K42" s="461"/>
    </row>
    <row r="43" spans="1:11" s="167" customFormat="1">
      <c r="A43" s="163">
        <v>190</v>
      </c>
      <c r="B43" s="170" t="s">
        <v>33</v>
      </c>
      <c r="C43" s="501">
        <f>'[31]Sch C'!D28</f>
        <v>0</v>
      </c>
      <c r="D43" s="501">
        <f>'[31]Sch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461"/>
      <c r="K43" s="461"/>
    </row>
    <row r="44" spans="1:11" s="167" customFormat="1">
      <c r="A44" s="163">
        <v>200</v>
      </c>
      <c r="B44" s="170" t="s">
        <v>34</v>
      </c>
      <c r="C44" s="501">
        <f>'[31]Sch C'!D29</f>
        <v>0</v>
      </c>
      <c r="D44" s="501">
        <f>'[31]Sch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461"/>
      <c r="K44" s="461"/>
    </row>
    <row r="45" spans="1:11" s="167" customFormat="1">
      <c r="A45" s="163">
        <v>210</v>
      </c>
      <c r="B45" s="170" t="s">
        <v>35</v>
      </c>
      <c r="C45" s="501">
        <f>'[31]Sch C'!D30</f>
        <v>0</v>
      </c>
      <c r="D45" s="501">
        <f>'[31]Sch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461"/>
      <c r="K45" s="461"/>
    </row>
    <row r="46" spans="1:11" s="167" customFormat="1">
      <c r="A46" s="163">
        <v>220</v>
      </c>
      <c r="B46" s="170" t="s">
        <v>190</v>
      </c>
      <c r="C46" s="501">
        <f>'[31]Sch C'!D31</f>
        <v>44826</v>
      </c>
      <c r="D46" s="501">
        <f>'[31]Sch C'!F31</f>
        <v>-44826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461"/>
      <c r="K46" s="461"/>
    </row>
    <row r="47" spans="1:11" s="167" customFormat="1">
      <c r="A47" s="163">
        <v>230</v>
      </c>
      <c r="B47" s="170" t="s">
        <v>191</v>
      </c>
      <c r="C47" s="501">
        <f>'[31]Sch C'!D32</f>
        <v>-1752</v>
      </c>
      <c r="D47" s="501">
        <f>'[31]Sch C'!F32</f>
        <v>64928</v>
      </c>
      <c r="E47" s="171">
        <f t="shared" si="3"/>
        <v>63176</v>
      </c>
      <c r="F47" s="171"/>
      <c r="G47" s="171">
        <f t="shared" si="4"/>
        <v>63176</v>
      </c>
      <c r="H47" s="172">
        <f t="shared" si="5"/>
        <v>9.1201940767344138E-3</v>
      </c>
      <c r="I47" s="473"/>
      <c r="J47" s="461"/>
      <c r="K47" s="461"/>
    </row>
    <row r="48" spans="1:11" s="167" customFormat="1">
      <c r="A48" s="163">
        <v>240</v>
      </c>
      <c r="B48" s="170" t="s">
        <v>201</v>
      </c>
      <c r="C48" s="501">
        <f>'[31]Sch C'!D33</f>
        <v>0</v>
      </c>
      <c r="D48" s="501">
        <f>'[31]Sch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461"/>
      <c r="K48" s="461"/>
    </row>
    <row r="49" spans="1:11" s="167" customFormat="1">
      <c r="A49" s="163">
        <v>250</v>
      </c>
      <c r="B49" s="170" t="s">
        <v>202</v>
      </c>
      <c r="C49" s="501">
        <f>'[31]Sch C'!D34</f>
        <v>2178</v>
      </c>
      <c r="D49" s="501">
        <f>'[31]Sch C'!F34</f>
        <v>0</v>
      </c>
      <c r="E49" s="171">
        <f t="shared" si="3"/>
        <v>2178</v>
      </c>
      <c r="F49" s="171"/>
      <c r="G49" s="171">
        <f t="shared" si="4"/>
        <v>2178</v>
      </c>
      <c r="H49" s="172">
        <f t="shared" si="5"/>
        <v>3.1441975907191895E-4</v>
      </c>
      <c r="I49" s="473"/>
      <c r="J49" s="461"/>
      <c r="K49" s="461"/>
    </row>
    <row r="50" spans="1:11" s="167" customFormat="1">
      <c r="A50" s="163">
        <v>270</v>
      </c>
      <c r="B50" s="170" t="s">
        <v>203</v>
      </c>
      <c r="C50" s="501">
        <f>'[31]Sch C'!D35</f>
        <v>263</v>
      </c>
      <c r="D50" s="501">
        <f>'[31]Sch C'!F35</f>
        <v>-263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461"/>
      <c r="K50" s="461"/>
    </row>
    <row r="51" spans="1:11" s="167" customFormat="1">
      <c r="A51" s="163">
        <v>280</v>
      </c>
      <c r="B51" s="170" t="s">
        <v>204</v>
      </c>
      <c r="C51" s="501">
        <f>'[31]Sch C'!D36</f>
        <v>0</v>
      </c>
      <c r="D51" s="501">
        <f>'[31]Sch C'!F36</f>
        <v>44762.270892857145</v>
      </c>
      <c r="E51" s="171">
        <f t="shared" si="3"/>
        <v>44762.270892857145</v>
      </c>
      <c r="F51" s="171"/>
      <c r="G51" s="171">
        <f t="shared" si="4"/>
        <v>44762.270892857145</v>
      </c>
      <c r="H51" s="172">
        <f t="shared" si="5"/>
        <v>6.4619570384040932E-3</v>
      </c>
      <c r="I51" s="473"/>
      <c r="J51" s="439">
        <v>1965.4157142857143</v>
      </c>
      <c r="K51" s="439">
        <v>2212.8192857142858</v>
      </c>
    </row>
    <row r="52" spans="1:11" s="167" customFormat="1">
      <c r="A52" s="163">
        <v>290</v>
      </c>
      <c r="B52" s="170" t="s">
        <v>205</v>
      </c>
      <c r="C52" s="501">
        <f>'[31]Sch C'!D37</f>
        <v>0</v>
      </c>
      <c r="D52" s="501">
        <f>'[31]Sch C'!F37</f>
        <v>6717.7211499685091</v>
      </c>
      <c r="E52" s="171">
        <f t="shared" si="3"/>
        <v>6717.7211499685091</v>
      </c>
      <c r="F52" s="171"/>
      <c r="G52" s="171">
        <f t="shared" si="4"/>
        <v>6717.7211499685091</v>
      </c>
      <c r="H52" s="172">
        <f t="shared" si="5"/>
        <v>9.6978157276649826E-4</v>
      </c>
      <c r="I52" s="473"/>
      <c r="J52" s="461"/>
      <c r="K52" s="461"/>
    </row>
    <row r="53" spans="1:11" s="167" customFormat="1">
      <c r="A53" s="163">
        <v>300</v>
      </c>
      <c r="B53" s="170" t="s">
        <v>206</v>
      </c>
      <c r="C53" s="501">
        <f>'[31]Sch C'!D38</f>
        <v>0</v>
      </c>
      <c r="D53" s="501">
        <f>'[31]Sch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461"/>
      <c r="K53" s="461"/>
    </row>
    <row r="54" spans="1:11" s="167" customFormat="1">
      <c r="A54" s="163">
        <v>310</v>
      </c>
      <c r="B54" s="170" t="s">
        <v>207</v>
      </c>
      <c r="C54" s="501">
        <f>'[31]Sch C'!D39</f>
        <v>4477</v>
      </c>
      <c r="D54" s="501">
        <f>'[31]Sch C'!F39</f>
        <v>0</v>
      </c>
      <c r="E54" s="171">
        <f t="shared" si="3"/>
        <v>4477</v>
      </c>
      <c r="F54" s="171"/>
      <c r="G54" s="171">
        <f t="shared" si="4"/>
        <v>4477</v>
      </c>
      <c r="H54" s="172">
        <f t="shared" si="5"/>
        <v>6.4630728253672236E-4</v>
      </c>
      <c r="I54" s="473"/>
      <c r="J54" s="461"/>
      <c r="K54" s="461"/>
    </row>
    <row r="55" spans="1:11" s="167" customFormat="1">
      <c r="A55" s="163">
        <v>320</v>
      </c>
      <c r="B55" s="170" t="s">
        <v>208</v>
      </c>
      <c r="C55" s="501">
        <f>'[31]Sch C'!D40</f>
        <v>152817</v>
      </c>
      <c r="D55" s="501">
        <f>'[31]Sch C'!F40</f>
        <v>-152817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461"/>
      <c r="K55" s="461"/>
    </row>
    <row r="56" spans="1:11" s="167" customFormat="1">
      <c r="A56" s="163">
        <v>330</v>
      </c>
      <c r="B56" s="170" t="s">
        <v>48</v>
      </c>
      <c r="C56" s="501">
        <f>'[31]Sch C'!D41</f>
        <v>492</v>
      </c>
      <c r="D56" s="501">
        <f>'[31]Sch C'!F41</f>
        <v>0</v>
      </c>
      <c r="E56" s="171">
        <f t="shared" si="3"/>
        <v>492</v>
      </c>
      <c r="F56" s="171"/>
      <c r="G56" s="171">
        <f t="shared" si="4"/>
        <v>492</v>
      </c>
      <c r="H56" s="172">
        <f t="shared" si="5"/>
        <v>7.1025951085116687E-5</v>
      </c>
      <c r="I56" s="473"/>
      <c r="J56" s="461"/>
      <c r="K56" s="461"/>
    </row>
    <row r="57" spans="1:11" s="167" customFormat="1">
      <c r="A57" s="163">
        <v>340</v>
      </c>
      <c r="B57" s="170" t="s">
        <v>209</v>
      </c>
      <c r="C57" s="501">
        <f>'[31]Sch C'!D42</f>
        <v>17648</v>
      </c>
      <c r="D57" s="501">
        <f>'[31]Sch C'!F42</f>
        <v>0</v>
      </c>
      <c r="E57" s="171">
        <f t="shared" si="3"/>
        <v>17648</v>
      </c>
      <c r="F57" s="171"/>
      <c r="G57" s="171">
        <f t="shared" si="4"/>
        <v>17648</v>
      </c>
      <c r="H57" s="172">
        <f t="shared" si="5"/>
        <v>2.5476950909555677E-3</v>
      </c>
      <c r="I57" s="473"/>
      <c r="J57" s="461"/>
      <c r="K57" s="461"/>
    </row>
    <row r="58" spans="1:11" s="167" customFormat="1">
      <c r="A58" s="163">
        <v>350</v>
      </c>
      <c r="B58" s="170" t="s">
        <v>210</v>
      </c>
      <c r="C58" s="501">
        <f>'[31]Sch C'!D43</f>
        <v>15346</v>
      </c>
      <c r="D58" s="501">
        <f>'[31]Sch C'!F43</f>
        <v>0</v>
      </c>
      <c r="E58" s="171">
        <f t="shared" si="3"/>
        <v>15346</v>
      </c>
      <c r="F58" s="171">
        <v>-15346</v>
      </c>
      <c r="G58" s="171">
        <f t="shared" si="4"/>
        <v>0</v>
      </c>
      <c r="H58" s="172">
        <f t="shared" si="5"/>
        <v>0</v>
      </c>
      <c r="I58" s="473" t="s">
        <v>719</v>
      </c>
      <c r="J58" s="461"/>
      <c r="K58" s="461"/>
    </row>
    <row r="59" spans="1:11" s="167" customFormat="1">
      <c r="A59" s="163">
        <v>360</v>
      </c>
      <c r="B59" s="170" t="s">
        <v>211</v>
      </c>
      <c r="C59" s="501">
        <f>'[31]Sch C'!D44</f>
        <v>1836</v>
      </c>
      <c r="D59" s="501">
        <f>'[31]Sch C'!F44</f>
        <v>0</v>
      </c>
      <c r="E59" s="171">
        <f t="shared" si="3"/>
        <v>1836</v>
      </c>
      <c r="F59" s="171"/>
      <c r="G59" s="171">
        <f t="shared" si="4"/>
        <v>1836</v>
      </c>
      <c r="H59" s="172">
        <f t="shared" si="5"/>
        <v>2.6504806136641102E-4</v>
      </c>
      <c r="I59" s="473"/>
      <c r="J59" s="461"/>
      <c r="K59" s="461"/>
    </row>
    <row r="60" spans="1:11" s="167" customFormat="1">
      <c r="A60" s="163">
        <v>490</v>
      </c>
      <c r="B60" s="170" t="s">
        <v>36</v>
      </c>
      <c r="C60" s="501">
        <f>'[31]Sch C'!D45</f>
        <v>74119</v>
      </c>
      <c r="D60" s="501">
        <f>'[31]Sch C'!F45</f>
        <v>-15106</v>
      </c>
      <c r="E60" s="171">
        <f t="shared" si="3"/>
        <v>59013</v>
      </c>
      <c r="F60" s="171"/>
      <c r="G60" s="171">
        <f t="shared" si="4"/>
        <v>59013</v>
      </c>
      <c r="H60" s="172">
        <f t="shared" si="5"/>
        <v>8.5192163646056716E-3</v>
      </c>
      <c r="I60" s="473"/>
      <c r="J60" s="461"/>
      <c r="K60" s="461"/>
    </row>
    <row r="61" spans="1:11" s="167" customFormat="1">
      <c r="A61" s="163"/>
      <c r="B61" s="170" t="s">
        <v>177</v>
      </c>
      <c r="C61" s="501">
        <f>SUM(C25:C60)</f>
        <v>1336701</v>
      </c>
      <c r="D61" s="501">
        <f>SUM(D25:D60)</f>
        <v>-45504.390407613799</v>
      </c>
      <c r="E61" s="171">
        <f t="shared" ref="E61:F61" si="6">SUM(E25:E60)</f>
        <v>1291196.6095923861</v>
      </c>
      <c r="F61" s="171">
        <f t="shared" si="6"/>
        <v>-15346</v>
      </c>
      <c r="G61" s="171">
        <f>SUM(G25:G60)</f>
        <v>1275850.6095923861</v>
      </c>
      <c r="H61" s="186">
        <f t="shared" si="5"/>
        <v>0.18418394916427869</v>
      </c>
      <c r="I61" s="480"/>
      <c r="J61" s="461"/>
      <c r="K61" s="461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461"/>
      <c r="K62" s="461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461"/>
      <c r="K63" s="461"/>
    </row>
    <row r="64" spans="1:11" s="167" customFormat="1">
      <c r="A64" s="188">
        <v>230</v>
      </c>
      <c r="B64" s="189" t="s">
        <v>253</v>
      </c>
      <c r="C64" s="501">
        <f>'[31]Sch C'!D57</f>
        <v>248793</v>
      </c>
      <c r="D64" s="501">
        <f>'[31]Sch C'!F57</f>
        <v>-244107</v>
      </c>
      <c r="E64" s="171">
        <f t="shared" ref="E64:E78" si="7">C64+D64</f>
        <v>4686</v>
      </c>
      <c r="F64" s="171"/>
      <c r="G64" s="171">
        <f t="shared" ref="G64:G78" si="8">E64+F64</f>
        <v>4686</v>
      </c>
      <c r="H64" s="172">
        <f t="shared" ref="H64:H79" si="9">IF($G$208=0,0,G64/$G$208)</f>
        <v>6.7647887557897716E-4</v>
      </c>
      <c r="I64" s="473"/>
      <c r="J64" s="462"/>
      <c r="K64" s="461"/>
    </row>
    <row r="65" spans="1:11" s="167" customFormat="1">
      <c r="A65" s="191">
        <v>240</v>
      </c>
      <c r="B65" s="189" t="s">
        <v>254</v>
      </c>
      <c r="C65" s="501">
        <f>'[31]Sch C'!D58</f>
        <v>0</v>
      </c>
      <c r="D65" s="501">
        <f>'[31]Sch C'!F58</f>
        <v>342649</v>
      </c>
      <c r="E65" s="171">
        <f t="shared" si="7"/>
        <v>342649</v>
      </c>
      <c r="F65" s="171"/>
      <c r="G65" s="171">
        <f t="shared" si="8"/>
        <v>342649</v>
      </c>
      <c r="H65" s="172">
        <f t="shared" si="9"/>
        <v>4.9465388441797042E-2</v>
      </c>
      <c r="I65" s="473"/>
      <c r="J65" s="462"/>
      <c r="K65" s="461"/>
    </row>
    <row r="66" spans="1:11" s="167" customFormat="1">
      <c r="A66" s="142">
        <v>250</v>
      </c>
      <c r="B66" s="189" t="s">
        <v>307</v>
      </c>
      <c r="C66" s="501">
        <f>'[31]Sch C'!D59</f>
        <v>0</v>
      </c>
      <c r="D66" s="501">
        <f>'[31]Sch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462"/>
      <c r="K66" s="461"/>
    </row>
    <row r="67" spans="1:11" s="167" customFormat="1">
      <c r="A67" s="142">
        <v>260</v>
      </c>
      <c r="B67" s="192" t="s">
        <v>308</v>
      </c>
      <c r="C67" s="501">
        <f>'[31]Sch C'!D60</f>
        <v>25658</v>
      </c>
      <c r="D67" s="501">
        <f>'[31]Sch C'!F60</f>
        <v>0</v>
      </c>
      <c r="E67" s="171">
        <f t="shared" si="7"/>
        <v>25658</v>
      </c>
      <c r="F67" s="171"/>
      <c r="G67" s="171">
        <f t="shared" si="8"/>
        <v>25658</v>
      </c>
      <c r="H67" s="172">
        <f t="shared" si="9"/>
        <v>3.7040322214266746E-3</v>
      </c>
      <c r="I67" s="473"/>
      <c r="J67" s="463"/>
      <c r="K67" s="461"/>
    </row>
    <row r="68" spans="1:11" s="167" customFormat="1">
      <c r="A68" s="142">
        <v>270</v>
      </c>
      <c r="B68" s="192" t="s">
        <v>309</v>
      </c>
      <c r="C68" s="501">
        <f>'[31]Sch C'!D61</f>
        <v>13723</v>
      </c>
      <c r="D68" s="501">
        <f>'[31]Sch C'!F61</f>
        <v>0</v>
      </c>
      <c r="E68" s="171">
        <f t="shared" si="7"/>
        <v>13723</v>
      </c>
      <c r="F68" s="171"/>
      <c r="G68" s="171">
        <f t="shared" si="8"/>
        <v>13723</v>
      </c>
      <c r="H68" s="172">
        <f t="shared" si="9"/>
        <v>1.9810754608558055E-3</v>
      </c>
      <c r="I68" s="473"/>
      <c r="J68" s="463"/>
      <c r="K68" s="461"/>
    </row>
    <row r="69" spans="1:11" s="167" customFormat="1">
      <c r="A69" s="142">
        <v>280</v>
      </c>
      <c r="B69" s="194" t="s">
        <v>258</v>
      </c>
      <c r="C69" s="501">
        <f>'[31]Sch C'!D62</f>
        <v>0</v>
      </c>
      <c r="D69" s="501">
        <f>'[31]Sch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464"/>
      <c r="K69" s="461"/>
    </row>
    <row r="70" spans="1:11" s="167" customFormat="1">
      <c r="A70" s="142">
        <v>290</v>
      </c>
      <c r="B70" s="194" t="s">
        <v>259</v>
      </c>
      <c r="C70" s="501">
        <f>'[31]Sch C'!D63</f>
        <v>0</v>
      </c>
      <c r="D70" s="501">
        <f>'[31]Sch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464"/>
      <c r="K70" s="461"/>
    </row>
    <row r="71" spans="1:11" s="167" customFormat="1">
      <c r="A71" s="142">
        <v>300</v>
      </c>
      <c r="B71" s="194" t="s">
        <v>260</v>
      </c>
      <c r="C71" s="501">
        <f>'[31]Sch C'!D64</f>
        <v>0</v>
      </c>
      <c r="D71" s="501">
        <f>'[31]Sch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464"/>
      <c r="K71" s="461"/>
    </row>
    <row r="72" spans="1:11" s="167" customFormat="1">
      <c r="A72" s="142">
        <v>310</v>
      </c>
      <c r="B72" s="194" t="s">
        <v>310</v>
      </c>
      <c r="C72" s="501">
        <f>'[31]Sch C'!D65</f>
        <v>3525</v>
      </c>
      <c r="D72" s="501">
        <f>'[31]Sch C'!F65</f>
        <v>-1350</v>
      </c>
      <c r="E72" s="171">
        <f t="shared" si="7"/>
        <v>2175</v>
      </c>
      <c r="F72" s="171"/>
      <c r="G72" s="171">
        <f t="shared" si="8"/>
        <v>2175</v>
      </c>
      <c r="H72" s="172">
        <f t="shared" si="9"/>
        <v>3.1398667400432678E-4</v>
      </c>
      <c r="I72" s="473"/>
      <c r="J72" s="464"/>
      <c r="K72" s="461"/>
    </row>
    <row r="73" spans="1:11" s="167" customFormat="1">
      <c r="A73" s="142">
        <v>320</v>
      </c>
      <c r="B73" s="194" t="s">
        <v>262</v>
      </c>
      <c r="C73" s="501">
        <f>'[31]Sch C'!D66</f>
        <v>1421</v>
      </c>
      <c r="D73" s="501">
        <f>'[31]Sch C'!F66</f>
        <v>0</v>
      </c>
      <c r="E73" s="171">
        <f t="shared" si="7"/>
        <v>1421</v>
      </c>
      <c r="F73" s="171"/>
      <c r="G73" s="171">
        <f t="shared" si="8"/>
        <v>1421</v>
      </c>
      <c r="H73" s="172">
        <f t="shared" si="9"/>
        <v>2.0513796034949352E-4</v>
      </c>
      <c r="I73" s="473"/>
      <c r="J73" s="464"/>
      <c r="K73" s="461"/>
    </row>
    <row r="74" spans="1:11" s="167" customFormat="1">
      <c r="A74" s="142">
        <v>330</v>
      </c>
      <c r="B74" s="194" t="s">
        <v>263</v>
      </c>
      <c r="C74" s="501">
        <f>'[31]Sch C'!D67</f>
        <v>96077</v>
      </c>
      <c r="D74" s="501">
        <f>'[31]Sch C'!F67</f>
        <v>32919</v>
      </c>
      <c r="E74" s="171">
        <f t="shared" si="7"/>
        <v>128996</v>
      </c>
      <c r="F74" s="171"/>
      <c r="G74" s="171">
        <f t="shared" si="8"/>
        <v>128996</v>
      </c>
      <c r="H74" s="172">
        <f t="shared" si="9"/>
        <v>1.862208045970673E-2</v>
      </c>
      <c r="I74" s="473"/>
      <c r="J74" s="464"/>
      <c r="K74" s="461"/>
    </row>
    <row r="75" spans="1:11" s="167" customFormat="1">
      <c r="A75" s="142">
        <v>340</v>
      </c>
      <c r="B75" s="194" t="s">
        <v>264</v>
      </c>
      <c r="C75" s="501">
        <f>'[31]Sch C'!D68</f>
        <v>248</v>
      </c>
      <c r="D75" s="501">
        <f>'[31]Sch C'!F68</f>
        <v>-12</v>
      </c>
      <c r="E75" s="171">
        <f t="shared" si="7"/>
        <v>236</v>
      </c>
      <c r="F75" s="171"/>
      <c r="G75" s="171">
        <f t="shared" si="8"/>
        <v>236</v>
      </c>
      <c r="H75" s="172">
        <f t="shared" si="9"/>
        <v>3.4069358650584426E-5</v>
      </c>
      <c r="I75" s="473"/>
      <c r="J75" s="464"/>
      <c r="K75" s="461"/>
    </row>
    <row r="76" spans="1:11" s="167" customFormat="1">
      <c r="A76" s="167">
        <v>350</v>
      </c>
      <c r="B76" s="194" t="s">
        <v>311</v>
      </c>
      <c r="C76" s="501">
        <f>'[31]Sch C'!D69</f>
        <v>3074</v>
      </c>
      <c r="D76" s="501">
        <f>'[31]Sch C'!F69</f>
        <v>2378</v>
      </c>
      <c r="E76" s="171">
        <f t="shared" si="7"/>
        <v>5452</v>
      </c>
      <c r="F76" s="171"/>
      <c r="G76" s="171">
        <f t="shared" si="8"/>
        <v>5452</v>
      </c>
      <c r="H76" s="172">
        <f t="shared" si="9"/>
        <v>7.8705992950417914E-4</v>
      </c>
      <c r="I76" s="473"/>
      <c r="J76" s="464"/>
      <c r="K76" s="461"/>
    </row>
    <row r="77" spans="1:11" s="167" customFormat="1">
      <c r="A77" s="142">
        <v>360</v>
      </c>
      <c r="B77" s="194" t="s">
        <v>192</v>
      </c>
      <c r="C77" s="501">
        <f>'[31]Sch C'!D70</f>
        <v>0</v>
      </c>
      <c r="D77" s="501">
        <f>'[31]Sch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464"/>
      <c r="K77" s="461"/>
    </row>
    <row r="78" spans="1:11" s="167" customFormat="1">
      <c r="A78" s="142">
        <v>490</v>
      </c>
      <c r="B78" s="194" t="s">
        <v>312</v>
      </c>
      <c r="C78" s="501">
        <f>'[31]Sch C'!D71</f>
        <v>0</v>
      </c>
      <c r="D78" s="501">
        <f>'[31]Sch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464"/>
      <c r="K78" s="461"/>
    </row>
    <row r="79" spans="1:11" s="167" customFormat="1">
      <c r="A79" s="163"/>
      <c r="B79" s="170" t="s">
        <v>150</v>
      </c>
      <c r="C79" s="501">
        <f>SUM(C64:C78)</f>
        <v>392519</v>
      </c>
      <c r="D79" s="501">
        <f>SUM(D64:D78)</f>
        <v>132477</v>
      </c>
      <c r="E79" s="171">
        <f t="shared" ref="E79:F79" si="10">SUM(E64:E78)</f>
        <v>524996</v>
      </c>
      <c r="F79" s="171">
        <f t="shared" si="10"/>
        <v>0</v>
      </c>
      <c r="G79" s="171">
        <f>SUM(G64:G78)</f>
        <v>524996</v>
      </c>
      <c r="H79" s="172">
        <f t="shared" si="9"/>
        <v>7.5789309381873823E-2</v>
      </c>
      <c r="I79" s="473"/>
      <c r="J79" s="464"/>
      <c r="K79" s="461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461"/>
      <c r="K80" s="461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461"/>
      <c r="K81" s="461"/>
    </row>
    <row r="82" spans="1:11" s="167" customFormat="1">
      <c r="A82" s="169" t="s">
        <v>85</v>
      </c>
      <c r="B82" s="148" t="s">
        <v>44</v>
      </c>
      <c r="C82" s="501">
        <f>'[31]Sch C'!D75</f>
        <v>87382</v>
      </c>
      <c r="D82" s="501">
        <f>'[31]Sch C'!F75</f>
        <v>6700.5414258400269</v>
      </c>
      <c r="E82" s="171">
        <f t="shared" ref="E82:E92" si="11">C82+D82</f>
        <v>94082.541425840027</v>
      </c>
      <c r="F82" s="171"/>
      <c r="G82" s="171">
        <f t="shared" ref="G82:G92" si="12">E82+F82</f>
        <v>94082.541425840027</v>
      </c>
      <c r="H82" s="172">
        <f t="shared" ref="H82:H93" si="13">IF($G$208=0,0,G82/$G$208)</f>
        <v>1.3581914604217841E-2</v>
      </c>
      <c r="I82" s="473"/>
      <c r="J82" s="439">
        <v>3876.2278571428574</v>
      </c>
      <c r="K82" s="439">
        <v>4454.085</v>
      </c>
    </row>
    <row r="83" spans="1:11" s="167" customFormat="1">
      <c r="A83" s="169" t="s">
        <v>86</v>
      </c>
      <c r="B83" s="199" t="s">
        <v>45</v>
      </c>
      <c r="C83" s="501">
        <f>'[31]Sch C'!D76</f>
        <v>7123</v>
      </c>
      <c r="D83" s="501">
        <f>'[31]Sch C'!F76</f>
        <v>0</v>
      </c>
      <c r="E83" s="171">
        <f t="shared" si="11"/>
        <v>7123</v>
      </c>
      <c r="F83" s="171"/>
      <c r="G83" s="171">
        <f t="shared" si="12"/>
        <v>7123</v>
      </c>
      <c r="H83" s="172">
        <f t="shared" si="13"/>
        <v>1.0282883121530207E-3</v>
      </c>
      <c r="I83" s="473"/>
      <c r="J83" s="461"/>
      <c r="K83" s="461"/>
    </row>
    <row r="84" spans="1:11" s="167" customFormat="1">
      <c r="A84" s="169" t="s">
        <v>93</v>
      </c>
      <c r="B84" s="199" t="s">
        <v>47</v>
      </c>
      <c r="C84" s="501">
        <f>'[31]Sch C'!D77</f>
        <v>15501</v>
      </c>
      <c r="D84" s="501">
        <f>'[31]Sch C'!F77</f>
        <v>-31.12</v>
      </c>
      <c r="E84" s="171">
        <f t="shared" si="11"/>
        <v>15469.88</v>
      </c>
      <c r="F84" s="171"/>
      <c r="G84" s="171">
        <f t="shared" si="12"/>
        <v>15469.88</v>
      </c>
      <c r="H84" s="172">
        <f t="shared" si="13"/>
        <v>2.2332580084809448E-3</v>
      </c>
      <c r="I84" s="473"/>
      <c r="J84" s="461"/>
      <c r="K84" s="461"/>
    </row>
    <row r="85" spans="1:11" s="167" customFormat="1">
      <c r="A85" s="169">
        <v>230</v>
      </c>
      <c r="B85" s="199" t="s">
        <v>46</v>
      </c>
      <c r="C85" s="501">
        <f>'[31]Sch C'!D78</f>
        <v>0</v>
      </c>
      <c r="D85" s="501">
        <f>'[31]Sch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461"/>
      <c r="K85" s="461"/>
    </row>
    <row r="86" spans="1:11" s="167" customFormat="1">
      <c r="A86" s="169">
        <v>240</v>
      </c>
      <c r="B86" s="200" t="s">
        <v>267</v>
      </c>
      <c r="C86" s="501">
        <f>'[31]Sch C'!D79</f>
        <v>9949</v>
      </c>
      <c r="D86" s="501">
        <f>'[31]Sch C'!F79</f>
        <v>-5818.02</v>
      </c>
      <c r="E86" s="171">
        <f t="shared" si="11"/>
        <v>4130.9799999999996</v>
      </c>
      <c r="F86" s="171"/>
      <c r="G86" s="171">
        <f>E86+F86</f>
        <v>4130.9799999999996</v>
      </c>
      <c r="H86" s="172">
        <f t="shared" si="13"/>
        <v>5.9635525084064081E-4</v>
      </c>
      <c r="I86" s="473"/>
      <c r="J86" s="461"/>
      <c r="K86" s="461"/>
    </row>
    <row r="87" spans="1:11" s="167" customFormat="1">
      <c r="A87" s="169">
        <v>310</v>
      </c>
      <c r="B87" s="199" t="s">
        <v>54</v>
      </c>
      <c r="C87" s="501">
        <f>'[31]Sch C'!D80</f>
        <v>0</v>
      </c>
      <c r="D87" s="501">
        <f>'[31]Sch C'!F80</f>
        <v>0</v>
      </c>
      <c r="E87" s="171">
        <f t="shared" si="11"/>
        <v>0</v>
      </c>
      <c r="F87" s="171"/>
      <c r="G87" s="171">
        <f t="shared" si="12"/>
        <v>0</v>
      </c>
      <c r="H87" s="172">
        <f t="shared" si="13"/>
        <v>0</v>
      </c>
      <c r="I87" s="473"/>
      <c r="J87" s="461"/>
      <c r="K87" s="461"/>
    </row>
    <row r="88" spans="1:11" s="167" customFormat="1">
      <c r="A88" s="169">
        <v>320</v>
      </c>
      <c r="B88" s="201" t="s">
        <v>313</v>
      </c>
      <c r="C88" s="501">
        <f>'[31]Sch C'!D81</f>
        <v>0</v>
      </c>
      <c r="D88" s="501">
        <f>'[31]Sch C'!F81</f>
        <v>0</v>
      </c>
      <c r="E88" s="171">
        <f t="shared" si="11"/>
        <v>0</v>
      </c>
      <c r="F88" s="171"/>
      <c r="G88" s="171">
        <f t="shared" si="12"/>
        <v>0</v>
      </c>
      <c r="H88" s="172">
        <f t="shared" si="13"/>
        <v>0</v>
      </c>
      <c r="I88" s="473"/>
      <c r="J88" s="461"/>
      <c r="K88" s="461"/>
    </row>
    <row r="89" spans="1:11" s="167" customFormat="1">
      <c r="A89" s="169">
        <v>330</v>
      </c>
      <c r="B89" s="201" t="s">
        <v>314</v>
      </c>
      <c r="C89" s="501">
        <f>'[31]Sch C'!D82</f>
        <v>30575</v>
      </c>
      <c r="D89" s="501">
        <f>'[31]Sch C'!F82</f>
        <v>0</v>
      </c>
      <c r="E89" s="171">
        <f t="shared" si="11"/>
        <v>30575</v>
      </c>
      <c r="F89" s="171"/>
      <c r="G89" s="171">
        <f t="shared" si="12"/>
        <v>30575</v>
      </c>
      <c r="H89" s="172">
        <f t="shared" si="13"/>
        <v>4.4138586472102495E-3</v>
      </c>
      <c r="I89" s="473"/>
      <c r="J89" s="461"/>
      <c r="K89" s="461"/>
    </row>
    <row r="90" spans="1:11" s="167" customFormat="1">
      <c r="A90" s="163">
        <v>340</v>
      </c>
      <c r="B90" s="201" t="s">
        <v>300</v>
      </c>
      <c r="C90" s="501">
        <f>'[31]Sch C'!D83</f>
        <v>7875</v>
      </c>
      <c r="D90" s="501">
        <f>'[31]Sch C'!F83</f>
        <v>0</v>
      </c>
      <c r="E90" s="171">
        <f t="shared" si="11"/>
        <v>7875</v>
      </c>
      <c r="F90" s="171"/>
      <c r="G90" s="171">
        <f t="shared" si="12"/>
        <v>7875</v>
      </c>
      <c r="H90" s="172">
        <f t="shared" si="13"/>
        <v>1.1368483024294591E-3</v>
      </c>
      <c r="I90" s="473"/>
      <c r="J90" s="461"/>
      <c r="K90" s="461"/>
    </row>
    <row r="91" spans="1:11" s="167" customFormat="1">
      <c r="A91" s="163">
        <v>350</v>
      </c>
      <c r="B91" s="199" t="s">
        <v>49</v>
      </c>
      <c r="C91" s="501">
        <f>'[31]Sch C'!D84</f>
        <v>100284</v>
      </c>
      <c r="D91" s="501">
        <f>'[31]Sch C'!F84</f>
        <v>0</v>
      </c>
      <c r="E91" s="171">
        <f t="shared" si="11"/>
        <v>100284</v>
      </c>
      <c r="F91" s="171"/>
      <c r="G91" s="171">
        <f t="shared" si="12"/>
        <v>100284</v>
      </c>
      <c r="H91" s="172">
        <f t="shared" si="13"/>
        <v>1.4477167639471222E-2</v>
      </c>
      <c r="I91" s="473"/>
      <c r="J91" s="461"/>
      <c r="K91" s="461"/>
    </row>
    <row r="92" spans="1:11" s="167" customFormat="1">
      <c r="A92" s="163">
        <v>490</v>
      </c>
      <c r="B92" s="148" t="s">
        <v>312</v>
      </c>
      <c r="C92" s="501">
        <f>'[31]Sch C'!D85</f>
        <v>42523</v>
      </c>
      <c r="D92" s="501">
        <f>'[31]Sch C'!F85</f>
        <v>0</v>
      </c>
      <c r="E92" s="171">
        <f t="shared" si="11"/>
        <v>42523</v>
      </c>
      <c r="F92" s="171"/>
      <c r="G92" s="171">
        <f t="shared" si="12"/>
        <v>42523</v>
      </c>
      <c r="H92" s="172">
        <f t="shared" si="13"/>
        <v>6.1386921097406847E-3</v>
      </c>
      <c r="I92" s="473"/>
      <c r="J92" s="461"/>
      <c r="K92" s="461"/>
    </row>
    <row r="93" spans="1:11" s="167" customFormat="1">
      <c r="A93" s="163"/>
      <c r="B93" s="170" t="s">
        <v>50</v>
      </c>
      <c r="C93" s="501">
        <f>SUM(C82:C92)</f>
        <v>301212</v>
      </c>
      <c r="D93" s="501">
        <f>SUM(D82:D92)</f>
        <v>851.4014258400266</v>
      </c>
      <c r="E93" s="171">
        <f t="shared" ref="E93:F93" si="14">SUM(E82:E92)</f>
        <v>302063.40142584004</v>
      </c>
      <c r="F93" s="171">
        <f t="shared" si="14"/>
        <v>0</v>
      </c>
      <c r="G93" s="171">
        <f>SUM(G82:G92)</f>
        <v>302063.40142584004</v>
      </c>
      <c r="H93" s="172">
        <f t="shared" si="13"/>
        <v>4.3606382874544061E-2</v>
      </c>
      <c r="I93" s="473"/>
      <c r="J93" s="461"/>
      <c r="K93" s="461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461"/>
      <c r="K94" s="461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461"/>
      <c r="K95" s="461"/>
    </row>
    <row r="96" spans="1:11" s="167" customFormat="1">
      <c r="A96" s="169" t="s">
        <v>85</v>
      </c>
      <c r="B96" s="170" t="s">
        <v>44</v>
      </c>
      <c r="C96" s="501">
        <f>'[31]Sch C'!D89</f>
        <v>272782</v>
      </c>
      <c r="D96" s="501">
        <f>'[31]Sch C'!F89</f>
        <v>21046.071623523756</v>
      </c>
      <c r="E96" s="171">
        <f t="shared" ref="E96:E101" si="15">C96+D96</f>
        <v>293828.07162352378</v>
      </c>
      <c r="F96" s="171"/>
      <c r="G96" s="171">
        <f t="shared" ref="G96:G101" si="16">E96+F96</f>
        <v>293828.07162352378</v>
      </c>
      <c r="H96" s="172">
        <f t="shared" ref="H96:H102" si="17">IF($G$208=0,0,G96/$G$208)</f>
        <v>4.2417516753184066E-2</v>
      </c>
      <c r="I96" s="473"/>
      <c r="J96" s="439">
        <v>17124.489285714284</v>
      </c>
      <c r="K96" s="439">
        <v>18464.360714285711</v>
      </c>
    </row>
    <row r="97" spans="1:11" s="167" customFormat="1">
      <c r="A97" s="169" t="s">
        <v>86</v>
      </c>
      <c r="B97" s="170" t="s">
        <v>45</v>
      </c>
      <c r="C97" s="501">
        <f>'[31]Sch C'!D90</f>
        <v>21968</v>
      </c>
      <c r="D97" s="501">
        <f>'[31]Sch C'!F90</f>
        <v>-119.69</v>
      </c>
      <c r="E97" s="171">
        <f t="shared" si="15"/>
        <v>21848.31</v>
      </c>
      <c r="F97" s="171"/>
      <c r="G97" s="171">
        <f t="shared" si="16"/>
        <v>21848.31</v>
      </c>
      <c r="H97" s="172">
        <f t="shared" si="17"/>
        <v>3.1540589377082639E-3</v>
      </c>
      <c r="I97" s="473"/>
      <c r="J97" s="461"/>
      <c r="K97" s="461"/>
    </row>
    <row r="98" spans="1:11" s="167" customFormat="1">
      <c r="A98" s="169">
        <v>310</v>
      </c>
      <c r="B98" s="170" t="s">
        <v>54</v>
      </c>
      <c r="C98" s="501">
        <f>'[31]Sch C'!D91</f>
        <v>33434</v>
      </c>
      <c r="D98" s="501">
        <f>'[31]Sch C'!F91</f>
        <v>0</v>
      </c>
      <c r="E98" s="171">
        <f t="shared" si="15"/>
        <v>33434</v>
      </c>
      <c r="F98" s="171"/>
      <c r="G98" s="171">
        <f t="shared" si="16"/>
        <v>33434</v>
      </c>
      <c r="H98" s="172">
        <f t="shared" si="17"/>
        <v>4.8265887166255919E-3</v>
      </c>
      <c r="I98" s="473"/>
      <c r="J98" s="461"/>
      <c r="K98" s="461"/>
    </row>
    <row r="99" spans="1:11" s="167" customFormat="1">
      <c r="A99" s="169">
        <v>380</v>
      </c>
      <c r="B99" s="170" t="s">
        <v>52</v>
      </c>
      <c r="C99" s="501">
        <f>'[31]Sch C'!D92</f>
        <v>187450</v>
      </c>
      <c r="D99" s="501">
        <f>'[31]Sch C'!F92</f>
        <v>-5852.66</v>
      </c>
      <c r="E99" s="171">
        <f t="shared" si="15"/>
        <v>181597.34</v>
      </c>
      <c r="F99" s="171"/>
      <c r="G99" s="171">
        <f t="shared" si="16"/>
        <v>181597.34</v>
      </c>
      <c r="H99" s="172">
        <f t="shared" si="17"/>
        <v>2.6215698756153056E-2</v>
      </c>
      <c r="I99" s="473"/>
      <c r="J99" s="461"/>
      <c r="K99" s="461"/>
    </row>
    <row r="100" spans="1:11" s="167" customFormat="1">
      <c r="A100" s="169">
        <v>390</v>
      </c>
      <c r="B100" s="170" t="s">
        <v>53</v>
      </c>
      <c r="C100" s="501">
        <f>'[31]Sch C'!D93</f>
        <v>17568</v>
      </c>
      <c r="D100" s="501">
        <f>'[31]Sch C'!F93</f>
        <v>-425.23</v>
      </c>
      <c r="E100" s="171">
        <f t="shared" si="15"/>
        <v>17142.77</v>
      </c>
      <c r="F100" s="171"/>
      <c r="G100" s="171">
        <f t="shared" si="16"/>
        <v>17142.77</v>
      </c>
      <c r="H100" s="172">
        <f t="shared" si="17"/>
        <v>2.4747592347223696E-3</v>
      </c>
      <c r="I100" s="473"/>
      <c r="J100" s="461"/>
      <c r="K100" s="461"/>
    </row>
    <row r="101" spans="1:11" s="167" customFormat="1">
      <c r="A101" s="169">
        <v>490</v>
      </c>
      <c r="B101" s="202" t="s">
        <v>312</v>
      </c>
      <c r="C101" s="501">
        <f>'[31]Sch C'!D94</f>
        <v>0</v>
      </c>
      <c r="D101" s="501">
        <f>'[31]Sch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461"/>
      <c r="K101" s="461"/>
    </row>
    <row r="102" spans="1:11" s="167" customFormat="1">
      <c r="A102" s="169"/>
      <c r="B102" s="170" t="s">
        <v>55</v>
      </c>
      <c r="C102" s="501">
        <f>SUM(C96:C101)</f>
        <v>533202</v>
      </c>
      <c r="D102" s="501">
        <f>SUM(D96:D101)</f>
        <v>14648.491623523758</v>
      </c>
      <c r="E102" s="171">
        <f t="shared" ref="E102:F102" si="18">SUM(E96:E101)</f>
        <v>547850.49162352376</v>
      </c>
      <c r="F102" s="171">
        <f t="shared" si="18"/>
        <v>0</v>
      </c>
      <c r="G102" s="171">
        <f>SUM(G96:G101)</f>
        <v>547850.49162352376</v>
      </c>
      <c r="H102" s="172">
        <f t="shared" si="17"/>
        <v>7.9088622398393343E-2</v>
      </c>
      <c r="I102" s="473"/>
      <c r="J102" s="461"/>
      <c r="K102" s="461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461"/>
      <c r="K103" s="461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461"/>
      <c r="K104" s="461"/>
    </row>
    <row r="105" spans="1:11" s="167" customFormat="1">
      <c r="A105" s="169" t="s">
        <v>85</v>
      </c>
      <c r="B105" s="170" t="s">
        <v>44</v>
      </c>
      <c r="C105" s="501">
        <f>'[31]Sch C'!D98</f>
        <v>49716</v>
      </c>
      <c r="D105" s="501">
        <f>'[31]Sch C'!F98</f>
        <v>3812.2738953910734</v>
      </c>
      <c r="E105" s="171">
        <f t="shared" ref="E105:E110" si="19">C105+D105</f>
        <v>53528.273895391074</v>
      </c>
      <c r="F105" s="171"/>
      <c r="G105" s="171">
        <f t="shared" ref="G105:G110" si="20">E105+F105</f>
        <v>53528.273895391074</v>
      </c>
      <c r="H105" s="172">
        <f t="shared" ref="H105:H111" si="21">IF($G$208=0,0,G105/$G$208)</f>
        <v>7.7274320393592982E-3</v>
      </c>
      <c r="I105" s="473"/>
      <c r="J105" s="439">
        <v>3557.4921428571429</v>
      </c>
      <c r="K105" s="439">
        <v>4074.2921428571426</v>
      </c>
    </row>
    <row r="106" spans="1:11" s="167" customFormat="1">
      <c r="A106" s="169" t="s">
        <v>86</v>
      </c>
      <c r="B106" s="170" t="s">
        <v>45</v>
      </c>
      <c r="C106" s="501">
        <f>'[31]Sch C'!D99</f>
        <v>3835</v>
      </c>
      <c r="D106" s="501">
        <f>'[31]Sch C'!F99</f>
        <v>0</v>
      </c>
      <c r="E106" s="171">
        <f t="shared" si="19"/>
        <v>3835</v>
      </c>
      <c r="F106" s="171"/>
      <c r="G106" s="171">
        <f t="shared" si="20"/>
        <v>3835</v>
      </c>
      <c r="H106" s="172">
        <f t="shared" si="21"/>
        <v>5.536270780719969E-4</v>
      </c>
      <c r="I106" s="473"/>
      <c r="J106" s="461"/>
      <c r="K106" s="461"/>
    </row>
    <row r="107" spans="1:11" s="167" customFormat="1">
      <c r="A107" s="169">
        <v>110</v>
      </c>
      <c r="B107" s="170" t="s">
        <v>47</v>
      </c>
      <c r="C107" s="501">
        <f>'[31]Sch C'!D100</f>
        <v>6036</v>
      </c>
      <c r="D107" s="501">
        <f>'[31]Sch C'!F100</f>
        <v>-59.36</v>
      </c>
      <c r="E107" s="171">
        <f t="shared" si="19"/>
        <v>5976.64</v>
      </c>
      <c r="F107" s="171"/>
      <c r="G107" s="171">
        <f t="shared" si="20"/>
        <v>5976.64</v>
      </c>
      <c r="H107" s="172">
        <f t="shared" si="21"/>
        <v>8.6279784612469873E-4</v>
      </c>
      <c r="I107" s="473"/>
      <c r="J107" s="461"/>
      <c r="K107" s="461"/>
    </row>
    <row r="108" spans="1:11" s="167" customFormat="1">
      <c r="A108" s="169">
        <v>310</v>
      </c>
      <c r="B108" s="170" t="s">
        <v>54</v>
      </c>
      <c r="C108" s="501">
        <f>'[31]Sch C'!D101</f>
        <v>0</v>
      </c>
      <c r="D108" s="501">
        <f>'[31]Sch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461"/>
      <c r="K108" s="461"/>
    </row>
    <row r="109" spans="1:11" s="167" customFormat="1">
      <c r="A109" s="169">
        <v>410</v>
      </c>
      <c r="B109" s="170" t="s">
        <v>57</v>
      </c>
      <c r="C109" s="501">
        <f>'[31]Sch C'!D102</f>
        <v>21130</v>
      </c>
      <c r="D109" s="501">
        <f>'[31]Sch C'!F102</f>
        <v>0</v>
      </c>
      <c r="E109" s="171">
        <f t="shared" si="19"/>
        <v>21130</v>
      </c>
      <c r="F109" s="171"/>
      <c r="G109" s="171">
        <f t="shared" si="20"/>
        <v>21130</v>
      </c>
      <c r="H109" s="172">
        <f t="shared" si="21"/>
        <v>3.050362492740885E-3</v>
      </c>
      <c r="I109" s="473"/>
      <c r="J109" s="461"/>
      <c r="K109" s="461"/>
    </row>
    <row r="110" spans="1:11" s="167" customFormat="1">
      <c r="A110" s="169">
        <v>490</v>
      </c>
      <c r="B110" s="202" t="s">
        <v>312</v>
      </c>
      <c r="C110" s="501">
        <f>'[31]Sch C'!D103</f>
        <v>0</v>
      </c>
      <c r="D110" s="501">
        <f>'[31]Sch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461"/>
      <c r="K110" s="461"/>
    </row>
    <row r="111" spans="1:11" s="167" customFormat="1">
      <c r="A111" s="163"/>
      <c r="B111" s="170" t="s">
        <v>58</v>
      </c>
      <c r="C111" s="501">
        <f>SUM(C105:C110)</f>
        <v>80717</v>
      </c>
      <c r="D111" s="501">
        <f>SUM(D105:D110)</f>
        <v>3752.9138953910733</v>
      </c>
      <c r="E111" s="171">
        <f t="shared" ref="E111:F111" si="22">SUM(E105:E110)</f>
        <v>84469.913895391073</v>
      </c>
      <c r="F111" s="171">
        <f t="shared" si="22"/>
        <v>0</v>
      </c>
      <c r="G111" s="171">
        <f>SUM(G105:G110)</f>
        <v>84469.913895391073</v>
      </c>
      <c r="H111" s="172">
        <f t="shared" si="21"/>
        <v>1.219421945629688E-2</v>
      </c>
      <c r="I111" s="473"/>
      <c r="J111" s="461"/>
      <c r="K111" s="461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461"/>
      <c r="K112" s="461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461"/>
      <c r="K113" s="461"/>
    </row>
    <row r="114" spans="1:11" s="167" customFormat="1">
      <c r="A114" s="169" t="s">
        <v>85</v>
      </c>
      <c r="B114" s="170" t="s">
        <v>44</v>
      </c>
      <c r="C114" s="501">
        <f>'[31]Sch C'!D115</f>
        <v>76059</v>
      </c>
      <c r="D114" s="501">
        <f>'[31]Sch C'!F115</f>
        <v>5832.28216689898</v>
      </c>
      <c r="E114" s="171">
        <f t="shared" ref="E114:E118" si="23">C114+D114</f>
        <v>81891.282166898978</v>
      </c>
      <c r="F114" s="171"/>
      <c r="G114" s="171">
        <f>E114+F114</f>
        <v>81891.282166898978</v>
      </c>
      <c r="H114" s="172">
        <f t="shared" ref="H114:H119" si="24">IF($G$208=0,0,G114/$G$208)</f>
        <v>1.1821963824153771E-2</v>
      </c>
      <c r="I114" s="473"/>
      <c r="J114" s="439">
        <v>5874.9392857142857</v>
      </c>
      <c r="K114" s="439">
        <v>6573.9392857142857</v>
      </c>
    </row>
    <row r="115" spans="1:11" s="167" customFormat="1">
      <c r="A115" s="169" t="s">
        <v>86</v>
      </c>
      <c r="B115" s="170" t="s">
        <v>151</v>
      </c>
      <c r="C115" s="501">
        <f>'[31]Sch C'!D116</f>
        <v>5912</v>
      </c>
      <c r="D115" s="501">
        <f>'[31]Sch C'!F116</f>
        <v>0</v>
      </c>
      <c r="E115" s="171">
        <f t="shared" si="23"/>
        <v>5912</v>
      </c>
      <c r="F115" s="171"/>
      <c r="G115" s="171">
        <f>E115+F115</f>
        <v>5912</v>
      </c>
      <c r="H115" s="172">
        <f t="shared" si="24"/>
        <v>8.5346630653497936E-4</v>
      </c>
      <c r="I115" s="473"/>
      <c r="J115" s="461"/>
      <c r="K115" s="461"/>
    </row>
    <row r="116" spans="1:11" s="167" customFormat="1">
      <c r="A116" s="169" t="s">
        <v>93</v>
      </c>
      <c r="B116" s="170" t="s">
        <v>47</v>
      </c>
      <c r="C116" s="501">
        <f>'[31]Sch C'!D117</f>
        <v>17945</v>
      </c>
      <c r="D116" s="501">
        <f>'[31]Sch C'!F117</f>
        <v>-19.809999999999999</v>
      </c>
      <c r="E116" s="171">
        <f t="shared" si="23"/>
        <v>17925.189999999999</v>
      </c>
      <c r="F116" s="171"/>
      <c r="G116" s="171">
        <f>E116+F116</f>
        <v>17925.189999999999</v>
      </c>
      <c r="H116" s="172">
        <f t="shared" si="24"/>
        <v>2.5877107075841922E-3</v>
      </c>
      <c r="I116" s="473"/>
      <c r="J116" s="461"/>
      <c r="K116" s="461"/>
    </row>
    <row r="117" spans="1:11" s="167" customFormat="1">
      <c r="A117" s="169">
        <v>310</v>
      </c>
      <c r="B117" s="170" t="s">
        <v>60</v>
      </c>
      <c r="C117" s="501">
        <f>'[31]Sch C'!D118</f>
        <v>0</v>
      </c>
      <c r="D117" s="501">
        <f>'[31]Sch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461"/>
      <c r="K117" s="461"/>
    </row>
    <row r="118" spans="1:11" s="167" customFormat="1">
      <c r="A118" s="169">
        <v>490</v>
      </c>
      <c r="B118" s="202" t="s">
        <v>312</v>
      </c>
      <c r="C118" s="501">
        <f>'[31]Sch C'!D119</f>
        <v>4678</v>
      </c>
      <c r="D118" s="501">
        <f>'[31]Sch C'!F119</f>
        <v>0</v>
      </c>
      <c r="E118" s="171">
        <f t="shared" si="23"/>
        <v>4678</v>
      </c>
      <c r="F118" s="171"/>
      <c r="G118" s="171">
        <f>E118+F118</f>
        <v>4678</v>
      </c>
      <c r="H118" s="172">
        <f t="shared" si="24"/>
        <v>6.753239820653981E-4</v>
      </c>
      <c r="I118" s="473"/>
      <c r="J118" s="461"/>
      <c r="K118" s="461"/>
    </row>
    <row r="119" spans="1:11" s="167" customFormat="1">
      <c r="A119" s="163"/>
      <c r="B119" s="170" t="s">
        <v>61</v>
      </c>
      <c r="C119" s="501">
        <f>SUM(C114:C118)</f>
        <v>104594</v>
      </c>
      <c r="D119" s="501">
        <f>SUM(D114:D118)</f>
        <v>5812.4721668989796</v>
      </c>
      <c r="E119" s="171">
        <f t="shared" ref="E119:F119" si="25">SUM(E114:E118)</f>
        <v>110406.47216689898</v>
      </c>
      <c r="F119" s="171">
        <f t="shared" si="25"/>
        <v>0</v>
      </c>
      <c r="G119" s="171">
        <f>SUM(G114:G118)</f>
        <v>110406.47216689898</v>
      </c>
      <c r="H119" s="172">
        <f t="shared" si="24"/>
        <v>1.5938464820338342E-2</v>
      </c>
      <c r="I119" s="473"/>
      <c r="J119" s="461"/>
      <c r="K119" s="461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438"/>
      <c r="K121" s="438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438"/>
      <c r="K122" s="438"/>
    </row>
    <row r="123" spans="1:11" s="167" customFormat="1">
      <c r="B123" s="163" t="s">
        <v>232</v>
      </c>
      <c r="C123" s="501">
        <f>'[31]Sch C'!D124</f>
        <v>0</v>
      </c>
      <c r="D123" s="501">
        <f>'[31]Sch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439">
        <v>0</v>
      </c>
      <c r="K123" s="439">
        <v>0</v>
      </c>
    </row>
    <row r="124" spans="1:11" s="167" customFormat="1">
      <c r="B124" s="163" t="s">
        <v>194</v>
      </c>
      <c r="C124" s="501">
        <f>'[31]Sch C'!D125</f>
        <v>0</v>
      </c>
      <c r="D124" s="501">
        <f>'[31]Sch C'!F125</f>
        <v>258272.94255903616</v>
      </c>
      <c r="E124" s="171">
        <f t="shared" si="26"/>
        <v>258272.94255903616</v>
      </c>
      <c r="F124" s="171"/>
      <c r="G124" s="171">
        <f>E124+F124</f>
        <v>258272.94255903616</v>
      </c>
      <c r="H124" s="172">
        <f>IF($G$208=0,0,G124/$G$208)</f>
        <v>3.7284718261803358E-2</v>
      </c>
      <c r="I124" s="473"/>
      <c r="J124" s="439">
        <v>6165.3057142857142</v>
      </c>
      <c r="K124" s="439">
        <v>6647.0471428571427</v>
      </c>
    </row>
    <row r="125" spans="1:11" s="167" customFormat="1">
      <c r="A125" s="163" t="s">
        <v>198</v>
      </c>
      <c r="B125" s="163" t="s">
        <v>195</v>
      </c>
      <c r="C125" s="501">
        <f>'[31]Sch C'!D126</f>
        <v>0</v>
      </c>
      <c r="D125" s="501">
        <f>'[31]Sch C'!F126</f>
        <v>81148.05744096385</v>
      </c>
      <c r="E125" s="171">
        <f t="shared" si="26"/>
        <v>81148.05744096385</v>
      </c>
      <c r="F125" s="171"/>
      <c r="G125" s="171">
        <f>E125+F125</f>
        <v>81148.05744096385</v>
      </c>
      <c r="H125" s="172">
        <f>IF($G$208=0,0,G125/$G$208)</f>
        <v>1.1714670647264508E-2</v>
      </c>
      <c r="I125" s="473"/>
      <c r="J125" s="439">
        <v>2154.7599999999998</v>
      </c>
      <c r="K125" s="439">
        <v>2307.0099999999998</v>
      </c>
    </row>
    <row r="126" spans="1:11" s="167" customFormat="1">
      <c r="A126" s="169"/>
      <c r="B126" s="163" t="s">
        <v>196</v>
      </c>
      <c r="C126" s="501">
        <f>'[31]Sch C'!D127</f>
        <v>0</v>
      </c>
      <c r="D126" s="501">
        <f>'[31]Sch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439">
        <v>0</v>
      </c>
      <c r="K126" s="439">
        <v>0</v>
      </c>
    </row>
    <row r="127" spans="1:11" s="167" customFormat="1">
      <c r="A127" s="169"/>
      <c r="B127" s="163" t="s">
        <v>197</v>
      </c>
      <c r="C127" s="501">
        <f>'[31]Sch C'!D128</f>
        <v>408684</v>
      </c>
      <c r="D127" s="501">
        <f>'[31]Sch C'!F128</f>
        <v>-339421</v>
      </c>
      <c r="E127" s="171">
        <f t="shared" si="26"/>
        <v>69263</v>
      </c>
      <c r="F127" s="171"/>
      <c r="G127" s="171">
        <f>E127+F127</f>
        <v>69263</v>
      </c>
      <c r="H127" s="172">
        <f>IF($G$208=0,0,G127/$G$208)</f>
        <v>9.9989236788789373E-3</v>
      </c>
      <c r="I127" s="473"/>
      <c r="J127" s="439">
        <v>3408.18</v>
      </c>
      <c r="K127" s="439">
        <v>4158.1742857142863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465"/>
      <c r="K128" s="465"/>
    </row>
    <row r="129" spans="1:11" s="167" customFormat="1">
      <c r="A129" s="169"/>
      <c r="B129" s="163" t="s">
        <v>232</v>
      </c>
      <c r="C129" s="501">
        <f>'[31]Sch C'!D130</f>
        <v>0</v>
      </c>
      <c r="D129" s="501">
        <f>'[31]Sch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438"/>
      <c r="K129" s="438"/>
    </row>
    <row r="130" spans="1:11" s="167" customFormat="1">
      <c r="A130" s="169"/>
      <c r="B130" s="163" t="s">
        <v>194</v>
      </c>
      <c r="C130" s="501">
        <f>'[31]Sch C'!D131</f>
        <v>0</v>
      </c>
      <c r="D130" s="501">
        <f>'[31]Sch C'!F131</f>
        <v>39799.384470416349</v>
      </c>
      <c r="E130" s="171">
        <f t="shared" si="27"/>
        <v>39799.384470416349</v>
      </c>
      <c r="F130" s="171"/>
      <c r="G130" s="171">
        <f>E130+F130</f>
        <v>39799.384470416349</v>
      </c>
      <c r="H130" s="172">
        <f>IF($G$208=0,0,G130/$G$208)</f>
        <v>5.7455063711657406E-3</v>
      </c>
      <c r="I130" s="473"/>
      <c r="J130" s="438"/>
      <c r="K130" s="438"/>
    </row>
    <row r="131" spans="1:11" s="167" customFormat="1">
      <c r="B131" s="163" t="s">
        <v>195</v>
      </c>
      <c r="C131" s="501">
        <f>'[31]Sch C'!D132</f>
        <v>0</v>
      </c>
      <c r="D131" s="501">
        <f>'[31]Sch C'!F132</f>
        <v>12504.76610178442</v>
      </c>
      <c r="E131" s="171">
        <f t="shared" si="27"/>
        <v>12504.76610178442</v>
      </c>
      <c r="F131" s="171"/>
      <c r="G131" s="171">
        <f>E131+F131</f>
        <v>12504.76610178442</v>
      </c>
      <c r="H131" s="172">
        <f>IF($G$208=0,0,G131/$G$208)</f>
        <v>1.8052091574718809E-3</v>
      </c>
      <c r="I131" s="473"/>
      <c r="J131" s="461"/>
      <c r="K131" s="461"/>
    </row>
    <row r="132" spans="1:11" s="167" customFormat="1">
      <c r="B132" s="163" t="s">
        <v>196</v>
      </c>
      <c r="C132" s="501">
        <f>'[31]Sch C'!D133</f>
        <v>0</v>
      </c>
      <c r="D132" s="501">
        <f>'[31]Sch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461"/>
      <c r="K132" s="461"/>
    </row>
    <row r="133" spans="1:11" s="167" customFormat="1">
      <c r="B133" s="163" t="s">
        <v>197</v>
      </c>
      <c r="C133" s="501">
        <f>'[31]Sch C'!D134</f>
        <v>31962</v>
      </c>
      <c r="D133" s="501">
        <f>'[31]Sch C'!F134</f>
        <v>-20965.842086723147</v>
      </c>
      <c r="E133" s="171">
        <f t="shared" si="27"/>
        <v>10996.157913276853</v>
      </c>
      <c r="F133" s="171"/>
      <c r="G133" s="171">
        <f>E133+F133</f>
        <v>10996.157913276853</v>
      </c>
      <c r="H133" s="172">
        <f>IF($G$208=0,0,G133/$G$208)</f>
        <v>1.5874239310419117E-3</v>
      </c>
      <c r="I133" s="473"/>
      <c r="J133" s="461"/>
      <c r="K133" s="461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438"/>
      <c r="K134" s="438"/>
    </row>
    <row r="135" spans="1:11" s="167" customFormat="1">
      <c r="A135" s="169"/>
      <c r="B135" s="163" t="s">
        <v>194</v>
      </c>
      <c r="C135" s="501">
        <f>'[31]Sch C'!D136</f>
        <v>0</v>
      </c>
      <c r="D135" s="501">
        <f>'[31]Sch C'!F136</f>
        <v>617547.60198532103</v>
      </c>
      <c r="E135" s="171">
        <f t="shared" ref="E135:E138" si="28">C135+D135</f>
        <v>617547.60198532103</v>
      </c>
      <c r="F135" s="171"/>
      <c r="G135" s="171">
        <f>E135+F135</f>
        <v>617547.60198532103</v>
      </c>
      <c r="H135" s="172">
        <f>IF($G$208=0,0,G135/$G$208)</f>
        <v>8.9150214982399431E-2</v>
      </c>
      <c r="I135" s="473"/>
      <c r="J135" s="439">
        <v>16006.707857142856</v>
      </c>
      <c r="K135" s="439">
        <v>16915.599999999995</v>
      </c>
    </row>
    <row r="136" spans="1:11" s="167" customFormat="1">
      <c r="A136" s="169"/>
      <c r="B136" s="163" t="s">
        <v>195</v>
      </c>
      <c r="C136" s="501">
        <f>'[31]Sch C'!D137</f>
        <v>0</v>
      </c>
      <c r="D136" s="501">
        <f>'[31]Sch C'!F137</f>
        <v>474569.92384546157</v>
      </c>
      <c r="E136" s="171">
        <f t="shared" si="28"/>
        <v>474569.92384546157</v>
      </c>
      <c r="F136" s="171"/>
      <c r="G136" s="171">
        <f>E136+F136</f>
        <v>474569.92384546157</v>
      </c>
      <c r="H136" s="172">
        <f>IF($G$208=0,0,G136/$G$208)</f>
        <v>6.8509715848608335E-2</v>
      </c>
      <c r="I136" s="473"/>
      <c r="J136" s="439">
        <v>16367.439285714287</v>
      </c>
      <c r="K136" s="439">
        <v>17524.412142857145</v>
      </c>
    </row>
    <row r="137" spans="1:11" s="167" customFormat="1">
      <c r="A137" s="169"/>
      <c r="B137" s="163" t="s">
        <v>196</v>
      </c>
      <c r="C137" s="501">
        <f>'[31]Sch C'!D138</f>
        <v>0</v>
      </c>
      <c r="D137" s="501">
        <f>'[31]Sch C'!F138</f>
        <v>852379.77088932216</v>
      </c>
      <c r="E137" s="171">
        <f t="shared" si="28"/>
        <v>852379.77088932216</v>
      </c>
      <c r="F137" s="171"/>
      <c r="G137" s="171">
        <f>E137+F137</f>
        <v>852379.77088932216</v>
      </c>
      <c r="H137" s="172">
        <f>IF($G$208=0,0,G137/$G$208)</f>
        <v>0.12305098356326821</v>
      </c>
      <c r="I137" s="473"/>
      <c r="J137" s="439">
        <v>44755.932142857149</v>
      </c>
      <c r="K137" s="439">
        <v>47592.717857142867</v>
      </c>
    </row>
    <row r="138" spans="1:11" s="167" customFormat="1">
      <c r="A138" s="169"/>
      <c r="B138" s="163" t="s">
        <v>197</v>
      </c>
      <c r="C138" s="501">
        <f>'[31]Sch C'!D139</f>
        <v>1946525</v>
      </c>
      <c r="D138" s="501">
        <f>'[31]Sch C'!F139</f>
        <v>-1944497.2967201048</v>
      </c>
      <c r="E138" s="171">
        <f t="shared" si="28"/>
        <v>2027.7032798952423</v>
      </c>
      <c r="F138" s="171"/>
      <c r="G138" s="171">
        <f>E138+F138</f>
        <v>2027.7032798952423</v>
      </c>
      <c r="H138" s="172">
        <f>IF($G$208=0,0,G138/$G$208)</f>
        <v>2.927226706767686E-4</v>
      </c>
      <c r="I138" s="473"/>
      <c r="J138" s="439">
        <v>11400.785</v>
      </c>
      <c r="K138" s="439">
        <v>12287.737142857144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466"/>
      <c r="K139" s="466"/>
    </row>
    <row r="140" spans="1:11" s="167" customFormat="1">
      <c r="A140" s="169"/>
      <c r="B140" s="163" t="s">
        <v>194</v>
      </c>
      <c r="C140" s="501">
        <f>'[31]Sch C'!D141</f>
        <v>0</v>
      </c>
      <c r="D140" s="501">
        <f>'[31]Sch C'!F141</f>
        <v>94683.435557373014</v>
      </c>
      <c r="E140" s="171">
        <f t="shared" ref="E140:E143" si="29">C140+D140</f>
        <v>94683.435557373014</v>
      </c>
      <c r="F140" s="171"/>
      <c r="G140" s="171">
        <f>E140+F140</f>
        <v>94683.435557373014</v>
      </c>
      <c r="H140" s="172">
        <f>IF($G$208=0,0,G140/$G$208)</f>
        <v>1.3668660696074742E-2</v>
      </c>
      <c r="I140" s="473"/>
      <c r="J140" s="461"/>
      <c r="K140" s="461"/>
    </row>
    <row r="141" spans="1:11" s="167" customFormat="1">
      <c r="A141" s="169"/>
      <c r="B141" s="163" t="s">
        <v>195</v>
      </c>
      <c r="C141" s="501">
        <f>'[31]Sch C'!D142</f>
        <v>0</v>
      </c>
      <c r="D141" s="501">
        <f>'[31]Sch C'!F142</f>
        <v>78652.825394634099</v>
      </c>
      <c r="E141" s="171">
        <f t="shared" si="29"/>
        <v>78652.825394634099</v>
      </c>
      <c r="F141" s="171"/>
      <c r="G141" s="171">
        <f>E141+F141</f>
        <v>78652.825394634099</v>
      </c>
      <c r="H141" s="172">
        <f>IF($G$208=0,0,G141/$G$208)</f>
        <v>1.135445473411688E-2</v>
      </c>
      <c r="I141" s="473"/>
      <c r="J141" s="461"/>
      <c r="K141" s="461"/>
    </row>
    <row r="142" spans="1:11" s="167" customFormat="1">
      <c r="A142" s="169"/>
      <c r="B142" s="163" t="s">
        <v>196</v>
      </c>
      <c r="C142" s="501">
        <f>'[31]Sch C'!D143</f>
        <v>0</v>
      </c>
      <c r="D142" s="501">
        <f>'[31]Sch C'!F143</f>
        <v>121756.63628342566</v>
      </c>
      <c r="E142" s="171">
        <f t="shared" si="29"/>
        <v>121756.63628342566</v>
      </c>
      <c r="F142" s="171"/>
      <c r="G142" s="171">
        <f>E142+F142</f>
        <v>121756.63628342566</v>
      </c>
      <c r="H142" s="172">
        <f>IF($G$208=0,0,G142/$G$208)</f>
        <v>1.7576993684867752E-2</v>
      </c>
      <c r="I142" s="473"/>
      <c r="J142" s="461"/>
      <c r="K142" s="461"/>
    </row>
    <row r="143" spans="1:11" s="167" customFormat="1">
      <c r="A143" s="169"/>
      <c r="B143" s="163" t="s">
        <v>197</v>
      </c>
      <c r="C143" s="501">
        <f>'[31]Sch C'!D144</f>
        <v>157263</v>
      </c>
      <c r="D143" s="501">
        <f>'[31]Sch C'!F144</f>
        <v>-145830.74632006895</v>
      </c>
      <c r="E143" s="171">
        <f t="shared" si="29"/>
        <v>11432.253679931047</v>
      </c>
      <c r="F143" s="171"/>
      <c r="G143" s="171">
        <f>E143+F143</f>
        <v>11432.253679931047</v>
      </c>
      <c r="H143" s="172">
        <f>IF($G$208=0,0,G143/$G$208)</f>
        <v>1.6503794525679425E-3</v>
      </c>
      <c r="I143" s="473"/>
      <c r="J143" s="461"/>
      <c r="K143" s="461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438"/>
      <c r="K144" s="438"/>
    </row>
    <row r="145" spans="1:11" s="167" customFormat="1">
      <c r="A145" s="169"/>
      <c r="B145" s="163" t="s">
        <v>232</v>
      </c>
      <c r="C145" s="501">
        <f>'[31]Sch C'!D146</f>
        <v>0</v>
      </c>
      <c r="D145" s="501">
        <f>'[31]Sch C'!F146</f>
        <v>38400</v>
      </c>
      <c r="E145" s="171">
        <f t="shared" ref="E145:E153" si="30">C145+D145</f>
        <v>38400</v>
      </c>
      <c r="F145" s="171"/>
      <c r="G145" s="171">
        <f t="shared" ref="G145:G153" si="31">E145+F145</f>
        <v>38400</v>
      </c>
      <c r="H145" s="172">
        <f t="shared" ref="H145:H153" si="32">IF($G$208=0,0,G145/$G$208)</f>
        <v>5.5434888651798384E-3</v>
      </c>
      <c r="I145" s="473"/>
      <c r="J145" s="439">
        <v>192</v>
      </c>
      <c r="K145" s="439">
        <v>192</v>
      </c>
    </row>
    <row r="146" spans="1:11" s="167" customFormat="1">
      <c r="A146" s="169"/>
      <c r="B146" s="163" t="s">
        <v>194</v>
      </c>
      <c r="C146" s="501">
        <f>'[31]Sch C'!D147</f>
        <v>0</v>
      </c>
      <c r="D146" s="501">
        <f>'[31]Sch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439">
        <v>0</v>
      </c>
      <c r="K146" s="439">
        <v>0</v>
      </c>
    </row>
    <row r="147" spans="1:11" s="167" customFormat="1">
      <c r="A147" s="169"/>
      <c r="B147" s="163" t="s">
        <v>195</v>
      </c>
      <c r="C147" s="501">
        <f>'[31]Sch C'!D148</f>
        <v>0</v>
      </c>
      <c r="D147" s="501">
        <f>'[31]Sch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439">
        <v>0</v>
      </c>
      <c r="K147" s="439">
        <v>0</v>
      </c>
    </row>
    <row r="148" spans="1:11" s="167" customFormat="1">
      <c r="A148" s="169"/>
      <c r="B148" s="163" t="s">
        <v>196</v>
      </c>
      <c r="C148" s="501">
        <f>'[31]Sch C'!D149</f>
        <v>0</v>
      </c>
      <c r="D148" s="501">
        <f>'[31]Sch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439">
        <v>0</v>
      </c>
      <c r="K148" s="439">
        <v>0</v>
      </c>
    </row>
    <row r="149" spans="1:11" s="167" customFormat="1">
      <c r="A149" s="169"/>
      <c r="B149" s="163" t="s">
        <v>197</v>
      </c>
      <c r="C149" s="501">
        <f>'[31]Sch C'!D150</f>
        <v>38970</v>
      </c>
      <c r="D149" s="501">
        <f>'[31]Sch C'!F150</f>
        <v>-38400</v>
      </c>
      <c r="E149" s="171">
        <f t="shared" si="30"/>
        <v>570</v>
      </c>
      <c r="F149" s="171"/>
      <c r="G149" s="171">
        <f t="shared" si="31"/>
        <v>570</v>
      </c>
      <c r="H149" s="172">
        <f t="shared" si="32"/>
        <v>8.2286162842513228E-5</v>
      </c>
      <c r="I149" s="473"/>
      <c r="J149" s="439">
        <v>9.5</v>
      </c>
      <c r="K149" s="439">
        <v>9.5</v>
      </c>
    </row>
    <row r="150" spans="1:11" s="167" customFormat="1">
      <c r="A150" s="169">
        <v>110</v>
      </c>
      <c r="B150" s="167" t="s">
        <v>65</v>
      </c>
      <c r="C150" s="501">
        <f>'[31]Sch C'!D151</f>
        <v>169105</v>
      </c>
      <c r="D150" s="501">
        <f>'[31]Sch C'!F151</f>
        <v>-1286.9000000000001</v>
      </c>
      <c r="E150" s="171">
        <f t="shared" si="30"/>
        <v>167818.1</v>
      </c>
      <c r="F150" s="171"/>
      <c r="G150" s="171">
        <f t="shared" si="31"/>
        <v>167818.1</v>
      </c>
      <c r="H150" s="172">
        <f t="shared" si="32"/>
        <v>2.422650439389679E-2</v>
      </c>
      <c r="I150" s="473"/>
      <c r="J150" s="461"/>
      <c r="K150" s="461"/>
    </row>
    <row r="151" spans="1:11" s="167" customFormat="1">
      <c r="A151" s="169">
        <v>111</v>
      </c>
      <c r="B151" s="170" t="s">
        <v>97</v>
      </c>
      <c r="C151" s="501">
        <f>'[31]Sch C'!D152</f>
        <v>4486</v>
      </c>
      <c r="D151" s="501">
        <f>'[31]Sch C'!F152</f>
        <v>-500</v>
      </c>
      <c r="E151" s="171">
        <f t="shared" si="30"/>
        <v>3986</v>
      </c>
      <c r="F151" s="171"/>
      <c r="G151" s="171">
        <f t="shared" si="31"/>
        <v>3986</v>
      </c>
      <c r="H151" s="172">
        <f t="shared" si="32"/>
        <v>5.7542569314080307E-4</v>
      </c>
      <c r="I151" s="473"/>
      <c r="J151" s="461"/>
      <c r="K151" s="461"/>
    </row>
    <row r="152" spans="1:11" s="167" customFormat="1">
      <c r="A152" s="169">
        <v>230</v>
      </c>
      <c r="B152" s="170" t="s">
        <v>66</v>
      </c>
      <c r="C152" s="501">
        <f>'[31]Sch C'!D153</f>
        <v>0</v>
      </c>
      <c r="D152" s="501">
        <f>'[31]Sch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461"/>
      <c r="K152" s="461"/>
    </row>
    <row r="153" spans="1:11" s="167" customFormat="1">
      <c r="A153" s="169">
        <v>430</v>
      </c>
      <c r="B153" s="170" t="s">
        <v>99</v>
      </c>
      <c r="C153" s="501">
        <f>'[31]Sch C'!D154</f>
        <v>0</v>
      </c>
      <c r="D153" s="501">
        <f>'[31]Sch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461"/>
      <c r="K153" s="461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461"/>
      <c r="K154" s="461"/>
    </row>
    <row r="155" spans="1:11" s="167" customFormat="1">
      <c r="A155" s="169">
        <v>440.1</v>
      </c>
      <c r="B155" s="163" t="s">
        <v>223</v>
      </c>
      <c r="C155" s="501">
        <f>'[31]Sch C'!D156</f>
        <v>0</v>
      </c>
      <c r="D155" s="501">
        <f>'[31]Sch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461"/>
      <c r="K155" s="461"/>
    </row>
    <row r="156" spans="1:11" s="167" customFormat="1">
      <c r="A156" s="169">
        <v>440.2</v>
      </c>
      <c r="B156" s="163" t="s">
        <v>224</v>
      </c>
      <c r="C156" s="501">
        <f>'[31]Sch C'!D157</f>
        <v>0</v>
      </c>
      <c r="D156" s="501">
        <f>'[31]Sch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461"/>
      <c r="K156" s="461"/>
    </row>
    <row r="157" spans="1:11" s="167" customFormat="1">
      <c r="A157" s="169">
        <v>440.3</v>
      </c>
      <c r="B157" s="163" t="s">
        <v>225</v>
      </c>
      <c r="C157" s="501">
        <f>'[31]Sch C'!D158</f>
        <v>0</v>
      </c>
      <c r="D157" s="501">
        <f>'[31]Sch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461"/>
      <c r="K157" s="461"/>
    </row>
    <row r="158" spans="1:11" s="167" customFormat="1">
      <c r="A158" s="169">
        <v>440.4</v>
      </c>
      <c r="B158" s="163" t="s">
        <v>226</v>
      </c>
      <c r="C158" s="501">
        <f>'[31]Sch C'!D159</f>
        <v>0</v>
      </c>
      <c r="D158" s="501">
        <f>'[31]Sch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461"/>
      <c r="K158" s="461"/>
    </row>
    <row r="159" spans="1:11" s="167" customFormat="1">
      <c r="A159" s="169">
        <v>440.5</v>
      </c>
      <c r="B159" s="163" t="s">
        <v>301</v>
      </c>
      <c r="C159" s="501">
        <f>'[31]Sch C'!D160</f>
        <v>0</v>
      </c>
      <c r="D159" s="501">
        <f>'[31]Sch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461"/>
      <c r="K159" s="461"/>
    </row>
    <row r="160" spans="1:11" s="167" customFormat="1">
      <c r="A160" s="169">
        <v>490</v>
      </c>
      <c r="B160" s="202" t="s">
        <v>315</v>
      </c>
      <c r="C160" s="501">
        <f>'[31]Sch C'!D161</f>
        <v>5119</v>
      </c>
      <c r="D160" s="501">
        <f>'[31]Sch C'!F161</f>
        <v>0</v>
      </c>
      <c r="E160" s="171">
        <f t="shared" si="33"/>
        <v>5119</v>
      </c>
      <c r="F160" s="171"/>
      <c r="G160" s="171">
        <f t="shared" si="34"/>
        <v>5119</v>
      </c>
      <c r="H160" s="172">
        <f t="shared" si="35"/>
        <v>7.3898748700144772E-4</v>
      </c>
      <c r="I160" s="473"/>
      <c r="J160" s="461"/>
      <c r="K160" s="461"/>
    </row>
    <row r="161" spans="1:15" s="167" customFormat="1">
      <c r="A161" s="169"/>
      <c r="B161" s="170" t="s">
        <v>233</v>
      </c>
      <c r="C161" s="501">
        <f>SUM(C123:C160)</f>
        <v>2762114</v>
      </c>
      <c r="D161" s="501">
        <f>SUM(D123:D160)</f>
        <v>178813.55940084151</v>
      </c>
      <c r="E161" s="171">
        <f t="shared" ref="E161:F161" si="36">SUM(E123:E160)</f>
        <v>2940927.5594008416</v>
      </c>
      <c r="F161" s="171">
        <f t="shared" si="36"/>
        <v>0</v>
      </c>
      <c r="G161" s="171">
        <f>SUM(G123:G160)</f>
        <v>2940927.5594008416</v>
      </c>
      <c r="H161" s="172">
        <f t="shared" si="35"/>
        <v>0.42455727028226781</v>
      </c>
      <c r="I161" s="473"/>
      <c r="J161" s="461"/>
      <c r="K161" s="461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461"/>
      <c r="K162" s="461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461"/>
      <c r="K163" s="461"/>
    </row>
    <row r="164" spans="1:15" s="221" customFormat="1">
      <c r="A164" s="215" t="s">
        <v>95</v>
      </c>
      <c r="B164" s="148" t="s">
        <v>102</v>
      </c>
      <c r="C164" s="501">
        <f>'[31]Sch C'!D175</f>
        <v>0</v>
      </c>
      <c r="D164" s="501">
        <f>'[31]Sch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439">
        <v>0</v>
      </c>
      <c r="K164" s="439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'[31]Sch C'!D176</f>
        <v>0</v>
      </c>
      <c r="D165" s="501">
        <f>'[31]Sch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467"/>
      <c r="K165" s="467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'[31]Sch C'!D177</f>
        <v>247330</v>
      </c>
      <c r="D166" s="501">
        <f>'[31]Sch C'!F177</f>
        <v>18966.161548094307</v>
      </c>
      <c r="E166" s="171">
        <f t="shared" si="37"/>
        <v>266296.1615480943</v>
      </c>
      <c r="F166" s="216"/>
      <c r="G166" s="171">
        <f t="shared" si="38"/>
        <v>266296.1615480943</v>
      </c>
      <c r="H166" s="172">
        <f t="shared" si="39"/>
        <v>3.8442963707864382E-2</v>
      </c>
      <c r="I166" s="483"/>
      <c r="J166" s="439">
        <v>7598.6021428571421</v>
      </c>
      <c r="K166" s="439">
        <v>8711.857857142857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'[31]Sch C'!D178</f>
        <v>19145</v>
      </c>
      <c r="D167" s="501">
        <f>'[31]Sch C'!F178</f>
        <v>0</v>
      </c>
      <c r="E167" s="171">
        <f t="shared" si="37"/>
        <v>19145</v>
      </c>
      <c r="F167" s="216"/>
      <c r="G167" s="171">
        <f t="shared" si="38"/>
        <v>19145</v>
      </c>
      <c r="H167" s="172">
        <f t="shared" si="39"/>
        <v>2.763804539684063E-3</v>
      </c>
      <c r="I167" s="484"/>
      <c r="J167" s="467"/>
      <c r="K167" s="467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'[31]Sch C'!D179</f>
        <v>55882</v>
      </c>
      <c r="D168" s="501">
        <f>'[31]Sch C'!F179</f>
        <v>4285.0891025473484</v>
      </c>
      <c r="E168" s="171">
        <f t="shared" si="37"/>
        <v>60167.089102547347</v>
      </c>
      <c r="F168" s="216"/>
      <c r="G168" s="171">
        <f t="shared" si="38"/>
        <v>60167.089102547347</v>
      </c>
      <c r="H168" s="172">
        <f t="shared" si="39"/>
        <v>8.6858226169337083E-3</v>
      </c>
      <c r="I168" s="483"/>
      <c r="J168" s="439">
        <v>1142.7678571428571</v>
      </c>
      <c r="K168" s="439">
        <v>1286.7678571428571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'[31]Sch C'!D180</f>
        <v>4244</v>
      </c>
      <c r="D169" s="501">
        <f>'[31]Sch C'!F180</f>
        <v>0</v>
      </c>
      <c r="E169" s="171">
        <f t="shared" si="37"/>
        <v>4244</v>
      </c>
      <c r="F169" s="216"/>
      <c r="G169" s="171">
        <f t="shared" si="38"/>
        <v>4244</v>
      </c>
      <c r="H169" s="172">
        <f t="shared" si="39"/>
        <v>6.1267100895373008E-4</v>
      </c>
      <c r="I169" s="484"/>
      <c r="J169" s="467"/>
      <c r="K169" s="467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'[31]Sch C'!D181</f>
        <v>0</v>
      </c>
      <c r="D170" s="501">
        <f>'[31]Sch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439">
        <v>0</v>
      </c>
      <c r="K170" s="439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'[31]Sch C'!D182</f>
        <v>0</v>
      </c>
      <c r="D171" s="501">
        <f>'[31]Sch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467"/>
      <c r="K171" s="467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'[31]Sch C'!D183</f>
        <v>322170</v>
      </c>
      <c r="D172" s="501">
        <f>'[31]Sch C'!F183</f>
        <v>25056.260917337044</v>
      </c>
      <c r="E172" s="171">
        <f t="shared" si="37"/>
        <v>347226.26091733703</v>
      </c>
      <c r="F172" s="216"/>
      <c r="G172" s="171">
        <f t="shared" si="38"/>
        <v>347226.26091733703</v>
      </c>
      <c r="H172" s="172">
        <f t="shared" si="39"/>
        <v>5.0126169559721025E-2</v>
      </c>
      <c r="I172" s="483"/>
      <c r="J172" s="439">
        <v>6821.4764285714282</v>
      </c>
      <c r="K172" s="439">
        <v>7684.880714285714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'[31]Sch C'!D184</f>
        <v>29025</v>
      </c>
      <c r="D173" s="501">
        <f>'[31]Sch C'!F184</f>
        <v>-326.87000000000006</v>
      </c>
      <c r="E173" s="171">
        <f t="shared" si="37"/>
        <v>28698.13</v>
      </c>
      <c r="F173" s="216"/>
      <c r="G173" s="171">
        <f t="shared" si="38"/>
        <v>28698.13</v>
      </c>
      <c r="H173" s="172">
        <f t="shared" si="39"/>
        <v>4.1429105236063411E-3</v>
      </c>
      <c r="I173" s="484"/>
      <c r="J173" s="467"/>
      <c r="K173" s="467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'[31]Sch C'!D185</f>
        <v>0</v>
      </c>
      <c r="D174" s="501">
        <f>'[31]Sch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439">
        <v>0</v>
      </c>
      <c r="K174" s="439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'[31]Sch C'!D186</f>
        <v>0</v>
      </c>
      <c r="D175" s="501">
        <f>'[31]Sch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468"/>
      <c r="K175" s="469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'[31]Sch C'!D187</f>
        <v>0</v>
      </c>
      <c r="D176" s="501">
        <f>'[31]Sch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468"/>
      <c r="K176" s="469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'[31]Sch C'!D188</f>
        <v>6987</v>
      </c>
      <c r="D177" s="501">
        <f>'[31]Sch C'!F188</f>
        <v>0</v>
      </c>
      <c r="E177" s="171">
        <f t="shared" si="37"/>
        <v>6987</v>
      </c>
      <c r="F177" s="216"/>
      <c r="G177" s="171">
        <f t="shared" si="38"/>
        <v>6987</v>
      </c>
      <c r="H177" s="172">
        <f t="shared" si="39"/>
        <v>1.0086551224221753E-3</v>
      </c>
      <c r="I177" s="473"/>
      <c r="J177" s="468"/>
      <c r="K177" s="469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'[31]Sch C'!D189</f>
        <v>101</v>
      </c>
      <c r="D178" s="501">
        <f>'[31]Sch C'!F189</f>
        <v>0</v>
      </c>
      <c r="E178" s="171">
        <f t="shared" si="37"/>
        <v>101</v>
      </c>
      <c r="F178" s="216"/>
      <c r="G178" s="171">
        <f t="shared" si="38"/>
        <v>101</v>
      </c>
      <c r="H178" s="172">
        <f t="shared" si="39"/>
        <v>1.4580530608936555E-5</v>
      </c>
      <c r="I178" s="473"/>
      <c r="J178" s="468"/>
      <c r="K178" s="469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'[31]Sch C'!D190</f>
        <v>0</v>
      </c>
      <c r="D179" s="501">
        <f>'[31]Sch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468"/>
      <c r="K179" s="469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'[31]Sch C'!D191</f>
        <v>1156</v>
      </c>
      <c r="D180" s="501">
        <f>'[31]Sch C'!F191</f>
        <v>0</v>
      </c>
      <c r="E180" s="171">
        <f t="shared" si="37"/>
        <v>1156</v>
      </c>
      <c r="F180" s="216"/>
      <c r="G180" s="171">
        <f t="shared" si="38"/>
        <v>1156</v>
      </c>
      <c r="H180" s="172">
        <f t="shared" si="39"/>
        <v>1.6688211271218472E-4</v>
      </c>
      <c r="I180" s="473"/>
      <c r="J180" s="468"/>
      <c r="K180" s="469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'[31]Sch C'!D192</f>
        <v>245</v>
      </c>
      <c r="D181" s="501">
        <f>'[31]Sch C'!F192</f>
        <v>0</v>
      </c>
      <c r="E181" s="171">
        <f t="shared" si="37"/>
        <v>245</v>
      </c>
      <c r="F181" s="216"/>
      <c r="G181" s="171">
        <f t="shared" si="38"/>
        <v>245</v>
      </c>
      <c r="H181" s="172">
        <f t="shared" si="39"/>
        <v>3.5368613853360949E-5</v>
      </c>
      <c r="I181" s="473"/>
      <c r="J181" s="468"/>
      <c r="K181" s="469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'[31]Sch C'!D193</f>
        <v>0</v>
      </c>
      <c r="D182" s="501">
        <f>'[31]Sch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468"/>
      <c r="K182" s="469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'[31]Sch C'!D194</f>
        <v>0</v>
      </c>
      <c r="D183" s="501">
        <f>'[31]Sch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468"/>
      <c r="K183" s="469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'[31]Sch C'!D195</f>
        <v>0</v>
      </c>
      <c r="D184" s="501">
        <f>'[31]Sch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468"/>
      <c r="K184" s="469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'[31]Sch C'!D196</f>
        <v>0</v>
      </c>
      <c r="D185" s="501">
        <f>'[31]Sch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468"/>
      <c r="K185" s="469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'[31]Sch C'!D197</f>
        <v>0</v>
      </c>
      <c r="D186" s="501">
        <f>'[31]Sch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468"/>
      <c r="K186" s="469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'[31]Sch C'!D198</f>
        <v>35983</v>
      </c>
      <c r="D187" s="501">
        <f>'[31]Sch C'!F198</f>
        <v>0</v>
      </c>
      <c r="E187" s="171">
        <f t="shared" si="37"/>
        <v>35983</v>
      </c>
      <c r="F187" s="216"/>
      <c r="G187" s="171">
        <f t="shared" si="38"/>
        <v>35983</v>
      </c>
      <c r="H187" s="172">
        <f t="shared" si="39"/>
        <v>5.1945666623897432E-3</v>
      </c>
      <c r="I187" s="473"/>
      <c r="J187" s="468"/>
      <c r="K187" s="469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'[31]Sch C'!D199</f>
        <v>0</v>
      </c>
      <c r="D188" s="501">
        <f>'[31]Sch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468"/>
      <c r="K188" s="469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'[31]Sch C'!D200</f>
        <v>0</v>
      </c>
      <c r="D189" s="501">
        <f>'[31]Sch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468"/>
      <c r="K189" s="469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'[31]Sch C'!D201</f>
        <v>0</v>
      </c>
      <c r="D190" s="501">
        <f>'[31]Sch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468"/>
      <c r="K190" s="469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'[31]Sch C'!D202</f>
        <v>0</v>
      </c>
      <c r="D191" s="501">
        <f>'[31]Sch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468"/>
      <c r="K191" s="469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'[31]Sch C'!D203</f>
        <v>0</v>
      </c>
      <c r="D192" s="501">
        <f>'[31]Sch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468"/>
      <c r="K192" s="469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'[31]Sch C'!D204</f>
        <v>0</v>
      </c>
      <c r="D193" s="501">
        <f>'[31]Sch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468"/>
      <c r="K193" s="469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'[31]Sch C'!D205</f>
        <v>166916</v>
      </c>
      <c r="D194" s="501">
        <f>'[31]Sch C'!F205</f>
        <v>0</v>
      </c>
      <c r="E194" s="171">
        <f t="shared" si="37"/>
        <v>166916</v>
      </c>
      <c r="F194" s="216"/>
      <c r="G194" s="171">
        <f t="shared" si="38"/>
        <v>166916</v>
      </c>
      <c r="H194" s="172">
        <f t="shared" si="39"/>
        <v>2.4096275714071823E-2</v>
      </c>
      <c r="I194" s="473"/>
      <c r="J194" s="468"/>
      <c r="K194" s="469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'[31]Sch C'!D206</f>
        <v>31018</v>
      </c>
      <c r="D195" s="501">
        <f>'[31]Sch C'!F206</f>
        <v>0</v>
      </c>
      <c r="E195" s="171">
        <f t="shared" si="37"/>
        <v>31018</v>
      </c>
      <c r="F195" s="216"/>
      <c r="G195" s="171">
        <f t="shared" si="38"/>
        <v>31018</v>
      </c>
      <c r="H195" s="172">
        <f t="shared" si="39"/>
        <v>4.477810875524694E-3</v>
      </c>
      <c r="I195" s="473"/>
      <c r="J195" s="468"/>
      <c r="K195" s="469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'[31]Sch C'!D207</f>
        <v>7449</v>
      </c>
      <c r="D196" s="501">
        <f>'[31]Sch C'!F207</f>
        <v>0</v>
      </c>
      <c r="E196" s="171">
        <f t="shared" si="37"/>
        <v>7449</v>
      </c>
      <c r="F196" s="216"/>
      <c r="G196" s="171">
        <f t="shared" si="38"/>
        <v>7449</v>
      </c>
      <c r="H196" s="172">
        <f t="shared" si="39"/>
        <v>1.0753502228313702E-3</v>
      </c>
      <c r="I196" s="473"/>
      <c r="J196" s="468"/>
      <c r="K196" s="469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927651</v>
      </c>
      <c r="D197" s="501">
        <f>SUM(D164:D196)</f>
        <v>47980.641567978695</v>
      </c>
      <c r="E197" s="171">
        <f t="shared" ref="E197:F197" si="40">SUM(E164:E196)</f>
        <v>975631.64156797866</v>
      </c>
      <c r="F197" s="171">
        <f t="shared" si="40"/>
        <v>0</v>
      </c>
      <c r="G197" s="171">
        <f>SUM(G164:G196)</f>
        <v>975631.64156797866</v>
      </c>
      <c r="H197" s="172">
        <f>IF($G$208=0,0,G197/$G$208)</f>
        <v>0.14084383181117752</v>
      </c>
      <c r="I197" s="473"/>
      <c r="J197" s="461"/>
      <c r="K197" s="461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461"/>
      <c r="K198" s="461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461"/>
      <c r="K199" s="461"/>
    </row>
    <row r="200" spans="1:14" s="167" customFormat="1">
      <c r="A200" s="169" t="s">
        <v>85</v>
      </c>
      <c r="B200" s="170" t="s">
        <v>69</v>
      </c>
      <c r="C200" s="501">
        <f>'[31]Sch C'!D211</f>
        <v>154712</v>
      </c>
      <c r="D200" s="501">
        <f>'[31]Sch C'!F211</f>
        <v>-36331.21284151591</v>
      </c>
      <c r="E200" s="171">
        <f t="shared" ref="E200:E205" si="41">C200+D200</f>
        <v>118380.78715848409</v>
      </c>
      <c r="F200" s="171"/>
      <c r="G200" s="171">
        <f t="shared" ref="G200:G205" si="42">E200+F200</f>
        <v>118380.78715848409</v>
      </c>
      <c r="H200" s="172">
        <f t="shared" ref="H200:H206" si="43">IF($G$208=0,0,G200/$G$208)</f>
        <v>1.708965040271565E-2</v>
      </c>
      <c r="I200" s="473"/>
      <c r="J200" s="439">
        <v>6067.0085714285724</v>
      </c>
      <c r="K200" s="439">
        <v>6769.9450000000015</v>
      </c>
    </row>
    <row r="201" spans="1:14" s="167" customFormat="1">
      <c r="A201" s="169" t="s">
        <v>86</v>
      </c>
      <c r="B201" s="170" t="s">
        <v>45</v>
      </c>
      <c r="C201" s="501">
        <f>'[31]Sch C'!D212</f>
        <v>11783</v>
      </c>
      <c r="D201" s="501">
        <f>'[31]Sch C'!F212</f>
        <v>-3285.3042857142859</v>
      </c>
      <c r="E201" s="171">
        <f t="shared" si="41"/>
        <v>8497.6957142857136</v>
      </c>
      <c r="F201" s="171"/>
      <c r="G201" s="171">
        <f t="shared" si="42"/>
        <v>8497.6957142857136</v>
      </c>
      <c r="H201" s="172">
        <f t="shared" si="43"/>
        <v>1.2267417075997212E-3</v>
      </c>
      <c r="I201" s="473"/>
      <c r="J201" s="461"/>
      <c r="K201" s="461"/>
    </row>
    <row r="202" spans="1:14" s="167" customFormat="1">
      <c r="A202" s="169" t="s">
        <v>140</v>
      </c>
      <c r="B202" s="170" t="s">
        <v>54</v>
      </c>
      <c r="C202" s="501">
        <f>'[31]Sch C'!D213</f>
        <v>0</v>
      </c>
      <c r="D202" s="501">
        <f>'[31]Sch C'!F213</f>
        <v>0</v>
      </c>
      <c r="E202" s="171">
        <f t="shared" si="41"/>
        <v>0</v>
      </c>
      <c r="F202" s="171"/>
      <c r="G202" s="171">
        <f t="shared" si="42"/>
        <v>0</v>
      </c>
      <c r="H202" s="172">
        <f t="shared" si="43"/>
        <v>0</v>
      </c>
      <c r="I202" s="473"/>
      <c r="J202" s="461"/>
      <c r="K202" s="461"/>
    </row>
    <row r="203" spans="1:14" s="167" customFormat="1">
      <c r="A203" s="169" t="s">
        <v>141</v>
      </c>
      <c r="B203" s="170" t="s">
        <v>70</v>
      </c>
      <c r="C203" s="501">
        <f>'[31]Sch C'!D214</f>
        <v>0</v>
      </c>
      <c r="D203" s="501">
        <f>'[31]Sch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461"/>
      <c r="K203" s="461"/>
    </row>
    <row r="204" spans="1:14" s="167" customFormat="1">
      <c r="A204" s="169" t="s">
        <v>142</v>
      </c>
      <c r="B204" s="202" t="s">
        <v>71</v>
      </c>
      <c r="C204" s="501">
        <f>'[31]Sch C'!D215</f>
        <v>0</v>
      </c>
      <c r="D204" s="501">
        <f>'[31]Sch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461"/>
      <c r="K204" s="461"/>
    </row>
    <row r="205" spans="1:14" s="167" customFormat="1">
      <c r="A205" s="169" t="s">
        <v>143</v>
      </c>
      <c r="B205" s="170" t="s">
        <v>312</v>
      </c>
      <c r="C205" s="501">
        <f>'[31]Sch C'!D216</f>
        <v>37971</v>
      </c>
      <c r="D205" s="501">
        <f>'[31]Sch C'!F216</f>
        <v>0</v>
      </c>
      <c r="E205" s="171">
        <f t="shared" si="41"/>
        <v>37971</v>
      </c>
      <c r="F205" s="171"/>
      <c r="G205" s="171">
        <f t="shared" si="42"/>
        <v>37971</v>
      </c>
      <c r="H205" s="172">
        <f t="shared" si="43"/>
        <v>5.4815577005141577E-3</v>
      </c>
      <c r="I205" s="473"/>
      <c r="J205" s="461"/>
      <c r="K205" s="461"/>
    </row>
    <row r="206" spans="1:14" s="167" customFormat="1">
      <c r="A206" s="163"/>
      <c r="B206" s="170" t="s">
        <v>144</v>
      </c>
      <c r="C206" s="501">
        <f>SUM(C200:C205)</f>
        <v>204466</v>
      </c>
      <c r="D206" s="501">
        <f>SUM(D200:D205)</f>
        <v>-39616.517127230196</v>
      </c>
      <c r="E206" s="171">
        <f t="shared" ref="E206:F206" si="44">SUM(E200:E205)</f>
        <v>164849.48287276982</v>
      </c>
      <c r="F206" s="171">
        <f t="shared" si="44"/>
        <v>0</v>
      </c>
      <c r="G206" s="171">
        <f>SUM(G200:G205)</f>
        <v>164849.48287276982</v>
      </c>
      <c r="H206" s="172">
        <f t="shared" si="43"/>
        <v>2.3797949810829531E-2</v>
      </c>
      <c r="I206" s="473"/>
      <c r="J206" s="461"/>
      <c r="K206" s="461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461"/>
      <c r="K207" s="461"/>
    </row>
    <row r="208" spans="1:14" s="167" customFormat="1">
      <c r="A208" s="227"/>
      <c r="B208" s="228" t="s">
        <v>145</v>
      </c>
      <c r="C208" s="501">
        <f>SUM(C25:C206)/2</f>
        <v>6643176</v>
      </c>
      <c r="D208" s="501">
        <f>SUM(D25:D206)/2</f>
        <v>299215.5725456301</v>
      </c>
      <c r="E208" s="171">
        <f t="shared" ref="E208:F208" si="45">SUM(E25:E206)/2</f>
        <v>6942391.5725456299</v>
      </c>
      <c r="F208" s="171">
        <f t="shared" si="45"/>
        <v>-15346</v>
      </c>
      <c r="G208" s="171">
        <f>SUM(G25:G206)/2</f>
        <v>6927045.5725456299</v>
      </c>
      <c r="H208" s="172">
        <f>IF($G$208=0,0,G208/$G$208)</f>
        <v>1</v>
      </c>
      <c r="I208" s="473"/>
      <c r="J208" s="183">
        <f>SUM(J25:J200)</f>
        <v>164913.20142857145</v>
      </c>
      <c r="K208" s="183">
        <f>SUM(K25:K200)</f>
        <v>179197.86428571428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'[31]Sch C'!D221</f>
        <v>6643176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-406188</v>
      </c>
      <c r="D215" s="501">
        <f>D21-D208</f>
        <v>-58583.572545629926</v>
      </c>
      <c r="E215" s="171">
        <f t="shared" ref="E215:F215" si="46">E21-E208</f>
        <v>-464771.57254562993</v>
      </c>
      <c r="F215" s="171">
        <f t="shared" si="46"/>
        <v>15346</v>
      </c>
      <c r="G215" s="171">
        <f>G21-G208</f>
        <v>-449425.57254562993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'[31]Sch D'!C9</f>
        <v>12526</v>
      </c>
      <c r="D219" s="530"/>
      <c r="E219" s="234">
        <f t="shared" ref="E219:G227" si="47">C219+D219</f>
        <v>12526</v>
      </c>
      <c r="F219" s="233"/>
      <c r="G219" s="234">
        <f t="shared" si="47"/>
        <v>12526</v>
      </c>
      <c r="H219" s="172">
        <f t="shared" ref="H219:H228" si="48">IF($G$228=0,0,G219/$G$228)</f>
        <v>0.47556854854018754</v>
      </c>
      <c r="I219" s="473"/>
      <c r="J219" s="168"/>
      <c r="K219" s="168"/>
    </row>
    <row r="220" spans="1:11">
      <c r="A220" s="163"/>
      <c r="B220" s="170" t="s">
        <v>217</v>
      </c>
      <c r="C220" s="530">
        <f>'[31]Sch D'!D9</f>
        <v>0</v>
      </c>
      <c r="D220" s="530"/>
      <c r="E220" s="234">
        <f t="shared" si="47"/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'[31]Sch D'!E9</f>
        <v>3846</v>
      </c>
      <c r="D221" s="530"/>
      <c r="E221" s="234">
        <f t="shared" si="47"/>
        <v>3846</v>
      </c>
      <c r="F221" s="233"/>
      <c r="G221" s="234">
        <f t="shared" si="47"/>
        <v>3846</v>
      </c>
      <c r="H221" s="172">
        <f t="shared" si="48"/>
        <v>0.14601921105584875</v>
      </c>
      <c r="I221" s="473"/>
      <c r="J221" s="168"/>
      <c r="K221" s="168"/>
    </row>
    <row r="222" spans="1:11">
      <c r="A222" s="163"/>
      <c r="B222" s="202" t="s">
        <v>334</v>
      </c>
      <c r="C222" s="530">
        <f>'[31]Sch D'!F9</f>
        <v>1078</v>
      </c>
      <c r="D222" s="530"/>
      <c r="E222" s="234">
        <f t="shared" si="47"/>
        <v>1078</v>
      </c>
      <c r="F222" s="233"/>
      <c r="G222" s="234">
        <f>E222+F222</f>
        <v>1078</v>
      </c>
      <c r="H222" s="172">
        <f t="shared" si="48"/>
        <v>4.0927901590796914E-2</v>
      </c>
      <c r="I222" s="473"/>
      <c r="J222" s="168"/>
      <c r="K222" s="168"/>
    </row>
    <row r="223" spans="1:11">
      <c r="A223" s="163"/>
      <c r="B223" s="170" t="s">
        <v>73</v>
      </c>
      <c r="C223" s="530">
        <f>'[31]Sch D'!G9</f>
        <v>0</v>
      </c>
      <c r="D223" s="530"/>
      <c r="E223" s="234">
        <f t="shared" si="47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'[31]Sch D'!H9</f>
        <v>5267</v>
      </c>
      <c r="D224" s="530"/>
      <c r="E224" s="234">
        <f t="shared" si="47"/>
        <v>5267</v>
      </c>
      <c r="F224" s="233"/>
      <c r="G224" s="234">
        <f t="shared" si="47"/>
        <v>5267</v>
      </c>
      <c r="H224" s="172">
        <f t="shared" si="48"/>
        <v>0.19996962678917196</v>
      </c>
      <c r="I224" s="473"/>
      <c r="J224" s="168"/>
      <c r="K224" s="168"/>
    </row>
    <row r="225" spans="1:11">
      <c r="A225" s="163"/>
      <c r="B225" s="170" t="s">
        <v>236</v>
      </c>
      <c r="C225" s="530">
        <f>'[31]Sch D'!I9</f>
        <v>2806</v>
      </c>
      <c r="D225" s="530"/>
      <c r="E225" s="234">
        <f t="shared" si="47"/>
        <v>2806</v>
      </c>
      <c r="F225" s="233"/>
      <c r="G225" s="234">
        <f t="shared" si="47"/>
        <v>2806</v>
      </c>
      <c r="H225" s="172">
        <f t="shared" si="48"/>
        <v>0.10653403697938418</v>
      </c>
      <c r="I225" s="473"/>
      <c r="J225" s="168"/>
      <c r="K225" s="168"/>
    </row>
    <row r="226" spans="1:11">
      <c r="A226" s="163"/>
      <c r="B226" s="170" t="s">
        <v>235</v>
      </c>
      <c r="C226" s="530">
        <f>'[31]Sch D'!J9</f>
        <v>12</v>
      </c>
      <c r="D226" s="530"/>
      <c r="E226" s="234">
        <f t="shared" si="47"/>
        <v>12</v>
      </c>
      <c r="F226" s="233"/>
      <c r="G226" s="234">
        <f>E226+F226</f>
        <v>12</v>
      </c>
      <c r="H226" s="172">
        <f t="shared" si="48"/>
        <v>4.5559816242074491E-4</v>
      </c>
      <c r="I226" s="473"/>
      <c r="J226" s="168"/>
      <c r="K226" s="168"/>
    </row>
    <row r="227" spans="1:11">
      <c r="A227" s="163"/>
      <c r="B227" s="170" t="s">
        <v>179</v>
      </c>
      <c r="C227" s="530">
        <f>'[31]Sch D'!K9</f>
        <v>804</v>
      </c>
      <c r="D227" s="530"/>
      <c r="E227" s="234">
        <f t="shared" si="47"/>
        <v>804</v>
      </c>
      <c r="F227" s="233"/>
      <c r="G227" s="234">
        <f t="shared" si="47"/>
        <v>804</v>
      </c>
      <c r="H227" s="172">
        <f t="shared" si="48"/>
        <v>3.052507688218991E-2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26339</v>
      </c>
      <c r="D228" s="530">
        <f>SUM(D219:D227)</f>
        <v>0</v>
      </c>
      <c r="E228" s="236">
        <f t="shared" ref="E228:F228" si="49">SUM(E219:E227)</f>
        <v>26339</v>
      </c>
      <c r="F228" s="236">
        <f t="shared" si="49"/>
        <v>0</v>
      </c>
      <c r="G228" s="236">
        <f>SUM(G219:G227)</f>
        <v>26339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'[31]Sch D'!N22</f>
        <v>100</v>
      </c>
      <c r="D231" s="502"/>
      <c r="E231" s="234">
        <f>C231+D231</f>
        <v>100</v>
      </c>
      <c r="F231" s="234"/>
      <c r="G231" s="234">
        <f>E231+F231</f>
        <v>100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'[31]Sch D'!N24</f>
        <v>100</v>
      </c>
      <c r="D232" s="502"/>
      <c r="E232" s="234">
        <f>C232+D232</f>
        <v>100</v>
      </c>
      <c r="F232" s="234"/>
      <c r="G232" s="234">
        <f>E232+F232</f>
        <v>100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'[31]Sch D'!N28</f>
        <v>36500</v>
      </c>
      <c r="D235" s="438"/>
      <c r="E235" s="233">
        <f>E231*E233</f>
        <v>36500</v>
      </c>
      <c r="F235" s="238"/>
      <c r="G235" s="233">
        <f>G231*G233</f>
        <v>36500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'[31]Sch D'!N30</f>
        <v>0.7216164383561644</v>
      </c>
      <c r="D236" s="238"/>
      <c r="E236" s="242">
        <f>E228/E235</f>
        <v>0.7216164383561644</v>
      </c>
      <c r="F236" s="243"/>
      <c r="G236" s="242">
        <f>G228/G235</f>
        <v>0.7216164383561644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'[31]Sch D'!N32</f>
        <v>0.34317808219178081</v>
      </c>
      <c r="D237" s="238"/>
      <c r="E237" s="242">
        <f>(E219+E220)/E235</f>
        <v>0.34317808219178081</v>
      </c>
      <c r="F237" s="243"/>
      <c r="G237" s="242">
        <f>(G219+G220)/G235</f>
        <v>0.34317808219178081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'[31]Sch D'!N34</f>
        <v>0.47556854854018754</v>
      </c>
      <c r="D238" s="238"/>
      <c r="E238" s="242">
        <f>(E237/E236)</f>
        <v>0.47556854854018754</v>
      </c>
      <c r="F238" s="243"/>
      <c r="G238" s="242">
        <f>(G237/G236)</f>
        <v>0.47556854854018754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'[31]Sch B'!C85</f>
        <v>212.5249386753884</v>
      </c>
      <c r="I241" s="475"/>
    </row>
    <row r="242" spans="2:9">
      <c r="F242" s="142" t="s">
        <v>341</v>
      </c>
      <c r="G242" s="501">
        <f>'[31]Sch B'!E85</f>
        <v>207.48744059742023</v>
      </c>
      <c r="I242" s="475"/>
    </row>
    <row r="243" spans="2:9">
      <c r="F243" s="142" t="s">
        <v>342</v>
      </c>
      <c r="G243" s="501">
        <f>'[31]Sch B'!G85</f>
        <v>231.77586206896552</v>
      </c>
      <c r="I243" s="475"/>
    </row>
    <row r="244" spans="2:9">
      <c r="F244" s="142" t="s">
        <v>343</v>
      </c>
      <c r="G244" s="501">
        <f>'[31]Sch B'!I85</f>
        <v>229.12741312741312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28CAB"/>
  </sheetPr>
  <dimension ref="A1:K248"/>
  <sheetViews>
    <sheetView showGridLines="0" zoomScaleNormal="100" workbookViewId="0">
      <pane xSplit="2" ySplit="10" topLeftCell="C49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6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87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441</v>
      </c>
      <c r="D2" s="343"/>
    </row>
    <row r="3" spans="1:11" ht="15.5">
      <c r="A3" s="145"/>
      <c r="B3" s="140" t="s">
        <v>79</v>
      </c>
      <c r="C3" s="441">
        <v>42552</v>
      </c>
      <c r="D3" s="144"/>
      <c r="E3"/>
      <c r="F3" s="460"/>
    </row>
    <row r="4" spans="1:11" ht="15.5">
      <c r="A4" s="145"/>
      <c r="B4" s="148" t="s">
        <v>80</v>
      </c>
      <c r="C4" s="441">
        <v>42916</v>
      </c>
      <c r="D4" s="144"/>
      <c r="E4"/>
      <c r="F4" s="460"/>
      <c r="G4" s="150"/>
    </row>
    <row r="5" spans="1:11">
      <c r="A5" s="145"/>
      <c r="B5" s="148"/>
      <c r="C5" s="151"/>
      <c r="D5" s="144"/>
      <c r="F5" s="459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'[32]Sch B'!E10</f>
        <v>777054</v>
      </c>
      <c r="D11" s="501">
        <f>'[32]Sch B'!G10</f>
        <v>0</v>
      </c>
      <c r="E11" s="171">
        <f>C11+D11</f>
        <v>777054</v>
      </c>
      <c r="F11" s="171"/>
      <c r="G11" s="171">
        <f t="shared" ref="G11:G20" si="0">E11+F11</f>
        <v>777054</v>
      </c>
      <c r="H11" s="172">
        <f t="shared" ref="H11:H21" si="1">IF($G$21=0,0,G11/$G$21)</f>
        <v>9.998475241982957E-2</v>
      </c>
      <c r="I11" s="473"/>
      <c r="J11" s="336" t="s">
        <v>344</v>
      </c>
      <c r="K11" s="337">
        <f>G21</f>
        <v>7771725</v>
      </c>
    </row>
    <row r="12" spans="1:11" s="167" customFormat="1">
      <c r="A12" s="169" t="s">
        <v>15</v>
      </c>
      <c r="B12" s="170" t="s">
        <v>212</v>
      </c>
      <c r="C12" s="501">
        <f>'[32]Sch B'!E15</f>
        <v>0</v>
      </c>
      <c r="D12" s="501">
        <f>'[32]Sch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8131508.3888879437</v>
      </c>
    </row>
    <row r="13" spans="1:11" s="167" customFormat="1">
      <c r="A13" s="169" t="s">
        <v>16</v>
      </c>
      <c r="B13" s="170" t="s">
        <v>170</v>
      </c>
      <c r="C13" s="501">
        <f>'[32]Sch B'!E21</f>
        <v>3231376</v>
      </c>
      <c r="D13" s="501">
        <f>'[32]Sch B'!G21</f>
        <v>0</v>
      </c>
      <c r="E13" s="171">
        <f t="shared" si="2"/>
        <v>3231376</v>
      </c>
      <c r="F13" s="171"/>
      <c r="G13" s="171">
        <f t="shared" si="0"/>
        <v>3231376</v>
      </c>
      <c r="H13" s="172">
        <f t="shared" si="1"/>
        <v>0.41578619933155125</v>
      </c>
      <c r="I13" s="473"/>
      <c r="J13" s="338" t="s">
        <v>346</v>
      </c>
      <c r="K13" s="339">
        <f>G228</f>
        <v>25182</v>
      </c>
    </row>
    <row r="14" spans="1:11" s="167" customFormat="1">
      <c r="A14" s="173" t="s">
        <v>18</v>
      </c>
      <c r="B14" s="174" t="s">
        <v>306</v>
      </c>
      <c r="C14" s="501">
        <f>'[32]Sch B'!E27</f>
        <v>1331419</v>
      </c>
      <c r="D14" s="501">
        <f>'[32]Sch B'!G27</f>
        <v>-87584.621708169667</v>
      </c>
      <c r="E14" s="171">
        <f t="shared" si="2"/>
        <v>1243834.3782918304</v>
      </c>
      <c r="F14" s="171"/>
      <c r="G14" s="175">
        <f>E14+F14</f>
        <v>1243834.3782918304</v>
      </c>
      <c r="H14" s="176">
        <f t="shared" si="1"/>
        <v>0.16004611309481878</v>
      </c>
      <c r="I14" s="479"/>
      <c r="J14" s="338" t="s">
        <v>347</v>
      </c>
      <c r="K14" s="339">
        <f>G231</f>
        <v>120</v>
      </c>
    </row>
    <row r="15" spans="1:11" s="167" customFormat="1">
      <c r="A15" s="169" t="s">
        <v>19</v>
      </c>
      <c r="B15" s="170" t="s">
        <v>171</v>
      </c>
      <c r="C15" s="501">
        <f>'[32]Sch B'!E32</f>
        <v>0</v>
      </c>
      <c r="D15" s="501">
        <f>'[32]Sch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43800</v>
      </c>
    </row>
    <row r="16" spans="1:11" s="167" customFormat="1">
      <c r="A16" s="169" t="s">
        <v>21</v>
      </c>
      <c r="B16" s="170" t="s">
        <v>172</v>
      </c>
      <c r="C16" s="501">
        <f>'[32]Sch B'!E37</f>
        <v>2227435</v>
      </c>
      <c r="D16" s="501">
        <f>'[32]Sch B'!G37</f>
        <v>0</v>
      </c>
      <c r="E16" s="171">
        <f t="shared" si="2"/>
        <v>2227435</v>
      </c>
      <c r="F16" s="171"/>
      <c r="G16" s="171">
        <f t="shared" si="0"/>
        <v>2227435</v>
      </c>
      <c r="H16" s="172">
        <f t="shared" si="1"/>
        <v>0.28660754208364297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'[32]Sch B'!E42</f>
        <v>123145</v>
      </c>
      <c r="D17" s="501">
        <f>'[32]Sch B'!G42</f>
        <v>-6942.676509726607</v>
      </c>
      <c r="E17" s="171">
        <f t="shared" si="2"/>
        <v>116202.3234902734</v>
      </c>
      <c r="F17" s="171"/>
      <c r="G17" s="171">
        <f>E17+F17</f>
        <v>116202.3234902734</v>
      </c>
      <c r="H17" s="172">
        <f t="shared" si="1"/>
        <v>1.4951934543524559E-2</v>
      </c>
      <c r="I17" s="473"/>
      <c r="J17" s="338" t="s">
        <v>156</v>
      </c>
      <c r="K17" s="339">
        <f>J208</f>
        <v>189500.26428571434</v>
      </c>
    </row>
    <row r="18" spans="1:11" s="167" customFormat="1" ht="13.5" thickBot="1">
      <c r="A18" s="169" t="s">
        <v>216</v>
      </c>
      <c r="B18" s="170" t="s">
        <v>229</v>
      </c>
      <c r="C18" s="501">
        <f>'[32]Sch B'!E47</f>
        <v>0</v>
      </c>
      <c r="D18" s="501">
        <f>'[32]Sch B'!G47</f>
        <v>6098.0811161076417</v>
      </c>
      <c r="E18" s="171">
        <f t="shared" si="2"/>
        <v>6098.0811161076417</v>
      </c>
      <c r="F18" s="171"/>
      <c r="G18" s="171">
        <f>E18+F18</f>
        <v>6098.0811161076417</v>
      </c>
      <c r="H18" s="172">
        <f t="shared" si="1"/>
        <v>7.8464962619079312E-4</v>
      </c>
      <c r="I18" s="473"/>
      <c r="J18" s="341" t="s">
        <v>252</v>
      </c>
      <c r="K18" s="342">
        <f>K208</f>
        <v>210150.97142857141</v>
      </c>
    </row>
    <row r="19" spans="1:11" s="167" customFormat="1">
      <c r="A19" s="169" t="s">
        <v>227</v>
      </c>
      <c r="B19" s="177" t="s">
        <v>173</v>
      </c>
      <c r="C19" s="501">
        <f>'[32]Sch B'!E52</f>
        <v>83258</v>
      </c>
      <c r="D19" s="501">
        <f>'[32]Sch B'!G52</f>
        <v>88429.217101788847</v>
      </c>
      <c r="E19" s="171">
        <f t="shared" si="2"/>
        <v>171687.21710178885</v>
      </c>
      <c r="F19" s="171"/>
      <c r="G19" s="171">
        <f t="shared" si="0"/>
        <v>171687.21710178885</v>
      </c>
      <c r="H19" s="172">
        <f t="shared" si="1"/>
        <v>2.2091262506301862E-2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'[32]Sch B'!E67</f>
        <v>-176833</v>
      </c>
      <c r="D20" s="501">
        <f>'[32]Sch B'!G67</f>
        <v>174871</v>
      </c>
      <c r="E20" s="171">
        <f t="shared" si="2"/>
        <v>-1962</v>
      </c>
      <c r="F20" s="171"/>
      <c r="G20" s="171">
        <f t="shared" si="0"/>
        <v>-1962</v>
      </c>
      <c r="H20" s="172">
        <f t="shared" si="1"/>
        <v>-2.5245360585970299E-4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7596854</v>
      </c>
      <c r="D21" s="501">
        <f>SUM(D11:D20)</f>
        <v>174871.00000000023</v>
      </c>
      <c r="E21" s="171">
        <f>SUM(E11:E20)</f>
        <v>7771725</v>
      </c>
      <c r="F21" s="171">
        <f>SUM(F11:F20)</f>
        <v>0</v>
      </c>
      <c r="G21" s="171">
        <f>SUM(G11:G20)</f>
        <v>7771725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'[32]Sch C'!D10</f>
        <v>126001</v>
      </c>
      <c r="D25" s="501">
        <f>'[32]Sch C'!F10</f>
        <v>-11628</v>
      </c>
      <c r="E25" s="171">
        <f t="shared" ref="E25:E60" si="3">C25+D25</f>
        <v>114373</v>
      </c>
      <c r="F25" s="171"/>
      <c r="G25" s="182">
        <f>E25+F25</f>
        <v>114373</v>
      </c>
      <c r="H25" s="172">
        <f>IF($G$208=0,0,G25/$G$208)</f>
        <v>1.4065410072784975E-2</v>
      </c>
      <c r="I25" s="473"/>
      <c r="J25" s="183">
        <v>2080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'[32]Sch C'!D11</f>
        <v>0</v>
      </c>
      <c r="D26" s="501">
        <f>'[32]Sch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'[32]Sch C'!D12</f>
        <v>132586</v>
      </c>
      <c r="D27" s="501">
        <f>'[32]Sch C'!F12</f>
        <v>84726.501471680938</v>
      </c>
      <c r="E27" s="171">
        <f t="shared" si="3"/>
        <v>217312.50147168094</v>
      </c>
      <c r="F27" s="171"/>
      <c r="G27" s="171">
        <f t="shared" si="4"/>
        <v>217312.50147168094</v>
      </c>
      <c r="H27" s="172">
        <f t="shared" si="5"/>
        <v>2.6724746637247259E-2</v>
      </c>
      <c r="I27" s="473"/>
      <c r="J27" s="183">
        <v>8903.4628571428566</v>
      </c>
      <c r="K27" s="183">
        <v>9588.92</v>
      </c>
    </row>
    <row r="28" spans="1:11" s="167" customFormat="1">
      <c r="A28" s="169" t="s">
        <v>86</v>
      </c>
      <c r="B28" s="170" t="s">
        <v>45</v>
      </c>
      <c r="C28" s="501">
        <f>'[32]Sch C'!D13</f>
        <v>437014</v>
      </c>
      <c r="D28" s="501">
        <f>'[32]Sch C'!F13</f>
        <v>-413219.98354285717</v>
      </c>
      <c r="E28" s="171">
        <f t="shared" si="3"/>
        <v>23794.016457142832</v>
      </c>
      <c r="F28" s="171"/>
      <c r="G28" s="171">
        <f t="shared" si="4"/>
        <v>23794.016457142832</v>
      </c>
      <c r="H28" s="172">
        <f t="shared" si="5"/>
        <v>2.9261503916860466E-3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'[32]Sch C'!D14</f>
        <v>0</v>
      </c>
      <c r="D29" s="501">
        <f>'[32]Sch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'[32]Sch C'!D15</f>
        <v>0</v>
      </c>
      <c r="D30" s="501">
        <f>'[32]Sch C'!F15</f>
        <v>288015.44524800003</v>
      </c>
      <c r="E30" s="171">
        <f t="shared" si="3"/>
        <v>288015.44524800003</v>
      </c>
      <c r="F30" s="171"/>
      <c r="G30" s="171">
        <f t="shared" si="4"/>
        <v>288015.44524800003</v>
      </c>
      <c r="H30" s="172">
        <f t="shared" si="5"/>
        <v>3.5419682483705674E-2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'[32]Sch C'!D16</f>
        <v>0</v>
      </c>
      <c r="D31" s="501">
        <f>'[32]Sch C'!F16</f>
        <v>0</v>
      </c>
      <c r="E31" s="171">
        <f t="shared" si="3"/>
        <v>0</v>
      </c>
      <c r="F31" s="171"/>
      <c r="G31" s="171">
        <f>E31+F31</f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'[32]Sch C'!D17</f>
        <v>0</v>
      </c>
      <c r="D32" s="501">
        <f>'[32]Sch C'!F17</f>
        <v>0</v>
      </c>
      <c r="E32" s="171">
        <f t="shared" si="3"/>
        <v>0</v>
      </c>
      <c r="F32" s="171"/>
      <c r="G32" s="171">
        <f>E32+F32</f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'[32]Sch C'!D18</f>
        <v>18918</v>
      </c>
      <c r="D33" s="501">
        <f>'[32]Sch C'!F18</f>
        <v>0</v>
      </c>
      <c r="E33" s="171">
        <f t="shared" si="3"/>
        <v>18918</v>
      </c>
      <c r="F33" s="171"/>
      <c r="G33" s="171">
        <f t="shared" si="4"/>
        <v>18918</v>
      </c>
      <c r="H33" s="172">
        <f t="shared" si="5"/>
        <v>2.326505624202794E-3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'[32]Sch C'!D19</f>
        <v>23837</v>
      </c>
      <c r="D34" s="501">
        <f>'[32]Sch C'!F19</f>
        <v>-1826.4</v>
      </c>
      <c r="E34" s="171">
        <f t="shared" si="3"/>
        <v>22010.6</v>
      </c>
      <c r="F34" s="171"/>
      <c r="G34" s="171">
        <f t="shared" si="4"/>
        <v>22010.6</v>
      </c>
      <c r="H34" s="172">
        <f t="shared" si="5"/>
        <v>2.7068286654021571E-3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'[32]Sch C'!D20</f>
        <v>24029</v>
      </c>
      <c r="D35" s="501">
        <f>'[32]Sch C'!F20</f>
        <v>-95.27</v>
      </c>
      <c r="E35" s="171">
        <f t="shared" si="3"/>
        <v>23933.73</v>
      </c>
      <c r="F35" s="171"/>
      <c r="G35" s="171">
        <f t="shared" si="4"/>
        <v>23933.73</v>
      </c>
      <c r="H35" s="172">
        <f t="shared" si="5"/>
        <v>2.9433321415134332E-3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'[32]Sch C'!D21</f>
        <v>1907</v>
      </c>
      <c r="D36" s="501">
        <f>'[32]Sch C'!F21</f>
        <v>6938</v>
      </c>
      <c r="E36" s="171">
        <f t="shared" si="3"/>
        <v>8845</v>
      </c>
      <c r="F36" s="171"/>
      <c r="G36" s="171">
        <f t="shared" si="4"/>
        <v>8845</v>
      </c>
      <c r="H36" s="172">
        <f t="shared" si="5"/>
        <v>1.0877440662899732E-3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'[32]Sch C'!D22</f>
        <v>0</v>
      </c>
      <c r="D37" s="501">
        <f>'[32]Sch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'[32]Sch C'!D23</f>
        <v>12636</v>
      </c>
      <c r="D38" s="501">
        <f>'[32]Sch C'!F23</f>
        <v>-3775.4300000000003</v>
      </c>
      <c r="E38" s="171">
        <f t="shared" si="3"/>
        <v>8860.57</v>
      </c>
      <c r="F38" s="171"/>
      <c r="G38" s="171">
        <f t="shared" si="4"/>
        <v>8860.57</v>
      </c>
      <c r="H38" s="172">
        <f t="shared" si="5"/>
        <v>1.0896588401862009E-3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'[32]Sch C'!D24</f>
        <v>0</v>
      </c>
      <c r="D39" s="501">
        <f>'[32]Sch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'[32]Sch C'!D25</f>
        <v>0</v>
      </c>
      <c r="D40" s="501">
        <f>'[32]Sch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'[32]Sch C'!D26</f>
        <v>302032</v>
      </c>
      <c r="D41" s="501">
        <f>'[32]Sch C'!F26</f>
        <v>0</v>
      </c>
      <c r="E41" s="171">
        <f t="shared" si="3"/>
        <v>302032</v>
      </c>
      <c r="F41" s="171"/>
      <c r="G41" s="171">
        <f t="shared" si="4"/>
        <v>302032</v>
      </c>
      <c r="H41" s="172">
        <f t="shared" si="5"/>
        <v>3.7143416148071581E-2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'[32]Sch C'!D27</f>
        <v>0</v>
      </c>
      <c r="D42" s="501">
        <f>'[32]Sch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'[32]Sch C'!D28</f>
        <v>0</v>
      </c>
      <c r="D43" s="501">
        <f>'[32]Sch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'[32]Sch C'!D29</f>
        <v>0</v>
      </c>
      <c r="D44" s="501">
        <f>'[32]Sch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'[32]Sch C'!D30</f>
        <v>0</v>
      </c>
      <c r="D45" s="501">
        <f>'[32]Sch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'[32]Sch C'!D31</f>
        <v>48568</v>
      </c>
      <c r="D46" s="501">
        <f>'[32]Sch C'!F31</f>
        <v>-48568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'[32]Sch C'!D32</f>
        <v>-2839</v>
      </c>
      <c r="D47" s="501">
        <f>'[32]Sch C'!F32</f>
        <v>65344</v>
      </c>
      <c r="E47" s="171">
        <f t="shared" si="3"/>
        <v>62505</v>
      </c>
      <c r="F47" s="171"/>
      <c r="G47" s="171">
        <f t="shared" si="4"/>
        <v>62505</v>
      </c>
      <c r="H47" s="172">
        <f t="shared" si="5"/>
        <v>7.6867657279202682E-3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'[32]Sch C'!D33</f>
        <v>0</v>
      </c>
      <c r="D48" s="501">
        <f>'[32]Sch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'[32]Sch C'!D34</f>
        <v>5409</v>
      </c>
      <c r="D49" s="501">
        <f>'[32]Sch C'!F34</f>
        <v>0</v>
      </c>
      <c r="E49" s="171">
        <f t="shared" si="3"/>
        <v>5409</v>
      </c>
      <c r="F49" s="171"/>
      <c r="G49" s="171">
        <f t="shared" si="4"/>
        <v>5409</v>
      </c>
      <c r="H49" s="172">
        <f t="shared" si="5"/>
        <v>6.651902379380966E-4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'[32]Sch C'!D35</f>
        <v>511</v>
      </c>
      <c r="D50" s="501">
        <f>'[32]Sch C'!F35</f>
        <v>-511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'[32]Sch C'!D36</f>
        <v>0</v>
      </c>
      <c r="D51" s="501">
        <f>'[32]Sch C'!F36</f>
        <v>41319.194792857146</v>
      </c>
      <c r="E51" s="171">
        <f t="shared" si="3"/>
        <v>41319.194792857146</v>
      </c>
      <c r="F51" s="171"/>
      <c r="G51" s="171">
        <f t="shared" si="4"/>
        <v>41319.194792857146</v>
      </c>
      <c r="H51" s="172">
        <f t="shared" si="5"/>
        <v>5.0813690175025347E-3</v>
      </c>
      <c r="I51" s="473"/>
      <c r="J51" s="183">
        <v>2021.522857142857</v>
      </c>
      <c r="K51" s="183">
        <v>2386.2514285714283</v>
      </c>
    </row>
    <row r="52" spans="1:11" s="167" customFormat="1">
      <c r="A52" s="163">
        <v>290</v>
      </c>
      <c r="B52" s="170" t="s">
        <v>205</v>
      </c>
      <c r="C52" s="501">
        <f>'[32]Sch C'!D37</f>
        <v>0</v>
      </c>
      <c r="D52" s="501">
        <f>'[32]Sch C'!F37</f>
        <v>7448.5967335519772</v>
      </c>
      <c r="E52" s="171">
        <f t="shared" si="3"/>
        <v>7448.5967335519772</v>
      </c>
      <c r="F52" s="171"/>
      <c r="G52" s="171">
        <f t="shared" si="4"/>
        <v>7448.5967335519772</v>
      </c>
      <c r="H52" s="172">
        <f t="shared" si="5"/>
        <v>9.1601660815240687E-4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'[32]Sch C'!D38</f>
        <v>0</v>
      </c>
      <c r="D53" s="501">
        <f>'[32]Sch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'[32]Sch C'!D39</f>
        <v>5053</v>
      </c>
      <c r="D54" s="501">
        <f>'[32]Sch C'!F39</f>
        <v>-3</v>
      </c>
      <c r="E54" s="171">
        <f t="shared" si="3"/>
        <v>5050</v>
      </c>
      <c r="F54" s="171"/>
      <c r="G54" s="171">
        <f t="shared" si="4"/>
        <v>5050</v>
      </c>
      <c r="H54" s="172">
        <f t="shared" si="5"/>
        <v>6.2104098753695467E-4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'[32]Sch C'!D40</f>
        <v>203902</v>
      </c>
      <c r="D55" s="501">
        <f>'[32]Sch C'!F40</f>
        <v>-203902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'[32]Sch C'!D41</f>
        <v>319</v>
      </c>
      <c r="D56" s="501">
        <f>'[32]Sch C'!F41</f>
        <v>0</v>
      </c>
      <c r="E56" s="171">
        <f t="shared" si="3"/>
        <v>319</v>
      </c>
      <c r="F56" s="171"/>
      <c r="G56" s="171">
        <f t="shared" si="4"/>
        <v>319</v>
      </c>
      <c r="H56" s="172">
        <f t="shared" si="5"/>
        <v>3.9230113866195751E-5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'[32]Sch C'!D42</f>
        <v>66046</v>
      </c>
      <c r="D57" s="501">
        <f>'[32]Sch C'!F42</f>
        <v>0</v>
      </c>
      <c r="E57" s="171">
        <f t="shared" si="3"/>
        <v>66046</v>
      </c>
      <c r="F57" s="171"/>
      <c r="G57" s="171">
        <f t="shared" si="4"/>
        <v>66046</v>
      </c>
      <c r="H57" s="172">
        <f t="shared" si="5"/>
        <v>8.1222322896763784E-3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'[32]Sch C'!D43</f>
        <v>20542</v>
      </c>
      <c r="D58" s="501">
        <f>'[32]Sch C'!F43</f>
        <v>0</v>
      </c>
      <c r="E58" s="171">
        <f t="shared" si="3"/>
        <v>20542</v>
      </c>
      <c r="F58" s="171">
        <v>-20542</v>
      </c>
      <c r="G58" s="171">
        <f t="shared" si="4"/>
        <v>0</v>
      </c>
      <c r="H58" s="172">
        <f t="shared" si="5"/>
        <v>0</v>
      </c>
      <c r="I58" s="473" t="s">
        <v>720</v>
      </c>
      <c r="J58" s="168"/>
      <c r="K58" s="168"/>
    </row>
    <row r="59" spans="1:11" s="167" customFormat="1">
      <c r="A59" s="163">
        <v>360</v>
      </c>
      <c r="B59" s="170" t="s">
        <v>211</v>
      </c>
      <c r="C59" s="501">
        <f>'[32]Sch C'!D44</f>
        <v>0</v>
      </c>
      <c r="D59" s="501">
        <f>'[32]Sch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'[32]Sch C'!D45</f>
        <v>63066</v>
      </c>
      <c r="D60" s="501">
        <f>'[32]Sch C'!F45</f>
        <v>-9019</v>
      </c>
      <c r="E60" s="171">
        <f t="shared" si="3"/>
        <v>54047</v>
      </c>
      <c r="F60" s="171"/>
      <c r="G60" s="171">
        <f t="shared" si="4"/>
        <v>54047</v>
      </c>
      <c r="H60" s="172">
        <f t="shared" si="5"/>
        <v>6.6466143076058994E-3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1489537</v>
      </c>
      <c r="D61" s="501">
        <f>SUM(D25:D60)</f>
        <v>-198756.34529676707</v>
      </c>
      <c r="E61" s="171">
        <f t="shared" ref="E61:F61" si="6">SUM(E25:E60)</f>
        <v>1290780.6547032327</v>
      </c>
      <c r="F61" s="171">
        <f t="shared" si="6"/>
        <v>-20542</v>
      </c>
      <c r="G61" s="171">
        <f>SUM(G25:G60)</f>
        <v>1270238.6547032327</v>
      </c>
      <c r="H61" s="186">
        <f t="shared" si="5"/>
        <v>0.1562119343612888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 ht="15.5">
      <c r="A63" s="169" t="s">
        <v>162</v>
      </c>
      <c r="B63" s="170" t="s">
        <v>178</v>
      </c>
      <c r="C63" s="165"/>
      <c r="D63" s="165"/>
      <c r="E63" s="165"/>
      <c r="F63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'[32]Sch C'!D57</f>
        <v>534543</v>
      </c>
      <c r="D64" s="501">
        <f>'[32]Sch C'!F57</f>
        <v>-534543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'[32]Sch C'!D58</f>
        <v>0</v>
      </c>
      <c r="D65" s="501">
        <f>'[32]Sch C'!F58</f>
        <v>247421</v>
      </c>
      <c r="E65" s="171">
        <f t="shared" si="7"/>
        <v>247421</v>
      </c>
      <c r="F65" s="171"/>
      <c r="G65" s="171">
        <f t="shared" si="8"/>
        <v>247421</v>
      </c>
      <c r="H65" s="172">
        <f t="shared" si="9"/>
        <v>3.0427442015322943E-2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'[32]Sch C'!D59</f>
        <v>0</v>
      </c>
      <c r="D66" s="501">
        <f>'[32]Sch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'[32]Sch C'!D60</f>
        <v>92893</v>
      </c>
      <c r="D67" s="501">
        <f>'[32]Sch C'!F60</f>
        <v>8490</v>
      </c>
      <c r="E67" s="171">
        <f t="shared" si="7"/>
        <v>101383</v>
      </c>
      <c r="F67" s="171"/>
      <c r="G67" s="171">
        <f t="shared" si="8"/>
        <v>101383</v>
      </c>
      <c r="H67" s="172">
        <f t="shared" si="9"/>
        <v>1.2467920483061204E-2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'[32]Sch C'!D61</f>
        <v>17325</v>
      </c>
      <c r="D68" s="501">
        <f>'[32]Sch C'!F61</f>
        <v>39940</v>
      </c>
      <c r="E68" s="171">
        <f t="shared" si="7"/>
        <v>57265</v>
      </c>
      <c r="F68" s="171"/>
      <c r="G68" s="171">
        <f t="shared" si="8"/>
        <v>57265</v>
      </c>
      <c r="H68" s="172">
        <f t="shared" si="9"/>
        <v>7.0423588418423192E-3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'[32]Sch C'!D62</f>
        <v>2143</v>
      </c>
      <c r="D69" s="501">
        <f>'[32]Sch C'!F62</f>
        <v>0</v>
      </c>
      <c r="E69" s="171">
        <f t="shared" si="7"/>
        <v>2143</v>
      </c>
      <c r="F69" s="171"/>
      <c r="G69" s="171">
        <f t="shared" si="8"/>
        <v>2143</v>
      </c>
      <c r="H69" s="172">
        <f t="shared" si="9"/>
        <v>2.6354273985974136E-4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'[32]Sch C'!D63</f>
        <v>0</v>
      </c>
      <c r="D70" s="501">
        <f>'[32]Sch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'[32]Sch C'!D64</f>
        <v>0</v>
      </c>
      <c r="D71" s="501">
        <f>'[32]Sch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'[32]Sch C'!D65</f>
        <v>3963</v>
      </c>
      <c r="D72" s="501">
        <f>'[32]Sch C'!F65</f>
        <v>-1063</v>
      </c>
      <c r="E72" s="171">
        <f t="shared" si="7"/>
        <v>2900</v>
      </c>
      <c r="F72" s="171"/>
      <c r="G72" s="171">
        <f t="shared" si="8"/>
        <v>2900</v>
      </c>
      <c r="H72" s="172">
        <f t="shared" si="9"/>
        <v>3.5663739878359776E-4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'[32]Sch C'!D66</f>
        <v>8051</v>
      </c>
      <c r="D73" s="501">
        <f>'[32]Sch C'!F66</f>
        <v>0</v>
      </c>
      <c r="E73" s="171">
        <f t="shared" si="7"/>
        <v>8051</v>
      </c>
      <c r="F73" s="171"/>
      <c r="G73" s="171">
        <f t="shared" si="8"/>
        <v>8051</v>
      </c>
      <c r="H73" s="172">
        <f t="shared" si="9"/>
        <v>9.9009920607129147E-4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'[32]Sch C'!D67</f>
        <v>1759</v>
      </c>
      <c r="D74" s="501">
        <f>'[32]Sch C'!F67</f>
        <v>80332</v>
      </c>
      <c r="E74" s="171">
        <f t="shared" si="7"/>
        <v>82091</v>
      </c>
      <c r="F74" s="171"/>
      <c r="G74" s="171">
        <f t="shared" si="8"/>
        <v>82091</v>
      </c>
      <c r="H74" s="172">
        <f t="shared" si="9"/>
        <v>1.0095420932256663E-2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'[32]Sch C'!D68</f>
        <v>126</v>
      </c>
      <c r="D75" s="501">
        <f>'[32]Sch C'!F68</f>
        <v>156412</v>
      </c>
      <c r="E75" s="171">
        <f t="shared" si="7"/>
        <v>156538</v>
      </c>
      <c r="F75" s="171"/>
      <c r="G75" s="171">
        <f t="shared" si="8"/>
        <v>156538</v>
      </c>
      <c r="H75" s="172">
        <f t="shared" si="9"/>
        <v>1.9250794872685113E-2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'[32]Sch C'!D69</f>
        <v>644</v>
      </c>
      <c r="D76" s="501">
        <f>'[32]Sch C'!F69</f>
        <v>0</v>
      </c>
      <c r="E76" s="171">
        <f t="shared" si="7"/>
        <v>644</v>
      </c>
      <c r="F76" s="171"/>
      <c r="G76" s="171">
        <f t="shared" si="8"/>
        <v>644</v>
      </c>
      <c r="H76" s="172">
        <f t="shared" si="9"/>
        <v>7.919809821263343E-5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'[32]Sch C'!D70</f>
        <v>0</v>
      </c>
      <c r="D77" s="501">
        <f>'[32]Sch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'[32]Sch C'!D71</f>
        <v>25000</v>
      </c>
      <c r="D78" s="501">
        <f>'[32]Sch C'!F71</f>
        <v>-25000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686447</v>
      </c>
      <c r="D79" s="501">
        <f>SUM(D64:D78)</f>
        <v>-28011</v>
      </c>
      <c r="E79" s="171">
        <f t="shared" ref="E79:F79" si="10">SUM(E64:E78)</f>
        <v>658436</v>
      </c>
      <c r="F79" s="171">
        <f t="shared" si="10"/>
        <v>0</v>
      </c>
      <c r="G79" s="171">
        <f>SUM(G64:G78)</f>
        <v>658436</v>
      </c>
      <c r="H79" s="172">
        <f t="shared" si="9"/>
        <v>8.097341458809551E-2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'[32]Sch C'!D75</f>
        <v>81873</v>
      </c>
      <c r="D82" s="501">
        <f>'[32]Sch C'!F75</f>
        <v>8755.0249613758479</v>
      </c>
      <c r="E82" s="171">
        <f t="shared" ref="E82:E92" si="11">C82+D82</f>
        <v>90628.02496137585</v>
      </c>
      <c r="F82" s="171"/>
      <c r="G82" s="171">
        <f t="shared" ref="G82:G92" si="12">E82+F82</f>
        <v>90628.02496137585</v>
      </c>
      <c r="H82" s="172">
        <f t="shared" ref="H82:H93" si="13">IF($G$208=0,0,G82/$G$208)</f>
        <v>1.1145290716937949E-2</v>
      </c>
      <c r="I82" s="473"/>
      <c r="J82" s="183">
        <v>3909.9278571428576</v>
      </c>
      <c r="K82" s="183">
        <v>4185.4207142857158</v>
      </c>
    </row>
    <row r="83" spans="1:11" s="167" customFormat="1">
      <c r="A83" s="169" t="s">
        <v>86</v>
      </c>
      <c r="B83" s="199" t="s">
        <v>45</v>
      </c>
      <c r="C83" s="501">
        <f>'[32]Sch C'!D76</f>
        <v>6358</v>
      </c>
      <c r="D83" s="501">
        <f>'[32]Sch C'!F76</f>
        <v>0</v>
      </c>
      <c r="E83" s="171">
        <f t="shared" si="11"/>
        <v>6358</v>
      </c>
      <c r="F83" s="171"/>
      <c r="G83" s="171">
        <f t="shared" si="12"/>
        <v>6358</v>
      </c>
      <c r="H83" s="172">
        <f t="shared" si="13"/>
        <v>7.8189675222969468E-4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'[32]Sch C'!D77</f>
        <v>12135</v>
      </c>
      <c r="D84" s="501">
        <f>'[32]Sch C'!F77</f>
        <v>3779.59</v>
      </c>
      <c r="E84" s="171">
        <f t="shared" si="11"/>
        <v>15914.59</v>
      </c>
      <c r="F84" s="171"/>
      <c r="G84" s="171">
        <f t="shared" si="12"/>
        <v>15914.59</v>
      </c>
      <c r="H84" s="172">
        <f t="shared" si="13"/>
        <v>1.9571510276922264E-3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'[32]Sch C'!D78</f>
        <v>0</v>
      </c>
      <c r="D85" s="501">
        <f>'[32]Sch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'[32]Sch C'!D79</f>
        <v>16568</v>
      </c>
      <c r="D86" s="501">
        <f>'[32]Sch C'!F79</f>
        <v>-3191.16</v>
      </c>
      <c r="E86" s="171">
        <f t="shared" si="11"/>
        <v>13376.84</v>
      </c>
      <c r="F86" s="171"/>
      <c r="G86" s="171">
        <f>E86+F86</f>
        <v>13376.84</v>
      </c>
      <c r="H86" s="172">
        <f t="shared" si="13"/>
        <v>1.6450625591532351E-3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'[32]Sch C'!D80</f>
        <v>-12519</v>
      </c>
      <c r="D87" s="501">
        <f>'[32]Sch C'!F80</f>
        <v>0</v>
      </c>
      <c r="E87" s="171">
        <f t="shared" si="11"/>
        <v>-12519</v>
      </c>
      <c r="F87" s="171"/>
      <c r="G87" s="171">
        <f t="shared" si="12"/>
        <v>-12519</v>
      </c>
      <c r="H87" s="172">
        <f t="shared" si="13"/>
        <v>-1.5395667570247795E-3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'[32]Sch C'!D81</f>
        <v>0</v>
      </c>
      <c r="D88" s="501">
        <f>'[32]Sch C'!F81</f>
        <v>0</v>
      </c>
      <c r="E88" s="171">
        <f t="shared" si="11"/>
        <v>0</v>
      </c>
      <c r="F88" s="171"/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'[32]Sch C'!D82</f>
        <v>15240</v>
      </c>
      <c r="D89" s="501">
        <f>'[32]Sch C'!F82</f>
        <v>0</v>
      </c>
      <c r="E89" s="171">
        <f t="shared" si="11"/>
        <v>15240</v>
      </c>
      <c r="F89" s="171"/>
      <c r="G89" s="171">
        <f t="shared" si="12"/>
        <v>15240</v>
      </c>
      <c r="H89" s="172">
        <f t="shared" si="13"/>
        <v>1.874191019814493E-3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'[32]Sch C'!D83</f>
        <v>8490</v>
      </c>
      <c r="D90" s="501">
        <f>'[32]Sch C'!F83</f>
        <v>-1134</v>
      </c>
      <c r="E90" s="171">
        <f t="shared" si="11"/>
        <v>7356</v>
      </c>
      <c r="F90" s="171"/>
      <c r="G90" s="171">
        <f t="shared" si="12"/>
        <v>7356</v>
      </c>
      <c r="H90" s="172">
        <f t="shared" si="13"/>
        <v>9.0462920877660169E-4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'[32]Sch C'!D84</f>
        <v>108690</v>
      </c>
      <c r="D91" s="501">
        <f>'[32]Sch C'!F84</f>
        <v>0</v>
      </c>
      <c r="E91" s="171">
        <f t="shared" si="11"/>
        <v>108690</v>
      </c>
      <c r="F91" s="171"/>
      <c r="G91" s="171">
        <f t="shared" si="12"/>
        <v>108690</v>
      </c>
      <c r="H91" s="172">
        <f t="shared" si="13"/>
        <v>1.3366523749582497E-2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'[32]Sch C'!D85</f>
        <v>46909</v>
      </c>
      <c r="D92" s="501">
        <f>'[32]Sch C'!F85</f>
        <v>0</v>
      </c>
      <c r="E92" s="171">
        <f t="shared" si="11"/>
        <v>46909</v>
      </c>
      <c r="F92" s="171"/>
      <c r="G92" s="171">
        <f t="shared" si="12"/>
        <v>46909</v>
      </c>
      <c r="H92" s="172">
        <f t="shared" si="13"/>
        <v>5.7687943929447538E-3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283744</v>
      </c>
      <c r="D93" s="501">
        <f>SUM(D82:D92)</f>
        <v>8209.4549613758481</v>
      </c>
      <c r="E93" s="171">
        <f t="shared" ref="E93:F93" si="14">SUM(E82:E92)</f>
        <v>291953.45496137586</v>
      </c>
      <c r="F93" s="171">
        <f t="shared" si="14"/>
        <v>0</v>
      </c>
      <c r="G93" s="171">
        <f>SUM(G82:G92)</f>
        <v>291953.45496137586</v>
      </c>
      <c r="H93" s="172">
        <f t="shared" si="13"/>
        <v>3.5903972670106671E-2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'[32]Sch C'!D89</f>
        <v>226691</v>
      </c>
      <c r="D96" s="501">
        <f>'[32]Sch C'!F89</f>
        <v>24108.535111839377</v>
      </c>
      <c r="E96" s="171">
        <f t="shared" ref="E96:E101" si="15">C96+D96</f>
        <v>250799.53511183939</v>
      </c>
      <c r="F96" s="171"/>
      <c r="G96" s="171">
        <f t="shared" ref="G96:G101" si="16">E96+F96</f>
        <v>250799.53511183939</v>
      </c>
      <c r="H96" s="172">
        <f t="shared" ref="H96:H102" si="17">IF($G$208=0,0,G96/$G$208)</f>
        <v>3.0842928902904135E-2</v>
      </c>
      <c r="I96" s="473"/>
      <c r="J96" s="183">
        <v>16625.297142857144</v>
      </c>
      <c r="K96" s="183">
        <v>17248.702857142856</v>
      </c>
    </row>
    <row r="97" spans="1:11" s="167" customFormat="1">
      <c r="A97" s="169" t="s">
        <v>86</v>
      </c>
      <c r="B97" s="170" t="s">
        <v>45</v>
      </c>
      <c r="C97" s="501">
        <f>'[32]Sch C'!D90</f>
        <v>18083</v>
      </c>
      <c r="D97" s="501">
        <f>'[32]Sch C'!F90</f>
        <v>119.69</v>
      </c>
      <c r="E97" s="171">
        <f t="shared" si="15"/>
        <v>18202.689999999999</v>
      </c>
      <c r="F97" s="171"/>
      <c r="G97" s="171">
        <f t="shared" si="16"/>
        <v>18202.689999999999</v>
      </c>
      <c r="H97" s="172">
        <f t="shared" si="17"/>
        <v>2.2385379353324852E-3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'[32]Sch C'!D91</f>
        <v>27579</v>
      </c>
      <c r="D98" s="501">
        <f>'[32]Sch C'!F91</f>
        <v>0</v>
      </c>
      <c r="E98" s="171">
        <f t="shared" si="15"/>
        <v>27579</v>
      </c>
      <c r="F98" s="171"/>
      <c r="G98" s="171">
        <f t="shared" si="16"/>
        <v>27579</v>
      </c>
      <c r="H98" s="172">
        <f t="shared" si="17"/>
        <v>3.3916216624320147E-3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'[32]Sch C'!D92</f>
        <v>172951</v>
      </c>
      <c r="D99" s="501">
        <f>'[32]Sch C'!F92</f>
        <v>-2667.85</v>
      </c>
      <c r="E99" s="171">
        <f t="shared" si="15"/>
        <v>170283.15</v>
      </c>
      <c r="F99" s="171"/>
      <c r="G99" s="171">
        <f t="shared" si="16"/>
        <v>170283.15</v>
      </c>
      <c r="H99" s="172">
        <f t="shared" si="17"/>
        <v>2.0941151611267996E-2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'[32]Sch C'!D93</f>
        <v>23932</v>
      </c>
      <c r="D100" s="501">
        <f>'[32]Sch C'!F93</f>
        <v>-180.51</v>
      </c>
      <c r="E100" s="171">
        <f t="shared" si="15"/>
        <v>23751.49</v>
      </c>
      <c r="F100" s="171"/>
      <c r="G100" s="171">
        <f t="shared" si="16"/>
        <v>23751.49</v>
      </c>
      <c r="H100" s="172">
        <f t="shared" si="17"/>
        <v>2.9209205554602186E-3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'[32]Sch C'!D94</f>
        <v>5603</v>
      </c>
      <c r="D101" s="501">
        <f>'[32]Sch C'!F94</f>
        <v>0</v>
      </c>
      <c r="E101" s="171">
        <f t="shared" si="15"/>
        <v>5603</v>
      </c>
      <c r="F101" s="171"/>
      <c r="G101" s="171">
        <f t="shared" si="16"/>
        <v>5603</v>
      </c>
      <c r="H101" s="172">
        <f t="shared" si="17"/>
        <v>6.8904805013258552E-4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474839</v>
      </c>
      <c r="D102" s="501">
        <f>SUM(D96:D101)</f>
        <v>21379.865111839379</v>
      </c>
      <c r="E102" s="171">
        <f t="shared" ref="E102:F102" si="18">SUM(E96:E101)</f>
        <v>496218.86511183938</v>
      </c>
      <c r="F102" s="171">
        <f t="shared" si="18"/>
        <v>0</v>
      </c>
      <c r="G102" s="171">
        <f>SUM(G96:G101)</f>
        <v>496218.86511183938</v>
      </c>
      <c r="H102" s="172">
        <f t="shared" si="17"/>
        <v>6.1024208717529435E-2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'[32]Sch C'!D98</f>
        <v>40137</v>
      </c>
      <c r="D105" s="501">
        <f>'[32]Sch C'!F98</f>
        <v>4292.0185760231388</v>
      </c>
      <c r="E105" s="171">
        <f t="shared" ref="E105:E110" si="19">C105+D105</f>
        <v>44429.01857602314</v>
      </c>
      <c r="F105" s="171"/>
      <c r="G105" s="171">
        <f t="shared" ref="G105:G110" si="20">E105+F105</f>
        <v>44429.01857602314</v>
      </c>
      <c r="H105" s="172">
        <f t="shared" ref="H105:H111" si="21">IF($G$208=0,0,G105/$G$208)</f>
        <v>5.4638102122279439E-3</v>
      </c>
      <c r="I105" s="473"/>
      <c r="J105" s="183">
        <v>3614.4521428571434</v>
      </c>
      <c r="K105" s="183">
        <v>4419.9342857142865</v>
      </c>
    </row>
    <row r="106" spans="1:11" s="167" customFormat="1">
      <c r="A106" s="169" t="s">
        <v>86</v>
      </c>
      <c r="B106" s="170" t="s">
        <v>45</v>
      </c>
      <c r="C106" s="501">
        <f>'[32]Sch C'!D99</f>
        <v>3570</v>
      </c>
      <c r="D106" s="501">
        <f>'[32]Sch C'!F99</f>
        <v>0</v>
      </c>
      <c r="E106" s="171">
        <f t="shared" si="19"/>
        <v>3570</v>
      </c>
      <c r="F106" s="171"/>
      <c r="G106" s="171">
        <f t="shared" si="20"/>
        <v>3570</v>
      </c>
      <c r="H106" s="172">
        <f t="shared" si="21"/>
        <v>4.390329357439462E-4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'[32]Sch C'!D100</f>
        <v>5068</v>
      </c>
      <c r="D107" s="501">
        <f>'[32]Sch C'!F100</f>
        <v>-165.87</v>
      </c>
      <c r="E107" s="171">
        <f t="shared" si="19"/>
        <v>4902.13</v>
      </c>
      <c r="F107" s="171"/>
      <c r="G107" s="171">
        <f t="shared" si="20"/>
        <v>4902.13</v>
      </c>
      <c r="H107" s="172">
        <f t="shared" si="21"/>
        <v>6.0285616955139249E-4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'[32]Sch C'!D101</f>
        <v>0</v>
      </c>
      <c r="D108" s="501">
        <f>'[32]Sch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'[32]Sch C'!D102</f>
        <v>12321</v>
      </c>
      <c r="D109" s="501">
        <f>'[32]Sch C'!F102</f>
        <v>0</v>
      </c>
      <c r="E109" s="171">
        <f t="shared" si="19"/>
        <v>12321</v>
      </c>
      <c r="F109" s="171"/>
      <c r="G109" s="171">
        <f t="shared" si="20"/>
        <v>12321</v>
      </c>
      <c r="H109" s="172">
        <f t="shared" si="21"/>
        <v>1.5152170311767959E-3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'[32]Sch C'!D103</f>
        <v>522</v>
      </c>
      <c r="D110" s="501">
        <f>'[32]Sch C'!F103</f>
        <v>0</v>
      </c>
      <c r="E110" s="171">
        <f t="shared" si="19"/>
        <v>522</v>
      </c>
      <c r="F110" s="171"/>
      <c r="G110" s="171">
        <f t="shared" si="20"/>
        <v>522</v>
      </c>
      <c r="H110" s="172">
        <f t="shared" si="21"/>
        <v>6.4194731781047599E-5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61618</v>
      </c>
      <c r="D111" s="501">
        <f>SUM(D105:D110)</f>
        <v>4126.148576023139</v>
      </c>
      <c r="E111" s="171">
        <f t="shared" ref="E111:F111" si="22">SUM(E105:E110)</f>
        <v>65744.148576023144</v>
      </c>
      <c r="F111" s="171">
        <f t="shared" si="22"/>
        <v>0</v>
      </c>
      <c r="G111" s="171">
        <f>SUM(G105:G110)</f>
        <v>65744.148576023144</v>
      </c>
      <c r="H111" s="172">
        <f t="shared" si="21"/>
        <v>8.085111080481126E-3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'[32]Sch C'!D115</f>
        <v>136322</v>
      </c>
      <c r="D114" s="501">
        <f>'[32]Sch C'!F115</f>
        <v>14577.486018402629</v>
      </c>
      <c r="E114" s="171">
        <f t="shared" ref="E114:E118" si="23">C114+D114</f>
        <v>150899.48601840262</v>
      </c>
      <c r="F114" s="171"/>
      <c r="G114" s="171">
        <f>E114+F114</f>
        <v>150899.48601840262</v>
      </c>
      <c r="H114" s="172">
        <f t="shared" ref="H114:H119" si="24">IF($G$208=0,0,G114/$G$208)</f>
        <v>1.85573793694431E-2</v>
      </c>
      <c r="I114" s="473"/>
      <c r="J114" s="183">
        <v>9958.3714285714268</v>
      </c>
      <c r="K114" s="183">
        <v>11349.907857142858</v>
      </c>
    </row>
    <row r="115" spans="1:11" s="167" customFormat="1">
      <c r="A115" s="169" t="s">
        <v>86</v>
      </c>
      <c r="B115" s="170" t="s">
        <v>151</v>
      </c>
      <c r="C115" s="501">
        <f>'[32]Sch C'!D116</f>
        <v>10557</v>
      </c>
      <c r="D115" s="501">
        <f>'[32]Sch C'!F116</f>
        <v>0</v>
      </c>
      <c r="E115" s="171">
        <f t="shared" si="23"/>
        <v>10557</v>
      </c>
      <c r="F115" s="171"/>
      <c r="G115" s="171">
        <f>E115+F115</f>
        <v>10557</v>
      </c>
      <c r="H115" s="172">
        <f t="shared" si="24"/>
        <v>1.2982831099856693E-3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'[32]Sch C'!D117</f>
        <v>16207</v>
      </c>
      <c r="D116" s="501">
        <f>'[32]Sch C'!F117</f>
        <v>-139.47999999999999</v>
      </c>
      <c r="E116" s="171">
        <f t="shared" si="23"/>
        <v>16067.52</v>
      </c>
      <c r="F116" s="171"/>
      <c r="G116" s="171">
        <f>E116+F116</f>
        <v>16067.52</v>
      </c>
      <c r="H116" s="172">
        <f t="shared" si="24"/>
        <v>1.9759581164494593E-3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'[32]Sch C'!D118</f>
        <v>321</v>
      </c>
      <c r="D117" s="501">
        <f>'[32]Sch C'!F118</f>
        <v>0</v>
      </c>
      <c r="E117" s="171">
        <f t="shared" si="23"/>
        <v>321</v>
      </c>
      <c r="F117" s="171"/>
      <c r="G117" s="171">
        <f>E117+F117</f>
        <v>321</v>
      </c>
      <c r="H117" s="172">
        <f t="shared" si="24"/>
        <v>3.9476070692943062E-5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'[32]Sch C'!D119</f>
        <v>2387</v>
      </c>
      <c r="D118" s="501">
        <f>'[32]Sch C'!F119</f>
        <v>0</v>
      </c>
      <c r="E118" s="171">
        <f t="shared" si="23"/>
        <v>2387</v>
      </c>
      <c r="F118" s="171"/>
      <c r="G118" s="171">
        <f>E118+F118</f>
        <v>2387</v>
      </c>
      <c r="H118" s="172">
        <f t="shared" si="24"/>
        <v>2.9354947272291305E-4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165794</v>
      </c>
      <c r="D119" s="501">
        <f>SUM(D114:D118)</f>
        <v>14438.00601840263</v>
      </c>
      <c r="E119" s="171">
        <f t="shared" ref="E119:F119" si="25">SUM(E114:E118)</f>
        <v>180232.00601840261</v>
      </c>
      <c r="F119" s="171">
        <f t="shared" si="25"/>
        <v>0</v>
      </c>
      <c r="G119" s="171">
        <f>SUM(G114:G118)</f>
        <v>180232.00601840261</v>
      </c>
      <c r="H119" s="172">
        <f t="shared" si="24"/>
        <v>2.2164646139294083E-2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'[32]Sch C'!D124</f>
        <v>0</v>
      </c>
      <c r="D123" s="501">
        <f>'[32]Sch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'[32]Sch C'!D125</f>
        <v>0</v>
      </c>
      <c r="D124" s="501">
        <f>'[32]Sch C'!F125</f>
        <v>390671.94062686613</v>
      </c>
      <c r="E124" s="171">
        <f t="shared" si="26"/>
        <v>390671.94062686613</v>
      </c>
      <c r="F124" s="171"/>
      <c r="G124" s="171">
        <f>E124+F124</f>
        <v>390671.94062686613</v>
      </c>
      <c r="H124" s="172">
        <f>IF($G$208=0,0,G124/$G$208)</f>
        <v>4.8044215407898508E-2</v>
      </c>
      <c r="I124" s="473"/>
      <c r="J124" s="183">
        <v>8227.0064285714288</v>
      </c>
      <c r="K124" s="183">
        <v>9383.5049999999992</v>
      </c>
    </row>
    <row r="125" spans="1:11" s="167" customFormat="1">
      <c r="A125" s="163" t="s">
        <v>198</v>
      </c>
      <c r="B125" s="163" t="s">
        <v>195</v>
      </c>
      <c r="C125" s="501">
        <f>'[32]Sch C'!D126</f>
        <v>0</v>
      </c>
      <c r="D125" s="501">
        <f>'[32]Sch C'!F126</f>
        <v>75921.059373133874</v>
      </c>
      <c r="E125" s="171">
        <f t="shared" si="26"/>
        <v>75921.059373133874</v>
      </c>
      <c r="F125" s="171"/>
      <c r="G125" s="171">
        <f>E125+F125</f>
        <v>75921.059373133874</v>
      </c>
      <c r="H125" s="172">
        <f>IF($G$208=0,0,G125/$G$208)</f>
        <v>9.3366514233550156E-3</v>
      </c>
      <c r="I125" s="473"/>
      <c r="J125" s="183">
        <v>2081.2307142857144</v>
      </c>
      <c r="K125" s="183">
        <v>2307.0257142857145</v>
      </c>
    </row>
    <row r="126" spans="1:11" s="167" customFormat="1">
      <c r="A126" s="169"/>
      <c r="B126" s="163" t="s">
        <v>196</v>
      </c>
      <c r="C126" s="501">
        <f>'[32]Sch C'!D127</f>
        <v>0</v>
      </c>
      <c r="D126" s="501">
        <f>'[32]Sch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'[32]Sch C'!D128</f>
        <v>578238</v>
      </c>
      <c r="D127" s="501">
        <f>'[32]Sch C'!F128</f>
        <v>-466593</v>
      </c>
      <c r="E127" s="171">
        <f t="shared" si="26"/>
        <v>111645</v>
      </c>
      <c r="F127" s="171"/>
      <c r="G127" s="171">
        <f>E127+F127</f>
        <v>111645</v>
      </c>
      <c r="H127" s="172">
        <f>IF($G$208=0,0,G127/$G$208)</f>
        <v>1.3729924961101645E-2</v>
      </c>
      <c r="I127" s="473"/>
      <c r="J127" s="183">
        <v>5710.8642857142859</v>
      </c>
      <c r="K127" s="183">
        <v>6231.72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5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'[32]Sch C'!D130</f>
        <v>0</v>
      </c>
      <c r="D129" s="501">
        <f>'[32]Sch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'[32]Sch C'!D131</f>
        <v>0</v>
      </c>
      <c r="D130" s="501">
        <f>'[32]Sch C'!F131</f>
        <v>67685.185381235555</v>
      </c>
      <c r="E130" s="171">
        <f t="shared" si="27"/>
        <v>67685.185381235555</v>
      </c>
      <c r="F130" s="171"/>
      <c r="G130" s="171">
        <f>E130+F130</f>
        <v>67685.185381235555</v>
      </c>
      <c r="H130" s="172">
        <f>IF($G$208=0,0,G130/$G$208)</f>
        <v>8.323816707086016E-3</v>
      </c>
      <c r="I130" s="473"/>
      <c r="J130" s="204"/>
      <c r="K130" s="204"/>
    </row>
    <row r="131" spans="1:11" s="167" customFormat="1">
      <c r="B131" s="163" t="s">
        <v>195</v>
      </c>
      <c r="C131" s="501">
        <f>'[32]Sch C'!D132</f>
        <v>0</v>
      </c>
      <c r="D131" s="501">
        <f>'[32]Sch C'!F132</f>
        <v>13153.570665363961</v>
      </c>
      <c r="E131" s="171">
        <f t="shared" si="27"/>
        <v>13153.570665363961</v>
      </c>
      <c r="F131" s="171"/>
      <c r="G131" s="171">
        <f>E131+F131</f>
        <v>13153.570665363961</v>
      </c>
      <c r="H131" s="172">
        <f>IF($G$208=0,0,G131/$G$208)</f>
        <v>1.6176052506247035E-3</v>
      </c>
      <c r="I131" s="473"/>
      <c r="J131" s="168"/>
      <c r="K131" s="168"/>
    </row>
    <row r="132" spans="1:11" s="167" customFormat="1">
      <c r="B132" s="163" t="s">
        <v>196</v>
      </c>
      <c r="C132" s="501">
        <f>'[32]Sch C'!D133</f>
        <v>0</v>
      </c>
      <c r="D132" s="501">
        <f>'[32]Sch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'[32]Sch C'!D134</f>
        <v>39250</v>
      </c>
      <c r="D133" s="501">
        <f>'[32]Sch C'!F134</f>
        <v>-19005.329598123841</v>
      </c>
      <c r="E133" s="171">
        <f t="shared" si="27"/>
        <v>20244.670401876159</v>
      </c>
      <c r="F133" s="171"/>
      <c r="G133" s="171">
        <f>E133+F133</f>
        <v>20244.670401876159</v>
      </c>
      <c r="H133" s="172">
        <f>IF($G$208=0,0,G133/$G$208)</f>
        <v>2.4896574452953125E-3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'[32]Sch C'!D136</f>
        <v>0</v>
      </c>
      <c r="D135" s="501">
        <f>'[32]Sch C'!F136</f>
        <v>654527.41869064211</v>
      </c>
      <c r="E135" s="171">
        <f t="shared" ref="E135:E138" si="28">C135+D135</f>
        <v>654527.41869064211</v>
      </c>
      <c r="F135" s="171"/>
      <c r="G135" s="171">
        <f>E135+F135</f>
        <v>654527.41869064211</v>
      </c>
      <c r="H135" s="172">
        <f>IF($G$208=0,0,G135/$G$208)</f>
        <v>8.0492743460128746E-2</v>
      </c>
      <c r="I135" s="473"/>
      <c r="J135" s="183">
        <v>20888.640714285713</v>
      </c>
      <c r="K135" s="183">
        <v>22759.262857142858</v>
      </c>
    </row>
    <row r="136" spans="1:11" s="167" customFormat="1">
      <c r="A136" s="169"/>
      <c r="B136" s="163" t="s">
        <v>195</v>
      </c>
      <c r="C136" s="501">
        <f>'[32]Sch C'!D137</f>
        <v>0</v>
      </c>
      <c r="D136" s="501">
        <f>'[32]Sch C'!F137</f>
        <v>523147.80356763734</v>
      </c>
      <c r="E136" s="171">
        <f t="shared" si="28"/>
        <v>523147.80356763734</v>
      </c>
      <c r="F136" s="171"/>
      <c r="G136" s="171">
        <f>E136+F136</f>
        <v>523147.80356763734</v>
      </c>
      <c r="H136" s="172">
        <f>IF($G$208=0,0,G136/$G$208)</f>
        <v>6.4335886842660256E-2</v>
      </c>
      <c r="I136" s="473"/>
      <c r="J136" s="183">
        <v>15787.699285714285</v>
      </c>
      <c r="K136" s="183">
        <v>17767.75357142857</v>
      </c>
    </row>
    <row r="137" spans="1:11" s="167" customFormat="1">
      <c r="A137" s="169"/>
      <c r="B137" s="163" t="s">
        <v>196</v>
      </c>
      <c r="C137" s="501">
        <f>'[32]Sch C'!D138</f>
        <v>0</v>
      </c>
      <c r="D137" s="501">
        <f>'[32]Sch C'!F138</f>
        <v>939630.98489874799</v>
      </c>
      <c r="E137" s="171">
        <f t="shared" si="28"/>
        <v>939630.98489874799</v>
      </c>
      <c r="F137" s="171"/>
      <c r="G137" s="171">
        <f>E137+F137</f>
        <v>939630.98489874799</v>
      </c>
      <c r="H137" s="172">
        <f>IF($G$208=0,0,G137/$G$208)</f>
        <v>0.11555432767957224</v>
      </c>
      <c r="I137" s="473"/>
      <c r="J137" s="183">
        <v>44805.717857142859</v>
      </c>
      <c r="K137" s="183">
        <v>50337.250714285707</v>
      </c>
    </row>
    <row r="138" spans="1:11" s="167" customFormat="1">
      <c r="A138" s="169"/>
      <c r="B138" s="163" t="s">
        <v>197</v>
      </c>
      <c r="C138" s="501">
        <f>'[32]Sch C'!D139</f>
        <v>2145775</v>
      </c>
      <c r="D138" s="501">
        <f>'[32]Sch C'!F139</f>
        <v>-2143539.7371570272</v>
      </c>
      <c r="E138" s="171">
        <f t="shared" si="28"/>
        <v>2235.2628429727629</v>
      </c>
      <c r="F138" s="171"/>
      <c r="G138" s="171">
        <f>E138+F138</f>
        <v>2235.2628429727629</v>
      </c>
      <c r="H138" s="172">
        <f>IF($G$208=0,0,G138/$G$208)</f>
        <v>2.7488907790187435E-4</v>
      </c>
      <c r="I138" s="473"/>
      <c r="J138" s="183">
        <v>14606.347142857143</v>
      </c>
      <c r="K138" s="183">
        <v>16585.731428571431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'[32]Sch C'!D141</f>
        <v>0</v>
      </c>
      <c r="D140" s="501">
        <f>'[32]Sch C'!F141</f>
        <v>135225.25612627447</v>
      </c>
      <c r="E140" s="171">
        <f t="shared" ref="E140:E143" si="29">C140+D140</f>
        <v>135225.25612627447</v>
      </c>
      <c r="F140" s="171"/>
      <c r="G140" s="171">
        <f>E140+F140</f>
        <v>135225.25612627447</v>
      </c>
      <c r="H140" s="172">
        <f>IF($G$208=0,0,G140/$G$208)</f>
        <v>1.6629787446455272E-2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'[32]Sch C'!D142</f>
        <v>0</v>
      </c>
      <c r="D141" s="501">
        <f>'[32]Sch C'!F142</f>
        <v>92313.563440509592</v>
      </c>
      <c r="E141" s="171">
        <f t="shared" si="29"/>
        <v>92313.563440509592</v>
      </c>
      <c r="F141" s="171"/>
      <c r="G141" s="171">
        <f>E141+F141</f>
        <v>92313.563440509592</v>
      </c>
      <c r="H141" s="172">
        <f>IF($G$208=0,0,G141/$G$208)</f>
        <v>1.1352575564782058E-2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'[32]Sch C'!D143</f>
        <v>0</v>
      </c>
      <c r="D142" s="501">
        <f>'[32]Sch C'!F143</f>
        <v>148726.48758318683</v>
      </c>
      <c r="E142" s="171">
        <f t="shared" si="29"/>
        <v>148726.48758318683</v>
      </c>
      <c r="F142" s="171"/>
      <c r="G142" s="171">
        <f>E142+F142</f>
        <v>148726.48758318683</v>
      </c>
      <c r="H142" s="172">
        <f>IF($G$208=0,0,G142/$G$208)</f>
        <v>1.8290147469616828E-2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'[32]Sch C'!D144</f>
        <v>167929</v>
      </c>
      <c r="D143" s="501">
        <f>'[32]Sch C'!F144</f>
        <v>-146809.40232059406</v>
      </c>
      <c r="E143" s="171">
        <f t="shared" si="29"/>
        <v>21119.597679405939</v>
      </c>
      <c r="F143" s="171"/>
      <c r="G143" s="171">
        <f>E143+F143</f>
        <v>21119.597679405939</v>
      </c>
      <c r="H143" s="172">
        <f>IF($G$208=0,0,G143/$G$208)</f>
        <v>2.5972546137032555E-3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'[32]Sch C'!D146</f>
        <v>0</v>
      </c>
      <c r="D145" s="501">
        <f>'[32]Sch C'!F146</f>
        <v>43000</v>
      </c>
      <c r="E145" s="171">
        <f t="shared" ref="E145:E153" si="30">C145+D145</f>
        <v>43000</v>
      </c>
      <c r="F145" s="171"/>
      <c r="G145" s="171">
        <f t="shared" ref="G145:G153" si="31">E145+F145</f>
        <v>43000</v>
      </c>
      <c r="H145" s="172">
        <f t="shared" ref="H145:H153" si="32">IF($G$208=0,0,G145/$G$208)</f>
        <v>5.288071775067139E-3</v>
      </c>
      <c r="I145" s="473"/>
      <c r="J145" s="183">
        <v>215</v>
      </c>
      <c r="K145" s="183">
        <v>215</v>
      </c>
    </row>
    <row r="146" spans="1:11" s="167" customFormat="1">
      <c r="A146" s="169"/>
      <c r="B146" s="163" t="s">
        <v>194</v>
      </c>
      <c r="C146" s="501">
        <f>'[32]Sch C'!D147</f>
        <v>0</v>
      </c>
      <c r="D146" s="501">
        <f>'[32]Sch C'!F147</f>
        <v>4676</v>
      </c>
      <c r="E146" s="171">
        <f t="shared" si="30"/>
        <v>4676</v>
      </c>
      <c r="F146" s="171"/>
      <c r="G146" s="171">
        <f t="shared" si="31"/>
        <v>4676</v>
      </c>
      <c r="H146" s="172">
        <f t="shared" si="32"/>
        <v>5.7504706093520791E-4</v>
      </c>
      <c r="I146" s="473"/>
      <c r="J146" s="183">
        <v>87</v>
      </c>
      <c r="K146" s="183">
        <v>87</v>
      </c>
    </row>
    <row r="147" spans="1:11" s="167" customFormat="1">
      <c r="A147" s="169"/>
      <c r="B147" s="163" t="s">
        <v>195</v>
      </c>
      <c r="C147" s="501">
        <f>'[32]Sch C'!D148</f>
        <v>0</v>
      </c>
      <c r="D147" s="501">
        <f>'[32]Sch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'[32]Sch C'!D149</f>
        <v>0</v>
      </c>
      <c r="D148" s="501">
        <f>'[32]Sch C'!F149</f>
        <v>1496</v>
      </c>
      <c r="E148" s="171">
        <f t="shared" si="30"/>
        <v>1496</v>
      </c>
      <c r="F148" s="171"/>
      <c r="G148" s="171">
        <f t="shared" si="31"/>
        <v>1496</v>
      </c>
      <c r="H148" s="172">
        <f t="shared" si="32"/>
        <v>1.8397570640698698E-4</v>
      </c>
      <c r="I148" s="473"/>
      <c r="J148" s="183">
        <v>64</v>
      </c>
      <c r="K148" s="183">
        <v>64</v>
      </c>
    </row>
    <row r="149" spans="1:11" s="167" customFormat="1">
      <c r="A149" s="169"/>
      <c r="B149" s="163" t="s">
        <v>197</v>
      </c>
      <c r="C149" s="501">
        <f>'[32]Sch C'!D150</f>
        <v>49592</v>
      </c>
      <c r="D149" s="501">
        <f>'[32]Sch C'!F150</f>
        <v>-49172</v>
      </c>
      <c r="E149" s="171">
        <f t="shared" si="30"/>
        <v>420</v>
      </c>
      <c r="F149" s="171"/>
      <c r="G149" s="171">
        <f t="shared" si="31"/>
        <v>420</v>
      </c>
      <c r="H149" s="172">
        <f t="shared" si="32"/>
        <v>5.1650933616934849E-5</v>
      </c>
      <c r="I149" s="473"/>
      <c r="J149" s="183">
        <v>7</v>
      </c>
      <c r="K149" s="183">
        <v>7</v>
      </c>
    </row>
    <row r="150" spans="1:11" s="167" customFormat="1">
      <c r="A150" s="169">
        <v>110</v>
      </c>
      <c r="B150" s="167" t="s">
        <v>65</v>
      </c>
      <c r="C150" s="501">
        <f>'[32]Sch C'!D151</f>
        <v>173150</v>
      </c>
      <c r="D150" s="501">
        <f>'[32]Sch C'!F151</f>
        <v>-721.52</v>
      </c>
      <c r="E150" s="171">
        <f t="shared" si="30"/>
        <v>172428.48</v>
      </c>
      <c r="F150" s="171"/>
      <c r="G150" s="171">
        <f t="shared" si="31"/>
        <v>172428.48</v>
      </c>
      <c r="H150" s="172">
        <f t="shared" si="32"/>
        <v>2.12049808908309E-2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'[32]Sch C'!D152</f>
        <v>12099</v>
      </c>
      <c r="D151" s="501">
        <f>'[32]Sch C'!F152</f>
        <v>0</v>
      </c>
      <c r="E151" s="171">
        <f t="shared" si="30"/>
        <v>12099</v>
      </c>
      <c r="F151" s="171"/>
      <c r="G151" s="171">
        <f t="shared" si="31"/>
        <v>12099</v>
      </c>
      <c r="H151" s="172">
        <f t="shared" si="32"/>
        <v>1.4879158234078445E-3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'[32]Sch C'!D153</f>
        <v>0</v>
      </c>
      <c r="D152" s="501">
        <f>'[32]Sch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'[32]Sch C'!D154</f>
        <v>3860</v>
      </c>
      <c r="D153" s="501">
        <f>'[32]Sch C'!F154</f>
        <v>0</v>
      </c>
      <c r="E153" s="171">
        <f t="shared" si="30"/>
        <v>3860</v>
      </c>
      <c r="F153" s="171"/>
      <c r="G153" s="171">
        <f t="shared" si="31"/>
        <v>3860</v>
      </c>
      <c r="H153" s="172">
        <f t="shared" si="32"/>
        <v>4.7469667562230597E-4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'[32]Sch C'!D156</f>
        <v>0</v>
      </c>
      <c r="D155" s="501">
        <f>'[32]Sch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'[32]Sch C'!D157</f>
        <v>0</v>
      </c>
      <c r="D156" s="501">
        <f>'[32]Sch C'!F157</f>
        <v>26233.530000000006</v>
      </c>
      <c r="E156" s="171">
        <f t="shared" si="33"/>
        <v>26233.530000000006</v>
      </c>
      <c r="F156" s="171"/>
      <c r="G156" s="171">
        <f t="shared" si="34"/>
        <v>26233.530000000006</v>
      </c>
      <c r="H156" s="172">
        <f t="shared" si="35"/>
        <v>3.2261578965901644E-3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'[32]Sch C'!D158</f>
        <v>0</v>
      </c>
      <c r="D157" s="501">
        <f>'[32]Sch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'[32]Sch C'!D159</f>
        <v>0</v>
      </c>
      <c r="D158" s="501">
        <f>'[32]Sch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'[32]Sch C'!D160</f>
        <v>0</v>
      </c>
      <c r="D159" s="501">
        <f>'[32]Sch C'!F160</f>
        <v>-15720</v>
      </c>
      <c r="E159" s="171">
        <f t="shared" si="33"/>
        <v>-15720</v>
      </c>
      <c r="F159" s="171"/>
      <c r="G159" s="171">
        <f t="shared" si="34"/>
        <v>-15720</v>
      </c>
      <c r="H159" s="172">
        <f>IF($G$208=0,0,G159/$G$208)</f>
        <v>-1.933220658233847E-3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'[32]Sch C'!D161</f>
        <v>14885</v>
      </c>
      <c r="D160" s="501">
        <f>'[32]Sch C'!F161</f>
        <v>0</v>
      </c>
      <c r="E160" s="171">
        <f t="shared" si="33"/>
        <v>14885</v>
      </c>
      <c r="F160" s="171"/>
      <c r="G160" s="171">
        <f t="shared" si="34"/>
        <v>14885</v>
      </c>
      <c r="H160" s="172">
        <f t="shared" si="35"/>
        <v>1.8305336830668458E-3</v>
      </c>
      <c r="I160" s="473"/>
      <c r="J160" s="168"/>
      <c r="K160" s="168"/>
    </row>
    <row r="161" spans="1:11" s="167" customFormat="1">
      <c r="A161" s="169"/>
      <c r="B161" s="170" t="s">
        <v>233</v>
      </c>
      <c r="C161" s="501">
        <f>SUM(C123:C160)</f>
        <v>3184778</v>
      </c>
      <c r="D161" s="501">
        <f>SUM(D123:D160)</f>
        <v>274847.81127785263</v>
      </c>
      <c r="E161" s="171">
        <f t="shared" ref="E161:F161" si="36">SUM(E123:E160)</f>
        <v>3459625.8112778524</v>
      </c>
      <c r="F161" s="171">
        <f t="shared" si="36"/>
        <v>0</v>
      </c>
      <c r="G161" s="171">
        <f>SUM(G123:G160)</f>
        <v>3459625.8112778524</v>
      </c>
      <c r="H161" s="172">
        <f t="shared" si="35"/>
        <v>0.4254592931374922</v>
      </c>
      <c r="I161" s="473"/>
      <c r="J161" s="168"/>
      <c r="K161" s="168"/>
    </row>
    <row r="162" spans="1:11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1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1" s="221" customFormat="1">
      <c r="A164" s="215" t="s">
        <v>95</v>
      </c>
      <c r="B164" s="148" t="s">
        <v>102</v>
      </c>
      <c r="C164" s="501">
        <f>'[32]Sch C'!D175</f>
        <v>0</v>
      </c>
      <c r="D164" s="501">
        <f>'[32]Sch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</row>
    <row r="165" spans="1:11" s="221" customFormat="1">
      <c r="A165" s="215" t="s">
        <v>123</v>
      </c>
      <c r="B165" s="148" t="s">
        <v>103</v>
      </c>
      <c r="C165" s="501">
        <f>'[32]Sch C'!D176</f>
        <v>0</v>
      </c>
      <c r="D165" s="501">
        <f>'[32]Sch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</row>
    <row r="166" spans="1:11" s="221" customFormat="1">
      <c r="A166" s="215" t="s">
        <v>124</v>
      </c>
      <c r="B166" s="148" t="s">
        <v>104</v>
      </c>
      <c r="C166" s="501">
        <f>'[32]Sch C'!D177</f>
        <v>375865</v>
      </c>
      <c r="D166" s="501">
        <f>'[32]Sch C'!F177</f>
        <v>40183.54143585929</v>
      </c>
      <c r="E166" s="171">
        <f t="shared" si="37"/>
        <v>416048.54143585928</v>
      </c>
      <c r="F166" s="171"/>
      <c r="G166" s="171">
        <f t="shared" si="38"/>
        <v>416048.54143585928</v>
      </c>
      <c r="H166" s="172">
        <f t="shared" si="39"/>
        <v>5.1164989512205085E-2</v>
      </c>
      <c r="I166" s="483"/>
      <c r="J166" s="183">
        <v>10478.75142857143</v>
      </c>
      <c r="K166" s="183">
        <v>11515.699999999999</v>
      </c>
    </row>
    <row r="167" spans="1:11" s="221" customFormat="1">
      <c r="A167" s="215" t="s">
        <v>157</v>
      </c>
      <c r="B167" s="148" t="s">
        <v>105</v>
      </c>
      <c r="C167" s="501">
        <f>'[32]Sch C'!D178</f>
        <v>30531</v>
      </c>
      <c r="D167" s="501">
        <f>'[32]Sch C'!F178</f>
        <v>8.39</v>
      </c>
      <c r="E167" s="171">
        <f t="shared" si="37"/>
        <v>30539.39</v>
      </c>
      <c r="F167" s="171"/>
      <c r="G167" s="171">
        <f t="shared" si="38"/>
        <v>30539.39</v>
      </c>
      <c r="H167" s="172">
        <f t="shared" si="39"/>
        <v>3.7556857275992473E-3</v>
      </c>
      <c r="I167" s="484"/>
      <c r="J167" s="222"/>
      <c r="K167" s="222"/>
    </row>
    <row r="168" spans="1:11" s="221" customFormat="1">
      <c r="A168" s="215" t="s">
        <v>158</v>
      </c>
      <c r="B168" s="148" t="s">
        <v>316</v>
      </c>
      <c r="C168" s="501">
        <f>'[32]Sch C'!D179</f>
        <v>85340</v>
      </c>
      <c r="D168" s="501">
        <f>'[32]Sch C'!F179</f>
        <v>9164.7078294670537</v>
      </c>
      <c r="E168" s="171">
        <f t="shared" si="37"/>
        <v>94504.70782946705</v>
      </c>
      <c r="F168" s="171"/>
      <c r="G168" s="171">
        <f t="shared" si="38"/>
        <v>94504.70782946705</v>
      </c>
      <c r="H168" s="172">
        <f t="shared" si="39"/>
        <v>1.1622039025208633E-2</v>
      </c>
      <c r="I168" s="483"/>
      <c r="J168" s="183">
        <v>1945.8314285714287</v>
      </c>
      <c r="K168" s="183">
        <v>2096.0185714285717</v>
      </c>
    </row>
    <row r="169" spans="1:11" s="221" customFormat="1">
      <c r="A169" s="215" t="s">
        <v>86</v>
      </c>
      <c r="B169" s="148" t="s">
        <v>317</v>
      </c>
      <c r="C169" s="501">
        <f>'[32]Sch C'!D180</f>
        <v>6286</v>
      </c>
      <c r="D169" s="501">
        <f>'[32]Sch C'!F180</f>
        <v>-35.18</v>
      </c>
      <c r="E169" s="171">
        <f t="shared" si="37"/>
        <v>6250.82</v>
      </c>
      <c r="F169" s="171"/>
      <c r="G169" s="171">
        <f t="shared" si="38"/>
        <v>6250.82</v>
      </c>
      <c r="H169" s="172">
        <f t="shared" si="39"/>
        <v>7.6871592588430629E-4</v>
      </c>
      <c r="I169" s="484"/>
      <c r="J169" s="222"/>
      <c r="K169" s="222"/>
    </row>
    <row r="170" spans="1:11" s="221" customFormat="1">
      <c r="A170" s="215" t="s">
        <v>96</v>
      </c>
      <c r="B170" s="148" t="s">
        <v>318</v>
      </c>
      <c r="C170" s="501">
        <f>'[32]Sch C'!D181</f>
        <v>0</v>
      </c>
      <c r="D170" s="501">
        <f>'[32]Sch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</row>
    <row r="171" spans="1:11" s="221" customFormat="1">
      <c r="A171" s="215" t="s">
        <v>125</v>
      </c>
      <c r="B171" s="148" t="s">
        <v>109</v>
      </c>
      <c r="C171" s="501">
        <f>'[32]Sch C'!D182</f>
        <v>0</v>
      </c>
      <c r="D171" s="501">
        <f>'[32]Sch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</row>
    <row r="172" spans="1:11" s="221" customFormat="1">
      <c r="A172" s="215" t="s">
        <v>126</v>
      </c>
      <c r="B172" s="148" t="s">
        <v>319</v>
      </c>
      <c r="C172" s="501">
        <f>'[32]Sch C'!D183</f>
        <v>425944</v>
      </c>
      <c r="D172" s="501">
        <f>'[32]Sch C'!F183</f>
        <v>45186.163565878247</v>
      </c>
      <c r="E172" s="171">
        <f t="shared" si="37"/>
        <v>471130.16356587823</v>
      </c>
      <c r="F172" s="171"/>
      <c r="G172" s="171">
        <f t="shared" si="38"/>
        <v>471130.16356587823</v>
      </c>
      <c r="H172" s="172">
        <f t="shared" si="39"/>
        <v>5.793884000780198E-2</v>
      </c>
      <c r="I172" s="483"/>
      <c r="J172" s="183">
        <v>9735.3057142857142</v>
      </c>
      <c r="K172" s="183">
        <v>11209.580000000002</v>
      </c>
    </row>
    <row r="173" spans="1:11" s="221" customFormat="1">
      <c r="A173" s="215" t="s">
        <v>127</v>
      </c>
      <c r="B173" s="148" t="s">
        <v>111</v>
      </c>
      <c r="C173" s="501">
        <f>'[32]Sch C'!D184</f>
        <v>31729</v>
      </c>
      <c r="D173" s="501">
        <f>'[32]Sch C'!F184</f>
        <v>326.87000000000006</v>
      </c>
      <c r="E173" s="171">
        <f t="shared" si="37"/>
        <v>32055.87</v>
      </c>
      <c r="F173" s="171"/>
      <c r="G173" s="171">
        <f t="shared" si="38"/>
        <v>32055.87</v>
      </c>
      <c r="H173" s="172">
        <f t="shared" si="39"/>
        <v>3.9421800319121266E-3</v>
      </c>
      <c r="I173" s="484"/>
      <c r="J173" s="222"/>
      <c r="K173" s="222"/>
    </row>
    <row r="174" spans="1:11" s="221" customFormat="1">
      <c r="A174" s="215" t="s">
        <v>128</v>
      </c>
      <c r="B174" s="148" t="s">
        <v>320</v>
      </c>
      <c r="C174" s="501">
        <f>'[32]Sch C'!D185</f>
        <v>0</v>
      </c>
      <c r="D174" s="501">
        <f>'[32]Sch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</row>
    <row r="175" spans="1:11" s="221" customFormat="1">
      <c r="A175" s="215" t="s">
        <v>129</v>
      </c>
      <c r="B175" s="148" t="s">
        <v>321</v>
      </c>
      <c r="C175" s="501">
        <f>'[32]Sch C'!D186</f>
        <v>0</v>
      </c>
      <c r="D175" s="501">
        <f>'[32]Sch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</row>
    <row r="176" spans="1:11" s="221" customFormat="1">
      <c r="A176" s="224" t="s">
        <v>293</v>
      </c>
      <c r="B176" s="148" t="s">
        <v>154</v>
      </c>
      <c r="C176" s="501">
        <f>'[32]Sch C'!D187</f>
        <v>0</v>
      </c>
      <c r="D176" s="501">
        <f>'[32]Sch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</row>
    <row r="177" spans="1:11" s="221" customFormat="1">
      <c r="A177" s="224" t="s">
        <v>294</v>
      </c>
      <c r="B177" s="148" t="s">
        <v>322</v>
      </c>
      <c r="C177" s="501">
        <f>'[32]Sch C'!D188</f>
        <v>8103</v>
      </c>
      <c r="D177" s="501">
        <f>'[32]Sch C'!F188</f>
        <v>0</v>
      </c>
      <c r="E177" s="171">
        <f t="shared" si="37"/>
        <v>8103</v>
      </c>
      <c r="F177" s="171"/>
      <c r="G177" s="171">
        <f t="shared" si="38"/>
        <v>8103</v>
      </c>
      <c r="H177" s="172">
        <f t="shared" si="39"/>
        <v>9.9649408356672158E-4</v>
      </c>
      <c r="I177" s="473"/>
      <c r="J177" s="223"/>
      <c r="K177" s="218"/>
    </row>
    <row r="178" spans="1:11" s="221" customFormat="1">
      <c r="A178" s="224" t="s">
        <v>295</v>
      </c>
      <c r="B178" s="148" t="s">
        <v>323</v>
      </c>
      <c r="C178" s="501">
        <f>'[32]Sch C'!D189</f>
        <v>0</v>
      </c>
      <c r="D178" s="501">
        <f>'[32]Sch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</row>
    <row r="179" spans="1:11" s="221" customFormat="1">
      <c r="A179" s="224" t="s">
        <v>296</v>
      </c>
      <c r="B179" s="148" t="s">
        <v>324</v>
      </c>
      <c r="C179" s="501">
        <f>'[32]Sch C'!D190</f>
        <v>0</v>
      </c>
      <c r="D179" s="501">
        <f>'[32]Sch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</row>
    <row r="180" spans="1:11" s="221" customFormat="1">
      <c r="A180" s="224" t="s">
        <v>297</v>
      </c>
      <c r="B180" s="148" t="s">
        <v>325</v>
      </c>
      <c r="C180" s="501">
        <f>'[32]Sch C'!D191</f>
        <v>1151</v>
      </c>
      <c r="D180" s="501">
        <f>'[32]Sch C'!F191</f>
        <v>0</v>
      </c>
      <c r="E180" s="171">
        <f t="shared" si="37"/>
        <v>1151</v>
      </c>
      <c r="F180" s="171"/>
      <c r="G180" s="171">
        <f t="shared" si="38"/>
        <v>1151</v>
      </c>
      <c r="H180" s="172">
        <f t="shared" si="39"/>
        <v>1.415481537930762E-4</v>
      </c>
      <c r="I180" s="473"/>
      <c r="J180" s="223"/>
      <c r="K180" s="218"/>
    </row>
    <row r="181" spans="1:11" s="221" customFormat="1">
      <c r="A181" s="224" t="s">
        <v>298</v>
      </c>
      <c r="B181" s="148" t="s">
        <v>117</v>
      </c>
      <c r="C181" s="501">
        <f>'[32]Sch C'!D192</f>
        <v>56164</v>
      </c>
      <c r="D181" s="501">
        <f>'[32]Sch C'!F192</f>
        <v>0</v>
      </c>
      <c r="E181" s="171">
        <f t="shared" si="37"/>
        <v>56164</v>
      </c>
      <c r="F181" s="171"/>
      <c r="G181" s="171">
        <f t="shared" si="38"/>
        <v>56164</v>
      </c>
      <c r="H181" s="172">
        <f t="shared" si="39"/>
        <v>6.9069596087179257E-3</v>
      </c>
      <c r="I181" s="473"/>
      <c r="J181" s="223"/>
      <c r="K181" s="218"/>
    </row>
    <row r="182" spans="1:11" s="221" customFormat="1">
      <c r="A182" s="224" t="s">
        <v>132</v>
      </c>
      <c r="B182" s="148" t="s">
        <v>118</v>
      </c>
      <c r="C182" s="501">
        <f>'[32]Sch C'!D193</f>
        <v>3225</v>
      </c>
      <c r="D182" s="501">
        <f>'[32]Sch C'!F193</f>
        <v>0</v>
      </c>
      <c r="E182" s="171">
        <f t="shared" si="37"/>
        <v>3225</v>
      </c>
      <c r="F182" s="171"/>
      <c r="G182" s="171">
        <f t="shared" si="38"/>
        <v>3225</v>
      </c>
      <c r="H182" s="172">
        <f t="shared" si="39"/>
        <v>3.9660538313003542E-4</v>
      </c>
      <c r="I182" s="473"/>
      <c r="J182" s="223"/>
      <c r="K182" s="218"/>
    </row>
    <row r="183" spans="1:11" s="221" customFormat="1">
      <c r="A183" s="224" t="s">
        <v>133</v>
      </c>
      <c r="B183" s="148" t="s">
        <v>119</v>
      </c>
      <c r="C183" s="501">
        <f>'[32]Sch C'!D194</f>
        <v>-3</v>
      </c>
      <c r="D183" s="501">
        <f>'[32]Sch C'!F194</f>
        <v>3</v>
      </c>
      <c r="E183" s="171">
        <f t="shared" si="37"/>
        <v>0</v>
      </c>
      <c r="F183" s="171"/>
      <c r="G183" s="171">
        <f t="shared" si="38"/>
        <v>0</v>
      </c>
      <c r="H183" s="172">
        <f t="shared" si="39"/>
        <v>0</v>
      </c>
      <c r="I183" s="473"/>
      <c r="J183" s="223"/>
      <c r="K183" s="218"/>
    </row>
    <row r="184" spans="1:11" s="221" customFormat="1">
      <c r="A184" s="224" t="s">
        <v>134</v>
      </c>
      <c r="B184" s="148" t="s">
        <v>326</v>
      </c>
      <c r="C184" s="501">
        <f>'[32]Sch C'!D195</f>
        <v>0</v>
      </c>
      <c r="D184" s="501">
        <f>'[32]Sch C'!F195</f>
        <v>0</v>
      </c>
      <c r="E184" s="171">
        <f t="shared" si="37"/>
        <v>0</v>
      </c>
      <c r="F184" s="171"/>
      <c r="G184" s="171">
        <f t="shared" si="38"/>
        <v>0</v>
      </c>
      <c r="H184" s="172">
        <f t="shared" si="39"/>
        <v>0</v>
      </c>
      <c r="I184" s="473"/>
      <c r="J184" s="223"/>
      <c r="K184" s="218"/>
    </row>
    <row r="185" spans="1:11" s="221" customFormat="1">
      <c r="A185" s="224" t="s">
        <v>135</v>
      </c>
      <c r="B185" s="148" t="s">
        <v>327</v>
      </c>
      <c r="C185" s="501">
        <f>'[32]Sch C'!D196</f>
        <v>0</v>
      </c>
      <c r="D185" s="501">
        <f>'[32]Sch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</row>
    <row r="186" spans="1:11" s="221" customFormat="1">
      <c r="A186" s="224" t="s">
        <v>136</v>
      </c>
      <c r="B186" s="148" t="s">
        <v>328</v>
      </c>
      <c r="C186" s="501">
        <f>'[32]Sch C'!D197</f>
        <v>0</v>
      </c>
      <c r="D186" s="501">
        <f>'[32]Sch C'!F197</f>
        <v>0</v>
      </c>
      <c r="E186" s="171">
        <f t="shared" si="37"/>
        <v>0</v>
      </c>
      <c r="F186" s="171"/>
      <c r="G186" s="171">
        <f t="shared" si="38"/>
        <v>0</v>
      </c>
      <c r="H186" s="172">
        <f t="shared" si="39"/>
        <v>0</v>
      </c>
      <c r="I186" s="473"/>
      <c r="J186" s="223"/>
      <c r="K186" s="218"/>
    </row>
    <row r="187" spans="1:11" s="221" customFormat="1">
      <c r="A187" s="224" t="s">
        <v>137</v>
      </c>
      <c r="B187" s="148" t="s">
        <v>122</v>
      </c>
      <c r="C187" s="501">
        <f>'[32]Sch C'!D198</f>
        <v>0</v>
      </c>
      <c r="D187" s="501">
        <f>'[32]Sch C'!F198</f>
        <v>0</v>
      </c>
      <c r="E187" s="171">
        <f t="shared" si="37"/>
        <v>0</v>
      </c>
      <c r="F187" s="171"/>
      <c r="G187" s="171">
        <f t="shared" si="38"/>
        <v>0</v>
      </c>
      <c r="H187" s="172">
        <f t="shared" si="39"/>
        <v>0</v>
      </c>
      <c r="I187" s="473"/>
      <c r="J187" s="223"/>
      <c r="K187" s="218"/>
    </row>
    <row r="188" spans="1:11" s="221" customFormat="1">
      <c r="A188" s="224" t="s">
        <v>275</v>
      </c>
      <c r="B188" s="148" t="s">
        <v>329</v>
      </c>
      <c r="C188" s="501">
        <f>'[32]Sch C'!D199</f>
        <v>0</v>
      </c>
      <c r="D188" s="501">
        <f>'[32]Sch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</row>
    <row r="189" spans="1:11" s="221" customFormat="1">
      <c r="A189" s="224" t="s">
        <v>277</v>
      </c>
      <c r="B189" s="148" t="s">
        <v>278</v>
      </c>
      <c r="C189" s="501">
        <f>'[32]Sch C'!D200</f>
        <v>0</v>
      </c>
      <c r="D189" s="501">
        <f>'[32]Sch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</row>
    <row r="190" spans="1:11" s="221" customFormat="1">
      <c r="A190" s="225" t="s">
        <v>279</v>
      </c>
      <c r="B190" s="226" t="s">
        <v>280</v>
      </c>
      <c r="C190" s="501">
        <f>'[32]Sch C'!D201</f>
        <v>0</v>
      </c>
      <c r="D190" s="501">
        <f>'[32]Sch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</row>
    <row r="191" spans="1:11" s="221" customFormat="1">
      <c r="A191" s="225" t="s">
        <v>281</v>
      </c>
      <c r="B191" s="226" t="s">
        <v>282</v>
      </c>
      <c r="C191" s="501">
        <f>'[32]Sch C'!D202</f>
        <v>0</v>
      </c>
      <c r="D191" s="501">
        <f>'[32]Sch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</row>
    <row r="192" spans="1:11" s="221" customFormat="1">
      <c r="A192" s="225" t="s">
        <v>283</v>
      </c>
      <c r="B192" s="226" t="s">
        <v>330</v>
      </c>
      <c r="C192" s="501">
        <f>'[32]Sch C'!D203</f>
        <v>0</v>
      </c>
      <c r="D192" s="501">
        <f>'[32]Sch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</row>
    <row r="193" spans="1:11" s="221" customFormat="1">
      <c r="A193" s="225" t="s">
        <v>285</v>
      </c>
      <c r="B193" s="226" t="s">
        <v>331</v>
      </c>
      <c r="C193" s="501">
        <f>'[32]Sch C'!D204</f>
        <v>0</v>
      </c>
      <c r="D193" s="501">
        <f>'[32]Sch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</row>
    <row r="194" spans="1:11" s="221" customFormat="1">
      <c r="A194" s="224" t="s">
        <v>138</v>
      </c>
      <c r="B194" s="148" t="s">
        <v>332</v>
      </c>
      <c r="C194" s="501">
        <f>'[32]Sch C'!D205</f>
        <v>341947</v>
      </c>
      <c r="D194" s="501">
        <f>'[32]Sch C'!F205</f>
        <v>0</v>
      </c>
      <c r="E194" s="171">
        <f t="shared" si="37"/>
        <v>341947</v>
      </c>
      <c r="F194" s="171"/>
      <c r="G194" s="171">
        <f t="shared" si="38"/>
        <v>341947</v>
      </c>
      <c r="H194" s="172">
        <f t="shared" si="39"/>
        <v>4.2052099517880998E-2</v>
      </c>
      <c r="I194" s="473"/>
      <c r="J194" s="223"/>
      <c r="K194" s="218"/>
    </row>
    <row r="195" spans="1:11" s="221" customFormat="1">
      <c r="A195" s="224" t="s">
        <v>139</v>
      </c>
      <c r="B195" s="148" t="s">
        <v>67</v>
      </c>
      <c r="C195" s="501">
        <f>'[32]Sch C'!D206</f>
        <v>28931</v>
      </c>
      <c r="D195" s="501">
        <f>'[32]Sch C'!F206</f>
        <v>0</v>
      </c>
      <c r="E195" s="171">
        <f t="shared" si="37"/>
        <v>28931</v>
      </c>
      <c r="F195" s="171"/>
      <c r="G195" s="171">
        <f t="shared" si="38"/>
        <v>28931</v>
      </c>
      <c r="H195" s="172">
        <f t="shared" si="39"/>
        <v>3.5578884773131954E-3</v>
      </c>
      <c r="I195" s="473"/>
      <c r="J195" s="223"/>
      <c r="K195" s="218"/>
    </row>
    <row r="196" spans="1:11" s="221" customFormat="1">
      <c r="A196" s="225" t="s">
        <v>143</v>
      </c>
      <c r="B196" s="194" t="s">
        <v>333</v>
      </c>
      <c r="C196" s="501">
        <f>'[32]Sch C'!D207</f>
        <v>7679</v>
      </c>
      <c r="D196" s="501">
        <f>'[32]Sch C'!F207</f>
        <v>0</v>
      </c>
      <c r="E196" s="171">
        <f t="shared" si="37"/>
        <v>7679</v>
      </c>
      <c r="F196" s="171"/>
      <c r="G196" s="171">
        <f t="shared" si="38"/>
        <v>7679</v>
      </c>
      <c r="H196" s="172">
        <f t="shared" si="39"/>
        <v>9.4435123629629206E-4</v>
      </c>
      <c r="I196" s="473"/>
      <c r="J196" s="223"/>
      <c r="K196" s="218"/>
    </row>
    <row r="197" spans="1:11" s="167" customFormat="1">
      <c r="A197" s="163"/>
      <c r="B197" s="212" t="s">
        <v>130</v>
      </c>
      <c r="C197" s="501">
        <f>SUM(C164:C196)</f>
        <v>1402892</v>
      </c>
      <c r="D197" s="501">
        <f>SUM(D164:D196)</f>
        <v>94837.492831204581</v>
      </c>
      <c r="E197" s="171">
        <f t="shared" ref="E197:F197" si="40">SUM(E164:E196)</f>
        <v>1497729.4928312046</v>
      </c>
      <c r="F197" s="171">
        <f t="shared" si="40"/>
        <v>0</v>
      </c>
      <c r="G197" s="171">
        <f>SUM(G164:G196)</f>
        <v>1497729.4928312046</v>
      </c>
      <c r="H197" s="172">
        <f>IF($G$208=0,0,G197/$G$208)</f>
        <v>0.18418839669130962</v>
      </c>
      <c r="I197" s="473"/>
      <c r="J197" s="168"/>
      <c r="K197" s="168"/>
    </row>
    <row r="198" spans="1:11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1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1" s="167" customFormat="1">
      <c r="A200" s="169" t="s">
        <v>85</v>
      </c>
      <c r="B200" s="170" t="s">
        <v>69</v>
      </c>
      <c r="C200" s="501">
        <f>'[32]Sch C'!D211</f>
        <v>205964</v>
      </c>
      <c r="D200" s="501">
        <f>'[32]Sch C'!F211</f>
        <v>-25636.88350627269</v>
      </c>
      <c r="E200" s="171">
        <f t="shared" ref="E200:E205" si="41">C200+D200</f>
        <v>180327.11649372731</v>
      </c>
      <c r="F200" s="171"/>
      <c r="G200" s="171">
        <f t="shared" ref="G200:G205" si="42">E200+F200</f>
        <v>180327.11649372731</v>
      </c>
      <c r="H200" s="172">
        <f t="shared" ref="H200:H206" si="43">IF($G$208=0,0,G200/$G$208)</f>
        <v>2.2176342674644731E-2</v>
      </c>
      <c r="I200" s="473"/>
      <c r="J200" s="183">
        <v>7746.835</v>
      </c>
      <c r="K200" s="183">
        <v>8325.2864285714277</v>
      </c>
    </row>
    <row r="201" spans="1:11" s="167" customFormat="1">
      <c r="A201" s="169" t="s">
        <v>86</v>
      </c>
      <c r="B201" s="170" t="s">
        <v>45</v>
      </c>
      <c r="C201" s="501">
        <f>'[32]Sch C'!D212</f>
        <v>16373</v>
      </c>
      <c r="D201" s="501">
        <f>'[32]Sch C'!F212</f>
        <v>-3160.1610857142859</v>
      </c>
      <c r="E201" s="171">
        <f t="shared" si="41"/>
        <v>13212.838914285714</v>
      </c>
      <c r="F201" s="171"/>
      <c r="G201" s="171">
        <f t="shared" si="42"/>
        <v>13212.838914285714</v>
      </c>
      <c r="H201" s="172">
        <f t="shared" si="43"/>
        <v>1.6248939658405355E-3</v>
      </c>
      <c r="I201" s="473"/>
      <c r="J201" s="168"/>
      <c r="K201" s="168"/>
    </row>
    <row r="202" spans="1:11" s="167" customFormat="1">
      <c r="A202" s="169" t="s">
        <v>140</v>
      </c>
      <c r="B202" s="170" t="s">
        <v>54</v>
      </c>
      <c r="C202" s="501">
        <f>'[32]Sch C'!D213</f>
        <v>710</v>
      </c>
      <c r="D202" s="501">
        <f>'[32]Sch C'!F213</f>
        <v>0</v>
      </c>
      <c r="E202" s="171">
        <f t="shared" si="41"/>
        <v>710</v>
      </c>
      <c r="F202" s="171"/>
      <c r="G202" s="171">
        <f t="shared" si="42"/>
        <v>710</v>
      </c>
      <c r="H202" s="172">
        <f t="shared" si="43"/>
        <v>8.731467349529462E-5</v>
      </c>
      <c r="I202" s="473"/>
      <c r="J202" s="168"/>
      <c r="K202" s="168"/>
    </row>
    <row r="203" spans="1:11" s="167" customFormat="1">
      <c r="A203" s="169" t="s">
        <v>141</v>
      </c>
      <c r="B203" s="170" t="s">
        <v>70</v>
      </c>
      <c r="C203" s="501">
        <f>'[32]Sch C'!D214</f>
        <v>0</v>
      </c>
      <c r="D203" s="501">
        <f>'[32]Sch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1" s="167" customFormat="1">
      <c r="A204" s="169" t="s">
        <v>142</v>
      </c>
      <c r="B204" s="202" t="s">
        <v>71</v>
      </c>
      <c r="C204" s="501">
        <f>'[32]Sch C'!D215</f>
        <v>0</v>
      </c>
      <c r="D204" s="501">
        <f>'[32]Sch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1" s="167" customFormat="1">
      <c r="A205" s="169" t="s">
        <v>143</v>
      </c>
      <c r="B205" s="170" t="s">
        <v>312</v>
      </c>
      <c r="C205" s="501">
        <f>'[32]Sch C'!D216</f>
        <v>17080</v>
      </c>
      <c r="D205" s="501">
        <f>'[32]Sch C'!F216</f>
        <v>0</v>
      </c>
      <c r="E205" s="171">
        <f t="shared" si="41"/>
        <v>17080</v>
      </c>
      <c r="F205" s="171"/>
      <c r="G205" s="171">
        <f t="shared" si="42"/>
        <v>17080</v>
      </c>
      <c r="H205" s="172">
        <f t="shared" si="43"/>
        <v>2.1004713004220171E-3</v>
      </c>
      <c r="I205" s="473"/>
      <c r="J205" s="168"/>
      <c r="K205" s="168"/>
    </row>
    <row r="206" spans="1:11" s="167" customFormat="1">
      <c r="A206" s="163"/>
      <c r="B206" s="170" t="s">
        <v>144</v>
      </c>
      <c r="C206" s="501">
        <f>SUM(C200:C205)</f>
        <v>240127</v>
      </c>
      <c r="D206" s="501">
        <f>SUM(D200:D205)</f>
        <v>-28797.044591986974</v>
      </c>
      <c r="E206" s="171">
        <f t="shared" ref="E206:F206" si="44">SUM(E200:E205)</f>
        <v>211329.95540801302</v>
      </c>
      <c r="F206" s="171">
        <f t="shared" si="44"/>
        <v>0</v>
      </c>
      <c r="G206" s="171">
        <f>SUM(G200:G205)</f>
        <v>211329.95540801302</v>
      </c>
      <c r="H206" s="172">
        <f t="shared" si="43"/>
        <v>2.5989022614402574E-2</v>
      </c>
      <c r="I206" s="473"/>
      <c r="J206" s="168"/>
      <c r="K206" s="168"/>
    </row>
    <row r="207" spans="1:11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1" s="167" customFormat="1">
      <c r="A208" s="227"/>
      <c r="B208" s="228" t="s">
        <v>145</v>
      </c>
      <c r="C208" s="501">
        <f>SUM(C25:C206)/2</f>
        <v>7989776</v>
      </c>
      <c r="D208" s="501">
        <f>SUM(D25:D206)/2</f>
        <v>162274.38888794422</v>
      </c>
      <c r="E208" s="171">
        <f t="shared" ref="E208:F208" si="45">SUM(E25:E206)/2</f>
        <v>8152050.3888879437</v>
      </c>
      <c r="F208" s="171">
        <f t="shared" si="45"/>
        <v>-20542</v>
      </c>
      <c r="G208" s="171">
        <f>SUM(G25:G206)/2</f>
        <v>8131508.3888879437</v>
      </c>
      <c r="H208" s="172">
        <f>IF($G$208=0,0,G208/$G$208)</f>
        <v>1</v>
      </c>
      <c r="I208" s="473"/>
      <c r="J208" s="183">
        <f>SUM(J25:J200)</f>
        <v>189500.26428571434</v>
      </c>
      <c r="K208" s="183">
        <f>SUM(K25:K200)</f>
        <v>210150.97142857141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'[32]Sch C'!D221</f>
        <v>7989776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-392922</v>
      </c>
      <c r="D215" s="501">
        <f>D21-D208</f>
        <v>12596.611112056009</v>
      </c>
      <c r="E215" s="171">
        <f t="shared" ref="E215:F215" si="46">E21-E208</f>
        <v>-380325.3888879437</v>
      </c>
      <c r="F215" s="171">
        <f t="shared" si="46"/>
        <v>20542</v>
      </c>
      <c r="G215" s="171">
        <f>G21-G208</f>
        <v>-359783.3888879437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'[32]Sch D'!C9</f>
        <v>4284</v>
      </c>
      <c r="D219" s="530"/>
      <c r="E219" s="234">
        <f t="shared" ref="E219:G227" si="47">C219+D219</f>
        <v>4284</v>
      </c>
      <c r="F219" s="234"/>
      <c r="G219" s="234">
        <f t="shared" si="47"/>
        <v>4284</v>
      </c>
      <c r="H219" s="172">
        <f t="shared" ref="H219:H228" si="48">IF($G$228=0,0,G219/$G$228)</f>
        <v>0.17012151536812009</v>
      </c>
      <c r="I219" s="473"/>
      <c r="J219" s="168"/>
      <c r="K219" s="168"/>
    </row>
    <row r="220" spans="1:11">
      <c r="A220" s="163"/>
      <c r="B220" s="170" t="s">
        <v>217</v>
      </c>
      <c r="C220" s="530">
        <f>'[32]Sch D'!D9</f>
        <v>0</v>
      </c>
      <c r="D220" s="530"/>
      <c r="E220" s="183">
        <f t="shared" si="47"/>
        <v>0</v>
      </c>
      <c r="F220" s="234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'[32]Sch D'!E9</f>
        <v>5993</v>
      </c>
      <c r="D221" s="530"/>
      <c r="E221" s="183">
        <f t="shared" si="47"/>
        <v>5993</v>
      </c>
      <c r="F221" s="234"/>
      <c r="G221" s="234">
        <f t="shared" si="47"/>
        <v>5993</v>
      </c>
      <c r="H221" s="172">
        <f t="shared" si="48"/>
        <v>0.23798745135414184</v>
      </c>
      <c r="I221" s="473"/>
      <c r="J221" s="168"/>
      <c r="K221" s="168"/>
    </row>
    <row r="222" spans="1:11">
      <c r="A222" s="163"/>
      <c r="B222" s="202" t="s">
        <v>334</v>
      </c>
      <c r="C222" s="530">
        <f>'[32]Sch D'!F9</f>
        <v>3463</v>
      </c>
      <c r="D222" s="530"/>
      <c r="E222" s="183">
        <f t="shared" si="47"/>
        <v>3463</v>
      </c>
      <c r="F222" s="234"/>
      <c r="G222" s="234">
        <f>E222+F222</f>
        <v>3463</v>
      </c>
      <c r="H222" s="172">
        <f t="shared" si="48"/>
        <v>0.13751886267969185</v>
      </c>
      <c r="I222" s="473"/>
      <c r="J222" s="168"/>
      <c r="K222" s="168"/>
    </row>
    <row r="223" spans="1:11">
      <c r="A223" s="163"/>
      <c r="B223" s="170" t="s">
        <v>73</v>
      </c>
      <c r="C223" s="530">
        <f>'[32]Sch D'!G9</f>
        <v>0</v>
      </c>
      <c r="D223" s="530"/>
      <c r="E223" s="183">
        <f t="shared" si="47"/>
        <v>0</v>
      </c>
      <c r="F223" s="234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'[32]Sch D'!H9</f>
        <v>10242</v>
      </c>
      <c r="D224" s="530"/>
      <c r="E224" s="183">
        <f t="shared" si="47"/>
        <v>10242</v>
      </c>
      <c r="F224" s="234"/>
      <c r="G224" s="234">
        <f t="shared" si="47"/>
        <v>10242</v>
      </c>
      <c r="H224" s="172">
        <f t="shared" si="48"/>
        <v>0.40671908506075766</v>
      </c>
      <c r="I224" s="473"/>
      <c r="J224" s="168"/>
      <c r="K224" s="168"/>
    </row>
    <row r="225" spans="1:11">
      <c r="A225" s="163"/>
      <c r="B225" s="170" t="s">
        <v>236</v>
      </c>
      <c r="C225" s="530">
        <f>'[32]Sch D'!I9</f>
        <v>685</v>
      </c>
      <c r="D225" s="530"/>
      <c r="E225" s="183">
        <f t="shared" si="47"/>
        <v>685</v>
      </c>
      <c r="F225" s="234"/>
      <c r="G225" s="234">
        <f t="shared" si="47"/>
        <v>685</v>
      </c>
      <c r="H225" s="172">
        <f t="shared" si="48"/>
        <v>2.7201969660868873E-2</v>
      </c>
      <c r="I225" s="473"/>
      <c r="J225" s="168"/>
      <c r="K225" s="168"/>
    </row>
    <row r="226" spans="1:11">
      <c r="A226" s="163"/>
      <c r="B226" s="170" t="s">
        <v>235</v>
      </c>
      <c r="C226" s="530">
        <f>'[32]Sch D'!J9</f>
        <v>37</v>
      </c>
      <c r="D226" s="530"/>
      <c r="E226" s="183">
        <f t="shared" si="47"/>
        <v>37</v>
      </c>
      <c r="F226" s="234"/>
      <c r="G226" s="234">
        <f>E226+F226</f>
        <v>37</v>
      </c>
      <c r="H226" s="172">
        <f t="shared" si="48"/>
        <v>1.4693034707330634E-3</v>
      </c>
      <c r="I226" s="473"/>
      <c r="J226" s="168"/>
      <c r="K226" s="168"/>
    </row>
    <row r="227" spans="1:11">
      <c r="A227" s="163"/>
      <c r="B227" s="170" t="s">
        <v>179</v>
      </c>
      <c r="C227" s="530">
        <f>'[32]Sch D'!K9</f>
        <v>478</v>
      </c>
      <c r="D227" s="530"/>
      <c r="E227" s="183">
        <f t="shared" si="47"/>
        <v>478</v>
      </c>
      <c r="F227" s="234"/>
      <c r="G227" s="234">
        <f t="shared" si="47"/>
        <v>478</v>
      </c>
      <c r="H227" s="172">
        <f t="shared" si="48"/>
        <v>1.8981812405686603E-2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25182</v>
      </c>
      <c r="D228" s="530">
        <f>SUM(D219:D227)</f>
        <v>0</v>
      </c>
      <c r="E228" s="236">
        <f>SUM(E219:E227)</f>
        <v>25182</v>
      </c>
      <c r="F228" s="236">
        <f>SUM(F219:F227)</f>
        <v>0</v>
      </c>
      <c r="G228" s="236">
        <f>SUM(G219:G227)</f>
        <v>25182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455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'[32]Sch D'!N22</f>
        <v>120</v>
      </c>
      <c r="D231" s="502"/>
      <c r="E231" s="234">
        <f>C231+D231</f>
        <v>120</v>
      </c>
      <c r="F231" s="234"/>
      <c r="G231" s="234">
        <f>E231+F231</f>
        <v>120</v>
      </c>
      <c r="H231" s="457"/>
      <c r="I231" s="475"/>
      <c r="J231" s="168"/>
      <c r="K231" s="168"/>
    </row>
    <row r="232" spans="1:11">
      <c r="A232" s="163"/>
      <c r="B232" s="202" t="s">
        <v>290</v>
      </c>
      <c r="C232" s="531">
        <f>'[32]Sch D'!N24</f>
        <v>14</v>
      </c>
      <c r="D232" s="502"/>
      <c r="E232" s="234">
        <f>C232+D232</f>
        <v>14</v>
      </c>
      <c r="F232" s="234"/>
      <c r="G232" s="234">
        <f>E232+F232</f>
        <v>14</v>
      </c>
      <c r="H232" s="45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511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510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'[32]Sch D'!N28</f>
        <v>43800</v>
      </c>
      <c r="D235" s="438"/>
      <c r="E235" s="233">
        <f>E231*E233</f>
        <v>43800</v>
      </c>
      <c r="F235" s="558"/>
      <c r="G235" s="233">
        <f>G231*G233</f>
        <v>43800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'[32]Sch D'!N30</f>
        <v>0.57493150684931504</v>
      </c>
      <c r="D236" s="238"/>
      <c r="E236" s="242">
        <f>E228/E235</f>
        <v>0.57493150684931504</v>
      </c>
      <c r="F236" s="513"/>
      <c r="G236" s="242">
        <f>G228/G235</f>
        <v>0.57493150684931504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'[32]Sch D'!N32</f>
        <v>9.780821917808219E-2</v>
      </c>
      <c r="D237" s="238"/>
      <c r="E237" s="242">
        <f>(E219+E220)/E235</f>
        <v>9.780821917808219E-2</v>
      </c>
      <c r="F237" s="513"/>
      <c r="G237" s="242">
        <f>(G219+G220)/G235</f>
        <v>9.780821917808219E-2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'[32]Sch D'!N34</f>
        <v>0.17012151536812009</v>
      </c>
      <c r="D238" s="238"/>
      <c r="E238" s="242">
        <f>(E237/E236)</f>
        <v>0.17012151536812009</v>
      </c>
      <c r="F238" s="513"/>
      <c r="G238" s="242">
        <f>(G237/G236)</f>
        <v>0.17012151536812009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'[32]Sch B'!C85</f>
        <v>210.46988847583643</v>
      </c>
      <c r="I241" s="475"/>
    </row>
    <row r="242" spans="2:9">
      <c r="F242" s="142" t="s">
        <v>341</v>
      </c>
      <c r="G242" s="501">
        <f>'[32]Sch B'!E85</f>
        <v>212.18977536793184</v>
      </c>
      <c r="I242" s="475"/>
    </row>
    <row r="243" spans="2:9">
      <c r="F243" s="142" t="s">
        <v>342</v>
      </c>
      <c r="G243" s="501">
        <f>'[32]Sch B'!G85</f>
        <v>221.65151515151516</v>
      </c>
      <c r="I243" s="475"/>
    </row>
    <row r="244" spans="2:9">
      <c r="F244" s="142" t="s">
        <v>343</v>
      </c>
      <c r="G244" s="501">
        <f>'[32]Sch B'!I85</f>
        <v>226.31487341772151</v>
      </c>
      <c r="I244" s="475"/>
    </row>
    <row r="245" spans="2:9">
      <c r="B245" s="471" t="s">
        <v>421</v>
      </c>
      <c r="F245" s="142"/>
      <c r="I245" s="475"/>
    </row>
    <row r="246" spans="2:9">
      <c r="B246" s="421" t="s">
        <v>422</v>
      </c>
      <c r="I246" s="475"/>
    </row>
    <row r="247" spans="2:9">
      <c r="B247" s="140" t="s">
        <v>423</v>
      </c>
    </row>
    <row r="248" spans="2:9">
      <c r="B248" s="140" t="s">
        <v>424</v>
      </c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5">
    <tabColor rgb="FFE28CAB"/>
  </sheetPr>
  <dimension ref="A1:K246"/>
  <sheetViews>
    <sheetView showGridLines="0" zoomScaleNormal="100" workbookViewId="0">
      <pane xSplit="2" ySplit="10" topLeftCell="C195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6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57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487</v>
      </c>
      <c r="E2" s="421"/>
    </row>
    <row r="3" spans="1:11" ht="15.5">
      <c r="A3" s="145"/>
      <c r="B3" s="140" t="s">
        <v>79</v>
      </c>
      <c r="C3" s="441">
        <v>42552</v>
      </c>
      <c r="D3" s="144"/>
      <c r="E3"/>
      <c r="F3" s="524"/>
    </row>
    <row r="4" spans="1:11" ht="15.5">
      <c r="A4" s="145"/>
      <c r="B4" s="148" t="s">
        <v>80</v>
      </c>
      <c r="C4" s="441">
        <v>42916</v>
      </c>
      <c r="D4" s="144"/>
      <c r="E4"/>
      <c r="F4" s="524"/>
      <c r="G4" s="150"/>
    </row>
    <row r="5" spans="1:11">
      <c r="A5" s="145"/>
      <c r="B5" s="148"/>
      <c r="C5" s="151"/>
      <c r="D5" s="144"/>
      <c r="F5" s="459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'[33]Sch B'!E10</f>
        <v>3227968</v>
      </c>
      <c r="D11" s="501">
        <f>'[33]Sch B'!G10</f>
        <v>0</v>
      </c>
      <c r="E11" s="171">
        <f>C11+D11</f>
        <v>3227968</v>
      </c>
      <c r="F11" s="171">
        <v>669111</v>
      </c>
      <c r="G11" s="171">
        <f t="shared" ref="G11:G20" si="0">E11+F11</f>
        <v>3897079</v>
      </c>
      <c r="H11" s="172">
        <f t="shared" ref="H11:H21" si="1">IF($G$21=0,0,G11/$G$21)</f>
        <v>0.96494691537708432</v>
      </c>
      <c r="I11" s="473"/>
      <c r="J11" s="336" t="s">
        <v>344</v>
      </c>
      <c r="K11" s="337">
        <f>G21</f>
        <v>4038646</v>
      </c>
    </row>
    <row r="12" spans="1:11" s="167" customFormat="1">
      <c r="A12" s="169" t="s">
        <v>15</v>
      </c>
      <c r="B12" s="170" t="s">
        <v>212</v>
      </c>
      <c r="C12" s="501">
        <f>'[33]Sch B'!E15</f>
        <v>0</v>
      </c>
      <c r="D12" s="501">
        <f>'[33]Sch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2066080</v>
      </c>
    </row>
    <row r="13" spans="1:11" s="167" customFormat="1">
      <c r="A13" s="169" t="s">
        <v>16</v>
      </c>
      <c r="B13" s="170" t="s">
        <v>170</v>
      </c>
      <c r="C13" s="501">
        <f>'[33]Sch B'!E21</f>
        <v>0</v>
      </c>
      <c r="D13" s="501">
        <f>'[33]Sch B'!G21</f>
        <v>0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I13" s="473"/>
      <c r="J13" s="338" t="s">
        <v>346</v>
      </c>
      <c r="K13" s="339">
        <f>G228</f>
        <v>13063</v>
      </c>
    </row>
    <row r="14" spans="1:11" s="167" customFormat="1">
      <c r="A14" s="173" t="s">
        <v>18</v>
      </c>
      <c r="B14" s="174" t="s">
        <v>306</v>
      </c>
      <c r="C14" s="501">
        <f>'[33]Sch B'!E27</f>
        <v>0</v>
      </c>
      <c r="D14" s="501">
        <f>'[33]Sch B'!G27</f>
        <v>0</v>
      </c>
      <c r="E14" s="171">
        <f t="shared" si="2"/>
        <v>0</v>
      </c>
      <c r="F14" s="171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37</v>
      </c>
    </row>
    <row r="15" spans="1:11" s="167" customFormat="1">
      <c r="A15" s="169" t="s">
        <v>19</v>
      </c>
      <c r="B15" s="170" t="s">
        <v>171</v>
      </c>
      <c r="C15" s="501">
        <f>'[33]Sch B'!E32</f>
        <v>0</v>
      </c>
      <c r="D15" s="501">
        <f>'[33]Sch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13505</v>
      </c>
    </row>
    <row r="16" spans="1:11" s="167" customFormat="1">
      <c r="A16" s="169" t="s">
        <v>21</v>
      </c>
      <c r="B16" s="170" t="s">
        <v>172</v>
      </c>
      <c r="C16" s="501">
        <f>'[33]Sch B'!E37</f>
        <v>30905</v>
      </c>
      <c r="D16" s="501">
        <f>'[33]Sch B'!G37</f>
        <v>0</v>
      </c>
      <c r="E16" s="171">
        <f t="shared" si="2"/>
        <v>30905</v>
      </c>
      <c r="F16" s="171"/>
      <c r="G16" s="171">
        <f t="shared" si="0"/>
        <v>30905</v>
      </c>
      <c r="H16" s="172">
        <f t="shared" si="1"/>
        <v>7.6523171379714889E-3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'[33]Sch B'!E42</f>
        <v>104760</v>
      </c>
      <c r="D17" s="501">
        <f>'[33]Sch B'!G42</f>
        <v>0</v>
      </c>
      <c r="E17" s="171">
        <f t="shared" si="2"/>
        <v>104760</v>
      </c>
      <c r="F17" s="171"/>
      <c r="G17" s="171">
        <f>E17+F17</f>
        <v>104760</v>
      </c>
      <c r="H17" s="172">
        <f t="shared" si="1"/>
        <v>2.593938661620751E-2</v>
      </c>
      <c r="I17" s="473"/>
      <c r="J17" s="338" t="s">
        <v>156</v>
      </c>
      <c r="K17" s="339">
        <f>J208</f>
        <v>50344</v>
      </c>
    </row>
    <row r="18" spans="1:11" s="167" customFormat="1" ht="13.5" thickBot="1">
      <c r="A18" s="169" t="s">
        <v>216</v>
      </c>
      <c r="B18" s="170" t="s">
        <v>229</v>
      </c>
      <c r="C18" s="501">
        <f>'[33]Sch B'!E47</f>
        <v>0</v>
      </c>
      <c r="D18" s="501">
        <f>'[33]Sch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51881</v>
      </c>
    </row>
    <row r="19" spans="1:11" s="167" customFormat="1">
      <c r="A19" s="169" t="s">
        <v>227</v>
      </c>
      <c r="B19" s="177" t="s">
        <v>173</v>
      </c>
      <c r="C19" s="501">
        <f>'[33]Sch B'!E52</f>
        <v>0</v>
      </c>
      <c r="D19" s="501">
        <f>'[33]Sch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'[33]Sch B'!E67</f>
        <v>5902</v>
      </c>
      <c r="D20" s="501">
        <f>'[33]Sch B'!G67</f>
        <v>0</v>
      </c>
      <c r="E20" s="171">
        <f t="shared" si="2"/>
        <v>5902</v>
      </c>
      <c r="F20" s="171"/>
      <c r="G20" s="171">
        <f t="shared" si="0"/>
        <v>5902</v>
      </c>
      <c r="H20" s="172">
        <f t="shared" si="1"/>
        <v>1.4613808687367004E-3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3369535</v>
      </c>
      <c r="D21" s="501">
        <f>SUM(D11:D20)</f>
        <v>0</v>
      </c>
      <c r="E21" s="171">
        <f>SUM(E11:E20)</f>
        <v>3369535</v>
      </c>
      <c r="F21" s="171">
        <f>SUM(F11:F20)</f>
        <v>669111</v>
      </c>
      <c r="G21" s="171">
        <f>SUM(G11:G20)</f>
        <v>4038646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'[33]Sch C'!D10</f>
        <v>147118</v>
      </c>
      <c r="D25" s="501">
        <f>'[33]Sch C'!F10</f>
        <v>0</v>
      </c>
      <c r="E25" s="171">
        <f t="shared" ref="E25:E60" si="3">C25+D25</f>
        <v>147118</v>
      </c>
      <c r="F25" s="171"/>
      <c r="G25" s="182">
        <f>E25+F25</f>
        <v>147118</v>
      </c>
      <c r="H25" s="172">
        <f>IF($G$208=0,0,G25/$G$208)</f>
        <v>7.1206342445597454E-2</v>
      </c>
      <c r="I25" s="473"/>
      <c r="J25" s="183">
        <v>2088</v>
      </c>
      <c r="K25" s="183">
        <v>2088</v>
      </c>
    </row>
    <row r="26" spans="1:11" s="167" customFormat="1">
      <c r="A26" s="169" t="s">
        <v>84</v>
      </c>
      <c r="B26" s="170" t="s">
        <v>176</v>
      </c>
      <c r="C26" s="501">
        <f>'[33]Sch C'!D11</f>
        <v>0</v>
      </c>
      <c r="D26" s="501">
        <f>'[33]Sch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'[33]Sch C'!D12</f>
        <v>33832</v>
      </c>
      <c r="D27" s="501">
        <f>'[33]Sch C'!F12</f>
        <v>0</v>
      </c>
      <c r="E27" s="171">
        <f t="shared" si="3"/>
        <v>33832</v>
      </c>
      <c r="F27" s="171"/>
      <c r="G27" s="171">
        <f t="shared" si="4"/>
        <v>33832</v>
      </c>
      <c r="H27" s="172">
        <f t="shared" si="5"/>
        <v>1.6374970959498181E-2</v>
      </c>
      <c r="I27" s="473"/>
      <c r="J27" s="183">
        <v>1471</v>
      </c>
      <c r="K27" s="183">
        <v>1523</v>
      </c>
    </row>
    <row r="28" spans="1:11" s="167" customFormat="1">
      <c r="A28" s="169" t="s">
        <v>86</v>
      </c>
      <c r="B28" s="170" t="s">
        <v>45</v>
      </c>
      <c r="C28" s="501">
        <f>'[33]Sch C'!D13</f>
        <v>68487</v>
      </c>
      <c r="D28" s="501">
        <f>'[33]Sch C'!F13</f>
        <v>-47408</v>
      </c>
      <c r="E28" s="171">
        <f t="shared" si="3"/>
        <v>21079</v>
      </c>
      <c r="F28" s="171"/>
      <c r="G28" s="171">
        <f t="shared" si="4"/>
        <v>21079</v>
      </c>
      <c r="H28" s="172">
        <f t="shared" si="5"/>
        <v>1.0202412297684505E-2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'[33]Sch C'!D14</f>
        <v>0</v>
      </c>
      <c r="D29" s="501">
        <f>'[33]Sch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'[33]Sch C'!D15</f>
        <v>813185</v>
      </c>
      <c r="D30" s="501">
        <f>'[33]Sch C'!F15</f>
        <v>-813185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'[33]Sch C'!D16</f>
        <v>69513</v>
      </c>
      <c r="D31" s="501">
        <f>'[33]Sch C'!F16</f>
        <v>10035</v>
      </c>
      <c r="E31" s="171">
        <f t="shared" si="3"/>
        <v>79548</v>
      </c>
      <c r="F31" s="171"/>
      <c r="G31" s="171">
        <f t="shared" si="4"/>
        <v>79548</v>
      </c>
      <c r="H31" s="172">
        <f t="shared" si="5"/>
        <v>3.8501897312785562E-2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'[33]Sch C'!D17</f>
        <v>1184</v>
      </c>
      <c r="D32" s="501">
        <f>'[33]Sch C'!F17</f>
        <v>-1184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'[33]Sch C'!D18</f>
        <v>6812</v>
      </c>
      <c r="D33" s="501">
        <f>'[33]Sch C'!F18</f>
        <v>0</v>
      </c>
      <c r="E33" s="171">
        <f t="shared" si="3"/>
        <v>6812</v>
      </c>
      <c r="F33" s="171"/>
      <c r="G33" s="171">
        <f t="shared" si="4"/>
        <v>6812</v>
      </c>
      <c r="H33" s="172">
        <f t="shared" si="5"/>
        <v>3.2970649732827384E-3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'[33]Sch C'!D19</f>
        <v>24034</v>
      </c>
      <c r="D34" s="501">
        <f>'[33]Sch C'!F19</f>
        <v>0</v>
      </c>
      <c r="E34" s="171">
        <f t="shared" si="3"/>
        <v>24034</v>
      </c>
      <c r="F34" s="171"/>
      <c r="G34" s="171">
        <f t="shared" si="4"/>
        <v>24034</v>
      </c>
      <c r="H34" s="172">
        <f t="shared" si="5"/>
        <v>1.1632657012313172E-2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'[33]Sch C'!D20</f>
        <v>12570</v>
      </c>
      <c r="D35" s="501">
        <f>'[33]Sch C'!F20</f>
        <v>0</v>
      </c>
      <c r="E35" s="171">
        <f t="shared" si="3"/>
        <v>12570</v>
      </c>
      <c r="F35" s="171"/>
      <c r="G35" s="171">
        <f t="shared" si="4"/>
        <v>12570</v>
      </c>
      <c r="H35" s="172">
        <f t="shared" si="5"/>
        <v>6.0839851312630682E-3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'[33]Sch C'!D21</f>
        <v>26467</v>
      </c>
      <c r="D36" s="501">
        <f>'[33]Sch C'!F21</f>
        <v>0</v>
      </c>
      <c r="E36" s="171">
        <f t="shared" si="3"/>
        <v>26467</v>
      </c>
      <c r="F36" s="171"/>
      <c r="G36" s="171">
        <f t="shared" si="4"/>
        <v>26467</v>
      </c>
      <c r="H36" s="172">
        <f t="shared" si="5"/>
        <v>1.281024936110896E-2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'[33]Sch C'!D22</f>
        <v>0</v>
      </c>
      <c r="D37" s="501">
        <f>'[33]Sch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'[33]Sch C'!D23</f>
        <v>15613</v>
      </c>
      <c r="D38" s="501">
        <f>'[33]Sch C'!F23</f>
        <v>0</v>
      </c>
      <c r="E38" s="171">
        <f t="shared" si="3"/>
        <v>15613</v>
      </c>
      <c r="F38" s="171">
        <v>-7866</v>
      </c>
      <c r="G38" s="171">
        <f t="shared" si="4"/>
        <v>7747</v>
      </c>
      <c r="H38" s="172">
        <f t="shared" si="5"/>
        <v>3.7496127933090684E-3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'[33]Sch C'!D24</f>
        <v>0</v>
      </c>
      <c r="D39" s="501">
        <f>'[33]Sch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'[33]Sch C'!D25</f>
        <v>0</v>
      </c>
      <c r="D40" s="501">
        <f>'[33]Sch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'[33]Sch C'!D26</f>
        <v>245278</v>
      </c>
      <c r="D41" s="501">
        <f>'[33]Sch C'!F26</f>
        <v>0</v>
      </c>
      <c r="E41" s="171">
        <f t="shared" si="3"/>
        <v>245278</v>
      </c>
      <c r="F41" s="171"/>
      <c r="G41" s="171">
        <f t="shared" si="4"/>
        <v>245278</v>
      </c>
      <c r="H41" s="172">
        <f t="shared" si="5"/>
        <v>0.11871660342290714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'[33]Sch C'!D27</f>
        <v>0</v>
      </c>
      <c r="D42" s="501">
        <f>'[33]Sch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'[33]Sch C'!D28</f>
        <v>0</v>
      </c>
      <c r="D43" s="501">
        <f>'[33]Sch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'[33]Sch C'!D29</f>
        <v>0</v>
      </c>
      <c r="D44" s="501">
        <f>'[33]Sch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'[33]Sch C'!D30</f>
        <v>1980</v>
      </c>
      <c r="D45" s="501">
        <f>'[33]Sch C'!F30</f>
        <v>-1980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'[33]Sch C'!D31</f>
        <v>21528</v>
      </c>
      <c r="D46" s="501">
        <f>'[33]Sch C'!F31</f>
        <v>81</v>
      </c>
      <c r="E46" s="171">
        <f t="shared" si="3"/>
        <v>21609</v>
      </c>
      <c r="F46" s="171"/>
      <c r="G46" s="171">
        <f t="shared" si="4"/>
        <v>21609</v>
      </c>
      <c r="H46" s="172">
        <f t="shared" si="5"/>
        <v>1.0458936730426702E-2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'[33]Sch C'!D32</f>
        <v>26580</v>
      </c>
      <c r="D47" s="501">
        <f>'[33]Sch C'!F32</f>
        <v>7092</v>
      </c>
      <c r="E47" s="171">
        <f t="shared" si="3"/>
        <v>33672</v>
      </c>
      <c r="F47" s="171"/>
      <c r="G47" s="171">
        <f t="shared" si="4"/>
        <v>33672</v>
      </c>
      <c r="H47" s="172">
        <f t="shared" si="5"/>
        <v>1.6297529621311858E-2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'[33]Sch C'!D33</f>
        <v>0</v>
      </c>
      <c r="D48" s="501">
        <f>'[33]Sch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'[33]Sch C'!D34</f>
        <v>0</v>
      </c>
      <c r="D49" s="501">
        <f>'[33]Sch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'[33]Sch C'!D35</f>
        <v>0</v>
      </c>
      <c r="D50" s="501">
        <f>'[33]Sch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'[33]Sch C'!D36</f>
        <v>0</v>
      </c>
      <c r="D51" s="501">
        <f>'[33]Sch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'[33]Sch C'!D37</f>
        <v>0</v>
      </c>
      <c r="D52" s="501">
        <f>'[33]Sch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'[33]Sch C'!D38</f>
        <v>0</v>
      </c>
      <c r="D53" s="501">
        <f>'[33]Sch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'[33]Sch C'!D39</f>
        <v>1943</v>
      </c>
      <c r="D54" s="501">
        <f>'[33]Sch C'!F39</f>
        <v>0</v>
      </c>
      <c r="E54" s="171">
        <f t="shared" si="3"/>
        <v>1943</v>
      </c>
      <c r="F54" s="171"/>
      <c r="G54" s="171">
        <f t="shared" si="4"/>
        <v>1943</v>
      </c>
      <c r="H54" s="172">
        <f t="shared" si="5"/>
        <v>9.4042825060017038E-4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'[33]Sch C'!D40</f>
        <v>0</v>
      </c>
      <c r="D55" s="501">
        <f>'[33]Sch C'!F40</f>
        <v>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'[33]Sch C'!D41</f>
        <v>9987</v>
      </c>
      <c r="D56" s="501">
        <f>'[33]Sch C'!F41</f>
        <v>0</v>
      </c>
      <c r="E56" s="171">
        <f t="shared" si="3"/>
        <v>9987</v>
      </c>
      <c r="F56" s="171"/>
      <c r="G56" s="171">
        <f t="shared" si="4"/>
        <v>9987</v>
      </c>
      <c r="H56" s="172">
        <f t="shared" si="5"/>
        <v>4.8337915279176025E-3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'[33]Sch C'!D42</f>
        <v>722</v>
      </c>
      <c r="D57" s="501">
        <f>'[33]Sch C'!F42</f>
        <v>0</v>
      </c>
      <c r="E57" s="171">
        <f t="shared" si="3"/>
        <v>722</v>
      </c>
      <c r="F57" s="171"/>
      <c r="G57" s="171">
        <f t="shared" si="4"/>
        <v>722</v>
      </c>
      <c r="H57" s="172">
        <f t="shared" si="5"/>
        <v>3.4945403856578643E-4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'[33]Sch C'!D43</f>
        <v>4896</v>
      </c>
      <c r="D58" s="501">
        <f>'[33]Sch C'!F43</f>
        <v>-4896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'[33]Sch C'!D44</f>
        <v>0</v>
      </c>
      <c r="D59" s="501">
        <f>'[33]Sch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'[33]Sch C'!D45</f>
        <v>10517</v>
      </c>
      <c r="D60" s="501">
        <f>'[33]Sch C'!F45</f>
        <v>0</v>
      </c>
      <c r="E60" s="171">
        <f t="shared" si="3"/>
        <v>10517</v>
      </c>
      <c r="F60" s="171"/>
      <c r="G60" s="171">
        <f t="shared" si="4"/>
        <v>10517</v>
      </c>
      <c r="H60" s="172">
        <f t="shared" si="5"/>
        <v>5.0903159606598006E-3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1542246</v>
      </c>
      <c r="D61" s="501">
        <f>SUM(D25:D60)</f>
        <v>-851445</v>
      </c>
      <c r="E61" s="171">
        <f t="shared" ref="E61:F61" si="6">SUM(E25:E60)</f>
        <v>690801</v>
      </c>
      <c r="F61" s="171">
        <f t="shared" si="6"/>
        <v>-7866</v>
      </c>
      <c r="G61" s="171">
        <f>SUM(G25:G60)</f>
        <v>682935</v>
      </c>
      <c r="H61" s="186">
        <f t="shared" si="5"/>
        <v>0.33054625183923181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 ht="15.5">
      <c r="A63" s="169" t="s">
        <v>162</v>
      </c>
      <c r="B63" s="170" t="s">
        <v>178</v>
      </c>
      <c r="C63" s="165"/>
      <c r="D63" s="165"/>
      <c r="E63" s="165"/>
      <c r="F63" s="576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'[33]Sch C'!D57</f>
        <v>364632</v>
      </c>
      <c r="D64" s="501">
        <f>'[33]Sch C'!F57</f>
        <v>-358302</v>
      </c>
      <c r="E64" s="171">
        <f t="shared" ref="E64:E78" si="7">C64+D64</f>
        <v>6330</v>
      </c>
      <c r="F64" s="171"/>
      <c r="G64" s="171">
        <f t="shared" ref="G64:G78" si="8">E64+F64</f>
        <v>6330</v>
      </c>
      <c r="H64" s="172">
        <f t="shared" ref="H64:H79" si="9">IF($G$208=0,0,G64/$G$208)</f>
        <v>3.0637729419964376E-3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'[33]Sch C'!D58</f>
        <v>0</v>
      </c>
      <c r="D65" s="501">
        <f>'[33]Sch C'!F58</f>
        <v>35773</v>
      </c>
      <c r="E65" s="171">
        <f t="shared" si="7"/>
        <v>35773</v>
      </c>
      <c r="F65" s="171"/>
      <c r="G65" s="171">
        <f t="shared" si="8"/>
        <v>35773</v>
      </c>
      <c r="H65" s="172">
        <f t="shared" si="9"/>
        <v>1.7314431193371022E-2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'[33]Sch C'!D59</f>
        <v>0</v>
      </c>
      <c r="D66" s="501">
        <f>'[33]Sch C'!F59</f>
        <v>74016</v>
      </c>
      <c r="E66" s="171">
        <f t="shared" si="7"/>
        <v>74016</v>
      </c>
      <c r="F66" s="171"/>
      <c r="G66" s="171">
        <f t="shared" si="8"/>
        <v>74016</v>
      </c>
      <c r="H66" s="172">
        <f t="shared" si="9"/>
        <v>3.5824363044993417E-2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'[33]Sch C'!D60</f>
        <v>11575</v>
      </c>
      <c r="D67" s="501">
        <f>'[33]Sch C'!F60</f>
        <v>-1788</v>
      </c>
      <c r="E67" s="171">
        <f t="shared" si="7"/>
        <v>9787</v>
      </c>
      <c r="F67" s="171"/>
      <c r="G67" s="171">
        <f t="shared" si="8"/>
        <v>9787</v>
      </c>
      <c r="H67" s="172">
        <f t="shared" si="9"/>
        <v>4.7369898551846978E-3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'[33]Sch C'!D61</f>
        <v>0</v>
      </c>
      <c r="D68" s="501">
        <f>'[33]Sch C'!F61</f>
        <v>4878</v>
      </c>
      <c r="E68" s="171">
        <f t="shared" si="7"/>
        <v>4878</v>
      </c>
      <c r="F68" s="171"/>
      <c r="G68" s="171">
        <f t="shared" si="8"/>
        <v>4878</v>
      </c>
      <c r="H68" s="172">
        <f t="shared" si="9"/>
        <v>2.3609927979555486E-3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'[33]Sch C'!D62</f>
        <v>0</v>
      </c>
      <c r="D69" s="501">
        <f>'[33]Sch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'[33]Sch C'!D63</f>
        <v>0</v>
      </c>
      <c r="D70" s="501">
        <f>'[33]Sch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'[33]Sch C'!D64</f>
        <v>0</v>
      </c>
      <c r="D71" s="501">
        <f>'[33]Sch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'[33]Sch C'!D65</f>
        <v>8396</v>
      </c>
      <c r="D72" s="501">
        <f>'[33]Sch C'!F65</f>
        <v>-4969</v>
      </c>
      <c r="E72" s="171">
        <f t="shared" si="7"/>
        <v>3427</v>
      </c>
      <c r="F72" s="171"/>
      <c r="G72" s="171">
        <f t="shared" si="8"/>
        <v>3427</v>
      </c>
      <c r="H72" s="172">
        <f t="shared" si="9"/>
        <v>1.6586966622783241E-3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'[33]Sch C'!D66</f>
        <v>0</v>
      </c>
      <c r="D73" s="501">
        <f>'[33]Sch C'!F66</f>
        <v>0</v>
      </c>
      <c r="E73" s="171">
        <f t="shared" si="7"/>
        <v>0</v>
      </c>
      <c r="F73" s="171">
        <v>7866</v>
      </c>
      <c r="G73" s="171">
        <f t="shared" si="8"/>
        <v>7866</v>
      </c>
      <c r="H73" s="172">
        <f t="shared" si="9"/>
        <v>3.8072097885851466E-3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'[33]Sch C'!D67</f>
        <v>0</v>
      </c>
      <c r="D74" s="501">
        <f>'[33]Sch C'!F67</f>
        <v>9879</v>
      </c>
      <c r="E74" s="171">
        <f t="shared" si="7"/>
        <v>9879</v>
      </c>
      <c r="F74" s="171">
        <v>180</v>
      </c>
      <c r="G74" s="171">
        <f t="shared" si="8"/>
        <v>10059</v>
      </c>
      <c r="H74" s="172">
        <f t="shared" si="9"/>
        <v>4.8686401301014483E-3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'[33]Sch C'!D68</f>
        <v>0</v>
      </c>
      <c r="D75" s="501">
        <f>'[33]Sch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'[33]Sch C'!D69</f>
        <v>0</v>
      </c>
      <c r="D76" s="501">
        <f>'[33]Sch C'!F69</f>
        <v>1788</v>
      </c>
      <c r="E76" s="171">
        <f t="shared" si="7"/>
        <v>1788</v>
      </c>
      <c r="F76" s="171"/>
      <c r="G76" s="171">
        <f t="shared" si="8"/>
        <v>1788</v>
      </c>
      <c r="H76" s="172">
        <f t="shared" si="9"/>
        <v>8.6540695423216918E-4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'[33]Sch C'!D70</f>
        <v>0</v>
      </c>
      <c r="D77" s="501">
        <f>'[33]Sch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'[33]Sch C'!D71</f>
        <v>0</v>
      </c>
      <c r="D78" s="501">
        <f>'[33]Sch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384603</v>
      </c>
      <c r="D79" s="501">
        <f>SUM(D64:D78)</f>
        <v>-238725</v>
      </c>
      <c r="E79" s="171">
        <f t="shared" ref="E79:F79" si="10">SUM(E64:E78)</f>
        <v>145878</v>
      </c>
      <c r="F79" s="171">
        <f t="shared" si="10"/>
        <v>8046</v>
      </c>
      <c r="G79" s="171">
        <f>SUM(G64:G78)</f>
        <v>153924</v>
      </c>
      <c r="H79" s="172">
        <f t="shared" si="9"/>
        <v>7.4500503368698207E-2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'[33]Sch C'!D75</f>
        <v>38865</v>
      </c>
      <c r="D82" s="501">
        <f>'[33]Sch C'!F75</f>
        <v>0</v>
      </c>
      <c r="E82" s="171">
        <f t="shared" ref="E82:E92" si="11">C82+D82</f>
        <v>38865</v>
      </c>
      <c r="F82" s="171"/>
      <c r="G82" s="171">
        <f t="shared" ref="G82:G92" si="12">E82+F82</f>
        <v>38865</v>
      </c>
      <c r="H82" s="172">
        <f t="shared" ref="H82:H93" si="13">IF($G$208=0,0,G82/$G$208)</f>
        <v>1.8810985053821731E-2</v>
      </c>
      <c r="I82" s="473"/>
      <c r="J82" s="183">
        <v>1992</v>
      </c>
      <c r="K82" s="183">
        <v>2088</v>
      </c>
    </row>
    <row r="83" spans="1:11" s="167" customFormat="1">
      <c r="A83" s="169" t="s">
        <v>86</v>
      </c>
      <c r="B83" s="199" t="s">
        <v>45</v>
      </c>
      <c r="C83" s="501">
        <f>'[33]Sch C'!D76</f>
        <v>3186</v>
      </c>
      <c r="D83" s="501">
        <f>'[33]Sch C'!F76</f>
        <v>2145</v>
      </c>
      <c r="E83" s="171">
        <f t="shared" si="11"/>
        <v>5331</v>
      </c>
      <c r="F83" s="171"/>
      <c r="G83" s="171">
        <f t="shared" si="12"/>
        <v>5331</v>
      </c>
      <c r="H83" s="172">
        <f t="shared" si="13"/>
        <v>2.5802485866955782E-3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'[33]Sch C'!D77</f>
        <v>5311</v>
      </c>
      <c r="D84" s="501">
        <f>'[33]Sch C'!F77</f>
        <v>0</v>
      </c>
      <c r="E84" s="171">
        <f t="shared" si="11"/>
        <v>5311</v>
      </c>
      <c r="F84" s="171"/>
      <c r="G84" s="171">
        <f t="shared" si="12"/>
        <v>5311</v>
      </c>
      <c r="H84" s="172">
        <f t="shared" si="13"/>
        <v>2.5705684194222878E-3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'[33]Sch C'!D78</f>
        <v>0</v>
      </c>
      <c r="D85" s="501">
        <f>'[33]Sch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'[33]Sch C'!D79</f>
        <v>69</v>
      </c>
      <c r="D86" s="501">
        <f>'[33]Sch C'!F79</f>
        <v>0</v>
      </c>
      <c r="E86" s="171">
        <f t="shared" si="11"/>
        <v>69</v>
      </c>
      <c r="F86" s="171"/>
      <c r="G86" s="171">
        <f>E86+F86</f>
        <v>69</v>
      </c>
      <c r="H86" s="172">
        <f t="shared" si="13"/>
        <v>3.3396577092852167E-5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'[33]Sch C'!D80</f>
        <v>11769</v>
      </c>
      <c r="D87" s="501">
        <f>'[33]Sch C'!F80</f>
        <v>0</v>
      </c>
      <c r="E87" s="171">
        <f t="shared" si="11"/>
        <v>11769</v>
      </c>
      <c r="F87" s="171"/>
      <c r="G87" s="171">
        <f t="shared" si="12"/>
        <v>11769</v>
      </c>
      <c r="H87" s="172">
        <f t="shared" si="13"/>
        <v>5.6962944319677846E-3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'[33]Sch C'!D81</f>
        <v>15721</v>
      </c>
      <c r="D88" s="501">
        <f>'[33]Sch C'!F81</f>
        <v>-14166</v>
      </c>
      <c r="E88" s="171">
        <f t="shared" si="11"/>
        <v>1555</v>
      </c>
      <c r="F88" s="171"/>
      <c r="G88" s="171">
        <f t="shared" si="12"/>
        <v>1555</v>
      </c>
      <c r="H88" s="172">
        <f t="shared" si="13"/>
        <v>7.5263300549833503E-4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'[33]Sch C'!D82</f>
        <v>6372</v>
      </c>
      <c r="D89" s="501">
        <f>'[33]Sch C'!F82</f>
        <v>0</v>
      </c>
      <c r="E89" s="171">
        <f t="shared" si="11"/>
        <v>6372</v>
      </c>
      <c r="F89" s="171">
        <v>-2401</v>
      </c>
      <c r="G89" s="171">
        <f t="shared" si="12"/>
        <v>3971</v>
      </c>
      <c r="H89" s="172">
        <f t="shared" si="13"/>
        <v>1.9219972121118252E-3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'[33]Sch C'!D83</f>
        <v>404</v>
      </c>
      <c r="D90" s="501">
        <f>'[33]Sch C'!F83</f>
        <v>0</v>
      </c>
      <c r="E90" s="171">
        <f t="shared" si="11"/>
        <v>404</v>
      </c>
      <c r="F90" s="171"/>
      <c r="G90" s="171">
        <f t="shared" si="12"/>
        <v>404</v>
      </c>
      <c r="H90" s="172">
        <f t="shared" si="13"/>
        <v>1.9553937892046776E-4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'[33]Sch C'!D84</f>
        <v>35748</v>
      </c>
      <c r="D91" s="501">
        <f>'[33]Sch C'!F84</f>
        <v>0</v>
      </c>
      <c r="E91" s="171">
        <f t="shared" si="11"/>
        <v>35748</v>
      </c>
      <c r="F91" s="171"/>
      <c r="G91" s="171">
        <f t="shared" si="12"/>
        <v>35748</v>
      </c>
      <c r="H91" s="172">
        <f t="shared" si="13"/>
        <v>1.7302330984279409E-2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'[33]Sch C'!D85</f>
        <v>2598</v>
      </c>
      <c r="D92" s="501">
        <f>'[33]Sch C'!F85</f>
        <v>0</v>
      </c>
      <c r="E92" s="171">
        <f t="shared" si="11"/>
        <v>2598</v>
      </c>
      <c r="F92" s="171"/>
      <c r="G92" s="171">
        <f t="shared" si="12"/>
        <v>2598</v>
      </c>
      <c r="H92" s="172">
        <f t="shared" si="13"/>
        <v>1.2574537288004336E-3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120043</v>
      </c>
      <c r="D93" s="501">
        <f>SUM(D82:D92)</f>
        <v>-12021</v>
      </c>
      <c r="E93" s="171">
        <f t="shared" ref="E93:F93" si="14">SUM(E82:E92)</f>
        <v>108022</v>
      </c>
      <c r="F93" s="171">
        <f t="shared" si="14"/>
        <v>-2401</v>
      </c>
      <c r="G93" s="171">
        <f>SUM(G82:G92)</f>
        <v>105621</v>
      </c>
      <c r="H93" s="172">
        <f t="shared" si="13"/>
        <v>5.1121447378610706E-2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'[33]Sch C'!D89</f>
        <v>116862</v>
      </c>
      <c r="D96" s="501">
        <f>'[33]Sch C'!F89</f>
        <v>0</v>
      </c>
      <c r="E96" s="171">
        <f t="shared" ref="E96:E101" si="15">C96+D96</f>
        <v>116862</v>
      </c>
      <c r="F96" s="171"/>
      <c r="G96" s="171">
        <f t="shared" ref="G96:G101" si="16">E96+F96</f>
        <v>116862</v>
      </c>
      <c r="H96" s="172">
        <f t="shared" ref="H96:H102" si="17">IF($G$208=0,0,G96/$G$208)</f>
        <v>5.6562185394563619E-2</v>
      </c>
      <c r="I96" s="473"/>
      <c r="J96" s="183">
        <v>6377</v>
      </c>
      <c r="K96" s="183">
        <v>6473</v>
      </c>
    </row>
    <row r="97" spans="1:11" s="167" customFormat="1">
      <c r="A97" s="169" t="s">
        <v>86</v>
      </c>
      <c r="B97" s="170" t="s">
        <v>45</v>
      </c>
      <c r="C97" s="501">
        <f>'[33]Sch C'!D90</f>
        <v>9759</v>
      </c>
      <c r="D97" s="501">
        <f>'[33]Sch C'!F90</f>
        <v>6451</v>
      </c>
      <c r="E97" s="171">
        <f t="shared" si="15"/>
        <v>16210</v>
      </c>
      <c r="F97" s="171"/>
      <c r="G97" s="171">
        <f t="shared" si="16"/>
        <v>16210</v>
      </c>
      <c r="H97" s="172">
        <f t="shared" si="17"/>
        <v>7.845775575001936E-3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'[33]Sch C'!D91</f>
        <v>7333</v>
      </c>
      <c r="D98" s="501">
        <f>'[33]Sch C'!F91</f>
        <v>0</v>
      </c>
      <c r="E98" s="171">
        <f t="shared" si="15"/>
        <v>7333</v>
      </c>
      <c r="F98" s="171"/>
      <c r="G98" s="171">
        <f t="shared" si="16"/>
        <v>7333</v>
      </c>
      <c r="H98" s="172">
        <f t="shared" si="17"/>
        <v>3.5492333307519555E-3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'[33]Sch C'!D92</f>
        <v>72314</v>
      </c>
      <c r="D99" s="501">
        <f>'[33]Sch C'!F92</f>
        <v>0</v>
      </c>
      <c r="E99" s="171">
        <f t="shared" si="15"/>
        <v>72314</v>
      </c>
      <c r="F99" s="171"/>
      <c r="G99" s="171">
        <f t="shared" si="16"/>
        <v>72314</v>
      </c>
      <c r="H99" s="172">
        <f t="shared" si="17"/>
        <v>3.5000580810036395E-2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'[33]Sch C'!D93</f>
        <v>10025</v>
      </c>
      <c r="D100" s="501">
        <f>'[33]Sch C'!F93</f>
        <v>0</v>
      </c>
      <c r="E100" s="171">
        <f t="shared" si="15"/>
        <v>10025</v>
      </c>
      <c r="F100" s="171"/>
      <c r="G100" s="171">
        <f t="shared" si="16"/>
        <v>10025</v>
      </c>
      <c r="H100" s="172">
        <f t="shared" si="17"/>
        <v>4.8521838457368542E-3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'[33]Sch C'!D94</f>
        <v>0</v>
      </c>
      <c r="D101" s="501">
        <f>'[33]Sch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216293</v>
      </c>
      <c r="D102" s="501">
        <f>SUM(D96:D101)</f>
        <v>6451</v>
      </c>
      <c r="E102" s="171">
        <f t="shared" ref="E102:F102" si="18">SUM(E96:E101)</f>
        <v>222744</v>
      </c>
      <c r="F102" s="171">
        <f t="shared" si="18"/>
        <v>0</v>
      </c>
      <c r="G102" s="171">
        <f>SUM(G96:G101)</f>
        <v>222744</v>
      </c>
      <c r="H102" s="172">
        <f t="shared" si="17"/>
        <v>0.10780995895609076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'[33]Sch C'!D98</f>
        <v>0</v>
      </c>
      <c r="D105" s="501">
        <f>'[33]Sch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'[33]Sch C'!D99</f>
        <v>0</v>
      </c>
      <c r="D106" s="501">
        <f>'[33]Sch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'[33]Sch C'!D100</f>
        <v>3961</v>
      </c>
      <c r="D107" s="501">
        <f>'[33]Sch C'!F100</f>
        <v>0</v>
      </c>
      <c r="E107" s="171">
        <f t="shared" si="19"/>
        <v>3961</v>
      </c>
      <c r="F107" s="171"/>
      <c r="G107" s="171">
        <f t="shared" si="20"/>
        <v>3961</v>
      </c>
      <c r="H107" s="172">
        <f t="shared" si="21"/>
        <v>1.91715712847518E-3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'[33]Sch C'!D101</f>
        <v>0</v>
      </c>
      <c r="D108" s="501">
        <f>'[33]Sch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'[33]Sch C'!D102</f>
        <v>706</v>
      </c>
      <c r="D109" s="501">
        <f>'[33]Sch C'!F102</f>
        <v>0</v>
      </c>
      <c r="E109" s="171">
        <f t="shared" si="19"/>
        <v>706</v>
      </c>
      <c r="F109" s="171"/>
      <c r="G109" s="171">
        <f t="shared" si="20"/>
        <v>706</v>
      </c>
      <c r="H109" s="172">
        <f t="shared" si="21"/>
        <v>3.4170990474715403E-4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'[33]Sch C'!D103</f>
        <v>0</v>
      </c>
      <c r="D110" s="501">
        <f>'[33]Sch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4667</v>
      </c>
      <c r="D111" s="501">
        <f>SUM(D105:D110)</f>
        <v>0</v>
      </c>
      <c r="E111" s="171">
        <f t="shared" ref="E111:F111" si="22">SUM(E105:E110)</f>
        <v>4667</v>
      </c>
      <c r="F111" s="171">
        <f t="shared" si="22"/>
        <v>0</v>
      </c>
      <c r="G111" s="171">
        <f>SUM(G105:G110)</f>
        <v>4667</v>
      </c>
      <c r="H111" s="172">
        <f t="shared" si="21"/>
        <v>2.2588670332223341E-3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'[33]Sch C'!D115</f>
        <v>50246</v>
      </c>
      <c r="D114" s="501">
        <f>'[33]Sch C'!F115</f>
        <v>0</v>
      </c>
      <c r="E114" s="171">
        <f t="shared" ref="E114:E118" si="23">C114+D114</f>
        <v>50246</v>
      </c>
      <c r="F114" s="171"/>
      <c r="G114" s="171">
        <f>E114+F114</f>
        <v>50246</v>
      </c>
      <c r="H114" s="172">
        <f t="shared" ref="H114:H119" si="24">IF($G$208=0,0,G114/$G$208)</f>
        <v>2.431948424068768E-2</v>
      </c>
      <c r="I114" s="473"/>
      <c r="J114" s="183">
        <v>4424</v>
      </c>
      <c r="K114" s="183">
        <v>4549</v>
      </c>
    </row>
    <row r="115" spans="1:11" s="167" customFormat="1">
      <c r="A115" s="169" t="s">
        <v>86</v>
      </c>
      <c r="B115" s="170" t="s">
        <v>151</v>
      </c>
      <c r="C115" s="501">
        <f>'[33]Sch C'!D116</f>
        <v>4114</v>
      </c>
      <c r="D115" s="501">
        <f>'[33]Sch C'!F116</f>
        <v>2773</v>
      </c>
      <c r="E115" s="171">
        <f t="shared" si="23"/>
        <v>6887</v>
      </c>
      <c r="F115" s="171"/>
      <c r="G115" s="171">
        <f>E115+F115</f>
        <v>6887</v>
      </c>
      <c r="H115" s="172">
        <f t="shared" si="24"/>
        <v>3.3333656005575777E-3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'[33]Sch C'!D117</f>
        <v>11785</v>
      </c>
      <c r="D116" s="501">
        <f>'[33]Sch C'!F117</f>
        <v>0</v>
      </c>
      <c r="E116" s="171">
        <f t="shared" si="23"/>
        <v>11785</v>
      </c>
      <c r="F116" s="171"/>
      <c r="G116" s="171">
        <f>E116+F116</f>
        <v>11785</v>
      </c>
      <c r="H116" s="172">
        <f t="shared" si="24"/>
        <v>5.7040385657864167E-3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'[33]Sch C'!D118</f>
        <v>1713</v>
      </c>
      <c r="D117" s="501">
        <f>'[33]Sch C'!F118</f>
        <v>0</v>
      </c>
      <c r="E117" s="171">
        <f t="shared" si="23"/>
        <v>1713</v>
      </c>
      <c r="F117" s="171"/>
      <c r="G117" s="171">
        <f>E117+F117</f>
        <v>1713</v>
      </c>
      <c r="H117" s="172">
        <f t="shared" si="24"/>
        <v>8.2910632695732984E-4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'[33]Sch C'!D119</f>
        <v>0</v>
      </c>
      <c r="D118" s="501">
        <f>'[33]Sch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67858</v>
      </c>
      <c r="D119" s="501">
        <f>SUM(D114:D118)</f>
        <v>2773</v>
      </c>
      <c r="E119" s="171">
        <f t="shared" ref="E119:F119" si="25">SUM(E114:E118)</f>
        <v>70631</v>
      </c>
      <c r="F119" s="171">
        <f t="shared" si="25"/>
        <v>0</v>
      </c>
      <c r="G119" s="171">
        <f>SUM(G114:G118)</f>
        <v>70631</v>
      </c>
      <c r="H119" s="172">
        <f t="shared" si="24"/>
        <v>3.4185994733989006E-2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'[33]Sch C'!D124</f>
        <v>115726</v>
      </c>
      <c r="D123" s="501">
        <f>'[33]Sch C'!F124</f>
        <v>0</v>
      </c>
      <c r="E123" s="171">
        <f t="shared" ref="E123:E127" si="26">C123+D123</f>
        <v>115726</v>
      </c>
      <c r="F123" s="171"/>
      <c r="G123" s="171">
        <f>E123+F123</f>
        <v>115726</v>
      </c>
      <c r="H123" s="172">
        <f>IF($G$208=0,0,G123/$G$208)</f>
        <v>5.6012351893440719E-2</v>
      </c>
      <c r="I123" s="473"/>
      <c r="J123" s="183">
        <v>1989</v>
      </c>
      <c r="K123" s="183">
        <v>2093</v>
      </c>
    </row>
    <row r="124" spans="1:11" s="167" customFormat="1">
      <c r="B124" s="163" t="s">
        <v>194</v>
      </c>
      <c r="C124" s="501">
        <f>'[33]Sch C'!D125</f>
        <v>0</v>
      </c>
      <c r="D124" s="501">
        <f>'[33]Sch C'!F125</f>
        <v>0</v>
      </c>
      <c r="E124" s="171">
        <f t="shared" si="26"/>
        <v>0</v>
      </c>
      <c r="F124" s="171"/>
      <c r="G124" s="171">
        <f>E124+F124</f>
        <v>0</v>
      </c>
      <c r="H124" s="172">
        <f>IF($G$208=0,0,G124/$G$208)</f>
        <v>0</v>
      </c>
      <c r="I124" s="473"/>
      <c r="J124" s="183">
        <v>0</v>
      </c>
      <c r="K124" s="183">
        <v>0</v>
      </c>
    </row>
    <row r="125" spans="1:11" s="167" customFormat="1">
      <c r="A125" s="163" t="s">
        <v>198</v>
      </c>
      <c r="B125" s="163" t="s">
        <v>195</v>
      </c>
      <c r="C125" s="501">
        <f>'[33]Sch C'!D126</f>
        <v>0</v>
      </c>
      <c r="D125" s="501">
        <f>'[33]Sch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'[33]Sch C'!D127</f>
        <v>0</v>
      </c>
      <c r="D126" s="501">
        <f>'[33]Sch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'[33]Sch C'!D128</f>
        <v>0</v>
      </c>
      <c r="D127" s="501">
        <f>'[33]Sch C'!F128</f>
        <v>0</v>
      </c>
      <c r="E127" s="171">
        <f t="shared" si="26"/>
        <v>0</v>
      </c>
      <c r="F127" s="171"/>
      <c r="G127" s="171">
        <f>E127+F127</f>
        <v>0</v>
      </c>
      <c r="H127" s="172">
        <f>IF($G$208=0,0,G127/$G$208)</f>
        <v>0</v>
      </c>
      <c r="I127" s="473"/>
      <c r="J127" s="183">
        <v>0</v>
      </c>
      <c r="K127" s="183">
        <v>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5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'[33]Sch C'!D130</f>
        <v>0</v>
      </c>
      <c r="D129" s="501">
        <f>'[33]Sch C'!F130</f>
        <v>15434</v>
      </c>
      <c r="E129" s="171">
        <f t="shared" ref="E129:E133" si="27">C129+D129</f>
        <v>15434</v>
      </c>
      <c r="F129" s="171"/>
      <c r="G129" s="171">
        <f>E129+F129</f>
        <v>15434</v>
      </c>
      <c r="H129" s="172">
        <f>IF($G$208=0,0,G129/$G$208)</f>
        <v>7.4701850847982655E-3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'[33]Sch C'!D131</f>
        <v>0</v>
      </c>
      <c r="D130" s="501">
        <f>'[33]Sch C'!F131</f>
        <v>0</v>
      </c>
      <c r="E130" s="171">
        <f t="shared" si="27"/>
        <v>0</v>
      </c>
      <c r="F130" s="171"/>
      <c r="G130" s="171">
        <f>E130+F130</f>
        <v>0</v>
      </c>
      <c r="H130" s="172">
        <f>IF($G$208=0,0,G130/$G$208)</f>
        <v>0</v>
      </c>
      <c r="I130" s="473"/>
      <c r="J130" s="204"/>
      <c r="K130" s="204"/>
    </row>
    <row r="131" spans="1:11" s="167" customFormat="1">
      <c r="B131" s="163" t="s">
        <v>195</v>
      </c>
      <c r="C131" s="501">
        <f>'[33]Sch C'!D132</f>
        <v>0</v>
      </c>
      <c r="D131" s="501">
        <f>'[33]Sch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'[33]Sch C'!D133</f>
        <v>0</v>
      </c>
      <c r="D132" s="501">
        <f>'[33]Sch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'[33]Sch C'!D134</f>
        <v>0</v>
      </c>
      <c r="D133" s="501">
        <f>'[33]Sch C'!F134</f>
        <v>0</v>
      </c>
      <c r="E133" s="171">
        <f t="shared" si="27"/>
        <v>0</v>
      </c>
      <c r="F133" s="17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'[33]Sch C'!D136</f>
        <v>153455</v>
      </c>
      <c r="D135" s="501">
        <f>'[33]Sch C'!F136</f>
        <v>-9724</v>
      </c>
      <c r="E135" s="171">
        <f t="shared" ref="E135:E138" si="28">C135+D135</f>
        <v>143731</v>
      </c>
      <c r="F135" s="171"/>
      <c r="G135" s="171">
        <f>E135+F135</f>
        <v>143731</v>
      </c>
      <c r="H135" s="172">
        <f>IF($G$208=0,0,G135/$G$208)</f>
        <v>6.9567006117865718E-2</v>
      </c>
      <c r="I135" s="473"/>
      <c r="J135" s="183">
        <v>4783</v>
      </c>
      <c r="K135" s="183">
        <v>4948</v>
      </c>
    </row>
    <row r="136" spans="1:11" s="167" customFormat="1">
      <c r="A136" s="169"/>
      <c r="B136" s="163" t="s">
        <v>195</v>
      </c>
      <c r="C136" s="501">
        <f>'[33]Sch C'!D137</f>
        <v>95296</v>
      </c>
      <c r="D136" s="501">
        <f>'[33]Sch C'!F137</f>
        <v>9724</v>
      </c>
      <c r="E136" s="171">
        <f t="shared" si="28"/>
        <v>105020</v>
      </c>
      <c r="F136" s="171"/>
      <c r="G136" s="171">
        <f>E136+F136</f>
        <v>105020</v>
      </c>
      <c r="H136" s="172">
        <f>IF($G$208=0,0,G136/$G$208)</f>
        <v>5.0830558352048326E-2</v>
      </c>
      <c r="I136" s="473"/>
      <c r="J136" s="183">
        <v>3814</v>
      </c>
      <c r="K136" s="183">
        <v>3963</v>
      </c>
    </row>
    <row r="137" spans="1:11" s="167" customFormat="1">
      <c r="A137" s="169"/>
      <c r="B137" s="163" t="s">
        <v>196</v>
      </c>
      <c r="C137" s="501">
        <f>'[33]Sch C'!D138</f>
        <v>217093</v>
      </c>
      <c r="D137" s="501">
        <f>'[33]Sch C'!F138</f>
        <v>0</v>
      </c>
      <c r="E137" s="171">
        <f t="shared" si="28"/>
        <v>217093</v>
      </c>
      <c r="F137" s="171"/>
      <c r="G137" s="171">
        <f>E137+F137</f>
        <v>217093</v>
      </c>
      <c r="H137" s="172">
        <f>IF($G$208=0,0,G137/$G$208)</f>
        <v>0.10507482769302254</v>
      </c>
      <c r="I137" s="473"/>
      <c r="J137" s="183">
        <v>17417</v>
      </c>
      <c r="K137" s="183">
        <v>18055</v>
      </c>
    </row>
    <row r="138" spans="1:11" s="167" customFormat="1">
      <c r="A138" s="169"/>
      <c r="B138" s="163" t="s">
        <v>197</v>
      </c>
      <c r="C138" s="501">
        <f>'[33]Sch C'!D139</f>
        <v>0</v>
      </c>
      <c r="D138" s="501">
        <f>'[33]Sch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'[33]Sch C'!D141</f>
        <v>28491</v>
      </c>
      <c r="D140" s="501">
        <f>'[33]Sch C'!F141</f>
        <v>-9322</v>
      </c>
      <c r="E140" s="171">
        <f t="shared" ref="E140:E143" si="29">C140+D140</f>
        <v>19169</v>
      </c>
      <c r="F140" s="171"/>
      <c r="G140" s="171">
        <f>E140+F140</f>
        <v>19169</v>
      </c>
      <c r="H140" s="172">
        <f>IF($G$208=0,0,G140/$G$208)</f>
        <v>9.2779563230852621E-3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'[33]Sch C'!D142</f>
        <v>0</v>
      </c>
      <c r="D141" s="501">
        <f>'[33]Sch C'!F142</f>
        <v>14006</v>
      </c>
      <c r="E141" s="171">
        <f t="shared" si="29"/>
        <v>14006</v>
      </c>
      <c r="F141" s="171"/>
      <c r="G141" s="171">
        <f>E141+F141</f>
        <v>14006</v>
      </c>
      <c r="H141" s="172">
        <f>IF($G$208=0,0,G141/$G$208)</f>
        <v>6.7790211414853249E-3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'[33]Sch C'!D143</f>
        <v>17649</v>
      </c>
      <c r="D142" s="501">
        <f>'[33]Sch C'!F143</f>
        <v>11983</v>
      </c>
      <c r="E142" s="171">
        <f t="shared" si="29"/>
        <v>29632</v>
      </c>
      <c r="F142" s="171"/>
      <c r="G142" s="171">
        <f>E142+F142</f>
        <v>29632</v>
      </c>
      <c r="H142" s="172">
        <f>IF($G$208=0,0,G142/$G$208)</f>
        <v>1.4342135832107179E-2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'[33]Sch C'!D144</f>
        <v>0</v>
      </c>
      <c r="D143" s="501">
        <f>'[33]Sch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'[33]Sch C'!D146</f>
        <v>11500</v>
      </c>
      <c r="D145" s="501">
        <f>'[33]Sch C'!F146</f>
        <v>0</v>
      </c>
      <c r="E145" s="171">
        <f t="shared" ref="E145:E153" si="30">C145+D145</f>
        <v>11500</v>
      </c>
      <c r="F145" s="171"/>
      <c r="G145" s="171">
        <f t="shared" ref="G145:G153" si="31">E145+F145</f>
        <v>11500</v>
      </c>
      <c r="H145" s="172">
        <f t="shared" ref="H145:H153" si="32">IF($G$208=0,0,G145/$G$208)</f>
        <v>5.5660961821420276E-3</v>
      </c>
      <c r="I145" s="473"/>
      <c r="J145" s="183">
        <v>208</v>
      </c>
      <c r="K145" s="183">
        <v>208</v>
      </c>
    </row>
    <row r="146" spans="1:11" s="167" customFormat="1">
      <c r="A146" s="169"/>
      <c r="B146" s="163" t="s">
        <v>194</v>
      </c>
      <c r="C146" s="501">
        <f>'[33]Sch C'!D147</f>
        <v>0</v>
      </c>
      <c r="D146" s="501">
        <f>'[33]Sch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'[33]Sch C'!D148</f>
        <v>0</v>
      </c>
      <c r="D147" s="501">
        <f>'[33]Sch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'[33]Sch C'!D149</f>
        <v>0</v>
      </c>
      <c r="D148" s="501">
        <f>'[33]Sch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'[33]Sch C'!D150</f>
        <v>4516</v>
      </c>
      <c r="D149" s="501">
        <f>'[33]Sch C'!F150</f>
        <v>0</v>
      </c>
      <c r="E149" s="171">
        <f t="shared" si="30"/>
        <v>4516</v>
      </c>
      <c r="F149" s="171"/>
      <c r="G149" s="171">
        <f t="shared" si="31"/>
        <v>4516</v>
      </c>
      <c r="H149" s="172">
        <f t="shared" si="32"/>
        <v>2.185781770308991E-3</v>
      </c>
      <c r="I149" s="473"/>
      <c r="J149" s="183">
        <v>129</v>
      </c>
      <c r="K149" s="183">
        <v>129</v>
      </c>
    </row>
    <row r="150" spans="1:11" s="167" customFormat="1">
      <c r="A150" s="169">
        <v>110</v>
      </c>
      <c r="B150" s="167" t="s">
        <v>65</v>
      </c>
      <c r="C150" s="501">
        <f>'[33]Sch C'!D151</f>
        <v>32505</v>
      </c>
      <c r="D150" s="501">
        <f>'[33]Sch C'!F151</f>
        <v>0</v>
      </c>
      <c r="E150" s="171">
        <f t="shared" si="30"/>
        <v>32505</v>
      </c>
      <c r="F150" s="171"/>
      <c r="G150" s="171">
        <f t="shared" si="31"/>
        <v>32505</v>
      </c>
      <c r="H150" s="172">
        <f t="shared" si="32"/>
        <v>1.5732691860915356E-2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'[33]Sch C'!D152</f>
        <v>2015</v>
      </c>
      <c r="D151" s="501">
        <f>'[33]Sch C'!F152</f>
        <v>0</v>
      </c>
      <c r="E151" s="171">
        <f t="shared" si="30"/>
        <v>2015</v>
      </c>
      <c r="F151" s="171"/>
      <c r="G151" s="171">
        <f t="shared" si="31"/>
        <v>2015</v>
      </c>
      <c r="H151" s="172">
        <f t="shared" si="32"/>
        <v>9.7527685278401611E-4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'[33]Sch C'!D153</f>
        <v>0</v>
      </c>
      <c r="D152" s="501">
        <f>'[33]Sch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'[33]Sch C'!D154</f>
        <v>0</v>
      </c>
      <c r="D153" s="501">
        <f>'[33]Sch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'[33]Sch C'!D156</f>
        <v>0</v>
      </c>
      <c r="D155" s="501">
        <f>'[33]Sch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'[33]Sch C'!D157</f>
        <v>0</v>
      </c>
      <c r="D156" s="501">
        <f>'[33]Sch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'[33]Sch C'!D158</f>
        <v>0</v>
      </c>
      <c r="D157" s="501">
        <f>'[33]Sch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'[33]Sch C'!D159</f>
        <v>0</v>
      </c>
      <c r="D158" s="501">
        <f>'[33]Sch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'[33]Sch C'!D160</f>
        <v>0</v>
      </c>
      <c r="D159" s="501">
        <f>'[33]Sch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'[33]Sch C'!D161</f>
        <v>0</v>
      </c>
      <c r="D160" s="501">
        <f>'[33]Sch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1" s="167" customFormat="1">
      <c r="A161" s="169"/>
      <c r="B161" s="170" t="s">
        <v>233</v>
      </c>
      <c r="C161" s="501">
        <f>SUM(C123:C160)</f>
        <v>678246</v>
      </c>
      <c r="D161" s="501">
        <f>SUM(D123:D160)</f>
        <v>32101</v>
      </c>
      <c r="E161" s="171">
        <f t="shared" ref="E161:F161" si="36">SUM(E123:E160)</f>
        <v>710347</v>
      </c>
      <c r="F161" s="171">
        <f t="shared" si="36"/>
        <v>0</v>
      </c>
      <c r="G161" s="171">
        <f>SUM(G123:G160)</f>
        <v>710347</v>
      </c>
      <c r="H161" s="172">
        <f t="shared" si="35"/>
        <v>0.34381388910400373</v>
      </c>
      <c r="I161" s="473"/>
      <c r="J161" s="168"/>
      <c r="K161" s="168"/>
    </row>
    <row r="162" spans="1:11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1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1" s="221" customFormat="1">
      <c r="A164" s="215" t="s">
        <v>95</v>
      </c>
      <c r="B164" s="148" t="s">
        <v>102</v>
      </c>
      <c r="C164" s="501">
        <f>'[33]Sch C'!D175</f>
        <v>0</v>
      </c>
      <c r="D164" s="501">
        <f>'[33]Sch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</row>
    <row r="165" spans="1:11" s="221" customFormat="1">
      <c r="A165" s="215" t="s">
        <v>123</v>
      </c>
      <c r="B165" s="148" t="s">
        <v>103</v>
      </c>
      <c r="C165" s="501">
        <f>'[33]Sch C'!D176</f>
        <v>0</v>
      </c>
      <c r="D165" s="501">
        <f>'[33]Sch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</row>
    <row r="166" spans="1:11" s="221" customFormat="1">
      <c r="A166" s="215" t="s">
        <v>124</v>
      </c>
      <c r="B166" s="148" t="s">
        <v>104</v>
      </c>
      <c r="C166" s="501">
        <f>'[33]Sch C'!D177</f>
        <v>0</v>
      </c>
      <c r="D166" s="501">
        <f>'[33]Sch C'!F177</f>
        <v>0</v>
      </c>
      <c r="E166" s="171">
        <f t="shared" si="37"/>
        <v>0</v>
      </c>
      <c r="F166" s="171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</row>
    <row r="167" spans="1:11" s="221" customFormat="1">
      <c r="A167" s="215" t="s">
        <v>157</v>
      </c>
      <c r="B167" s="148" t="s">
        <v>105</v>
      </c>
      <c r="C167" s="501">
        <f>'[33]Sch C'!D178</f>
        <v>0</v>
      </c>
      <c r="D167" s="501">
        <f>'[33]Sch C'!F178</f>
        <v>0</v>
      </c>
      <c r="E167" s="171">
        <f t="shared" si="37"/>
        <v>0</v>
      </c>
      <c r="F167" s="171"/>
      <c r="G167" s="171">
        <f t="shared" si="38"/>
        <v>0</v>
      </c>
      <c r="H167" s="172">
        <f t="shared" si="39"/>
        <v>0</v>
      </c>
      <c r="I167" s="484"/>
      <c r="J167" s="222"/>
      <c r="K167" s="222"/>
    </row>
    <row r="168" spans="1:11" s="221" customFormat="1">
      <c r="A168" s="215" t="s">
        <v>158</v>
      </c>
      <c r="B168" s="148" t="s">
        <v>316</v>
      </c>
      <c r="C168" s="501">
        <f>'[33]Sch C'!D179</f>
        <v>0</v>
      </c>
      <c r="D168" s="501">
        <f>'[33]Sch C'!F179</f>
        <v>0</v>
      </c>
      <c r="E168" s="171">
        <f t="shared" si="37"/>
        <v>0</v>
      </c>
      <c r="F168" s="171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</row>
    <row r="169" spans="1:11" s="221" customFormat="1">
      <c r="A169" s="215" t="s">
        <v>86</v>
      </c>
      <c r="B169" s="148" t="s">
        <v>317</v>
      </c>
      <c r="C169" s="501">
        <f>'[33]Sch C'!D180</f>
        <v>0</v>
      </c>
      <c r="D169" s="501">
        <f>'[33]Sch C'!F180</f>
        <v>0</v>
      </c>
      <c r="E169" s="171">
        <f t="shared" si="37"/>
        <v>0</v>
      </c>
      <c r="F169" s="171"/>
      <c r="G169" s="171">
        <f t="shared" si="38"/>
        <v>0</v>
      </c>
      <c r="H169" s="172">
        <f t="shared" si="39"/>
        <v>0</v>
      </c>
      <c r="I169" s="484"/>
      <c r="J169" s="222"/>
      <c r="K169" s="222"/>
    </row>
    <row r="170" spans="1:11" s="221" customFormat="1">
      <c r="A170" s="215" t="s">
        <v>96</v>
      </c>
      <c r="B170" s="148" t="s">
        <v>318</v>
      </c>
      <c r="C170" s="501">
        <f>'[33]Sch C'!D181</f>
        <v>0</v>
      </c>
      <c r="D170" s="501">
        <f>'[33]Sch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</row>
    <row r="171" spans="1:11" s="221" customFormat="1">
      <c r="A171" s="215" t="s">
        <v>125</v>
      </c>
      <c r="B171" s="148" t="s">
        <v>109</v>
      </c>
      <c r="C171" s="501">
        <f>'[33]Sch C'!D182</f>
        <v>0</v>
      </c>
      <c r="D171" s="501">
        <f>'[33]Sch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</row>
    <row r="172" spans="1:11" s="221" customFormat="1">
      <c r="A172" s="215" t="s">
        <v>126</v>
      </c>
      <c r="B172" s="148" t="s">
        <v>319</v>
      </c>
      <c r="C172" s="501">
        <f>'[33]Sch C'!D183</f>
        <v>0</v>
      </c>
      <c r="D172" s="501">
        <f>'[33]Sch C'!F183</f>
        <v>0</v>
      </c>
      <c r="E172" s="171">
        <f t="shared" si="37"/>
        <v>0</v>
      </c>
      <c r="F172" s="171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</row>
    <row r="173" spans="1:11" s="221" customFormat="1">
      <c r="A173" s="215" t="s">
        <v>127</v>
      </c>
      <c r="B173" s="148" t="s">
        <v>111</v>
      </c>
      <c r="C173" s="501">
        <f>'[33]Sch C'!D184</f>
        <v>0</v>
      </c>
      <c r="D173" s="501">
        <f>'[33]Sch C'!F184</f>
        <v>0</v>
      </c>
      <c r="E173" s="171">
        <f t="shared" si="37"/>
        <v>0</v>
      </c>
      <c r="F173" s="171"/>
      <c r="G173" s="171">
        <f t="shared" si="38"/>
        <v>0</v>
      </c>
      <c r="H173" s="172">
        <f t="shared" si="39"/>
        <v>0</v>
      </c>
      <c r="I173" s="484"/>
      <c r="J173" s="222"/>
      <c r="K173" s="222"/>
    </row>
    <row r="174" spans="1:11" s="221" customFormat="1">
      <c r="A174" s="215" t="s">
        <v>128</v>
      </c>
      <c r="B174" s="148" t="s">
        <v>320</v>
      </c>
      <c r="C174" s="501">
        <f>'[33]Sch C'!D185</f>
        <v>0</v>
      </c>
      <c r="D174" s="501">
        <f>'[33]Sch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</row>
    <row r="175" spans="1:11" s="221" customFormat="1">
      <c r="A175" s="215" t="s">
        <v>129</v>
      </c>
      <c r="B175" s="148" t="s">
        <v>321</v>
      </c>
      <c r="C175" s="501">
        <f>'[33]Sch C'!D186</f>
        <v>0</v>
      </c>
      <c r="D175" s="501">
        <f>'[33]Sch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</row>
    <row r="176" spans="1:11" s="221" customFormat="1">
      <c r="A176" s="224" t="s">
        <v>293</v>
      </c>
      <c r="B176" s="148" t="s">
        <v>154</v>
      </c>
      <c r="C176" s="501">
        <f>'[33]Sch C'!D187</f>
        <v>0</v>
      </c>
      <c r="D176" s="501">
        <f>'[33]Sch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</row>
    <row r="177" spans="1:11" s="221" customFormat="1">
      <c r="A177" s="224" t="s">
        <v>294</v>
      </c>
      <c r="B177" s="148" t="s">
        <v>322</v>
      </c>
      <c r="C177" s="501">
        <f>'[33]Sch C'!D188</f>
        <v>0</v>
      </c>
      <c r="D177" s="501">
        <f>'[33]Sch C'!F188</f>
        <v>0</v>
      </c>
      <c r="E177" s="171">
        <f t="shared" si="37"/>
        <v>0</v>
      </c>
      <c r="F177" s="171"/>
      <c r="G177" s="171">
        <f t="shared" si="38"/>
        <v>0</v>
      </c>
      <c r="H177" s="172">
        <f t="shared" si="39"/>
        <v>0</v>
      </c>
      <c r="I177" s="473"/>
      <c r="J177" s="223"/>
      <c r="K177" s="218"/>
    </row>
    <row r="178" spans="1:11" s="221" customFormat="1">
      <c r="A178" s="224" t="s">
        <v>295</v>
      </c>
      <c r="B178" s="148" t="s">
        <v>323</v>
      </c>
      <c r="C178" s="501">
        <f>'[33]Sch C'!D189</f>
        <v>0</v>
      </c>
      <c r="D178" s="501">
        <f>'[33]Sch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</row>
    <row r="179" spans="1:11" s="221" customFormat="1">
      <c r="A179" s="224" t="s">
        <v>296</v>
      </c>
      <c r="B179" s="148" t="s">
        <v>324</v>
      </c>
      <c r="C179" s="501">
        <f>'[33]Sch C'!D190</f>
        <v>0</v>
      </c>
      <c r="D179" s="501">
        <f>'[33]Sch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</row>
    <row r="180" spans="1:11" s="221" customFormat="1">
      <c r="A180" s="224" t="s">
        <v>297</v>
      </c>
      <c r="B180" s="148" t="s">
        <v>325</v>
      </c>
      <c r="C180" s="501">
        <f>'[33]Sch C'!D191</f>
        <v>0</v>
      </c>
      <c r="D180" s="501">
        <f>'[33]Sch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</row>
    <row r="181" spans="1:11" s="221" customFormat="1">
      <c r="A181" s="224" t="s">
        <v>298</v>
      </c>
      <c r="B181" s="148" t="s">
        <v>117</v>
      </c>
      <c r="C181" s="501">
        <f>'[33]Sch C'!D192</f>
        <v>0</v>
      </c>
      <c r="D181" s="501">
        <f>'[33]Sch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</row>
    <row r="182" spans="1:11" s="221" customFormat="1">
      <c r="A182" s="224" t="s">
        <v>132</v>
      </c>
      <c r="B182" s="148" t="s">
        <v>118</v>
      </c>
      <c r="C182" s="501">
        <f>'[33]Sch C'!D193</f>
        <v>0</v>
      </c>
      <c r="D182" s="501">
        <f>'[33]Sch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</row>
    <row r="183" spans="1:11" s="221" customFormat="1">
      <c r="A183" s="224" t="s">
        <v>133</v>
      </c>
      <c r="B183" s="148" t="s">
        <v>119</v>
      </c>
      <c r="C183" s="501">
        <f>'[33]Sch C'!D194</f>
        <v>8761</v>
      </c>
      <c r="D183" s="501">
        <f>'[33]Sch C'!F194</f>
        <v>0</v>
      </c>
      <c r="E183" s="171">
        <f t="shared" si="37"/>
        <v>8761</v>
      </c>
      <c r="F183" s="171"/>
      <c r="G183" s="171">
        <f t="shared" si="38"/>
        <v>8761</v>
      </c>
      <c r="H183" s="172">
        <f t="shared" si="39"/>
        <v>4.2403972740648957E-3</v>
      </c>
      <c r="I183" s="473"/>
      <c r="J183" s="223"/>
      <c r="K183" s="218"/>
    </row>
    <row r="184" spans="1:11" s="221" customFormat="1">
      <c r="A184" s="224" t="s">
        <v>134</v>
      </c>
      <c r="B184" s="148" t="s">
        <v>326</v>
      </c>
      <c r="C184" s="501">
        <f>'[33]Sch C'!D195</f>
        <v>3530</v>
      </c>
      <c r="D184" s="501">
        <f>'[33]Sch C'!F195</f>
        <v>0</v>
      </c>
      <c r="E184" s="171">
        <f t="shared" si="37"/>
        <v>3530</v>
      </c>
      <c r="F184" s="171"/>
      <c r="G184" s="171">
        <f t="shared" si="38"/>
        <v>3530</v>
      </c>
      <c r="H184" s="172">
        <f t="shared" si="39"/>
        <v>1.7085495237357702E-3</v>
      </c>
      <c r="I184" s="473"/>
      <c r="J184" s="223"/>
      <c r="K184" s="218"/>
    </row>
    <row r="185" spans="1:11" s="221" customFormat="1">
      <c r="A185" s="224" t="s">
        <v>135</v>
      </c>
      <c r="B185" s="148" t="s">
        <v>327</v>
      </c>
      <c r="C185" s="501">
        <f>'[33]Sch C'!D196</f>
        <v>0</v>
      </c>
      <c r="D185" s="501">
        <f>'[33]Sch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</row>
    <row r="186" spans="1:11" s="221" customFormat="1">
      <c r="A186" s="224" t="s">
        <v>136</v>
      </c>
      <c r="B186" s="148" t="s">
        <v>328</v>
      </c>
      <c r="C186" s="501">
        <f>'[33]Sch C'!D197</f>
        <v>4756</v>
      </c>
      <c r="D186" s="501">
        <f>'[33]Sch C'!F197</f>
        <v>0</v>
      </c>
      <c r="E186" s="171">
        <f t="shared" si="37"/>
        <v>4756</v>
      </c>
      <c r="F186" s="171"/>
      <c r="G186" s="171">
        <f t="shared" si="38"/>
        <v>4756</v>
      </c>
      <c r="H186" s="172">
        <f t="shared" si="39"/>
        <v>2.3019437775884766E-3</v>
      </c>
      <c r="I186" s="473"/>
      <c r="J186" s="223"/>
      <c r="K186" s="218"/>
    </row>
    <row r="187" spans="1:11" s="221" customFormat="1">
      <c r="A187" s="224" t="s">
        <v>137</v>
      </c>
      <c r="B187" s="148" t="s">
        <v>122</v>
      </c>
      <c r="C187" s="501">
        <f>'[33]Sch C'!D198</f>
        <v>621</v>
      </c>
      <c r="D187" s="501">
        <f>'[33]Sch C'!F198</f>
        <v>0</v>
      </c>
      <c r="E187" s="171">
        <f t="shared" si="37"/>
        <v>621</v>
      </c>
      <c r="F187" s="171"/>
      <c r="G187" s="171">
        <f t="shared" si="38"/>
        <v>621</v>
      </c>
      <c r="H187" s="172">
        <f t="shared" si="39"/>
        <v>3.0056919383566945E-4</v>
      </c>
      <c r="I187" s="473"/>
      <c r="J187" s="223"/>
      <c r="K187" s="218"/>
    </row>
    <row r="188" spans="1:11" s="221" customFormat="1">
      <c r="A188" s="224" t="s">
        <v>275</v>
      </c>
      <c r="B188" s="148" t="s">
        <v>329</v>
      </c>
      <c r="C188" s="501">
        <f>'[33]Sch C'!D199</f>
        <v>0</v>
      </c>
      <c r="D188" s="501">
        <f>'[33]Sch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</row>
    <row r="189" spans="1:11" s="221" customFormat="1">
      <c r="A189" s="224" t="s">
        <v>277</v>
      </c>
      <c r="B189" s="148" t="s">
        <v>278</v>
      </c>
      <c r="C189" s="501">
        <f>'[33]Sch C'!D200</f>
        <v>0</v>
      </c>
      <c r="D189" s="501">
        <f>'[33]Sch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</row>
    <row r="190" spans="1:11" s="221" customFormat="1">
      <c r="A190" s="225" t="s">
        <v>279</v>
      </c>
      <c r="B190" s="226" t="s">
        <v>280</v>
      </c>
      <c r="C190" s="501">
        <f>'[33]Sch C'!D201</f>
        <v>0</v>
      </c>
      <c r="D190" s="501">
        <f>'[33]Sch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</row>
    <row r="191" spans="1:11" s="221" customFormat="1">
      <c r="A191" s="225" t="s">
        <v>281</v>
      </c>
      <c r="B191" s="226" t="s">
        <v>282</v>
      </c>
      <c r="C191" s="501">
        <f>'[33]Sch C'!D202</f>
        <v>0</v>
      </c>
      <c r="D191" s="501">
        <f>'[33]Sch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</row>
    <row r="192" spans="1:11" s="221" customFormat="1">
      <c r="A192" s="225" t="s">
        <v>283</v>
      </c>
      <c r="B192" s="226" t="s">
        <v>330</v>
      </c>
      <c r="C192" s="501">
        <f>'[33]Sch C'!D203</f>
        <v>0</v>
      </c>
      <c r="D192" s="501">
        <f>'[33]Sch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</row>
    <row r="193" spans="1:11" s="221" customFormat="1">
      <c r="A193" s="225" t="s">
        <v>285</v>
      </c>
      <c r="B193" s="226" t="s">
        <v>331</v>
      </c>
      <c r="C193" s="501">
        <f>'[33]Sch C'!D204</f>
        <v>0</v>
      </c>
      <c r="D193" s="501">
        <f>'[33]Sch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</row>
    <row r="194" spans="1:11" s="221" customFormat="1">
      <c r="A194" s="224" t="s">
        <v>138</v>
      </c>
      <c r="B194" s="148" t="s">
        <v>332</v>
      </c>
      <c r="C194" s="501">
        <f>'[33]Sch C'!D205</f>
        <v>4931</v>
      </c>
      <c r="D194" s="501">
        <f>'[33]Sch C'!F205</f>
        <v>0</v>
      </c>
      <c r="E194" s="171">
        <f t="shared" si="37"/>
        <v>4931</v>
      </c>
      <c r="F194" s="171"/>
      <c r="G194" s="171">
        <f t="shared" si="38"/>
        <v>4931</v>
      </c>
      <c r="H194" s="172">
        <f t="shared" si="39"/>
        <v>2.3866452412297685E-3</v>
      </c>
      <c r="I194" s="473"/>
      <c r="J194" s="223"/>
      <c r="K194" s="218"/>
    </row>
    <row r="195" spans="1:11" s="221" customFormat="1">
      <c r="A195" s="224" t="s">
        <v>139</v>
      </c>
      <c r="B195" s="148" t="s">
        <v>67</v>
      </c>
      <c r="C195" s="501">
        <f>'[33]Sch C'!D206</f>
        <v>0</v>
      </c>
      <c r="D195" s="501">
        <f>'[33]Sch C'!F206</f>
        <v>0</v>
      </c>
      <c r="E195" s="171">
        <f t="shared" si="37"/>
        <v>0</v>
      </c>
      <c r="F195" s="171"/>
      <c r="G195" s="171">
        <f t="shared" si="38"/>
        <v>0</v>
      </c>
      <c r="H195" s="172">
        <f t="shared" si="39"/>
        <v>0</v>
      </c>
      <c r="I195" s="473"/>
      <c r="J195" s="223"/>
      <c r="K195" s="218"/>
    </row>
    <row r="196" spans="1:11" s="221" customFormat="1">
      <c r="A196" s="225" t="s">
        <v>143</v>
      </c>
      <c r="B196" s="194" t="s">
        <v>333</v>
      </c>
      <c r="C196" s="501">
        <f>'[33]Sch C'!D207</f>
        <v>0</v>
      </c>
      <c r="D196" s="501">
        <f>'[33]Sch C'!F207</f>
        <v>0</v>
      </c>
      <c r="E196" s="171">
        <f t="shared" si="37"/>
        <v>0</v>
      </c>
      <c r="F196" s="171"/>
      <c r="G196" s="171">
        <f t="shared" si="38"/>
        <v>0</v>
      </c>
      <c r="H196" s="172">
        <f t="shared" si="39"/>
        <v>0</v>
      </c>
      <c r="I196" s="473"/>
      <c r="J196" s="223"/>
      <c r="K196" s="218"/>
    </row>
    <row r="197" spans="1:11" s="167" customFormat="1">
      <c r="A197" s="163"/>
      <c r="B197" s="212" t="s">
        <v>130</v>
      </c>
      <c r="C197" s="501">
        <f>SUM(C164:C196)</f>
        <v>22599</v>
      </c>
      <c r="D197" s="501">
        <f>SUM(D164:D196)</f>
        <v>0</v>
      </c>
      <c r="E197" s="171">
        <f t="shared" ref="E197:F197" si="40">SUM(E164:E196)</f>
        <v>22599</v>
      </c>
      <c r="F197" s="171">
        <f t="shared" si="40"/>
        <v>0</v>
      </c>
      <c r="G197" s="171">
        <f>SUM(G164:G196)</f>
        <v>22599</v>
      </c>
      <c r="H197" s="172">
        <f>IF($G$208=0,0,G197/$G$208)</f>
        <v>1.093810501045458E-2</v>
      </c>
      <c r="I197" s="473"/>
      <c r="J197" s="168"/>
      <c r="K197" s="168"/>
    </row>
    <row r="198" spans="1:11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1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1" s="167" customFormat="1">
      <c r="A200" s="169" t="s">
        <v>85</v>
      </c>
      <c r="B200" s="170" t="s">
        <v>69</v>
      </c>
      <c r="C200" s="501">
        <f>'[33]Sch C'!D211</f>
        <v>71339</v>
      </c>
      <c r="D200" s="501">
        <f>'[33]Sch C'!F211</f>
        <v>0</v>
      </c>
      <c r="E200" s="171">
        <f t="shared" ref="E200:E205" si="41">C200+D200</f>
        <v>71339</v>
      </c>
      <c r="F200" s="171"/>
      <c r="G200" s="171">
        <f t="shared" ref="G200:G205" si="42">E200+F200</f>
        <v>71339</v>
      </c>
      <c r="H200" s="172">
        <f t="shared" ref="H200:H206" si="43">IF($G$208=0,0,G200/$G$208)</f>
        <v>3.4528672655463485E-2</v>
      </c>
      <c r="I200" s="473"/>
      <c r="J200" s="183">
        <v>5652</v>
      </c>
      <c r="K200" s="183">
        <v>5764</v>
      </c>
    </row>
    <row r="201" spans="1:11" s="167" customFormat="1">
      <c r="A201" s="169" t="s">
        <v>86</v>
      </c>
      <c r="B201" s="170" t="s">
        <v>45</v>
      </c>
      <c r="C201" s="501">
        <f>'[33]Sch C'!D212</f>
        <v>5432</v>
      </c>
      <c r="D201" s="501">
        <f>'[33]Sch C'!F212</f>
        <v>3938</v>
      </c>
      <c r="E201" s="171">
        <f t="shared" si="41"/>
        <v>9370</v>
      </c>
      <c r="F201" s="171"/>
      <c r="G201" s="171">
        <f t="shared" si="42"/>
        <v>9370</v>
      </c>
      <c r="H201" s="172">
        <f t="shared" si="43"/>
        <v>4.5351583675365906E-3</v>
      </c>
      <c r="I201" s="473"/>
      <c r="J201" s="168"/>
      <c r="K201" s="168"/>
    </row>
    <row r="202" spans="1:11" s="167" customFormat="1">
      <c r="A202" s="169" t="s">
        <v>140</v>
      </c>
      <c r="B202" s="170" t="s">
        <v>54</v>
      </c>
      <c r="C202" s="501">
        <f>'[33]Sch C'!D213</f>
        <v>8736</v>
      </c>
      <c r="D202" s="501">
        <f>'[33]Sch C'!F213</f>
        <v>0</v>
      </c>
      <c r="E202" s="171">
        <f t="shared" si="41"/>
        <v>8736</v>
      </c>
      <c r="F202" s="171"/>
      <c r="G202" s="171">
        <f t="shared" si="42"/>
        <v>8736</v>
      </c>
      <c r="H202" s="172">
        <f t="shared" si="43"/>
        <v>4.2282970649732826E-3</v>
      </c>
      <c r="I202" s="473"/>
      <c r="J202" s="168"/>
      <c r="K202" s="168"/>
    </row>
    <row r="203" spans="1:11" s="167" customFormat="1">
      <c r="A203" s="169" t="s">
        <v>141</v>
      </c>
      <c r="B203" s="170" t="s">
        <v>70</v>
      </c>
      <c r="C203" s="501">
        <f>'[33]Sch C'!D214</f>
        <v>0</v>
      </c>
      <c r="D203" s="501">
        <f>'[33]Sch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1" s="167" customFormat="1">
      <c r="A204" s="169" t="s">
        <v>142</v>
      </c>
      <c r="B204" s="202" t="s">
        <v>71</v>
      </c>
      <c r="C204" s="501">
        <f>'[33]Sch C'!D215</f>
        <v>0</v>
      </c>
      <c r="D204" s="501">
        <f>'[33]Sch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1" s="167" customFormat="1">
      <c r="A205" s="169" t="s">
        <v>143</v>
      </c>
      <c r="B205" s="170" t="s">
        <v>312</v>
      </c>
      <c r="C205" s="501">
        <f>'[33]Sch C'!D216</f>
        <v>3167</v>
      </c>
      <c r="D205" s="501">
        <f>'[33]Sch C'!F216</f>
        <v>0</v>
      </c>
      <c r="E205" s="171">
        <f t="shared" si="41"/>
        <v>3167</v>
      </c>
      <c r="F205" s="171"/>
      <c r="G205" s="171">
        <f t="shared" si="42"/>
        <v>3167</v>
      </c>
      <c r="H205" s="172">
        <f t="shared" si="43"/>
        <v>1.5328544877255478E-3</v>
      </c>
      <c r="I205" s="473"/>
      <c r="J205" s="168"/>
      <c r="K205" s="168"/>
    </row>
    <row r="206" spans="1:11" s="167" customFormat="1">
      <c r="A206" s="163"/>
      <c r="B206" s="170" t="s">
        <v>144</v>
      </c>
      <c r="C206" s="501">
        <f>SUM(C200:C205)</f>
        <v>88674</v>
      </c>
      <c r="D206" s="501">
        <f>SUM(D200:D205)</f>
        <v>3938</v>
      </c>
      <c r="E206" s="171">
        <f t="shared" ref="E206:F206" si="44">SUM(E200:E205)</f>
        <v>92612</v>
      </c>
      <c r="F206" s="171">
        <f t="shared" si="44"/>
        <v>0</v>
      </c>
      <c r="G206" s="171">
        <f>SUM(G200:G205)</f>
        <v>92612</v>
      </c>
      <c r="H206" s="172">
        <f t="shared" si="43"/>
        <v>4.4824982575698911E-2</v>
      </c>
      <c r="I206" s="473"/>
      <c r="J206" s="168"/>
      <c r="K206" s="168"/>
    </row>
    <row r="207" spans="1:11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1" s="167" customFormat="1">
      <c r="A208" s="227"/>
      <c r="B208" s="228" t="s">
        <v>145</v>
      </c>
      <c r="C208" s="501">
        <f>SUM(C25:C206)/2</f>
        <v>3125229</v>
      </c>
      <c r="D208" s="501">
        <f>SUM(D25:D206)/2</f>
        <v>-1056928</v>
      </c>
      <c r="E208" s="171">
        <f t="shared" ref="E208:F208" si="45">SUM(E25:E206)/2</f>
        <v>2068301</v>
      </c>
      <c r="F208" s="171">
        <f t="shared" si="45"/>
        <v>-2221</v>
      </c>
      <c r="G208" s="171">
        <f>SUM(G25:G206)/2</f>
        <v>2066080</v>
      </c>
      <c r="H208" s="172">
        <f>IF($G$208=0,0,G208/$G$208)</f>
        <v>1</v>
      </c>
      <c r="I208" s="473"/>
      <c r="J208" s="183">
        <f>SUM(J25:J200)</f>
        <v>50344</v>
      </c>
      <c r="K208" s="183">
        <f>SUM(K25:K200)</f>
        <v>51881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 s="524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'[33]Sch C'!D221</f>
        <v>3125229</v>
      </c>
      <c r="D211" s="196"/>
      <c r="E211" s="165"/>
      <c r="F211" s="524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59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244306</v>
      </c>
      <c r="D215" s="501">
        <f>D21-D208</f>
        <v>1056928</v>
      </c>
      <c r="E215" s="171">
        <f t="shared" ref="E215:F215" si="46">E21-E208</f>
        <v>1301234</v>
      </c>
      <c r="F215" s="171">
        <f t="shared" si="46"/>
        <v>671332</v>
      </c>
      <c r="G215" s="171">
        <f>G21-G208</f>
        <v>1972566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'[33]Sch D'!C9</f>
        <v>12386</v>
      </c>
      <c r="D219" s="530"/>
      <c r="E219" s="234">
        <f t="shared" ref="E219:G227" si="47">C219+D219</f>
        <v>12386</v>
      </c>
      <c r="F219" s="234"/>
      <c r="G219" s="234">
        <f t="shared" si="47"/>
        <v>12386</v>
      </c>
      <c r="H219" s="172">
        <f t="shared" ref="H219:H228" si="48">IF($G$228=0,0,G219/$G$228)</f>
        <v>0.94817423256526068</v>
      </c>
      <c r="I219" s="473"/>
      <c r="J219" s="168"/>
      <c r="K219" s="168"/>
    </row>
    <row r="220" spans="1:11">
      <c r="A220" s="163"/>
      <c r="B220" s="170" t="s">
        <v>217</v>
      </c>
      <c r="C220" s="530">
        <f>'[33]Sch D'!D9</f>
        <v>0</v>
      </c>
      <c r="D220" s="530"/>
      <c r="E220" s="183">
        <f t="shared" ref="E220:E227" si="49">C220+D220</f>
        <v>0</v>
      </c>
      <c r="F220" s="234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'[33]Sch D'!E9</f>
        <v>0</v>
      </c>
      <c r="D221" s="530"/>
      <c r="E221" s="183">
        <f t="shared" si="49"/>
        <v>0</v>
      </c>
      <c r="F221" s="234"/>
      <c r="G221" s="234">
        <f t="shared" si="47"/>
        <v>0</v>
      </c>
      <c r="H221" s="172">
        <f t="shared" si="48"/>
        <v>0</v>
      </c>
      <c r="I221" s="473"/>
      <c r="J221" s="168"/>
      <c r="K221" s="168"/>
    </row>
    <row r="222" spans="1:11">
      <c r="A222" s="163"/>
      <c r="B222" s="202" t="s">
        <v>334</v>
      </c>
      <c r="C222" s="530">
        <f>'[33]Sch D'!F9</f>
        <v>0</v>
      </c>
      <c r="D222" s="530"/>
      <c r="E222" s="183">
        <f t="shared" si="49"/>
        <v>0</v>
      </c>
      <c r="F222" s="234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'[33]Sch D'!G9</f>
        <v>0</v>
      </c>
      <c r="D223" s="530"/>
      <c r="E223" s="183">
        <f t="shared" si="49"/>
        <v>0</v>
      </c>
      <c r="F223" s="234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'[33]Sch D'!H9</f>
        <v>153</v>
      </c>
      <c r="D224" s="530"/>
      <c r="E224" s="183">
        <f t="shared" si="49"/>
        <v>153</v>
      </c>
      <c r="F224" s="234"/>
      <c r="G224" s="234">
        <f t="shared" si="47"/>
        <v>153</v>
      </c>
      <c r="H224" s="172">
        <f t="shared" si="48"/>
        <v>1.1712470336063692E-2</v>
      </c>
      <c r="I224" s="473"/>
      <c r="J224" s="168"/>
      <c r="K224" s="168"/>
    </row>
    <row r="225" spans="1:11">
      <c r="A225" s="163"/>
      <c r="B225" s="170" t="s">
        <v>236</v>
      </c>
      <c r="C225" s="530">
        <f>'[33]Sch D'!I9</f>
        <v>524</v>
      </c>
      <c r="D225" s="530"/>
      <c r="E225" s="183">
        <f t="shared" si="49"/>
        <v>524</v>
      </c>
      <c r="F225" s="234"/>
      <c r="G225" s="234">
        <f t="shared" si="47"/>
        <v>524</v>
      </c>
      <c r="H225" s="172">
        <f t="shared" si="48"/>
        <v>4.011329709867565E-2</v>
      </c>
      <c r="I225" s="473"/>
      <c r="J225" s="168"/>
      <c r="K225" s="168"/>
    </row>
    <row r="226" spans="1:11">
      <c r="A226" s="163"/>
      <c r="B226" s="170" t="s">
        <v>235</v>
      </c>
      <c r="C226" s="530">
        <f>'[33]Sch D'!J9</f>
        <v>0</v>
      </c>
      <c r="D226" s="530"/>
      <c r="E226" s="183">
        <f t="shared" si="49"/>
        <v>0</v>
      </c>
      <c r="F226" s="234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'[33]Sch D'!K9</f>
        <v>0</v>
      </c>
      <c r="D227" s="530"/>
      <c r="E227" s="183">
        <f t="shared" si="49"/>
        <v>0</v>
      </c>
      <c r="F227" s="234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13063</v>
      </c>
      <c r="D228" s="530">
        <f>SUM(D219:D227)</f>
        <v>0</v>
      </c>
      <c r="E228" s="236">
        <f>SUM(E219:E227)</f>
        <v>13063</v>
      </c>
      <c r="F228" s="236">
        <f>SUM(F219:F227)</f>
        <v>0</v>
      </c>
      <c r="G228" s="236">
        <f>SUM(G219:G227)</f>
        <v>13063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'[33]Sch D'!N22</f>
        <v>37</v>
      </c>
      <c r="D231" s="502"/>
      <c r="E231" s="234">
        <f>C231+D231</f>
        <v>37</v>
      </c>
      <c r="F231" s="234"/>
      <c r="G231" s="234">
        <f>E231+F231</f>
        <v>37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'[33]Sch D'!N24</f>
        <v>37</v>
      </c>
      <c r="D232" s="502"/>
      <c r="E232" s="234">
        <f>C232+D232</f>
        <v>37</v>
      </c>
      <c r="F232" s="234"/>
      <c r="G232" s="234">
        <f>E232+F232</f>
        <v>37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511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510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'[33]Sch D'!N28</f>
        <v>13505</v>
      </c>
      <c r="D235" s="438"/>
      <c r="E235" s="233">
        <f>E231*E233</f>
        <v>13505</v>
      </c>
      <c r="F235" s="512"/>
      <c r="G235" s="233">
        <f>G231*G233</f>
        <v>13505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'[33]Sch D'!N30</f>
        <v>0.96727138097001109</v>
      </c>
      <c r="D236" s="238"/>
      <c r="E236" s="242">
        <f>E228/E235</f>
        <v>0.96727138097001109</v>
      </c>
      <c r="F236" s="513"/>
      <c r="G236" s="242">
        <f>G228/G235</f>
        <v>0.96727138097001109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'[33]Sch D'!N32</f>
        <v>0.9171417993335802</v>
      </c>
      <c r="D237" s="238"/>
      <c r="E237" s="242">
        <f>(E219+E220)/E235</f>
        <v>0.9171417993335802</v>
      </c>
      <c r="F237" s="513"/>
      <c r="G237" s="242">
        <f>(G219+G220)/G235</f>
        <v>0.9171417993335802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'[33]Sch D'!N34</f>
        <v>0.94817423256526068</v>
      </c>
      <c r="D238" s="238"/>
      <c r="E238" s="242">
        <f>(E237/E236)</f>
        <v>0.94817423256526068</v>
      </c>
      <c r="F238" s="513"/>
      <c r="G238" s="242">
        <f>(G237/G236)</f>
        <v>0.94817423256526068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10" ht="15.5">
      <c r="B241" s="148" t="s">
        <v>339</v>
      </c>
      <c r="F241" s="142" t="s">
        <v>340</v>
      </c>
      <c r="G241" s="501">
        <f>'[33]Sch B'!C85</f>
        <v>2867.5</v>
      </c>
      <c r="I241" s="475"/>
      <c r="J241"/>
    </row>
    <row r="242" spans="2:10" ht="15.5">
      <c r="F242" s="142" t="s">
        <v>341</v>
      </c>
      <c r="G242" s="501">
        <f>'[33]Sch B'!E85</f>
        <v>126.68478260869566</v>
      </c>
      <c r="I242" s="475"/>
      <c r="J242"/>
    </row>
    <row r="243" spans="2:10">
      <c r="F243" s="142" t="s">
        <v>342</v>
      </c>
      <c r="G243" s="501">
        <f>'[33]Sch B'!G85</f>
        <v>229.06779661016949</v>
      </c>
      <c r="I243" s="475"/>
    </row>
    <row r="244" spans="2:10">
      <c r="F244" s="142" t="s">
        <v>343</v>
      </c>
      <c r="G244" s="501">
        <f>'[33]Sch B'!I85</f>
        <v>0</v>
      </c>
      <c r="I244" s="475"/>
    </row>
    <row r="245" spans="2:10">
      <c r="B245" s="471"/>
      <c r="F245" s="142"/>
      <c r="I245" s="475"/>
    </row>
    <row r="246" spans="2:10">
      <c r="B246" s="421"/>
      <c r="I246" s="475"/>
    </row>
  </sheetData>
  <customSheetViews>
    <customSheetView guid="{8B6AA640-12E9-11D5-ABB1-E7A21A3D4A14}" showPageBreaks="1" showGridLines="0" printArea="1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printArea="1" showRuler="0">
      <selection activeCell="A5" sqref="A5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E28CAB"/>
  </sheetPr>
  <dimension ref="A1:O246"/>
  <sheetViews>
    <sheetView showGridLines="0" zoomScaleNormal="100" workbookViewId="0">
      <pane xSplit="2" ySplit="8" topLeftCell="C27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47.4" customHeight="1">
      <c r="A1" s="138" t="str">
        <f>'ALPINE MEADOW'!A1</f>
        <v>schedules revised 7/2017</v>
      </c>
      <c r="B1" s="139" t="s">
        <v>304</v>
      </c>
      <c r="C1" s="427"/>
      <c r="D1" s="426"/>
      <c r="E1" s="514" t="s">
        <v>428</v>
      </c>
      <c r="F1" s="426"/>
      <c r="G1" s="426"/>
      <c r="H1" s="426"/>
      <c r="I1" s="426"/>
      <c r="J1" s="401"/>
    </row>
    <row r="2" spans="1:11" ht="23">
      <c r="B2" s="143" t="s">
        <v>189</v>
      </c>
      <c r="C2" s="139" t="s">
        <v>488</v>
      </c>
      <c r="D2" s="244"/>
      <c r="E2" s="539" t="s">
        <v>443</v>
      </c>
      <c r="H2" s="401"/>
      <c r="I2" s="401"/>
      <c r="J2" s="401"/>
    </row>
    <row r="3" spans="1:11" ht="15.5">
      <c r="A3" s="145"/>
      <c r="B3" s="140" t="s">
        <v>79</v>
      </c>
      <c r="C3" s="441">
        <v>42552</v>
      </c>
      <c r="D3" s="402"/>
      <c r="E3" s="147"/>
      <c r="F3" s="421"/>
      <c r="H3" s="401"/>
      <c r="I3" s="401"/>
      <c r="J3" s="401"/>
    </row>
    <row r="4" spans="1:11" ht="15.5">
      <c r="A4" s="145"/>
      <c r="B4" s="148" t="s">
        <v>80</v>
      </c>
      <c r="C4" s="441">
        <v>42916</v>
      </c>
      <c r="D4" s="400"/>
      <c r="E4" s="149"/>
      <c r="F4" s="421"/>
      <c r="G4" s="150"/>
      <c r="H4" s="401"/>
      <c r="I4" s="401"/>
      <c r="J4" s="401"/>
    </row>
    <row r="5" spans="1:11" ht="15.5">
      <c r="A5" s="145"/>
      <c r="B5" s="148"/>
      <c r="C5" s="151"/>
      <c r="D5" s="144"/>
      <c r="F5" s="444"/>
      <c r="H5" s="401"/>
      <c r="I5" s="401"/>
      <c r="J5" s="40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403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404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405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443"/>
      <c r="F10"/>
      <c r="G10"/>
      <c r="H10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'[34]Sch B'!E10</f>
        <v>3479020</v>
      </c>
      <c r="D11" s="501">
        <f>'[34]Sch B'!G10</f>
        <v>0</v>
      </c>
      <c r="E11" s="171">
        <f>C11+D11</f>
        <v>3479020</v>
      </c>
      <c r="F11" s="660">
        <v>1052639</v>
      </c>
      <c r="G11" s="171">
        <f t="shared" ref="G11:G20" si="0">E11+F11</f>
        <v>4531659</v>
      </c>
      <c r="H11" s="172">
        <f t="shared" ref="H11:H21" si="1">IF($G$21=0,0,G11/$G$21)</f>
        <v>0.88216729696799334</v>
      </c>
      <c r="I11" s="473"/>
      <c r="J11" s="336" t="s">
        <v>344</v>
      </c>
      <c r="K11" s="337">
        <f>G21</f>
        <v>5136961</v>
      </c>
    </row>
    <row r="12" spans="1:11" s="167" customFormat="1">
      <c r="A12" s="169" t="s">
        <v>15</v>
      </c>
      <c r="B12" s="170" t="s">
        <v>212</v>
      </c>
      <c r="C12" s="501">
        <f>'[34]Sch B'!E15</f>
        <v>0</v>
      </c>
      <c r="D12" s="501">
        <f>'[34]Sch B'!G15</f>
        <v>0</v>
      </c>
      <c r="E12" s="171">
        <f t="shared" ref="E12:E20" si="2">C12+D12</f>
        <v>0</v>
      </c>
      <c r="F12" s="407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3773537.2</v>
      </c>
    </row>
    <row r="13" spans="1:11" s="167" customFormat="1">
      <c r="A13" s="169" t="s">
        <v>16</v>
      </c>
      <c r="B13" s="170" t="s">
        <v>170</v>
      </c>
      <c r="C13" s="501">
        <f>'[34]Sch B'!E21</f>
        <v>0</v>
      </c>
      <c r="D13" s="501">
        <f>'[34]Sch B'!G21</f>
        <v>0</v>
      </c>
      <c r="E13" s="171">
        <f t="shared" si="2"/>
        <v>0</v>
      </c>
      <c r="F13" s="407"/>
      <c r="G13" s="171">
        <f t="shared" si="0"/>
        <v>0</v>
      </c>
      <c r="H13" s="172">
        <f t="shared" si="1"/>
        <v>0</v>
      </c>
      <c r="I13" s="473"/>
      <c r="J13" s="338" t="s">
        <v>346</v>
      </c>
      <c r="K13" s="339">
        <f>G228</f>
        <v>15590</v>
      </c>
    </row>
    <row r="14" spans="1:11" s="167" customFormat="1">
      <c r="A14" s="173" t="s">
        <v>18</v>
      </c>
      <c r="B14" s="174" t="s">
        <v>306</v>
      </c>
      <c r="C14" s="501">
        <f>'[34]Sch B'!E27</f>
        <v>0</v>
      </c>
      <c r="D14" s="501">
        <f>'[34]Sch B'!G27</f>
        <v>0</v>
      </c>
      <c r="E14" s="171">
        <f t="shared" si="2"/>
        <v>0</v>
      </c>
      <c r="F14" s="407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85</v>
      </c>
    </row>
    <row r="15" spans="1:11" s="167" customFormat="1">
      <c r="A15" s="169" t="s">
        <v>19</v>
      </c>
      <c r="B15" s="170" t="s">
        <v>171</v>
      </c>
      <c r="C15" s="501">
        <f>'[34]Sch B'!E32</f>
        <v>0</v>
      </c>
      <c r="D15" s="501">
        <f>'[34]Sch B'!G32</f>
        <v>0</v>
      </c>
      <c r="E15" s="171">
        <f t="shared" si="2"/>
        <v>0</v>
      </c>
      <c r="F15" s="407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31025</v>
      </c>
    </row>
    <row r="16" spans="1:11" s="167" customFormat="1">
      <c r="A16" s="169" t="s">
        <v>21</v>
      </c>
      <c r="B16" s="170" t="s">
        <v>172</v>
      </c>
      <c r="C16" s="501">
        <f>'[34]Sch B'!E37</f>
        <v>231920</v>
      </c>
      <c r="D16" s="501">
        <f>'[34]Sch B'!G37</f>
        <v>0</v>
      </c>
      <c r="E16" s="171">
        <f t="shared" si="2"/>
        <v>231920</v>
      </c>
      <c r="F16" s="407"/>
      <c r="G16" s="171">
        <f t="shared" si="0"/>
        <v>231920</v>
      </c>
      <c r="H16" s="172">
        <f t="shared" si="1"/>
        <v>4.5147315698912255E-2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'[34]Sch B'!E42</f>
        <v>367470</v>
      </c>
      <c r="D17" s="501">
        <f>'[34]Sch B'!G42</f>
        <v>0</v>
      </c>
      <c r="E17" s="171">
        <f t="shared" si="2"/>
        <v>367470</v>
      </c>
      <c r="F17" s="407"/>
      <c r="G17" s="171">
        <f>E17+F17</f>
        <v>367470</v>
      </c>
      <c r="H17" s="172">
        <f t="shared" si="1"/>
        <v>7.1534512331318065E-2</v>
      </c>
      <c r="I17" s="473"/>
      <c r="J17" s="338" t="s">
        <v>156</v>
      </c>
      <c r="K17" s="339">
        <f>J208</f>
        <v>89755</v>
      </c>
    </row>
    <row r="18" spans="1:11" s="167" customFormat="1" ht="13.5" thickBot="1">
      <c r="A18" s="169" t="s">
        <v>216</v>
      </c>
      <c r="B18" s="170" t="s">
        <v>229</v>
      </c>
      <c r="C18" s="501">
        <f>'[34]Sch B'!E47</f>
        <v>0</v>
      </c>
      <c r="D18" s="501">
        <f>'[34]Sch B'!G47</f>
        <v>0</v>
      </c>
      <c r="E18" s="171">
        <f t="shared" si="2"/>
        <v>0</v>
      </c>
      <c r="F18" s="407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92983</v>
      </c>
    </row>
    <row r="19" spans="1:11" s="167" customFormat="1">
      <c r="A19" s="169" t="s">
        <v>227</v>
      </c>
      <c r="B19" s="177" t="s">
        <v>173</v>
      </c>
      <c r="C19" s="501">
        <f>'[34]Sch B'!E52</f>
        <v>0</v>
      </c>
      <c r="D19" s="501">
        <f>'[34]Sch B'!G52</f>
        <v>0</v>
      </c>
      <c r="E19" s="171">
        <f t="shared" si="2"/>
        <v>0</v>
      </c>
      <c r="F19" s="407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'[34]Sch B'!E67</f>
        <v>10787</v>
      </c>
      <c r="D20" s="501">
        <f>'[34]Sch B'!G67</f>
        <v>0</v>
      </c>
      <c r="E20" s="171">
        <f t="shared" si="2"/>
        <v>10787</v>
      </c>
      <c r="F20" s="660">
        <v>-4875</v>
      </c>
      <c r="G20" s="171">
        <f t="shared" si="0"/>
        <v>5912</v>
      </c>
      <c r="H20" s="172">
        <f t="shared" si="1"/>
        <v>1.1508750017763421E-3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4089197</v>
      </c>
      <c r="D21" s="501">
        <f>SUM(D11:D20)</f>
        <v>0</v>
      </c>
      <c r="E21" s="171">
        <f>SUM(E11:E20)</f>
        <v>4089197</v>
      </c>
      <c r="F21" s="171">
        <f>SUM(F11:F20)</f>
        <v>1047764</v>
      </c>
      <c r="G21" s="171">
        <f>SUM(G11:G20)</f>
        <v>5136961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408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'[34]Sch C'!D10</f>
        <v>99806</v>
      </c>
      <c r="D25" s="501">
        <f>'[34]Sch C'!F10</f>
        <v>0</v>
      </c>
      <c r="E25" s="171">
        <f t="shared" ref="E25:E60" si="3">C25+D25</f>
        <v>99806</v>
      </c>
      <c r="F25" s="407"/>
      <c r="G25" s="182">
        <f>E25+F25</f>
        <v>99806</v>
      </c>
      <c r="H25" s="172">
        <f>IF($G$208=0,0,G25/$G$208)</f>
        <v>2.6448924367301851E-2</v>
      </c>
      <c r="I25" s="473"/>
      <c r="J25" s="183">
        <v>1904</v>
      </c>
      <c r="K25" s="183">
        <v>1968</v>
      </c>
    </row>
    <row r="26" spans="1:11" s="167" customFormat="1">
      <c r="A26" s="169" t="s">
        <v>84</v>
      </c>
      <c r="B26" s="170" t="s">
        <v>176</v>
      </c>
      <c r="C26" s="501">
        <f>'[34]Sch C'!D11</f>
        <v>0</v>
      </c>
      <c r="D26" s="501">
        <f>'[34]Sch C'!F11</f>
        <v>0</v>
      </c>
      <c r="E26" s="171">
        <f t="shared" si="3"/>
        <v>0</v>
      </c>
      <c r="F26" s="407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'[34]Sch C'!D12</f>
        <v>84086</v>
      </c>
      <c r="D27" s="501">
        <f>'[34]Sch C'!F12</f>
        <v>-38588</v>
      </c>
      <c r="E27" s="171">
        <f t="shared" si="3"/>
        <v>45498</v>
      </c>
      <c r="F27" s="407"/>
      <c r="G27" s="171">
        <f t="shared" si="4"/>
        <v>45498</v>
      </c>
      <c r="H27" s="172">
        <f t="shared" si="5"/>
        <v>1.205712242614171E-2</v>
      </c>
      <c r="I27" s="473"/>
      <c r="J27" s="183">
        <v>2576</v>
      </c>
      <c r="K27" s="183">
        <v>2682</v>
      </c>
    </row>
    <row r="28" spans="1:11" s="167" customFormat="1">
      <c r="A28" s="169" t="s">
        <v>86</v>
      </c>
      <c r="B28" s="170" t="s">
        <v>45</v>
      </c>
      <c r="C28" s="501">
        <f>'[34]Sch C'!D13</f>
        <v>114130.6</v>
      </c>
      <c r="D28" s="501">
        <f>'[34]Sch C'!F13</f>
        <v>-96096</v>
      </c>
      <c r="E28" s="171">
        <f t="shared" si="3"/>
        <v>18034.600000000006</v>
      </c>
      <c r="F28" s="407"/>
      <c r="G28" s="171">
        <f t="shared" si="4"/>
        <v>18034.600000000006</v>
      </c>
      <c r="H28" s="172">
        <f t="shared" si="5"/>
        <v>4.7792294190183169E-3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'[34]Sch C'!D14</f>
        <v>0</v>
      </c>
      <c r="D29" s="501">
        <f>'[34]Sch C'!F14</f>
        <v>0</v>
      </c>
      <c r="E29" s="171">
        <f t="shared" si="3"/>
        <v>0</v>
      </c>
      <c r="F29" s="407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'[34]Sch C'!D15</f>
        <v>29007</v>
      </c>
      <c r="D30" s="501">
        <f>'[34]Sch C'!F15</f>
        <v>-29007</v>
      </c>
      <c r="E30" s="171">
        <f t="shared" si="3"/>
        <v>0</v>
      </c>
      <c r="F30" s="407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'[34]Sch C'!D16</f>
        <v>156104</v>
      </c>
      <c r="D31" s="501">
        <f>'[34]Sch C'!F16</f>
        <v>-61135</v>
      </c>
      <c r="E31" s="171">
        <f t="shared" si="3"/>
        <v>94969</v>
      </c>
      <c r="F31" s="407"/>
      <c r="G31" s="171">
        <f t="shared" si="4"/>
        <v>94969</v>
      </c>
      <c r="H31" s="172">
        <f t="shared" si="5"/>
        <v>2.5167103162518179E-2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'[34]Sch C'!D17</f>
        <v>2534</v>
      </c>
      <c r="D32" s="501">
        <f>'[34]Sch C'!F17</f>
        <v>-2534</v>
      </c>
      <c r="E32" s="171">
        <f t="shared" si="3"/>
        <v>0</v>
      </c>
      <c r="F32" s="407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'[34]Sch C'!D18</f>
        <v>18285</v>
      </c>
      <c r="D33" s="501">
        <f>'[34]Sch C'!F18</f>
        <v>0</v>
      </c>
      <c r="E33" s="171">
        <f t="shared" si="3"/>
        <v>18285</v>
      </c>
      <c r="F33" s="407"/>
      <c r="G33" s="171">
        <f t="shared" si="4"/>
        <v>18285</v>
      </c>
      <c r="H33" s="172">
        <f t="shared" si="5"/>
        <v>4.8455862579014726E-3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'[34]Sch C'!D19</f>
        <v>43690</v>
      </c>
      <c r="D34" s="501">
        <f>'[34]Sch C'!F19</f>
        <v>0</v>
      </c>
      <c r="E34" s="171">
        <f t="shared" si="3"/>
        <v>43690</v>
      </c>
      <c r="F34" s="407"/>
      <c r="G34" s="171">
        <f t="shared" si="4"/>
        <v>43690</v>
      </c>
      <c r="H34" s="172">
        <f t="shared" si="5"/>
        <v>1.1577996369030097E-2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'[34]Sch C'!D20</f>
        <v>20096</v>
      </c>
      <c r="D35" s="501">
        <f>'[34]Sch C'!F20</f>
        <v>0</v>
      </c>
      <c r="E35" s="171">
        <f t="shared" si="3"/>
        <v>20096</v>
      </c>
      <c r="F35" s="407"/>
      <c r="G35" s="171">
        <f t="shared" si="4"/>
        <v>20096</v>
      </c>
      <c r="H35" s="172">
        <f t="shared" si="5"/>
        <v>5.3255073250636029E-3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'[34]Sch C'!D21</f>
        <v>30257</v>
      </c>
      <c r="D36" s="501">
        <f>'[34]Sch C'!F21</f>
        <v>0</v>
      </c>
      <c r="E36" s="171">
        <f t="shared" si="3"/>
        <v>30257</v>
      </c>
      <c r="F36" s="665">
        <f>-4875-5720</f>
        <v>-10595</v>
      </c>
      <c r="G36" s="171">
        <f t="shared" si="4"/>
        <v>19662</v>
      </c>
      <c r="H36" s="172">
        <f t="shared" si="5"/>
        <v>5.2104958710888017E-3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'[34]Sch C'!D22</f>
        <v>0</v>
      </c>
      <c r="D37" s="501">
        <f>'[34]Sch C'!F22</f>
        <v>0</v>
      </c>
      <c r="E37" s="171">
        <f t="shared" si="3"/>
        <v>0</v>
      </c>
      <c r="F37" s="407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'[34]Sch C'!D23</f>
        <v>14283</v>
      </c>
      <c r="D38" s="501">
        <f>'[34]Sch C'!F23</f>
        <v>0</v>
      </c>
      <c r="E38" s="171">
        <f t="shared" si="3"/>
        <v>14283</v>
      </c>
      <c r="F38" s="407"/>
      <c r="G38" s="171">
        <f t="shared" si="4"/>
        <v>14283</v>
      </c>
      <c r="H38" s="172">
        <f t="shared" si="5"/>
        <v>3.7850428505117159E-3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'[34]Sch C'!D24</f>
        <v>0</v>
      </c>
      <c r="D39" s="501">
        <f>'[34]Sch C'!F24</f>
        <v>0</v>
      </c>
      <c r="E39" s="171">
        <f t="shared" si="3"/>
        <v>0</v>
      </c>
      <c r="F39" s="407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'[34]Sch C'!D25</f>
        <v>0</v>
      </c>
      <c r="D40" s="501">
        <f>'[34]Sch C'!F25</f>
        <v>0</v>
      </c>
      <c r="E40" s="171">
        <f t="shared" si="3"/>
        <v>0</v>
      </c>
      <c r="F40" s="407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'[34]Sch C'!D26</f>
        <v>293232</v>
      </c>
      <c r="D41" s="501">
        <f>'[34]Sch C'!F26</f>
        <v>0</v>
      </c>
      <c r="E41" s="171">
        <f t="shared" si="3"/>
        <v>293232</v>
      </c>
      <c r="F41" s="407"/>
      <c r="G41" s="171">
        <f t="shared" si="4"/>
        <v>293232</v>
      </c>
      <c r="H41" s="172">
        <f t="shared" si="5"/>
        <v>7.7707462377739372E-2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'[34]Sch C'!D27</f>
        <v>0</v>
      </c>
      <c r="D42" s="501">
        <f>'[34]Sch C'!F27</f>
        <v>0</v>
      </c>
      <c r="E42" s="171">
        <f t="shared" si="3"/>
        <v>0</v>
      </c>
      <c r="F42" s="407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'[34]Sch C'!D28</f>
        <v>0</v>
      </c>
      <c r="D43" s="501">
        <f>'[34]Sch C'!F28</f>
        <v>0</v>
      </c>
      <c r="E43" s="171">
        <f t="shared" si="3"/>
        <v>0</v>
      </c>
      <c r="F43" s="407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'[34]Sch C'!D29</f>
        <v>0</v>
      </c>
      <c r="D44" s="501">
        <f>'[34]Sch C'!F29</f>
        <v>0</v>
      </c>
      <c r="E44" s="171">
        <f t="shared" si="3"/>
        <v>0</v>
      </c>
      <c r="F44" s="407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'[34]Sch C'!D30</f>
        <v>4680</v>
      </c>
      <c r="D45" s="501">
        <f>'[34]Sch C'!F30</f>
        <v>-4680</v>
      </c>
      <c r="E45" s="171">
        <f t="shared" si="3"/>
        <v>0</v>
      </c>
      <c r="F45" s="407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'[34]Sch C'!D31</f>
        <v>18535</v>
      </c>
      <c r="D46" s="501">
        <f>'[34]Sch C'!F31</f>
        <v>1076</v>
      </c>
      <c r="E46" s="171">
        <f t="shared" si="3"/>
        <v>19611</v>
      </c>
      <c r="F46" s="407"/>
      <c r="G46" s="171">
        <f t="shared" si="4"/>
        <v>19611</v>
      </c>
      <c r="H46" s="172">
        <f t="shared" si="5"/>
        <v>5.1969807002300123E-3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'[34]Sch C'!D32</f>
        <v>75015</v>
      </c>
      <c r="D47" s="501">
        <f>'[34]Sch C'!F32</f>
        <v>-8053</v>
      </c>
      <c r="E47" s="171">
        <f t="shared" si="3"/>
        <v>66962</v>
      </c>
      <c r="F47" s="665">
        <v>-13798</v>
      </c>
      <c r="G47" s="171">
        <f t="shared" si="4"/>
        <v>53164</v>
      </c>
      <c r="H47" s="172">
        <f t="shared" si="5"/>
        <v>1.4088638108562968E-2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'[34]Sch C'!D33</f>
        <v>0</v>
      </c>
      <c r="D48" s="501">
        <f>'[34]Sch C'!F33</f>
        <v>0</v>
      </c>
      <c r="E48" s="171">
        <f t="shared" si="3"/>
        <v>0</v>
      </c>
      <c r="F48" s="407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'[34]Sch C'!D34</f>
        <v>0</v>
      </c>
      <c r="D49" s="501">
        <f>'[34]Sch C'!F34</f>
        <v>0</v>
      </c>
      <c r="E49" s="171">
        <f t="shared" si="3"/>
        <v>0</v>
      </c>
      <c r="F49" s="407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'[34]Sch C'!D35</f>
        <v>116665</v>
      </c>
      <c r="D50" s="501">
        <f>'[34]Sch C'!F35</f>
        <v>-116665</v>
      </c>
      <c r="E50" s="171">
        <f t="shared" si="3"/>
        <v>0</v>
      </c>
      <c r="F50" s="407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'[34]Sch C'!D36</f>
        <v>0</v>
      </c>
      <c r="D51" s="501">
        <f>'[34]Sch C'!F36</f>
        <v>0</v>
      </c>
      <c r="E51" s="171">
        <f t="shared" si="3"/>
        <v>0</v>
      </c>
      <c r="F51" s="407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'[34]Sch C'!D37</f>
        <v>0</v>
      </c>
      <c r="D52" s="501">
        <f>'[34]Sch C'!F37</f>
        <v>0</v>
      </c>
      <c r="E52" s="171">
        <f t="shared" si="3"/>
        <v>0</v>
      </c>
      <c r="F52" s="407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'[34]Sch C'!D38</f>
        <v>0</v>
      </c>
      <c r="D53" s="501">
        <f>'[34]Sch C'!F38</f>
        <v>0</v>
      </c>
      <c r="E53" s="171">
        <f t="shared" si="3"/>
        <v>0</v>
      </c>
      <c r="F53" s="407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'[34]Sch C'!D39</f>
        <v>4104</v>
      </c>
      <c r="D54" s="501">
        <f>'[34]Sch C'!F39</f>
        <v>0</v>
      </c>
      <c r="E54" s="171">
        <f t="shared" si="3"/>
        <v>4104</v>
      </c>
      <c r="F54" s="407"/>
      <c r="G54" s="171">
        <f t="shared" si="4"/>
        <v>4104</v>
      </c>
      <c r="H54" s="172">
        <f t="shared" si="5"/>
        <v>1.0875737491073362E-3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'[34]Sch C'!D40</f>
        <v>0</v>
      </c>
      <c r="D55" s="501">
        <f>'[34]Sch C'!F40</f>
        <v>0</v>
      </c>
      <c r="E55" s="171">
        <f t="shared" si="3"/>
        <v>0</v>
      </c>
      <c r="F55" s="407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'[34]Sch C'!D41</f>
        <v>229699</v>
      </c>
      <c r="D56" s="501">
        <f>'[34]Sch C'!F41</f>
        <v>0</v>
      </c>
      <c r="E56" s="171">
        <f t="shared" si="3"/>
        <v>229699</v>
      </c>
      <c r="F56" s="407"/>
      <c r="G56" s="171">
        <f t="shared" si="4"/>
        <v>229699</v>
      </c>
      <c r="H56" s="172">
        <f t="shared" si="5"/>
        <v>6.0871004531239281E-2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'[34]Sch C'!D42</f>
        <v>7703</v>
      </c>
      <c r="D57" s="501">
        <f>'[34]Sch C'!F42</f>
        <v>0</v>
      </c>
      <c r="E57" s="171">
        <f t="shared" si="3"/>
        <v>7703</v>
      </c>
      <c r="F57" s="407"/>
      <c r="G57" s="171">
        <f t="shared" si="4"/>
        <v>7703</v>
      </c>
      <c r="H57" s="172">
        <f t="shared" si="5"/>
        <v>2.0413208063776341E-3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'[34]Sch C'!D43</f>
        <v>3145</v>
      </c>
      <c r="D58" s="501">
        <f>'[34]Sch C'!F43</f>
        <v>-3145</v>
      </c>
      <c r="E58" s="171">
        <f t="shared" si="3"/>
        <v>0</v>
      </c>
      <c r="F58" s="407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'[34]Sch C'!D44</f>
        <v>0</v>
      </c>
      <c r="D59" s="501">
        <f>'[34]Sch C'!F44</f>
        <v>0</v>
      </c>
      <c r="E59" s="171">
        <f t="shared" si="3"/>
        <v>0</v>
      </c>
      <c r="F59" s="407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'[34]Sch C'!D45</f>
        <v>28946</v>
      </c>
      <c r="D60" s="501">
        <f>'[34]Sch C'!F45</f>
        <v>0</v>
      </c>
      <c r="E60" s="171">
        <f t="shared" si="3"/>
        <v>28946</v>
      </c>
      <c r="F60" s="407"/>
      <c r="G60" s="171">
        <f t="shared" si="4"/>
        <v>28946</v>
      </c>
      <c r="H60" s="172">
        <f t="shared" si="5"/>
        <v>7.6707869740889265E-3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1394002.6</v>
      </c>
      <c r="D61" s="501">
        <f>SUM(D25:D60)</f>
        <v>-358827</v>
      </c>
      <c r="E61" s="171">
        <f t="shared" ref="E61" si="6">SUM(E25:E60)</f>
        <v>1035175.6</v>
      </c>
      <c r="F61" s="407">
        <f>SUM(F25:F60)</f>
        <v>-24393</v>
      </c>
      <c r="G61" s="171">
        <f>SUM(G25:G60)</f>
        <v>1010782.6</v>
      </c>
      <c r="H61" s="186">
        <f t="shared" si="5"/>
        <v>0.26786077529592128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'[34]Sch C'!D57</f>
        <v>220583</v>
      </c>
      <c r="D64" s="501">
        <f>'[34]Sch C'!F57</f>
        <v>201192</v>
      </c>
      <c r="E64" s="171">
        <f t="shared" ref="E64:E78" si="7">C64+D64</f>
        <v>421775</v>
      </c>
      <c r="F64" s="407"/>
      <c r="G64" s="171">
        <f t="shared" ref="G64:G78" si="8">E64+F64</f>
        <v>421775</v>
      </c>
      <c r="H64" s="172">
        <f t="shared" ref="H64:H79" si="9">IF($G$208=0,0,G64/$G$208)</f>
        <v>0.11177178801894413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'[34]Sch C'!D58</f>
        <v>0</v>
      </c>
      <c r="D65" s="501">
        <f>'[34]Sch C'!F58</f>
        <v>0</v>
      </c>
      <c r="E65" s="171">
        <f t="shared" si="7"/>
        <v>0</v>
      </c>
      <c r="F65" s="407"/>
      <c r="G65" s="171">
        <f t="shared" si="8"/>
        <v>0</v>
      </c>
      <c r="H65" s="172">
        <f t="shared" si="9"/>
        <v>0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'[34]Sch C'!D59</f>
        <v>0</v>
      </c>
      <c r="D66" s="501">
        <f>'[34]Sch C'!F59</f>
        <v>0</v>
      </c>
      <c r="E66" s="171">
        <f t="shared" si="7"/>
        <v>0</v>
      </c>
      <c r="F66" s="407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'[34]Sch C'!D60</f>
        <v>4095</v>
      </c>
      <c r="D67" s="501">
        <f>'[34]Sch C'!F60</f>
        <v>28433</v>
      </c>
      <c r="E67" s="171">
        <f t="shared" si="7"/>
        <v>32528</v>
      </c>
      <c r="F67" s="407"/>
      <c r="G67" s="171">
        <f t="shared" si="8"/>
        <v>32528</v>
      </c>
      <c r="H67" s="172">
        <f t="shared" si="9"/>
        <v>8.6200289744062936E-3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'[34]Sch C'!D61</f>
        <v>0</v>
      </c>
      <c r="D68" s="501">
        <f>'[34]Sch C'!F61</f>
        <v>4850</v>
      </c>
      <c r="E68" s="171">
        <f t="shared" si="7"/>
        <v>4850</v>
      </c>
      <c r="F68" s="407"/>
      <c r="G68" s="171">
        <f t="shared" si="8"/>
        <v>4850</v>
      </c>
      <c r="H68" s="172">
        <f t="shared" si="9"/>
        <v>1.2852662483359115E-3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'[34]Sch C'!D62</f>
        <v>0</v>
      </c>
      <c r="D69" s="501">
        <f>'[34]Sch C'!F62</f>
        <v>0</v>
      </c>
      <c r="E69" s="171">
        <f t="shared" si="7"/>
        <v>0</v>
      </c>
      <c r="F69" s="407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'[34]Sch C'!D63</f>
        <v>0</v>
      </c>
      <c r="D70" s="501">
        <f>'[34]Sch C'!F63</f>
        <v>0</v>
      </c>
      <c r="E70" s="171">
        <f t="shared" si="7"/>
        <v>0</v>
      </c>
      <c r="F70" s="407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'[34]Sch C'!D64</f>
        <v>0</v>
      </c>
      <c r="D71" s="501">
        <f>'[34]Sch C'!F64</f>
        <v>0</v>
      </c>
      <c r="E71" s="171">
        <f t="shared" si="7"/>
        <v>0</v>
      </c>
      <c r="F71" s="407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'[34]Sch C'!D65</f>
        <v>0</v>
      </c>
      <c r="D72" s="501">
        <f>'[34]Sch C'!F65</f>
        <v>2127</v>
      </c>
      <c r="E72" s="171">
        <f t="shared" si="7"/>
        <v>2127</v>
      </c>
      <c r="F72" s="407"/>
      <c r="G72" s="171">
        <f t="shared" si="8"/>
        <v>2127</v>
      </c>
      <c r="H72" s="172">
        <f t="shared" si="9"/>
        <v>5.6366212581659459E-4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'[34]Sch C'!D66</f>
        <v>2681</v>
      </c>
      <c r="D73" s="501">
        <f>'[34]Sch C'!F66</f>
        <v>0</v>
      </c>
      <c r="E73" s="171">
        <f>SUM(C73:D73)</f>
        <v>2681</v>
      </c>
      <c r="F73" s="407"/>
      <c r="G73" s="171">
        <f t="shared" si="8"/>
        <v>2681</v>
      </c>
      <c r="H73" s="172">
        <f t="shared" si="9"/>
        <v>7.1047398181207802E-4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'[34]Sch C'!D67</f>
        <v>0</v>
      </c>
      <c r="D74" s="501">
        <f>'[34]Sch C'!F67</f>
        <v>2419</v>
      </c>
      <c r="E74" s="171">
        <f>SUM(C74:D74)</f>
        <v>2419</v>
      </c>
      <c r="F74" s="665">
        <f>872+318</f>
        <v>1190</v>
      </c>
      <c r="G74" s="171">
        <f t="shared" si="8"/>
        <v>3609</v>
      </c>
      <c r="H74" s="172">
        <f t="shared" si="9"/>
        <v>9.5639709077202152E-4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'[34]Sch C'!D68</f>
        <v>0</v>
      </c>
      <c r="D75" s="501">
        <f>'[34]Sch C'!F68</f>
        <v>0</v>
      </c>
      <c r="E75" s="171">
        <f t="shared" si="7"/>
        <v>0</v>
      </c>
      <c r="F75" s="407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'[34]Sch C'!D69</f>
        <v>0</v>
      </c>
      <c r="D76" s="501">
        <f>'[34]Sch C'!F69</f>
        <v>575</v>
      </c>
      <c r="E76" s="171">
        <f t="shared" si="7"/>
        <v>575</v>
      </c>
      <c r="F76" s="407"/>
      <c r="G76" s="171">
        <f t="shared" si="8"/>
        <v>575</v>
      </c>
      <c r="H76" s="172">
        <f t="shared" si="9"/>
        <v>1.5237692634910289E-4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'[34]Sch C'!D70</f>
        <v>0</v>
      </c>
      <c r="D77" s="501">
        <f>'[34]Sch C'!F70</f>
        <v>0</v>
      </c>
      <c r="E77" s="171">
        <f t="shared" si="7"/>
        <v>0</v>
      </c>
      <c r="F77" s="407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'[34]Sch C'!D71</f>
        <v>0</v>
      </c>
      <c r="D78" s="501">
        <f>'[34]Sch C'!F71</f>
        <v>0</v>
      </c>
      <c r="E78" s="171">
        <f t="shared" si="7"/>
        <v>0</v>
      </c>
      <c r="F78" s="407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227359</v>
      </c>
      <c r="D79" s="501">
        <f>SUM(D64:D78)</f>
        <v>239596</v>
      </c>
      <c r="E79" s="171">
        <f t="shared" ref="E79" si="10">SUM(E64:E78)</f>
        <v>466955</v>
      </c>
      <c r="F79" s="407">
        <f>SUM(F64:F78)</f>
        <v>1190</v>
      </c>
      <c r="G79" s="171">
        <f>SUM(G64:G78)</f>
        <v>468145</v>
      </c>
      <c r="H79" s="172">
        <f t="shared" si="9"/>
        <v>0.12405999336643614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'[34]Sch C'!D75</f>
        <v>51496.6</v>
      </c>
      <c r="D82" s="501">
        <f>'[34]Sch C'!F75</f>
        <v>0</v>
      </c>
      <c r="E82" s="171">
        <f t="shared" ref="E82:E92" si="11">C82+D82</f>
        <v>51496.6</v>
      </c>
      <c r="F82" s="407"/>
      <c r="G82" s="171">
        <f t="shared" ref="G82:G92" si="12">E82+F82</f>
        <v>51496.6</v>
      </c>
      <c r="H82" s="172">
        <f t="shared" ref="H82:H93" si="13">IF($G$208=0,0,G82/$G$208)</f>
        <v>1.3646771522485586E-2</v>
      </c>
      <c r="I82" s="473"/>
      <c r="J82" s="183">
        <v>1982</v>
      </c>
      <c r="K82" s="183">
        <v>2054</v>
      </c>
    </row>
    <row r="83" spans="1:11" s="167" customFormat="1">
      <c r="A83" s="169" t="s">
        <v>86</v>
      </c>
      <c r="B83" s="199" t="s">
        <v>45</v>
      </c>
      <c r="C83" s="501">
        <f>'[34]Sch C'!D76</f>
        <v>4259</v>
      </c>
      <c r="D83" s="501">
        <f>'[34]Sch C'!F76</f>
        <v>3018</v>
      </c>
      <c r="E83" s="171">
        <f t="shared" si="11"/>
        <v>7277</v>
      </c>
      <c r="F83" s="407"/>
      <c r="G83" s="171">
        <f t="shared" si="12"/>
        <v>7277</v>
      </c>
      <c r="H83" s="172">
        <f t="shared" si="13"/>
        <v>1.9284293792042118E-3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'[34]Sch C'!D77</f>
        <v>15499</v>
      </c>
      <c r="D84" s="501">
        <f>'[34]Sch C'!F77</f>
        <v>0</v>
      </c>
      <c r="E84" s="171">
        <f t="shared" si="11"/>
        <v>15499</v>
      </c>
      <c r="F84" s="407"/>
      <c r="G84" s="171">
        <f t="shared" si="12"/>
        <v>15499</v>
      </c>
      <c r="H84" s="172">
        <f t="shared" si="13"/>
        <v>4.1072869243212974E-3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'[34]Sch C'!D78</f>
        <v>101</v>
      </c>
      <c r="D85" s="501">
        <f>'[34]Sch C'!F78</f>
        <v>0</v>
      </c>
      <c r="E85" s="171">
        <f t="shared" si="11"/>
        <v>101</v>
      </c>
      <c r="F85" s="665">
        <v>1770</v>
      </c>
      <c r="G85" s="171">
        <f t="shared" si="12"/>
        <v>1871</v>
      </c>
      <c r="H85" s="172">
        <f t="shared" si="13"/>
        <v>4.9582126817247221E-4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'[34]Sch C'!D79</f>
        <v>3560</v>
      </c>
      <c r="D86" s="501">
        <f>'[34]Sch C'!F79</f>
        <v>0</v>
      </c>
      <c r="E86" s="171">
        <f t="shared" si="11"/>
        <v>3560</v>
      </c>
      <c r="F86" s="665">
        <v>3690</v>
      </c>
      <c r="G86" s="171">
        <f>E86+F86</f>
        <v>7250</v>
      </c>
      <c r="H86" s="172">
        <f t="shared" si="13"/>
        <v>1.9212742887495583E-3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'[34]Sch C'!D80</f>
        <v>38066</v>
      </c>
      <c r="D87" s="501">
        <f>'[34]Sch C'!F80</f>
        <v>0</v>
      </c>
      <c r="E87" s="171">
        <f t="shared" si="11"/>
        <v>38066</v>
      </c>
      <c r="F87" s="665">
        <f>-8720-9540</f>
        <v>-18260</v>
      </c>
      <c r="G87" s="171">
        <f t="shared" si="12"/>
        <v>19806</v>
      </c>
      <c r="H87" s="172">
        <f t="shared" si="13"/>
        <v>5.2486563535136211E-3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'[34]Sch C'!D81</f>
        <v>22683</v>
      </c>
      <c r="D88" s="501">
        <f>'[34]Sch C'!F81</f>
        <v>-22683</v>
      </c>
      <c r="E88" s="171">
        <f t="shared" si="11"/>
        <v>0</v>
      </c>
      <c r="F88" s="407"/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'[34]Sch C'!D82</f>
        <v>0</v>
      </c>
      <c r="D89" s="501">
        <f>'[34]Sch C'!F82</f>
        <v>0</v>
      </c>
      <c r="E89" s="171">
        <f t="shared" si="11"/>
        <v>0</v>
      </c>
      <c r="F89" s="407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'[34]Sch C'!D83</f>
        <v>0</v>
      </c>
      <c r="D90" s="501">
        <f>'[34]Sch C'!F83</f>
        <v>0</v>
      </c>
      <c r="E90" s="171">
        <f t="shared" si="11"/>
        <v>0</v>
      </c>
      <c r="F90" s="407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'[34]Sch C'!D84</f>
        <v>69866</v>
      </c>
      <c r="D91" s="501">
        <f>'[34]Sch C'!F84</f>
        <v>0</v>
      </c>
      <c r="E91" s="171">
        <f t="shared" si="11"/>
        <v>69866</v>
      </c>
      <c r="F91" s="407"/>
      <c r="G91" s="171">
        <f t="shared" si="12"/>
        <v>69866</v>
      </c>
      <c r="H91" s="172">
        <f t="shared" si="13"/>
        <v>1.8514724063141606E-2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'[34]Sch C'!D85</f>
        <v>6288</v>
      </c>
      <c r="D92" s="501">
        <f>'[34]Sch C'!F85</f>
        <v>0</v>
      </c>
      <c r="E92" s="171">
        <f t="shared" si="11"/>
        <v>6288</v>
      </c>
      <c r="F92" s="407"/>
      <c r="G92" s="171">
        <f t="shared" si="12"/>
        <v>6288</v>
      </c>
      <c r="H92" s="172">
        <f t="shared" si="13"/>
        <v>1.6663410658837548E-3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211818.6</v>
      </c>
      <c r="D93" s="501">
        <f>SUM(D82:D92)</f>
        <v>-19665</v>
      </c>
      <c r="E93" s="171">
        <f t="shared" ref="E93" si="14">SUM(E82:E92)</f>
        <v>192153.60000000001</v>
      </c>
      <c r="F93" s="407">
        <f>SUM(F82:F92)</f>
        <v>-12800</v>
      </c>
      <c r="G93" s="171">
        <f>SUM(G82:G92)</f>
        <v>179353.60000000001</v>
      </c>
      <c r="H93" s="172">
        <f t="shared" si="13"/>
        <v>4.7529304865472105E-2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213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'[34]Sch C'!D89</f>
        <v>136944</v>
      </c>
      <c r="D96" s="501">
        <f>'[34]Sch C'!F89</f>
        <v>0</v>
      </c>
      <c r="E96" s="171">
        <f t="shared" ref="E96:E101" si="15">C96+D96</f>
        <v>136944</v>
      </c>
      <c r="F96" s="407"/>
      <c r="G96" s="171">
        <f t="shared" ref="G96:G101" si="16">E96+F96</f>
        <v>136944</v>
      </c>
      <c r="H96" s="172">
        <f t="shared" ref="H96:H102" si="17">IF($G$208=0,0,G96/$G$208)</f>
        <v>3.629061878600269E-2</v>
      </c>
      <c r="I96" s="473"/>
      <c r="J96" s="183">
        <v>10794</v>
      </c>
      <c r="K96" s="183">
        <v>11163</v>
      </c>
    </row>
    <row r="97" spans="1:11" s="167" customFormat="1">
      <c r="A97" s="169" t="s">
        <v>86</v>
      </c>
      <c r="B97" s="170" t="s">
        <v>45</v>
      </c>
      <c r="C97" s="501">
        <f>'[34]Sch C'!D90</f>
        <v>12322</v>
      </c>
      <c r="D97" s="501">
        <f>'[34]Sch C'!F90</f>
        <v>8025</v>
      </c>
      <c r="E97" s="171">
        <f t="shared" si="15"/>
        <v>20347</v>
      </c>
      <c r="F97" s="407"/>
      <c r="G97" s="171">
        <f t="shared" si="16"/>
        <v>20347</v>
      </c>
      <c r="H97" s="172">
        <f t="shared" si="17"/>
        <v>5.3920231659568638E-3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'[34]Sch C'!D91</f>
        <v>12491</v>
      </c>
      <c r="D98" s="501">
        <f>'[34]Sch C'!F91</f>
        <v>0</v>
      </c>
      <c r="E98" s="171">
        <f t="shared" si="15"/>
        <v>12491</v>
      </c>
      <c r="F98" s="407"/>
      <c r="G98" s="171">
        <f t="shared" si="16"/>
        <v>12491</v>
      </c>
      <c r="H98" s="172">
        <f t="shared" si="17"/>
        <v>3.3101568470028596E-3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'[34]Sch C'!D92</f>
        <v>104689</v>
      </c>
      <c r="D99" s="501">
        <f>'[34]Sch C'!F92</f>
        <v>0</v>
      </c>
      <c r="E99" s="171">
        <f t="shared" si="15"/>
        <v>104689</v>
      </c>
      <c r="F99" s="665">
        <v>216</v>
      </c>
      <c r="G99" s="171">
        <f t="shared" si="16"/>
        <v>104905</v>
      </c>
      <c r="H99" s="172">
        <f t="shared" si="17"/>
        <v>2.7800176449830679E-2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'[34]Sch C'!D93</f>
        <v>18898</v>
      </c>
      <c r="D100" s="501">
        <f>'[34]Sch C'!F93</f>
        <v>0</v>
      </c>
      <c r="E100" s="171">
        <f t="shared" si="15"/>
        <v>18898</v>
      </c>
      <c r="F100" s="407"/>
      <c r="G100" s="171">
        <f t="shared" si="16"/>
        <v>18898</v>
      </c>
      <c r="H100" s="172">
        <f t="shared" si="17"/>
        <v>5.0080333115571241E-3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'[34]Sch C'!D94</f>
        <v>0</v>
      </c>
      <c r="D101" s="501">
        <f>'[34]Sch C'!F94</f>
        <v>0</v>
      </c>
      <c r="E101" s="171">
        <f t="shared" si="15"/>
        <v>0</v>
      </c>
      <c r="F101" s="407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285344</v>
      </c>
      <c r="D102" s="501">
        <f>SUM(D96:D101)</f>
        <v>8025</v>
      </c>
      <c r="E102" s="171">
        <f t="shared" ref="E102" si="18">SUM(E96:E101)</f>
        <v>293369</v>
      </c>
      <c r="F102" s="407">
        <f>SUM(F96:F101)</f>
        <v>216</v>
      </c>
      <c r="G102" s="171">
        <f>SUM(G96:G101)</f>
        <v>293585</v>
      </c>
      <c r="H102" s="172">
        <f t="shared" si="17"/>
        <v>7.7801008560350216E-2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'[34]Sch C'!D98</f>
        <v>22479</v>
      </c>
      <c r="D105" s="501">
        <f>'[34]Sch C'!F98</f>
        <v>0</v>
      </c>
      <c r="E105" s="171">
        <f t="shared" ref="E105:E110" si="19">C105+D105</f>
        <v>22479</v>
      </c>
      <c r="F105" s="407"/>
      <c r="G105" s="171">
        <f t="shared" ref="G105:G110" si="20">E105+F105</f>
        <v>22479</v>
      </c>
      <c r="H105" s="172">
        <f t="shared" ref="H105:H111" si="21">IF($G$208=0,0,G105/$G$208)</f>
        <v>5.9570103085243202E-3</v>
      </c>
      <c r="I105" s="473"/>
      <c r="J105" s="183">
        <v>2073</v>
      </c>
      <c r="K105" s="183">
        <v>2222</v>
      </c>
    </row>
    <row r="106" spans="1:11" s="167" customFormat="1">
      <c r="A106" s="169" t="s">
        <v>86</v>
      </c>
      <c r="B106" s="170" t="s">
        <v>45</v>
      </c>
      <c r="C106" s="501">
        <f>'[34]Sch C'!D99</f>
        <v>2003</v>
      </c>
      <c r="D106" s="501">
        <f>'[34]Sch C'!F99</f>
        <v>1317</v>
      </c>
      <c r="E106" s="171">
        <f t="shared" si="19"/>
        <v>3320</v>
      </c>
      <c r="F106" s="407"/>
      <c r="G106" s="171">
        <f t="shared" si="20"/>
        <v>3320</v>
      </c>
      <c r="H106" s="172">
        <f t="shared" si="21"/>
        <v>8.7981112257221148E-4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'[34]Sch C'!D100</f>
        <v>6172</v>
      </c>
      <c r="D107" s="501">
        <f>'[34]Sch C'!F100</f>
        <v>0</v>
      </c>
      <c r="E107" s="171">
        <f t="shared" si="19"/>
        <v>6172</v>
      </c>
      <c r="F107" s="407"/>
      <c r="G107" s="171">
        <f t="shared" si="20"/>
        <v>6172</v>
      </c>
      <c r="H107" s="172">
        <f t="shared" si="21"/>
        <v>1.6356006772637619E-3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'[34]Sch C'!D101</f>
        <v>0</v>
      </c>
      <c r="D108" s="501">
        <f>'[34]Sch C'!F101</f>
        <v>0</v>
      </c>
      <c r="E108" s="171">
        <f t="shared" si="19"/>
        <v>0</v>
      </c>
      <c r="F108" s="407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'[34]Sch C'!D102</f>
        <v>1769</v>
      </c>
      <c r="D109" s="501">
        <f>'[34]Sch C'!F102</f>
        <v>0</v>
      </c>
      <c r="E109" s="171">
        <f t="shared" si="19"/>
        <v>1769</v>
      </c>
      <c r="F109" s="407"/>
      <c r="G109" s="171">
        <f t="shared" si="20"/>
        <v>1769</v>
      </c>
      <c r="H109" s="172">
        <f t="shared" si="21"/>
        <v>4.687909264548922E-4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'[34]Sch C'!D103</f>
        <v>1993</v>
      </c>
      <c r="D110" s="501">
        <f>'[34]Sch C'!F103</f>
        <v>0</v>
      </c>
      <c r="E110" s="171">
        <f t="shared" si="19"/>
        <v>1993</v>
      </c>
      <c r="F110" s="407"/>
      <c r="G110" s="171">
        <f t="shared" si="20"/>
        <v>1993</v>
      </c>
      <c r="H110" s="172">
        <f t="shared" si="21"/>
        <v>5.2815167689349929E-4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34416</v>
      </c>
      <c r="D111" s="501">
        <f>SUM(D105:D110)</f>
        <v>1317</v>
      </c>
      <c r="E111" s="171">
        <f t="shared" ref="E111" si="22">SUM(E105:E110)</f>
        <v>35733</v>
      </c>
      <c r="F111" s="407">
        <f>SUM(F105:F110)</f>
        <v>0</v>
      </c>
      <c r="G111" s="171">
        <f>SUM(G105:G110)</f>
        <v>35733</v>
      </c>
      <c r="H111" s="172">
        <f t="shared" si="21"/>
        <v>9.4693647117086843E-3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'[34]Sch C'!D115</f>
        <v>65719</v>
      </c>
      <c r="D114" s="501">
        <f>'[34]Sch C'!F115</f>
        <v>0</v>
      </c>
      <c r="E114" s="171">
        <f t="shared" ref="E114:E118" si="23">C114+D114</f>
        <v>65719</v>
      </c>
      <c r="F114" s="407"/>
      <c r="G114" s="171">
        <f>E114+F114</f>
        <v>65719</v>
      </c>
      <c r="H114" s="172">
        <f t="shared" ref="H114:H119" si="24">IF($G$208=0,0,G114/$G$208)</f>
        <v>1.7415755169976857E-2</v>
      </c>
      <c r="I114" s="473"/>
      <c r="J114" s="183">
        <v>6596</v>
      </c>
      <c r="K114" s="183">
        <v>6888</v>
      </c>
    </row>
    <row r="115" spans="1:11" s="167" customFormat="1">
      <c r="A115" s="169" t="s">
        <v>86</v>
      </c>
      <c r="B115" s="170" t="s">
        <v>151</v>
      </c>
      <c r="C115" s="501">
        <f>'[34]Sch C'!D116</f>
        <v>5477</v>
      </c>
      <c r="D115" s="501">
        <f>'[34]Sch C'!F116</f>
        <v>3851</v>
      </c>
      <c r="E115" s="171">
        <f t="shared" si="23"/>
        <v>9328</v>
      </c>
      <c r="F115" s="407"/>
      <c r="G115" s="171">
        <f>E115+F115</f>
        <v>9328</v>
      </c>
      <c r="H115" s="172">
        <f t="shared" si="24"/>
        <v>2.4719512504077076E-3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'[34]Sch C'!D117</f>
        <v>15731</v>
      </c>
      <c r="D116" s="501">
        <f>'[34]Sch C'!F117</f>
        <v>0</v>
      </c>
      <c r="E116" s="171">
        <f t="shared" si="23"/>
        <v>15731</v>
      </c>
      <c r="F116" s="407"/>
      <c r="G116" s="171">
        <f>E116+F116</f>
        <v>15731</v>
      </c>
      <c r="H116" s="172">
        <f t="shared" si="24"/>
        <v>4.1687677015612833E-3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'[34]Sch C'!D118</f>
        <v>940</v>
      </c>
      <c r="D117" s="501">
        <f>'[34]Sch C'!F118</f>
        <v>0</v>
      </c>
      <c r="E117" s="171">
        <f t="shared" si="23"/>
        <v>940</v>
      </c>
      <c r="F117" s="407"/>
      <c r="G117" s="171">
        <f>E117+F117</f>
        <v>940</v>
      </c>
      <c r="H117" s="172">
        <f t="shared" si="24"/>
        <v>2.4910314916201171E-4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'[34]Sch C'!D119</f>
        <v>0</v>
      </c>
      <c r="D118" s="501">
        <f>'[34]Sch C'!F119</f>
        <v>0</v>
      </c>
      <c r="E118" s="171">
        <f t="shared" si="23"/>
        <v>0</v>
      </c>
      <c r="F118" s="407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87867</v>
      </c>
      <c r="D119" s="501">
        <f>SUM(D114:D118)</f>
        <v>3851</v>
      </c>
      <c r="E119" s="171">
        <f t="shared" ref="E119" si="25">SUM(E114:E118)</f>
        <v>91718</v>
      </c>
      <c r="F119" s="407">
        <f>SUM(F114:F118)</f>
        <v>0</v>
      </c>
      <c r="G119" s="171">
        <f>SUM(G114:G118)</f>
        <v>91718</v>
      </c>
      <c r="H119" s="172">
        <f t="shared" si="24"/>
        <v>2.430557727110786E-2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'[34]Sch C'!D124</f>
        <v>113931</v>
      </c>
      <c r="D123" s="501">
        <f>'[34]Sch C'!F124</f>
        <v>0</v>
      </c>
      <c r="E123" s="171">
        <f t="shared" ref="E123:E127" si="26">C123+D123</f>
        <v>113931</v>
      </c>
      <c r="F123" s="407"/>
      <c r="G123" s="171">
        <f>E123+F123</f>
        <v>113931</v>
      </c>
      <c r="H123" s="172">
        <f>IF($G$208=0,0,G123/$G$208)</f>
        <v>3.0192096688486336E-2</v>
      </c>
      <c r="I123" s="473"/>
      <c r="J123" s="183">
        <v>2080</v>
      </c>
      <c r="K123" s="183">
        <v>2080</v>
      </c>
    </row>
    <row r="124" spans="1:11" s="167" customFormat="1">
      <c r="B124" s="163" t="s">
        <v>194</v>
      </c>
      <c r="C124" s="501">
        <f>'[34]Sch C'!D125</f>
        <v>0</v>
      </c>
      <c r="D124" s="501">
        <f>'[34]Sch C'!F125</f>
        <v>0</v>
      </c>
      <c r="E124" s="171">
        <f t="shared" si="26"/>
        <v>0</v>
      </c>
      <c r="F124" s="407"/>
      <c r="G124" s="171">
        <f>E124+F124</f>
        <v>0</v>
      </c>
      <c r="H124" s="172">
        <f>IF($G$208=0,0,G124/$G$208)</f>
        <v>0</v>
      </c>
      <c r="I124" s="473"/>
      <c r="J124" s="183">
        <v>0</v>
      </c>
      <c r="K124" s="183">
        <v>0</v>
      </c>
    </row>
    <row r="125" spans="1:11" s="167" customFormat="1">
      <c r="A125" s="163" t="s">
        <v>198</v>
      </c>
      <c r="B125" s="163" t="s">
        <v>195</v>
      </c>
      <c r="C125" s="501">
        <f>'[34]Sch C'!D126</f>
        <v>0</v>
      </c>
      <c r="D125" s="501">
        <f>'[34]Sch C'!F126</f>
        <v>0</v>
      </c>
      <c r="E125" s="171">
        <f t="shared" si="26"/>
        <v>0</v>
      </c>
      <c r="F125" s="407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'[34]Sch C'!D127</f>
        <v>0</v>
      </c>
      <c r="D126" s="501">
        <f>'[34]Sch C'!F127</f>
        <v>0</v>
      </c>
      <c r="E126" s="171">
        <f t="shared" si="26"/>
        <v>0</v>
      </c>
      <c r="F126" s="407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'[34]Sch C'!D128</f>
        <v>8457</v>
      </c>
      <c r="D127" s="501">
        <f>'[34]Sch C'!F128</f>
        <v>660</v>
      </c>
      <c r="E127" s="171">
        <f t="shared" si="26"/>
        <v>9117</v>
      </c>
      <c r="F127" s="407"/>
      <c r="G127" s="171">
        <f>E127+F127</f>
        <v>9117</v>
      </c>
      <c r="H127" s="172">
        <f>IF($G$208=0,0,G127/$G$208)</f>
        <v>2.4160355435213412E-3</v>
      </c>
      <c r="I127" s="473"/>
      <c r="J127" s="183">
        <v>751</v>
      </c>
      <c r="K127" s="183">
        <v>806</v>
      </c>
    </row>
    <row r="128" spans="1:11" s="167" customFormat="1" ht="15.5">
      <c r="A128" s="169" t="s">
        <v>95</v>
      </c>
      <c r="B128" s="170" t="s">
        <v>152</v>
      </c>
      <c r="C128" s="505"/>
      <c r="D128" s="505"/>
      <c r="E128" s="205"/>
      <c r="F128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'[34]Sch C'!D130</f>
        <v>0</v>
      </c>
      <c r="D129" s="501">
        <f>'[34]Sch C'!F130</f>
        <v>16281</v>
      </c>
      <c r="E129" s="171">
        <f t="shared" ref="E129:E133" si="27">C129+D129</f>
        <v>16281</v>
      </c>
      <c r="F129" s="407"/>
      <c r="G129" s="171">
        <f>E129+F129</f>
        <v>16281</v>
      </c>
      <c r="H129" s="172">
        <f>IF($G$208=0,0,G129/$G$208)</f>
        <v>4.3145195441560771E-3</v>
      </c>
      <c r="I129" s="473"/>
      <c r="J129" s="204"/>
      <c r="K129" s="204"/>
    </row>
    <row r="130" spans="1:11" s="167" customFormat="1">
      <c r="A130" s="169"/>
      <c r="B130" s="452" t="s">
        <v>194</v>
      </c>
      <c r="C130" s="501">
        <f>'[34]Sch C'!D131</f>
        <v>0</v>
      </c>
      <c r="D130" s="501">
        <f>'[34]Sch C'!F131</f>
        <v>0</v>
      </c>
      <c r="E130" s="171">
        <f t="shared" si="27"/>
        <v>0</v>
      </c>
      <c r="F130" s="407"/>
      <c r="G130" s="171">
        <f>E130+F130</f>
        <v>0</v>
      </c>
      <c r="H130" s="172">
        <f>IF($G$208=0,0,G130/$G$208)</f>
        <v>0</v>
      </c>
      <c r="I130" s="473"/>
      <c r="J130" s="204"/>
      <c r="K130" s="204"/>
    </row>
    <row r="131" spans="1:11" s="167" customFormat="1">
      <c r="B131" s="452" t="s">
        <v>195</v>
      </c>
      <c r="C131" s="501">
        <f>'[34]Sch C'!D132</f>
        <v>0</v>
      </c>
      <c r="D131" s="501">
        <f>'[34]Sch C'!F132</f>
        <v>0</v>
      </c>
      <c r="E131" s="171">
        <f t="shared" si="27"/>
        <v>0</v>
      </c>
      <c r="F131" s="407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452" t="s">
        <v>196</v>
      </c>
      <c r="C132" s="501">
        <f>'[34]Sch C'!D133</f>
        <v>0</v>
      </c>
      <c r="D132" s="501">
        <f>'[34]Sch C'!F133</f>
        <v>0</v>
      </c>
      <c r="E132" s="171">
        <f t="shared" si="27"/>
        <v>0</v>
      </c>
      <c r="F132" s="407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'[34]Sch C'!D134</f>
        <v>0</v>
      </c>
      <c r="D133" s="501">
        <f>'[34]Sch C'!F134</f>
        <v>1208</v>
      </c>
      <c r="E133" s="171">
        <f t="shared" si="27"/>
        <v>1208</v>
      </c>
      <c r="F133" s="407"/>
      <c r="G133" s="171">
        <f>E133+F133</f>
        <v>1208</v>
      </c>
      <c r="H133" s="172">
        <f>IF($G$208=0,0,G133/$G$208)</f>
        <v>3.2012404700820226E-4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229"/>
      <c r="F134" s="229"/>
      <c r="G134" s="229"/>
      <c r="H134" s="331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'[34]Sch C'!D136</f>
        <v>240786</v>
      </c>
      <c r="D135" s="501">
        <f>'[34]Sch C'!F136</f>
        <v>-21452</v>
      </c>
      <c r="E135" s="171">
        <f t="shared" ref="E135:E138" si="28">C135+D135</f>
        <v>219334</v>
      </c>
      <c r="F135" s="407"/>
      <c r="G135" s="171">
        <f>E135+F135</f>
        <v>219334</v>
      </c>
      <c r="H135" s="172">
        <f>IF($G$208=0,0,G135/$G$208)</f>
        <v>5.8124244806702842E-2</v>
      </c>
      <c r="I135" s="473"/>
      <c r="J135" s="183">
        <v>8195</v>
      </c>
      <c r="K135" s="183">
        <v>8444</v>
      </c>
    </row>
    <row r="136" spans="1:11" s="167" customFormat="1">
      <c r="A136" s="169"/>
      <c r="B136" s="163" t="s">
        <v>195</v>
      </c>
      <c r="C136" s="501">
        <f>'[34]Sch C'!D137</f>
        <v>266242</v>
      </c>
      <c r="D136" s="501">
        <f>'[34]Sch C'!F137</f>
        <v>20792</v>
      </c>
      <c r="E136" s="171">
        <f t="shared" si="28"/>
        <v>287034</v>
      </c>
      <c r="F136" s="407"/>
      <c r="G136" s="171">
        <f>E136+F136</f>
        <v>287034</v>
      </c>
      <c r="H136" s="172">
        <f>IF($G$208=0,0,G136/$G$208)</f>
        <v>7.6064971613371127E-2</v>
      </c>
      <c r="I136" s="473"/>
      <c r="J136" s="183">
        <v>10045</v>
      </c>
      <c r="K136" s="183">
        <v>10416</v>
      </c>
    </row>
    <row r="137" spans="1:11" s="167" customFormat="1">
      <c r="A137" s="169"/>
      <c r="B137" s="163" t="s">
        <v>196</v>
      </c>
      <c r="C137" s="501">
        <f>'[34]Sch C'!D138</f>
        <v>557161</v>
      </c>
      <c r="D137" s="501">
        <f>'[34]Sch C'!F138</f>
        <v>0</v>
      </c>
      <c r="E137" s="171">
        <f t="shared" si="28"/>
        <v>557161</v>
      </c>
      <c r="F137" s="407"/>
      <c r="G137" s="171">
        <f>E137+F137</f>
        <v>557161</v>
      </c>
      <c r="H137" s="172">
        <f>IF($G$208=0,0,G137/$G$208)</f>
        <v>0.1476495315853783</v>
      </c>
      <c r="I137" s="473"/>
      <c r="J137" s="183">
        <v>36666</v>
      </c>
      <c r="K137" s="183">
        <v>37947</v>
      </c>
    </row>
    <row r="138" spans="1:11" s="167" customFormat="1">
      <c r="A138" s="169"/>
      <c r="B138" s="163" t="s">
        <v>197</v>
      </c>
      <c r="C138" s="501">
        <f>'[34]Sch C'!D139</f>
        <v>0</v>
      </c>
      <c r="D138" s="501">
        <f>'[34]Sch C'!F139</f>
        <v>0</v>
      </c>
      <c r="E138" s="171">
        <f t="shared" si="28"/>
        <v>0</v>
      </c>
      <c r="F138" s="407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208"/>
      <c r="K139" s="208"/>
    </row>
    <row r="140" spans="1:11" s="167" customFormat="1">
      <c r="A140" s="169"/>
      <c r="B140" s="451" t="s">
        <v>394</v>
      </c>
      <c r="C140" s="501">
        <f>'[34]Sch C'!D141</f>
        <v>53005</v>
      </c>
      <c r="D140" s="501">
        <f>'[34]Sch C'!F141</f>
        <v>-21661</v>
      </c>
      <c r="E140" s="171">
        <f t="shared" ref="E140:E143" si="29">C140+D140</f>
        <v>31344</v>
      </c>
      <c r="F140" s="407"/>
      <c r="G140" s="171">
        <f>E140+F140</f>
        <v>31344</v>
      </c>
      <c r="H140" s="172">
        <f>IF($G$208=0,0,G140/$G$208)</f>
        <v>8.3062650078022278E-3</v>
      </c>
      <c r="I140" s="473"/>
      <c r="J140" s="168"/>
      <c r="K140" s="168"/>
    </row>
    <row r="141" spans="1:11" s="167" customFormat="1">
      <c r="A141" s="169"/>
      <c r="B141" s="452" t="s">
        <v>395</v>
      </c>
      <c r="C141" s="501">
        <f>'[34]Sch C'!D142</f>
        <v>0</v>
      </c>
      <c r="D141" s="501">
        <f>'[34]Sch C'!F142</f>
        <v>41017</v>
      </c>
      <c r="E141" s="171">
        <f t="shared" si="29"/>
        <v>41017</v>
      </c>
      <c r="F141" s="407"/>
      <c r="G141" s="171">
        <f>E141+F141</f>
        <v>41017</v>
      </c>
      <c r="H141" s="172">
        <f>IF($G$208=0,0,G141/$G$208)</f>
        <v>1.0869642414019397E-2</v>
      </c>
      <c r="I141" s="473"/>
      <c r="J141" s="168"/>
      <c r="K141" s="168"/>
    </row>
    <row r="142" spans="1:11" s="167" customFormat="1">
      <c r="A142" s="169"/>
      <c r="B142" s="452" t="s">
        <v>396</v>
      </c>
      <c r="C142" s="501">
        <f>'[34]Sch C'!D143</f>
        <v>48418</v>
      </c>
      <c r="D142" s="501">
        <f>'[34]Sch C'!F143</f>
        <v>32650</v>
      </c>
      <c r="E142" s="171">
        <f t="shared" si="29"/>
        <v>81068</v>
      </c>
      <c r="F142" s="407"/>
      <c r="G142" s="171">
        <f>E142+F142</f>
        <v>81068</v>
      </c>
      <c r="H142" s="172">
        <f>IF($G$208=0,0,G142/$G$208)</f>
        <v>2.1483291591772303E-2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'[34]Sch C'!D144</f>
        <v>0</v>
      </c>
      <c r="D143" s="501">
        <f>'[34]Sch C'!F144</f>
        <v>0</v>
      </c>
      <c r="E143" s="171">
        <f t="shared" si="29"/>
        <v>0</v>
      </c>
      <c r="F143" s="407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229"/>
      <c r="F144" s="229"/>
      <c r="G144" s="229"/>
      <c r="H144" s="331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'[34]Sch C'!D146</f>
        <v>31500</v>
      </c>
      <c r="D145" s="501">
        <f>'[34]Sch C'!F146</f>
        <v>0</v>
      </c>
      <c r="E145" s="171">
        <f t="shared" ref="E145:E153" si="30">C145+D145</f>
        <v>31500</v>
      </c>
      <c r="F145" s="407"/>
      <c r="G145" s="171">
        <f t="shared" ref="G145:G153" si="31">E145+F145</f>
        <v>31500</v>
      </c>
      <c r="H145" s="172">
        <f t="shared" ref="H145:H153" si="32">IF($G$208=0,0,G145/$G$208)</f>
        <v>8.3476055304291148E-3</v>
      </c>
      <c r="I145" s="473"/>
      <c r="J145" s="183">
        <v>312</v>
      </c>
      <c r="K145" s="183">
        <v>312</v>
      </c>
    </row>
    <row r="146" spans="1:11" s="167" customFormat="1">
      <c r="A146" s="169"/>
      <c r="B146" s="163" t="s">
        <v>194</v>
      </c>
      <c r="C146" s="501">
        <f>'[34]Sch C'!D147</f>
        <v>7551</v>
      </c>
      <c r="D146" s="501">
        <f>'[34]Sch C'!F147</f>
        <v>0</v>
      </c>
      <c r="E146" s="171">
        <f t="shared" si="30"/>
        <v>7551</v>
      </c>
      <c r="F146" s="407"/>
      <c r="G146" s="171">
        <f t="shared" si="31"/>
        <v>7551</v>
      </c>
      <c r="H146" s="172">
        <f t="shared" si="32"/>
        <v>2.0010402971514366E-3</v>
      </c>
      <c r="I146" s="473"/>
      <c r="J146" s="183">
        <v>151</v>
      </c>
      <c r="K146" s="183">
        <v>151</v>
      </c>
    </row>
    <row r="147" spans="1:11" s="167" customFormat="1">
      <c r="A147" s="169"/>
      <c r="B147" s="163" t="s">
        <v>195</v>
      </c>
      <c r="C147" s="501">
        <f>'[34]Sch C'!D148</f>
        <v>337</v>
      </c>
      <c r="D147" s="501">
        <f>'[34]Sch C'!F148</f>
        <v>0</v>
      </c>
      <c r="E147" s="171">
        <f t="shared" si="30"/>
        <v>337</v>
      </c>
      <c r="F147" s="407"/>
      <c r="G147" s="171">
        <f t="shared" si="31"/>
        <v>337</v>
      </c>
      <c r="H147" s="172">
        <f t="shared" si="32"/>
        <v>8.9306129008082918E-5</v>
      </c>
      <c r="I147" s="473"/>
      <c r="J147" s="183">
        <v>8</v>
      </c>
      <c r="K147" s="183">
        <v>8</v>
      </c>
    </row>
    <row r="148" spans="1:11" s="167" customFormat="1">
      <c r="A148" s="169"/>
      <c r="B148" s="163" t="s">
        <v>196</v>
      </c>
      <c r="C148" s="501">
        <f>'[34]Sch C'!D149</f>
        <v>4895</v>
      </c>
      <c r="D148" s="501">
        <f>'[34]Sch C'!F149</f>
        <v>0</v>
      </c>
      <c r="E148" s="171">
        <f t="shared" si="30"/>
        <v>4895</v>
      </c>
      <c r="F148" s="407"/>
      <c r="G148" s="171">
        <f t="shared" si="31"/>
        <v>4895</v>
      </c>
      <c r="H148" s="172">
        <f t="shared" si="32"/>
        <v>1.2971913990936672E-3</v>
      </c>
      <c r="I148" s="473"/>
      <c r="J148" s="183">
        <v>163</v>
      </c>
      <c r="K148" s="183">
        <v>163</v>
      </c>
    </row>
    <row r="149" spans="1:11" s="167" customFormat="1">
      <c r="A149" s="169"/>
      <c r="B149" s="163" t="s">
        <v>197</v>
      </c>
      <c r="C149" s="501">
        <f>'[34]Sch C'!D150</f>
        <v>7943</v>
      </c>
      <c r="D149" s="501">
        <f>'[34]Sch C'!F150</f>
        <v>0</v>
      </c>
      <c r="E149" s="171">
        <f t="shared" si="30"/>
        <v>7943</v>
      </c>
      <c r="F149" s="407"/>
      <c r="G149" s="171">
        <f t="shared" si="31"/>
        <v>7943</v>
      </c>
      <c r="H149" s="172">
        <f t="shared" si="32"/>
        <v>2.1049216104189988E-3</v>
      </c>
      <c r="I149" s="473"/>
      <c r="J149" s="183">
        <v>91</v>
      </c>
      <c r="K149" s="183">
        <v>91</v>
      </c>
    </row>
    <row r="150" spans="1:11" s="167" customFormat="1">
      <c r="A150" s="169">
        <v>110</v>
      </c>
      <c r="B150" s="167" t="s">
        <v>65</v>
      </c>
      <c r="C150" s="501">
        <f>'[34]Sch C'!D151</f>
        <v>76483</v>
      </c>
      <c r="D150" s="501">
        <f>'[34]Sch C'!F151</f>
        <v>0</v>
      </c>
      <c r="E150" s="171">
        <f t="shared" si="30"/>
        <v>76483</v>
      </c>
      <c r="F150" s="665">
        <v>-216</v>
      </c>
      <c r="G150" s="171">
        <f t="shared" si="31"/>
        <v>76267</v>
      </c>
      <c r="H150" s="172">
        <f t="shared" si="32"/>
        <v>2.0211010507594836E-2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'[34]Sch C'!D152</f>
        <v>38311</v>
      </c>
      <c r="D151" s="501">
        <f>'[34]Sch C'!F152</f>
        <v>0</v>
      </c>
      <c r="E151" s="171">
        <f t="shared" si="30"/>
        <v>38311</v>
      </c>
      <c r="F151" s="665">
        <f>-1770-3690</f>
        <v>-5460</v>
      </c>
      <c r="G151" s="171">
        <f t="shared" si="31"/>
        <v>32851</v>
      </c>
      <c r="H151" s="172">
        <f t="shared" si="32"/>
        <v>8.7056250565119633E-3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'[34]Sch C'!D153</f>
        <v>0</v>
      </c>
      <c r="D152" s="501">
        <f>'[34]Sch C'!F153</f>
        <v>0</v>
      </c>
      <c r="E152" s="171">
        <f t="shared" si="30"/>
        <v>0</v>
      </c>
      <c r="F152" s="407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'[34]Sch C'!D154</f>
        <v>0</v>
      </c>
      <c r="D153" s="501">
        <f>'[34]Sch C'!F154</f>
        <v>0</v>
      </c>
      <c r="E153" s="171">
        <f t="shared" si="30"/>
        <v>0</v>
      </c>
      <c r="F153" s="407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50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'[34]Sch C'!D156</f>
        <v>0</v>
      </c>
      <c r="D155" s="501">
        <f>'[34]Sch C'!F156</f>
        <v>0</v>
      </c>
      <c r="E155" s="171">
        <f t="shared" ref="E155:E160" si="33">C155+D155</f>
        <v>0</v>
      </c>
      <c r="F155" s="407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'[34]Sch C'!D157</f>
        <v>0</v>
      </c>
      <c r="D156" s="501">
        <f>'[34]Sch C'!F157</f>
        <v>0</v>
      </c>
      <c r="E156" s="171">
        <f t="shared" si="33"/>
        <v>0</v>
      </c>
      <c r="F156" s="407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'[34]Sch C'!D158</f>
        <v>0</v>
      </c>
      <c r="D157" s="501">
        <f>'[34]Sch C'!F158</f>
        <v>0</v>
      </c>
      <c r="E157" s="171">
        <f t="shared" si="33"/>
        <v>0</v>
      </c>
      <c r="F157" s="407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'[34]Sch C'!D159</f>
        <v>0</v>
      </c>
      <c r="D158" s="501">
        <f>'[34]Sch C'!F159</f>
        <v>0</v>
      </c>
      <c r="E158" s="171">
        <f t="shared" si="33"/>
        <v>0</v>
      </c>
      <c r="F158" s="407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'[34]Sch C'!D160</f>
        <v>0</v>
      </c>
      <c r="D159" s="501">
        <f>'[34]Sch C'!F160</f>
        <v>0</v>
      </c>
      <c r="E159" s="171">
        <f t="shared" si="33"/>
        <v>0</v>
      </c>
      <c r="F159" s="407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'[34]Sch C'!D161</f>
        <v>0</v>
      </c>
      <c r="D160" s="501">
        <f>'[34]Sch C'!F161</f>
        <v>0</v>
      </c>
      <c r="E160" s="171">
        <f t="shared" si="33"/>
        <v>0</v>
      </c>
      <c r="F160" s="407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1455020</v>
      </c>
      <c r="D161" s="501">
        <f>SUM(D123:D160)</f>
        <v>69495</v>
      </c>
      <c r="E161" s="171">
        <f t="shared" ref="E161" si="36">SUM(E123:E160)</f>
        <v>1524515</v>
      </c>
      <c r="F161" s="407">
        <f>SUM(F123:F160)</f>
        <v>-5676</v>
      </c>
      <c r="G161" s="171">
        <f>SUM(G123:G160)</f>
        <v>1518839</v>
      </c>
      <c r="H161" s="172">
        <f t="shared" si="35"/>
        <v>0.40249742337242628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'[34]Sch C'!D175</f>
        <v>0</v>
      </c>
      <c r="D164" s="501">
        <f>'[34]Sch C'!F175</f>
        <v>0</v>
      </c>
      <c r="E164" s="171">
        <f t="shared" ref="E164:E196" si="37">C164+D164</f>
        <v>0</v>
      </c>
      <c r="F164" s="407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'[34]Sch C'!D176</f>
        <v>0</v>
      </c>
      <c r="D165" s="501">
        <f>'[34]Sch C'!F176</f>
        <v>0</v>
      </c>
      <c r="E165" s="171">
        <f t="shared" si="37"/>
        <v>0</v>
      </c>
      <c r="F165" s="407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'[34]Sch C'!D177</f>
        <v>0</v>
      </c>
      <c r="D166" s="501">
        <f>'[34]Sch C'!F177</f>
        <v>0</v>
      </c>
      <c r="E166" s="171">
        <f t="shared" si="37"/>
        <v>0</v>
      </c>
      <c r="F166" s="407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'[34]Sch C'!D178</f>
        <v>0</v>
      </c>
      <c r="D167" s="501">
        <f>'[34]Sch C'!F178</f>
        <v>0</v>
      </c>
      <c r="E167" s="171">
        <f t="shared" si="37"/>
        <v>0</v>
      </c>
      <c r="F167" s="407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'[34]Sch C'!D179</f>
        <v>0</v>
      </c>
      <c r="D168" s="501">
        <f>'[34]Sch C'!F179</f>
        <v>0</v>
      </c>
      <c r="E168" s="171">
        <f t="shared" si="37"/>
        <v>0</v>
      </c>
      <c r="F168" s="407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'[34]Sch C'!D180</f>
        <v>0</v>
      </c>
      <c r="D169" s="501">
        <f>'[34]Sch C'!F180</f>
        <v>0</v>
      </c>
      <c r="E169" s="171">
        <f t="shared" si="37"/>
        <v>0</v>
      </c>
      <c r="F169" s="407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'[34]Sch C'!D181</f>
        <v>0</v>
      </c>
      <c r="D170" s="501">
        <f>'[34]Sch C'!F181</f>
        <v>0</v>
      </c>
      <c r="E170" s="171">
        <f t="shared" si="37"/>
        <v>0</v>
      </c>
      <c r="F170" s="407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'[34]Sch C'!D182</f>
        <v>0</v>
      </c>
      <c r="D171" s="501">
        <f>'[34]Sch C'!F182</f>
        <v>0</v>
      </c>
      <c r="E171" s="171">
        <f t="shared" si="37"/>
        <v>0</v>
      </c>
      <c r="F171" s="407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'[34]Sch C'!D183</f>
        <v>0</v>
      </c>
      <c r="D172" s="501">
        <f>'[34]Sch C'!F183</f>
        <v>0</v>
      </c>
      <c r="E172" s="171">
        <f t="shared" si="37"/>
        <v>0</v>
      </c>
      <c r="F172" s="407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'[34]Sch C'!D184</f>
        <v>0</v>
      </c>
      <c r="D173" s="501">
        <f>'[34]Sch C'!F184</f>
        <v>0</v>
      </c>
      <c r="E173" s="171">
        <f t="shared" si="37"/>
        <v>0</v>
      </c>
      <c r="F173" s="407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'[34]Sch C'!D185</f>
        <v>0</v>
      </c>
      <c r="D174" s="501">
        <f>'[34]Sch C'!F185</f>
        <v>0</v>
      </c>
      <c r="E174" s="171">
        <f t="shared" si="37"/>
        <v>0</v>
      </c>
      <c r="F174" s="407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'[34]Sch C'!D186</f>
        <v>0</v>
      </c>
      <c r="D175" s="501">
        <f>'[34]Sch C'!F186</f>
        <v>0</v>
      </c>
      <c r="E175" s="171">
        <f t="shared" si="37"/>
        <v>0</v>
      </c>
      <c r="F175" s="407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'[34]Sch C'!D187</f>
        <v>0</v>
      </c>
      <c r="D176" s="501">
        <f>'[34]Sch C'!F187</f>
        <v>0</v>
      </c>
      <c r="E176" s="171">
        <f t="shared" si="37"/>
        <v>0</v>
      </c>
      <c r="F176" s="407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'[34]Sch C'!D188</f>
        <v>0</v>
      </c>
      <c r="D177" s="501">
        <f>'[34]Sch C'!F188</f>
        <v>0</v>
      </c>
      <c r="E177" s="171">
        <f t="shared" si="37"/>
        <v>0</v>
      </c>
      <c r="F177" s="407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'[34]Sch C'!D189</f>
        <v>0</v>
      </c>
      <c r="D178" s="501">
        <f>'[34]Sch C'!F189</f>
        <v>0</v>
      </c>
      <c r="E178" s="171">
        <f t="shared" si="37"/>
        <v>0</v>
      </c>
      <c r="F178" s="407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'[34]Sch C'!D190</f>
        <v>0</v>
      </c>
      <c r="D179" s="501">
        <f>'[34]Sch C'!F190</f>
        <v>0</v>
      </c>
      <c r="E179" s="171">
        <f t="shared" si="37"/>
        <v>0</v>
      </c>
      <c r="F179" s="407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'[34]Sch C'!D191</f>
        <v>0</v>
      </c>
      <c r="D180" s="501">
        <f>'[34]Sch C'!F191</f>
        <v>0</v>
      </c>
      <c r="E180" s="171">
        <f t="shared" si="37"/>
        <v>0</v>
      </c>
      <c r="F180" s="407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'[34]Sch C'!D192</f>
        <v>0</v>
      </c>
      <c r="D181" s="501">
        <f>'[34]Sch C'!F192</f>
        <v>0</v>
      </c>
      <c r="E181" s="171">
        <f t="shared" si="37"/>
        <v>0</v>
      </c>
      <c r="F181" s="407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'[34]Sch C'!D193</f>
        <v>16247</v>
      </c>
      <c r="D182" s="501">
        <f>'[34]Sch C'!F193</f>
        <v>0</v>
      </c>
      <c r="E182" s="171">
        <f t="shared" si="37"/>
        <v>16247</v>
      </c>
      <c r="F182" s="407"/>
      <c r="G182" s="171">
        <f t="shared" si="38"/>
        <v>16247</v>
      </c>
      <c r="H182" s="172">
        <f t="shared" si="39"/>
        <v>4.3055094302502173E-3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'[34]Sch C'!D194</f>
        <v>1175</v>
      </c>
      <c r="D183" s="501">
        <f>'[34]Sch C'!F194</f>
        <v>0</v>
      </c>
      <c r="E183" s="171">
        <f t="shared" si="37"/>
        <v>1175</v>
      </c>
      <c r="F183" s="407"/>
      <c r="G183" s="171">
        <f t="shared" si="38"/>
        <v>1175</v>
      </c>
      <c r="H183" s="172">
        <f t="shared" si="39"/>
        <v>3.1137893645251461E-4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'[34]Sch C'!D195</f>
        <v>0</v>
      </c>
      <c r="D184" s="501">
        <f>'[34]Sch C'!F195</f>
        <v>0</v>
      </c>
      <c r="E184" s="171">
        <f t="shared" si="37"/>
        <v>0</v>
      </c>
      <c r="F184" s="407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'[34]Sch C'!D196</f>
        <v>4282</v>
      </c>
      <c r="D185" s="501">
        <f>'[34]Sch C'!F196</f>
        <v>0</v>
      </c>
      <c r="E185" s="171">
        <f t="shared" si="37"/>
        <v>4282</v>
      </c>
      <c r="F185" s="407"/>
      <c r="G185" s="171">
        <f t="shared" si="38"/>
        <v>4282</v>
      </c>
      <c r="H185" s="172">
        <f t="shared" si="39"/>
        <v>1.134744345438015E-3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'[34]Sch C'!D197</f>
        <v>9684</v>
      </c>
      <c r="D186" s="501">
        <f>'[34]Sch C'!F197</f>
        <v>0</v>
      </c>
      <c r="E186" s="171">
        <f t="shared" si="37"/>
        <v>9684</v>
      </c>
      <c r="F186" s="407"/>
      <c r="G186" s="171">
        <f t="shared" si="38"/>
        <v>9684</v>
      </c>
      <c r="H186" s="172">
        <f t="shared" si="39"/>
        <v>2.5662924430690653E-3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'[34]Sch C'!D198</f>
        <v>0</v>
      </c>
      <c r="D187" s="501">
        <f>'[34]Sch C'!F198</f>
        <v>0</v>
      </c>
      <c r="E187" s="171">
        <f t="shared" si="37"/>
        <v>0</v>
      </c>
      <c r="F187" s="407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'[34]Sch C'!D199</f>
        <v>0</v>
      </c>
      <c r="D188" s="501">
        <f>'[34]Sch C'!F199</f>
        <v>0</v>
      </c>
      <c r="E188" s="171">
        <f t="shared" si="37"/>
        <v>0</v>
      </c>
      <c r="F188" s="407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'[34]Sch C'!D200</f>
        <v>0</v>
      </c>
      <c r="D189" s="501">
        <f>'[34]Sch C'!F200</f>
        <v>0</v>
      </c>
      <c r="E189" s="171">
        <f t="shared" si="37"/>
        <v>0</v>
      </c>
      <c r="F189" s="407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'[34]Sch C'!D201</f>
        <v>0</v>
      </c>
      <c r="D190" s="501">
        <f>'[34]Sch C'!F201</f>
        <v>0</v>
      </c>
      <c r="E190" s="171">
        <f t="shared" si="37"/>
        <v>0</v>
      </c>
      <c r="F190" s="407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'[34]Sch C'!D202</f>
        <v>0</v>
      </c>
      <c r="D191" s="501">
        <f>'[34]Sch C'!F202</f>
        <v>0</v>
      </c>
      <c r="E191" s="171">
        <f t="shared" si="37"/>
        <v>0</v>
      </c>
      <c r="F191" s="407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'[34]Sch C'!D203</f>
        <v>0</v>
      </c>
      <c r="D192" s="501">
        <f>'[34]Sch C'!F203</f>
        <v>0</v>
      </c>
      <c r="E192" s="171">
        <f t="shared" si="37"/>
        <v>0</v>
      </c>
      <c r="F192" s="407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'[34]Sch C'!D204</f>
        <v>0</v>
      </c>
      <c r="D193" s="501">
        <f>'[34]Sch C'!F204</f>
        <v>0</v>
      </c>
      <c r="E193" s="171">
        <f t="shared" si="37"/>
        <v>0</v>
      </c>
      <c r="F193" s="407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'[34]Sch C'!D205</f>
        <v>16729</v>
      </c>
      <c r="D194" s="501">
        <f>'[34]Sch C'!F205</f>
        <v>0</v>
      </c>
      <c r="E194" s="171">
        <f t="shared" si="37"/>
        <v>16729</v>
      </c>
      <c r="F194" s="407"/>
      <c r="G194" s="171">
        <f t="shared" si="38"/>
        <v>16729</v>
      </c>
      <c r="H194" s="172">
        <f t="shared" si="39"/>
        <v>4.4332410450332914E-3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'[34]Sch C'!D206</f>
        <v>207</v>
      </c>
      <c r="D195" s="501">
        <f>'[34]Sch C'!F206</f>
        <v>0</v>
      </c>
      <c r="E195" s="171">
        <f t="shared" si="37"/>
        <v>207</v>
      </c>
      <c r="F195" s="407"/>
      <c r="G195" s="171">
        <f t="shared" si="38"/>
        <v>207</v>
      </c>
      <c r="H195" s="172">
        <f t="shared" si="39"/>
        <v>5.4855693485677042E-5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'[34]Sch C'!D207</f>
        <v>0</v>
      </c>
      <c r="D196" s="501">
        <f>'[34]Sch C'!F207</f>
        <v>0</v>
      </c>
      <c r="E196" s="171">
        <f t="shared" si="37"/>
        <v>0</v>
      </c>
      <c r="F196" s="407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48324</v>
      </c>
      <c r="D197" s="501">
        <f>SUM(D164:D196)</f>
        <v>0</v>
      </c>
      <c r="E197" s="171">
        <f t="shared" ref="E197" si="40">SUM(E164:E196)</f>
        <v>48324</v>
      </c>
      <c r="F197" s="407">
        <f>SUM(F164:F196)</f>
        <v>0</v>
      </c>
      <c r="G197" s="171">
        <f>SUM(G164:G196)</f>
        <v>48324</v>
      </c>
      <c r="H197" s="172">
        <f>IF($G$208=0,0,G197/$G$208)</f>
        <v>1.2806021893728779E-2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'[34]Sch C'!D211</f>
        <v>95574</v>
      </c>
      <c r="D200" s="501">
        <f>'[34]Sch C'!F211</f>
        <v>0</v>
      </c>
      <c r="E200" s="171">
        <f t="shared" ref="E200:E205" si="41">C200+D200</f>
        <v>95574</v>
      </c>
      <c r="F200" s="407"/>
      <c r="G200" s="171">
        <f t="shared" ref="G200:G204" si="42">E200+F200</f>
        <v>95574</v>
      </c>
      <c r="H200" s="172">
        <f t="shared" ref="H200:H206" si="43">IF($G$208=0,0,G200/$G$208)</f>
        <v>2.5327430189372453E-2</v>
      </c>
      <c r="I200" s="473"/>
      <c r="J200" s="183">
        <v>5368</v>
      </c>
      <c r="K200" s="183">
        <v>5588</v>
      </c>
    </row>
    <row r="201" spans="1:14" s="167" customFormat="1">
      <c r="A201" s="169" t="s">
        <v>86</v>
      </c>
      <c r="B201" s="170" t="s">
        <v>45</v>
      </c>
      <c r="C201" s="501">
        <f>'[34]Sch C'!D212</f>
        <v>7735</v>
      </c>
      <c r="D201" s="501">
        <f>'[34]Sch C'!F212</f>
        <v>5601</v>
      </c>
      <c r="E201" s="171">
        <f t="shared" si="41"/>
        <v>13336</v>
      </c>
      <c r="F201" s="407"/>
      <c r="G201" s="171">
        <f t="shared" si="42"/>
        <v>13336</v>
      </c>
      <c r="H201" s="172">
        <f t="shared" si="43"/>
        <v>3.534084677898498E-3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'[34]Sch C'!D213</f>
        <v>10413</v>
      </c>
      <c r="D202" s="501">
        <f>'[34]Sch C'!F213</f>
        <v>0</v>
      </c>
      <c r="E202" s="171">
        <f t="shared" si="41"/>
        <v>10413</v>
      </c>
      <c r="F202" s="407"/>
      <c r="G202" s="171">
        <f t="shared" si="42"/>
        <v>10413</v>
      </c>
      <c r="H202" s="172">
        <f t="shared" si="43"/>
        <v>2.7594798853447103E-3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'[34]Sch C'!D214</f>
        <v>0</v>
      </c>
      <c r="D203" s="501">
        <f>'[34]Sch C'!F214</f>
        <v>0</v>
      </c>
      <c r="E203" s="171">
        <f t="shared" si="41"/>
        <v>0</v>
      </c>
      <c r="F203" s="407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'[34]Sch C'!D215</f>
        <v>0</v>
      </c>
      <c r="D204" s="501">
        <f>'[34]Sch C'!F215</f>
        <v>0</v>
      </c>
      <c r="E204" s="171">
        <f t="shared" si="41"/>
        <v>0</v>
      </c>
      <c r="F204" s="407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'[34]Sch C'!D216</f>
        <v>7734</v>
      </c>
      <c r="D205" s="501">
        <f>'[34]Sch C'!F216</f>
        <v>0</v>
      </c>
      <c r="E205" s="171">
        <f t="shared" si="41"/>
        <v>7734</v>
      </c>
      <c r="F205" s="407"/>
      <c r="G205" s="171">
        <f>E205+F205</f>
        <v>7734</v>
      </c>
      <c r="H205" s="172">
        <f t="shared" si="43"/>
        <v>2.049535910232977E-3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121456</v>
      </c>
      <c r="D206" s="501">
        <f>SUM(D200:D205)</f>
        <v>5601</v>
      </c>
      <c r="E206" s="171">
        <f t="shared" ref="E206" si="44">SUM(E200:E205)</f>
        <v>127057</v>
      </c>
      <c r="F206" s="407">
        <f>SUM(F200:F205)</f>
        <v>0</v>
      </c>
      <c r="G206" s="171">
        <f>SUM(G200:G205)</f>
        <v>127057</v>
      </c>
      <c r="H206" s="172">
        <f t="shared" si="43"/>
        <v>3.3670530662848641E-2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406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3865607.2</v>
      </c>
      <c r="D208" s="501">
        <f>SUM(D25:D206)/2</f>
        <v>-50607</v>
      </c>
      <c r="E208" s="171">
        <f t="shared" ref="E208:F208" si="45">SUM(E25:E206)/2</f>
        <v>3815000.2</v>
      </c>
      <c r="F208" s="171">
        <f t="shared" si="45"/>
        <v>-41463</v>
      </c>
      <c r="G208" s="171">
        <f>SUM(G25:G206)/2</f>
        <v>3773537.2</v>
      </c>
      <c r="H208" s="172">
        <f>IF($G$208=0,0,G208/$G$208)</f>
        <v>1</v>
      </c>
      <c r="I208" s="473"/>
      <c r="J208" s="183">
        <f>SUM(J25:J200)</f>
        <v>89755</v>
      </c>
      <c r="K208" s="183">
        <f>SUM(K25:K200)</f>
        <v>92983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'[34]Sch C'!D221</f>
        <v>3865607</v>
      </c>
      <c r="D211" s="196"/>
      <c r="E211" s="165"/>
      <c r="F211" s="42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0.20000000018626451</v>
      </c>
      <c r="D212" s="229"/>
      <c r="E212" s="165"/>
      <c r="F212" s="421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444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223589.79999999981</v>
      </c>
      <c r="D215" s="501">
        <f>D21-D208</f>
        <v>50607</v>
      </c>
      <c r="E215" s="171">
        <f t="shared" ref="E215:F215" si="46">E21-E208</f>
        <v>274196.79999999981</v>
      </c>
      <c r="F215" s="171">
        <f t="shared" si="46"/>
        <v>1089227</v>
      </c>
      <c r="G215" s="171">
        <f>G21-G208</f>
        <v>1363423.7999999998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229"/>
      <c r="G217" s="229"/>
      <c r="H217" s="329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'[34]Sch D'!C9</f>
        <v>12812</v>
      </c>
      <c r="D219" s="530"/>
      <c r="E219" s="234">
        <f t="shared" ref="E219:G227" si="47">C219+D219</f>
        <v>12812</v>
      </c>
      <c r="F219" s="423"/>
      <c r="G219" s="234">
        <f t="shared" si="47"/>
        <v>12812</v>
      </c>
      <c r="H219" s="172">
        <f t="shared" ref="H219:H228" si="48">IF($G$228=0,0,G219/$G$228)</f>
        <v>0.82180885182809493</v>
      </c>
      <c r="I219" s="473"/>
      <c r="J219" s="168"/>
      <c r="K219" s="168"/>
    </row>
    <row r="220" spans="1:11">
      <c r="A220" s="163"/>
      <c r="B220" s="170" t="s">
        <v>383</v>
      </c>
      <c r="C220" s="530">
        <f>'[34]Sch D'!D9</f>
        <v>0</v>
      </c>
      <c r="D220" s="530"/>
      <c r="E220" s="234">
        <f t="shared" ref="E220:E227" si="49">C220+D220</f>
        <v>0</v>
      </c>
      <c r="F220" s="42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'[34]Sch D'!E9</f>
        <v>0</v>
      </c>
      <c r="D221" s="530"/>
      <c r="E221" s="234">
        <f t="shared" si="49"/>
        <v>0</v>
      </c>
      <c r="F221" s="423"/>
      <c r="G221" s="234">
        <f t="shared" si="47"/>
        <v>0</v>
      </c>
      <c r="H221" s="172">
        <f t="shared" si="48"/>
        <v>0</v>
      </c>
      <c r="I221" s="473"/>
      <c r="J221" s="168"/>
      <c r="K221" s="168"/>
    </row>
    <row r="222" spans="1:11">
      <c r="A222" s="163"/>
      <c r="B222" s="202" t="s">
        <v>334</v>
      </c>
      <c r="C222" s="530">
        <f>'[34]Sch D'!F9</f>
        <v>0</v>
      </c>
      <c r="D222" s="530"/>
      <c r="E222" s="234">
        <f>C222+D222</f>
        <v>0</v>
      </c>
      <c r="F222" s="423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'[34]Sch D'!G9</f>
        <v>0</v>
      </c>
      <c r="D223" s="530"/>
      <c r="E223" s="234">
        <f t="shared" si="49"/>
        <v>0</v>
      </c>
      <c r="F223" s="42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'[34]Sch D'!H9</f>
        <v>880</v>
      </c>
      <c r="D224" s="530"/>
      <c r="E224" s="234">
        <f t="shared" si="49"/>
        <v>880</v>
      </c>
      <c r="F224" s="423"/>
      <c r="G224" s="234">
        <f t="shared" si="47"/>
        <v>880</v>
      </c>
      <c r="H224" s="172">
        <f t="shared" si="48"/>
        <v>5.644644002565747E-2</v>
      </c>
      <c r="I224" s="473"/>
      <c r="J224" s="168"/>
      <c r="K224" s="168"/>
    </row>
    <row r="225" spans="1:11">
      <c r="A225" s="163"/>
      <c r="B225" s="170" t="s">
        <v>236</v>
      </c>
      <c r="C225" s="530">
        <f>'[34]Sch D'!I9</f>
        <v>1898</v>
      </c>
      <c r="D225" s="530"/>
      <c r="E225" s="234">
        <f t="shared" si="49"/>
        <v>1898</v>
      </c>
      <c r="F225" s="423"/>
      <c r="G225" s="234">
        <f t="shared" si="47"/>
        <v>1898</v>
      </c>
      <c r="H225" s="172">
        <f t="shared" si="48"/>
        <v>0.12174470814624759</v>
      </c>
      <c r="I225" s="473"/>
      <c r="J225" s="168"/>
      <c r="K225" s="168"/>
    </row>
    <row r="226" spans="1:11">
      <c r="A226" s="163"/>
      <c r="B226" s="170" t="s">
        <v>235</v>
      </c>
      <c r="C226" s="530">
        <f>'[34]Sch D'!J9</f>
        <v>0</v>
      </c>
      <c r="D226" s="530"/>
      <c r="E226" s="234">
        <f>C226+D226</f>
        <v>0</v>
      </c>
      <c r="F226" s="42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384</v>
      </c>
      <c r="C227" s="530">
        <f>'[34]Sch D'!K9</f>
        <v>0</v>
      </c>
      <c r="D227" s="530"/>
      <c r="E227" s="234">
        <f t="shared" si="49"/>
        <v>0</v>
      </c>
      <c r="F227" s="42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15590</v>
      </c>
      <c r="D228" s="530">
        <f>SUM(D219:D227)</f>
        <v>0</v>
      </c>
      <c r="E228" s="236">
        <f>SUM(E219:E227)</f>
        <v>15590</v>
      </c>
      <c r="F228" s="424">
        <f>SUM(F219:F227)</f>
        <v>0</v>
      </c>
      <c r="G228" s="236">
        <f>SUM(G219:G227)</f>
        <v>15590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422"/>
      <c r="C229" s="582"/>
      <c r="D229" s="237"/>
      <c r="E229" s="446"/>
      <c r="F229" s="445"/>
      <c r="G229" s="446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'[34]Sch D'!N22</f>
        <v>85</v>
      </c>
      <c r="D231" s="502"/>
      <c r="E231" s="234">
        <f>C231+D231</f>
        <v>85</v>
      </c>
      <c r="F231" s="234"/>
      <c r="G231" s="234">
        <f>E231+F231</f>
        <v>85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'[34]Sch D'!N24</f>
        <v>0</v>
      </c>
      <c r="D232" s="502"/>
      <c r="E232" s="234">
        <f>C232+D232</f>
        <v>0</v>
      </c>
      <c r="F232" s="234"/>
      <c r="G232" s="234">
        <f>E232+F232</f>
        <v>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'[34]Sch D'!N28</f>
        <v>31025</v>
      </c>
      <c r="D235" s="438"/>
      <c r="E235" s="233">
        <f>E231*E233</f>
        <v>31025</v>
      </c>
      <c r="F235" s="238"/>
      <c r="G235" s="233">
        <f>G231*G233</f>
        <v>31025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'[34]Sch D'!N30</f>
        <v>0.50249798549556812</v>
      </c>
      <c r="D236" s="238"/>
      <c r="E236" s="242">
        <f>E228/E235</f>
        <v>0.50249798549556812</v>
      </c>
      <c r="F236" s="243"/>
      <c r="G236" s="242">
        <f>G228/G235</f>
        <v>0.50249798549556812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'[34]Sch D'!N32</f>
        <v>0.41295729250604352</v>
      </c>
      <c r="D237" s="238"/>
      <c r="E237" s="242">
        <f>(E219+E220)/E235</f>
        <v>0.41295729250604352</v>
      </c>
      <c r="F237" s="243"/>
      <c r="G237" s="242">
        <f>(G219+G220)/G235</f>
        <v>0.41295729250604352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'[34]Sch D'!N34</f>
        <v>0.82180885182809493</v>
      </c>
      <c r="D238" s="238"/>
      <c r="E238" s="242">
        <f>(E237/E236)</f>
        <v>0.82180885182809493</v>
      </c>
      <c r="F238" s="243"/>
      <c r="G238" s="242">
        <f>(G237/G236)</f>
        <v>0.82180885182809493</v>
      </c>
      <c r="H238" s="167"/>
      <c r="I238" s="475"/>
      <c r="J238" s="168"/>
      <c r="K238" s="168"/>
    </row>
    <row r="239" spans="1:11">
      <c r="C239" s="580"/>
      <c r="D239" s="580"/>
      <c r="I239" s="475"/>
    </row>
    <row r="240" spans="1:11">
      <c r="C240" s="580"/>
      <c r="D240" s="580"/>
      <c r="I240" s="475"/>
    </row>
    <row r="241" spans="2:9">
      <c r="B241" s="148" t="s">
        <v>339</v>
      </c>
      <c r="F241" s="142" t="s">
        <v>340</v>
      </c>
      <c r="G241" s="501">
        <f>'[34]Sch B'!C85</f>
        <v>301.61504424778764</v>
      </c>
      <c r="H241" s="410"/>
      <c r="I241" s="475"/>
    </row>
    <row r="242" spans="2:9">
      <c r="F242" s="142" t="s">
        <v>341</v>
      </c>
      <c r="G242" s="501">
        <f>'[34]Sch B'!E85</f>
        <v>376.05990783410141</v>
      </c>
      <c r="H242" s="409"/>
      <c r="I242" s="475"/>
    </row>
    <row r="243" spans="2:9">
      <c r="F243" s="142" t="s">
        <v>342</v>
      </c>
      <c r="G243" s="501">
        <f>'[34]Sch B'!G85</f>
        <v>-157</v>
      </c>
      <c r="H243" s="409"/>
      <c r="I243" s="475"/>
    </row>
    <row r="244" spans="2:9">
      <c r="F244" s="142" t="s">
        <v>343</v>
      </c>
      <c r="G244" s="501">
        <f>'[34]Sch B'!I85</f>
        <v>232.35537190082644</v>
      </c>
      <c r="H244" s="421"/>
      <c r="I244" s="475"/>
    </row>
    <row r="245" spans="2:9">
      <c r="F245" s="249"/>
      <c r="G245" s="150"/>
      <c r="H245" s="420"/>
      <c r="I245" s="475"/>
    </row>
    <row r="246" spans="2:9">
      <c r="I246" s="475"/>
    </row>
  </sheetData>
  <customSheetViews>
    <customSheetView guid="{8B6AA640-12E9-11D5-ABB1-E7A21A3D4A14}" showGridLines="0" showRuler="0">
      <selection activeCell="A21" sqref="A21"/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E28CAB"/>
  </sheetPr>
  <dimension ref="A1:O246"/>
  <sheetViews>
    <sheetView showGridLines="0" topLeftCell="A192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503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489</v>
      </c>
      <c r="D2" s="488"/>
      <c r="F2" s="419"/>
    </row>
    <row r="3" spans="1:11" ht="15">
      <c r="A3" s="145"/>
      <c r="B3" s="140" t="s">
        <v>79</v>
      </c>
      <c r="C3" s="441">
        <v>42552</v>
      </c>
      <c r="D3" s="144"/>
      <c r="E3" s="147"/>
      <c r="F3" s="419"/>
    </row>
    <row r="4" spans="1:11" ht="15">
      <c r="A4" s="145"/>
      <c r="B4" s="148" t="s">
        <v>80</v>
      </c>
      <c r="C4" s="441">
        <v>42916</v>
      </c>
      <c r="D4" s="144"/>
      <c r="E4" s="149"/>
      <c r="F4" s="419"/>
      <c r="G4" s="150"/>
    </row>
    <row r="5" spans="1:11" ht="15">
      <c r="A5" s="145"/>
      <c r="B5" s="148"/>
      <c r="C5" s="151"/>
      <c r="D5" s="144"/>
      <c r="F5" s="419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'[35]Sch B'!E10</f>
        <v>1994072</v>
      </c>
      <c r="D11" s="501">
        <f>'[35]Sch B'!G10</f>
        <v>0</v>
      </c>
      <c r="E11" s="171">
        <f>C11+D11</f>
        <v>1994072</v>
      </c>
      <c r="F11" s="660">
        <v>1865917</v>
      </c>
      <c r="G11" s="171">
        <f t="shared" ref="G11:G20" si="0">E11+F11</f>
        <v>3859989</v>
      </c>
      <c r="H11" s="172">
        <f t="shared" ref="H11:H21" si="1">IF($G$21=0,0,G11/$G$21)</f>
        <v>0.7654217555295435</v>
      </c>
      <c r="I11" s="473"/>
      <c r="J11" s="336" t="s">
        <v>344</v>
      </c>
      <c r="K11" s="337">
        <f>G21</f>
        <v>5042957</v>
      </c>
    </row>
    <row r="12" spans="1:11" s="167" customFormat="1">
      <c r="A12" s="169" t="s">
        <v>15</v>
      </c>
      <c r="B12" s="170" t="s">
        <v>212</v>
      </c>
      <c r="C12" s="501">
        <f>'[35]Sch B'!E15</f>
        <v>0</v>
      </c>
      <c r="D12" s="501">
        <f>'[35]Sch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2795724</v>
      </c>
    </row>
    <row r="13" spans="1:11" s="167" customFormat="1">
      <c r="A13" s="169" t="s">
        <v>16</v>
      </c>
      <c r="B13" s="170" t="s">
        <v>170</v>
      </c>
      <c r="C13" s="501">
        <f>'[35]Sch B'!E21</f>
        <v>715665</v>
      </c>
      <c r="D13" s="501">
        <f>'[35]Sch B'!G21</f>
        <v>0</v>
      </c>
      <c r="E13" s="171">
        <f t="shared" si="2"/>
        <v>715665</v>
      </c>
      <c r="F13" s="171"/>
      <c r="G13" s="171">
        <f t="shared" si="0"/>
        <v>715665</v>
      </c>
      <c r="H13" s="172">
        <f t="shared" si="1"/>
        <v>0.14191376210425749</v>
      </c>
      <c r="I13" s="473"/>
      <c r="J13" s="338" t="s">
        <v>346</v>
      </c>
      <c r="K13" s="339">
        <f>G228</f>
        <v>13804</v>
      </c>
    </row>
    <row r="14" spans="1:11" s="167" customFormat="1">
      <c r="A14" s="173" t="s">
        <v>18</v>
      </c>
      <c r="B14" s="174" t="s">
        <v>306</v>
      </c>
      <c r="C14" s="501">
        <f>'[35]Sch B'!E27</f>
        <v>8899</v>
      </c>
      <c r="D14" s="501">
        <f>'[35]Sch B'!G27</f>
        <v>0</v>
      </c>
      <c r="E14" s="171">
        <f t="shared" si="2"/>
        <v>8899</v>
      </c>
      <c r="F14" s="175"/>
      <c r="G14" s="175">
        <f>E14+F14</f>
        <v>8899</v>
      </c>
      <c r="H14" s="176">
        <f t="shared" si="1"/>
        <v>1.7646392781060795E-3</v>
      </c>
      <c r="I14" s="479"/>
      <c r="J14" s="338" t="s">
        <v>347</v>
      </c>
      <c r="K14" s="339">
        <f>G231</f>
        <v>41</v>
      </c>
    </row>
    <row r="15" spans="1:11" s="167" customFormat="1">
      <c r="A15" s="169" t="s">
        <v>19</v>
      </c>
      <c r="B15" s="170" t="s">
        <v>171</v>
      </c>
      <c r="C15" s="501">
        <f>'[35]Sch B'!E32</f>
        <v>0</v>
      </c>
      <c r="D15" s="501">
        <f>'[35]Sch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14965</v>
      </c>
    </row>
    <row r="16" spans="1:11" s="167" customFormat="1">
      <c r="A16" s="169" t="s">
        <v>21</v>
      </c>
      <c r="B16" s="170" t="s">
        <v>172</v>
      </c>
      <c r="C16" s="501">
        <f>'[35]Sch B'!E37</f>
        <v>174921</v>
      </c>
      <c r="D16" s="501">
        <f>'[35]Sch B'!G37</f>
        <v>0</v>
      </c>
      <c r="E16" s="171">
        <f t="shared" si="2"/>
        <v>174921</v>
      </c>
      <c r="F16" s="171"/>
      <c r="G16" s="171">
        <f t="shared" si="0"/>
        <v>174921</v>
      </c>
      <c r="H16" s="172">
        <f t="shared" si="1"/>
        <v>3.4686197007033771E-2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'[35]Sch B'!E42</f>
        <v>252795</v>
      </c>
      <c r="D17" s="501">
        <f>'[35]Sch B'!G42</f>
        <v>0</v>
      </c>
      <c r="E17" s="171">
        <f t="shared" si="2"/>
        <v>252795</v>
      </c>
      <c r="F17" s="171"/>
      <c r="G17" s="171">
        <f>E17+F17</f>
        <v>252795</v>
      </c>
      <c r="H17" s="172">
        <f t="shared" si="1"/>
        <v>5.0128327487226246E-2</v>
      </c>
      <c r="I17" s="473"/>
      <c r="J17" s="338" t="s">
        <v>156</v>
      </c>
      <c r="K17" s="339">
        <f>J208</f>
        <v>68484.88</v>
      </c>
    </row>
    <row r="18" spans="1:11" s="167" customFormat="1" ht="13.5" thickBot="1">
      <c r="A18" s="169" t="s">
        <v>216</v>
      </c>
      <c r="B18" s="170" t="s">
        <v>229</v>
      </c>
      <c r="C18" s="501">
        <f>'[35]Sch B'!E47</f>
        <v>0</v>
      </c>
      <c r="D18" s="501">
        <f>'[35]Sch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70149.459999999992</v>
      </c>
    </row>
    <row r="19" spans="1:11" s="167" customFormat="1">
      <c r="A19" s="169" t="s">
        <v>227</v>
      </c>
      <c r="B19" s="177" t="s">
        <v>173</v>
      </c>
      <c r="C19" s="501">
        <f>'[35]Sch B'!E52</f>
        <v>0</v>
      </c>
      <c r="D19" s="501">
        <f>'[35]Sch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'[35]Sch B'!E67</f>
        <v>30688</v>
      </c>
      <c r="D20" s="501">
        <f>'[35]Sch B'!G67</f>
        <v>0</v>
      </c>
      <c r="E20" s="171">
        <f t="shared" si="2"/>
        <v>30688</v>
      </c>
      <c r="F20" s="171"/>
      <c r="G20" s="171">
        <f t="shared" si="0"/>
        <v>30688</v>
      </c>
      <c r="H20" s="172">
        <f t="shared" si="1"/>
        <v>6.0853185938329439E-3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3177040</v>
      </c>
      <c r="D21" s="501">
        <f>SUM(D11:D20)</f>
        <v>0</v>
      </c>
      <c r="E21" s="171">
        <f>SUM(E11:E20)</f>
        <v>3177040</v>
      </c>
      <c r="F21" s="171">
        <f>SUM(F11:F20)</f>
        <v>1865917</v>
      </c>
      <c r="G21" s="171">
        <f>SUM(G11:G20)</f>
        <v>5042957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'[35]Sch C'!D10</f>
        <v>113440</v>
      </c>
      <c r="D25" s="501">
        <f>'[35]Sch C'!F10</f>
        <v>0</v>
      </c>
      <c r="E25" s="171">
        <f t="shared" ref="E25:E60" si="3">C25+D25</f>
        <v>113440</v>
      </c>
      <c r="F25" s="171"/>
      <c r="G25" s="182">
        <f>E25+F25</f>
        <v>113440</v>
      </c>
      <c r="H25" s="172">
        <f>IF($G$208=0,0,G25/$G$208)</f>
        <v>4.057625144685241E-2</v>
      </c>
      <c r="I25" s="473"/>
      <c r="J25" s="183">
        <v>2003</v>
      </c>
      <c r="K25" s="183">
        <v>2087.5</v>
      </c>
    </row>
    <row r="26" spans="1:11" s="167" customFormat="1">
      <c r="A26" s="169" t="s">
        <v>84</v>
      </c>
      <c r="B26" s="170" t="s">
        <v>176</v>
      </c>
      <c r="C26" s="501">
        <f>'[35]Sch C'!D11</f>
        <v>0</v>
      </c>
      <c r="D26" s="501">
        <f>'[35]Sch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'[35]Sch C'!D12</f>
        <v>119530</v>
      </c>
      <c r="D27" s="501">
        <f>'[35]Sch C'!F12</f>
        <v>0</v>
      </c>
      <c r="E27" s="171">
        <f t="shared" si="3"/>
        <v>119530</v>
      </c>
      <c r="F27" s="171"/>
      <c r="G27" s="171">
        <f t="shared" si="4"/>
        <v>119530</v>
      </c>
      <c r="H27" s="172">
        <f t="shared" si="5"/>
        <v>4.2754578062784453E-2</v>
      </c>
      <c r="I27" s="473"/>
      <c r="J27" s="183">
        <v>4033.2</v>
      </c>
      <c r="K27" s="183">
        <v>4172</v>
      </c>
    </row>
    <row r="28" spans="1:11" s="167" customFormat="1">
      <c r="A28" s="169" t="s">
        <v>86</v>
      </c>
      <c r="B28" s="170" t="s">
        <v>45</v>
      </c>
      <c r="C28" s="501">
        <f>'[35]Sch C'!D13</f>
        <v>86546</v>
      </c>
      <c r="D28" s="501">
        <f>'[35]Sch C'!F13</f>
        <v>-58234</v>
      </c>
      <c r="E28" s="171">
        <f t="shared" si="3"/>
        <v>28312</v>
      </c>
      <c r="F28" s="171"/>
      <c r="G28" s="171">
        <f t="shared" si="4"/>
        <v>28312</v>
      </c>
      <c r="H28" s="172">
        <f t="shared" si="5"/>
        <v>1.0126893784937283E-2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'[35]Sch C'!D14</f>
        <v>0</v>
      </c>
      <c r="D29" s="501">
        <f>'[35]Sch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'[35]Sch C'!D15</f>
        <v>10343</v>
      </c>
      <c r="D30" s="501">
        <f>'[35]Sch C'!F15</f>
        <v>0</v>
      </c>
      <c r="E30" s="171">
        <f t="shared" si="3"/>
        <v>10343</v>
      </c>
      <c r="F30" s="171"/>
      <c r="G30" s="171">
        <f t="shared" si="4"/>
        <v>10343</v>
      </c>
      <c r="H30" s="172">
        <f t="shared" si="5"/>
        <v>3.699578356089514E-3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'[35]Sch C'!D16</f>
        <v>0</v>
      </c>
      <c r="D31" s="501">
        <f>'[35]Sch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'[35]Sch C'!D17</f>
        <v>208</v>
      </c>
      <c r="D32" s="501">
        <f>'[35]Sch C'!F17</f>
        <v>-208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'[35]Sch C'!D18</f>
        <v>5406</v>
      </c>
      <c r="D33" s="501">
        <f>'[35]Sch C'!F18</f>
        <v>0</v>
      </c>
      <c r="E33" s="171">
        <f t="shared" si="3"/>
        <v>5406</v>
      </c>
      <c r="F33" s="171"/>
      <c r="G33" s="171">
        <f t="shared" si="4"/>
        <v>5406</v>
      </c>
      <c r="H33" s="172">
        <f t="shared" si="5"/>
        <v>1.933667271876623E-3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'[35]Sch C'!D19</f>
        <v>13654</v>
      </c>
      <c r="D34" s="501">
        <f>'[35]Sch C'!F19</f>
        <v>0</v>
      </c>
      <c r="E34" s="171">
        <f t="shared" si="3"/>
        <v>13654</v>
      </c>
      <c r="F34" s="171"/>
      <c r="G34" s="171">
        <f t="shared" si="4"/>
        <v>13654</v>
      </c>
      <c r="H34" s="172">
        <f t="shared" si="5"/>
        <v>4.8838869645215334E-3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'[35]Sch C'!D20</f>
        <v>6381</v>
      </c>
      <c r="D35" s="501">
        <f>'[35]Sch C'!F20</f>
        <v>0</v>
      </c>
      <c r="E35" s="171">
        <f t="shared" si="3"/>
        <v>6381</v>
      </c>
      <c r="F35" s="171"/>
      <c r="G35" s="171">
        <f t="shared" si="4"/>
        <v>6381</v>
      </c>
      <c r="H35" s="172">
        <f t="shared" si="5"/>
        <v>2.2824141438854478E-3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'[35]Sch C'!D21</f>
        <v>37216</v>
      </c>
      <c r="D36" s="501">
        <f>'[35]Sch C'!F21</f>
        <v>0</v>
      </c>
      <c r="E36" s="171">
        <f t="shared" si="3"/>
        <v>37216</v>
      </c>
      <c r="F36" s="171"/>
      <c r="G36" s="171">
        <f t="shared" si="4"/>
        <v>37216</v>
      </c>
      <c r="H36" s="172">
        <f t="shared" si="5"/>
        <v>1.3311757526851721E-2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'[35]Sch C'!D22</f>
        <v>0</v>
      </c>
      <c r="D37" s="501">
        <f>'[35]Sch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'[35]Sch C'!D23</f>
        <v>13216</v>
      </c>
      <c r="D38" s="501">
        <f>'[35]Sch C'!F23</f>
        <v>0</v>
      </c>
      <c r="E38" s="171">
        <f t="shared" si="3"/>
        <v>13216</v>
      </c>
      <c r="F38" s="171"/>
      <c r="G38" s="171">
        <f t="shared" si="4"/>
        <v>13216</v>
      </c>
      <c r="H38" s="172">
        <f t="shared" si="5"/>
        <v>4.7272191389421845E-3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'[35]Sch C'!D24</f>
        <v>0</v>
      </c>
      <c r="D39" s="501">
        <f>'[35]Sch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'[35]Sch C'!D25</f>
        <v>0</v>
      </c>
      <c r="D40" s="501">
        <f>'[35]Sch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'[35]Sch C'!D26</f>
        <v>233425</v>
      </c>
      <c r="D41" s="501">
        <f>'[35]Sch C'!F26</f>
        <v>0</v>
      </c>
      <c r="E41" s="171">
        <f t="shared" si="3"/>
        <v>233425</v>
      </c>
      <c r="F41" s="171"/>
      <c r="G41" s="171">
        <f t="shared" si="4"/>
        <v>233425</v>
      </c>
      <c r="H41" s="172">
        <f t="shared" si="5"/>
        <v>8.3493578049907646E-2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'[35]Sch C'!D27</f>
        <v>0</v>
      </c>
      <c r="D42" s="501">
        <f>'[35]Sch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'[35]Sch C'!D28</f>
        <v>0</v>
      </c>
      <c r="D43" s="501">
        <f>'[35]Sch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'[35]Sch C'!D29</f>
        <v>0</v>
      </c>
      <c r="D44" s="501">
        <f>'[35]Sch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'[35]Sch C'!D30</f>
        <v>0</v>
      </c>
      <c r="D45" s="501">
        <f>'[35]Sch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'[35]Sch C'!D31</f>
        <v>20406</v>
      </c>
      <c r="D46" s="501">
        <f>'[35]Sch C'!F31</f>
        <v>0</v>
      </c>
      <c r="E46" s="171">
        <f t="shared" si="3"/>
        <v>20406</v>
      </c>
      <c r="F46" s="171"/>
      <c r="G46" s="171">
        <f t="shared" si="4"/>
        <v>20406</v>
      </c>
      <c r="H46" s="172">
        <f t="shared" si="5"/>
        <v>7.299003764320083E-3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'[35]Sch C'!D32</f>
        <v>61413</v>
      </c>
      <c r="D47" s="501">
        <f>'[35]Sch C'!F32</f>
        <v>0</v>
      </c>
      <c r="E47" s="171">
        <f t="shared" si="3"/>
        <v>61413</v>
      </c>
      <c r="F47" s="171"/>
      <c r="G47" s="171">
        <f t="shared" si="4"/>
        <v>61413</v>
      </c>
      <c r="H47" s="172">
        <f t="shared" si="5"/>
        <v>2.1966760667362015E-2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'[35]Sch C'!D33</f>
        <v>0</v>
      </c>
      <c r="D48" s="501">
        <f>'[35]Sch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'[35]Sch C'!D34</f>
        <v>0</v>
      </c>
      <c r="D49" s="501">
        <f>'[35]Sch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'[35]Sch C'!D35</f>
        <v>0</v>
      </c>
      <c r="D50" s="501">
        <f>'[35]Sch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'[35]Sch C'!D36</f>
        <v>0</v>
      </c>
      <c r="D51" s="501">
        <f>'[35]Sch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'[35]Sch C'!D37</f>
        <v>0</v>
      </c>
      <c r="D52" s="501">
        <f>'[35]Sch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'[35]Sch C'!D38</f>
        <v>0</v>
      </c>
      <c r="D53" s="501">
        <f>'[35]Sch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'[35]Sch C'!D39</f>
        <v>1107</v>
      </c>
      <c r="D54" s="501">
        <f>'[35]Sch C'!F39</f>
        <v>0</v>
      </c>
      <c r="E54" s="171">
        <f t="shared" si="3"/>
        <v>1107</v>
      </c>
      <c r="F54" s="171"/>
      <c r="G54" s="171">
        <f t="shared" si="4"/>
        <v>1107</v>
      </c>
      <c r="H54" s="172">
        <f t="shared" si="5"/>
        <v>3.9596183314232733E-4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'[35]Sch C'!D40</f>
        <v>828</v>
      </c>
      <c r="D55" s="501">
        <f>'[35]Sch C'!F40</f>
        <v>-828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'[35]Sch C'!D41</f>
        <v>37223</v>
      </c>
      <c r="D56" s="501">
        <f>'[35]Sch C'!F41</f>
        <v>0</v>
      </c>
      <c r="E56" s="171">
        <f t="shared" si="3"/>
        <v>37223</v>
      </c>
      <c r="F56" s="171"/>
      <c r="G56" s="171">
        <f t="shared" si="4"/>
        <v>37223</v>
      </c>
      <c r="H56" s="172">
        <f t="shared" si="5"/>
        <v>1.3314261350548194E-2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'[35]Sch C'!D42</f>
        <v>0</v>
      </c>
      <c r="D57" s="501">
        <f>'[35]Sch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'[35]Sch C'!D43</f>
        <v>10867</v>
      </c>
      <c r="D58" s="501">
        <f>'[35]Sch C'!F43</f>
        <v>-9419</v>
      </c>
      <c r="E58" s="171">
        <f t="shared" si="3"/>
        <v>1448</v>
      </c>
      <c r="F58" s="171"/>
      <c r="G58" s="171">
        <f t="shared" si="4"/>
        <v>1448</v>
      </c>
      <c r="H58" s="172">
        <f t="shared" si="5"/>
        <v>5.1793381607054202E-4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'[35]Sch C'!D44</f>
        <v>0</v>
      </c>
      <c r="D59" s="501">
        <f>'[35]Sch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'[35]Sch C'!D45</f>
        <v>5013</v>
      </c>
      <c r="D60" s="501">
        <f>'[35]Sch C'!F45</f>
        <v>0</v>
      </c>
      <c r="E60" s="171">
        <f t="shared" si="3"/>
        <v>5013</v>
      </c>
      <c r="F60" s="171"/>
      <c r="G60" s="171">
        <f t="shared" si="4"/>
        <v>5013</v>
      </c>
      <c r="H60" s="172">
        <f t="shared" si="5"/>
        <v>1.7930954557746044E-3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776222</v>
      </c>
      <c r="D61" s="501">
        <f>SUM(D25:D60)</f>
        <v>-68689</v>
      </c>
      <c r="E61" s="171">
        <f t="shared" ref="E61:F61" si="6">SUM(E25:E60)</f>
        <v>707533</v>
      </c>
      <c r="F61" s="171">
        <f t="shared" si="6"/>
        <v>0</v>
      </c>
      <c r="G61" s="171">
        <f>SUM(G25:G60)</f>
        <v>707533</v>
      </c>
      <c r="H61" s="186">
        <f t="shared" si="5"/>
        <v>0.25307684163386657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213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'[35]Sch C'!D57</f>
        <v>187664</v>
      </c>
      <c r="D64" s="501">
        <f>'[35]Sch C'!F57</f>
        <v>0</v>
      </c>
      <c r="E64" s="171">
        <f t="shared" ref="E64:E78" si="7">C64+D64</f>
        <v>187664</v>
      </c>
      <c r="F64" s="660">
        <v>-187664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'[35]Sch C'!D58</f>
        <v>0</v>
      </c>
      <c r="D65" s="501">
        <f>'[35]Sch C'!F58</f>
        <v>0</v>
      </c>
      <c r="E65" s="171">
        <f t="shared" si="7"/>
        <v>0</v>
      </c>
      <c r="F65" s="660">
        <v>49624</v>
      </c>
      <c r="G65" s="171">
        <f t="shared" si="8"/>
        <v>49624</v>
      </c>
      <c r="H65" s="172">
        <f t="shared" si="9"/>
        <v>1.7749963873400949E-2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'[35]Sch C'!D59</f>
        <v>0</v>
      </c>
      <c r="D66" s="501">
        <f>'[35]Sch C'!F59</f>
        <v>0</v>
      </c>
      <c r="E66" s="171">
        <f t="shared" si="7"/>
        <v>0</v>
      </c>
      <c r="F66" s="660">
        <v>152828</v>
      </c>
      <c r="G66" s="171">
        <f t="shared" si="8"/>
        <v>152828</v>
      </c>
      <c r="H66" s="172">
        <f t="shared" si="9"/>
        <v>5.4664909697809939E-2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'[35]Sch C'!D60</f>
        <v>17985</v>
      </c>
      <c r="D67" s="501">
        <f>'[35]Sch C'!F60</f>
        <v>0</v>
      </c>
      <c r="E67" s="171">
        <f t="shared" si="7"/>
        <v>17985</v>
      </c>
      <c r="F67" s="171"/>
      <c r="G67" s="171">
        <f t="shared" si="8"/>
        <v>17985</v>
      </c>
      <c r="H67" s="172">
        <f t="shared" si="9"/>
        <v>6.4330384544397084E-3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'[35]Sch C'!D61</f>
        <v>0</v>
      </c>
      <c r="D68" s="501">
        <f>'[35]Sch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'[35]Sch C'!D62</f>
        <v>0</v>
      </c>
      <c r="D69" s="501">
        <f>'[35]Sch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'[35]Sch C'!D63</f>
        <v>0</v>
      </c>
      <c r="D70" s="501">
        <f>'[35]Sch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'[35]Sch C'!D64</f>
        <v>0</v>
      </c>
      <c r="D71" s="501">
        <f>'[35]Sch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'[35]Sch C'!D65</f>
        <v>0</v>
      </c>
      <c r="D72" s="501">
        <f>'[35]Sch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'[35]Sch C'!D66</f>
        <v>0</v>
      </c>
      <c r="D73" s="501">
        <f>'[35]Sch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'[35]Sch C'!D67</f>
        <v>0</v>
      </c>
      <c r="D74" s="501">
        <f>'[35]Sch C'!F67</f>
        <v>0</v>
      </c>
      <c r="E74" s="171">
        <f t="shared" si="7"/>
        <v>0</v>
      </c>
      <c r="F74" s="171"/>
      <c r="G74" s="171">
        <f t="shared" si="8"/>
        <v>0</v>
      </c>
      <c r="H74" s="172">
        <f t="shared" si="9"/>
        <v>0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'[35]Sch C'!D68</f>
        <v>0</v>
      </c>
      <c r="D75" s="501">
        <f>'[35]Sch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'[35]Sch C'!D69</f>
        <v>0</v>
      </c>
      <c r="D76" s="501">
        <f>'[35]Sch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'[35]Sch C'!D70</f>
        <v>0</v>
      </c>
      <c r="D77" s="501">
        <f>'[35]Sch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'[35]Sch C'!D71</f>
        <v>0</v>
      </c>
      <c r="D78" s="501">
        <f>'[35]Sch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205649</v>
      </c>
      <c r="D79" s="501">
        <f>SUM(D64:D78)</f>
        <v>0</v>
      </c>
      <c r="E79" s="171">
        <f t="shared" ref="E79:F79" si="10">SUM(E64:E78)</f>
        <v>205649</v>
      </c>
      <c r="F79" s="171">
        <f t="shared" si="10"/>
        <v>14788</v>
      </c>
      <c r="G79" s="171">
        <f>SUM(G64:G78)</f>
        <v>220437</v>
      </c>
      <c r="H79" s="172">
        <f t="shared" si="9"/>
        <v>7.8847912025650599E-2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'[35]Sch C'!D75</f>
        <v>44392</v>
      </c>
      <c r="D82" s="501">
        <f>'[35]Sch C'!F75</f>
        <v>0</v>
      </c>
      <c r="E82" s="171">
        <f t="shared" ref="E82:E92" si="11">C82+D82</f>
        <v>44392</v>
      </c>
      <c r="F82" s="171"/>
      <c r="G82" s="171">
        <f t="shared" ref="G82:G92" si="12">E82+F82</f>
        <v>44392</v>
      </c>
      <c r="H82" s="172">
        <f t="shared" ref="H82:H93" si="13">IF($G$208=0,0,G82/$G$208)</f>
        <v>1.5878534504836672E-2</v>
      </c>
      <c r="I82" s="473"/>
      <c r="J82" s="183">
        <v>2245.52</v>
      </c>
      <c r="K82" s="183">
        <v>2333.52</v>
      </c>
    </row>
    <row r="83" spans="1:11" s="167" customFormat="1">
      <c r="A83" s="169" t="s">
        <v>86</v>
      </c>
      <c r="B83" s="199" t="s">
        <v>45</v>
      </c>
      <c r="C83" s="501">
        <f>'[35]Sch C'!D76</f>
        <v>3736</v>
      </c>
      <c r="D83" s="501">
        <f>'[35]Sch C'!F76</f>
        <v>2387</v>
      </c>
      <c r="E83" s="171">
        <f t="shared" si="11"/>
        <v>6123</v>
      </c>
      <c r="F83" s="171"/>
      <c r="G83" s="171">
        <f t="shared" si="12"/>
        <v>6123</v>
      </c>
      <c r="H83" s="172">
        <f t="shared" si="13"/>
        <v>2.1901303562154202E-3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'[35]Sch C'!D77</f>
        <v>6185</v>
      </c>
      <c r="D84" s="501">
        <f>'[35]Sch C'!F77</f>
        <v>0</v>
      </c>
      <c r="E84" s="171">
        <f t="shared" si="11"/>
        <v>6185</v>
      </c>
      <c r="F84" s="171"/>
      <c r="G84" s="171">
        <f t="shared" si="12"/>
        <v>6185</v>
      </c>
      <c r="H84" s="172">
        <f t="shared" si="13"/>
        <v>2.2123070803841869E-3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'[35]Sch C'!D78</f>
        <v>2130</v>
      </c>
      <c r="D85" s="501">
        <f>'[35]Sch C'!F78</f>
        <v>0</v>
      </c>
      <c r="E85" s="171">
        <f t="shared" si="11"/>
        <v>2130</v>
      </c>
      <c r="F85" s="171"/>
      <c r="G85" s="171">
        <f t="shared" si="12"/>
        <v>2130</v>
      </c>
      <c r="H85" s="172">
        <f t="shared" si="13"/>
        <v>7.618777819269713E-4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'[35]Sch C'!D79</f>
        <v>0</v>
      </c>
      <c r="D86" s="501">
        <f>'[35]Sch C'!F79</f>
        <v>0</v>
      </c>
      <c r="E86" s="171">
        <f t="shared" si="11"/>
        <v>0</v>
      </c>
      <c r="F86" s="171"/>
      <c r="G86" s="171">
        <f>E86+F86</f>
        <v>0</v>
      </c>
      <c r="H86" s="172">
        <f t="shared" si="13"/>
        <v>0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'[35]Sch C'!D80</f>
        <v>18375</v>
      </c>
      <c r="D87" s="501">
        <f>'[35]Sch C'!F80</f>
        <v>0</v>
      </c>
      <c r="E87" s="171">
        <f t="shared" si="11"/>
        <v>18375</v>
      </c>
      <c r="F87" s="171"/>
      <c r="G87" s="171">
        <f t="shared" si="12"/>
        <v>18375</v>
      </c>
      <c r="H87" s="172">
        <f t="shared" si="13"/>
        <v>6.5725372032432389E-3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'[35]Sch C'!D81</f>
        <v>0</v>
      </c>
      <c r="D88" s="501">
        <f>'[35]Sch C'!F81</f>
        <v>0</v>
      </c>
      <c r="E88" s="171">
        <f t="shared" si="11"/>
        <v>0</v>
      </c>
      <c r="F88" s="171"/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'[35]Sch C'!D82</f>
        <v>511</v>
      </c>
      <c r="D89" s="501">
        <f>'[35]Sch C'!F82</f>
        <v>0</v>
      </c>
      <c r="E89" s="171">
        <f t="shared" si="11"/>
        <v>511</v>
      </c>
      <c r="F89" s="171"/>
      <c r="G89" s="171">
        <f t="shared" si="12"/>
        <v>511</v>
      </c>
      <c r="H89" s="172">
        <f t="shared" si="13"/>
        <v>1.8277912984257389E-4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'[35]Sch C'!D83</f>
        <v>0</v>
      </c>
      <c r="D90" s="501">
        <f>'[35]Sch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'[35]Sch C'!D84</f>
        <v>54444</v>
      </c>
      <c r="D91" s="501">
        <f>'[35]Sch C'!F84</f>
        <v>0</v>
      </c>
      <c r="E91" s="171">
        <f t="shared" si="11"/>
        <v>54444</v>
      </c>
      <c r="F91" s="171"/>
      <c r="G91" s="171">
        <f t="shared" si="12"/>
        <v>54444</v>
      </c>
      <c r="H91" s="172">
        <f t="shared" si="13"/>
        <v>1.9474025332972784E-2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'[35]Sch C'!D85</f>
        <v>35</v>
      </c>
      <c r="D92" s="501">
        <f>'[35]Sch C'!F85</f>
        <v>0</v>
      </c>
      <c r="E92" s="171">
        <f t="shared" si="11"/>
        <v>35</v>
      </c>
      <c r="F92" s="171"/>
      <c r="G92" s="171">
        <f t="shared" si="12"/>
        <v>35</v>
      </c>
      <c r="H92" s="172">
        <f t="shared" si="13"/>
        <v>1.2519118482368073E-5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129808</v>
      </c>
      <c r="D93" s="501">
        <f>SUM(D82:D92)</f>
        <v>2387</v>
      </c>
      <c r="E93" s="171">
        <f t="shared" ref="E93:F93" si="14">SUM(E82:E92)</f>
        <v>132195</v>
      </c>
      <c r="F93" s="171">
        <f t="shared" si="14"/>
        <v>0</v>
      </c>
      <c r="G93" s="171">
        <f>SUM(G82:G92)</f>
        <v>132195</v>
      </c>
      <c r="H93" s="172">
        <f t="shared" si="13"/>
        <v>4.7284710507904212E-2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'[35]Sch C'!D89</f>
        <v>150795</v>
      </c>
      <c r="D96" s="501">
        <f>'[35]Sch C'!F89</f>
        <v>0</v>
      </c>
      <c r="E96" s="171">
        <f t="shared" ref="E96:E101" si="15">C96+D96</f>
        <v>150795</v>
      </c>
      <c r="F96" s="171"/>
      <c r="G96" s="171">
        <f t="shared" ref="G96:G101" si="16">E96+F96</f>
        <v>150795</v>
      </c>
      <c r="H96" s="172">
        <f t="shared" ref="H96:H102" si="17">IF($G$208=0,0,G96/$G$208)</f>
        <v>5.3937727758534101E-2</v>
      </c>
      <c r="I96" s="473"/>
      <c r="J96" s="183">
        <v>10639.66</v>
      </c>
      <c r="K96" s="183">
        <v>10787.34</v>
      </c>
    </row>
    <row r="97" spans="1:11" s="167" customFormat="1">
      <c r="A97" s="169" t="s">
        <v>86</v>
      </c>
      <c r="B97" s="170" t="s">
        <v>45</v>
      </c>
      <c r="C97" s="501">
        <f>'[35]Sch C'!D90</f>
        <v>12858</v>
      </c>
      <c r="D97" s="501">
        <f>'[35]Sch C'!F90</f>
        <v>8109</v>
      </c>
      <c r="E97" s="171">
        <f t="shared" si="15"/>
        <v>20967</v>
      </c>
      <c r="F97" s="171"/>
      <c r="G97" s="171">
        <f t="shared" si="16"/>
        <v>20967</v>
      </c>
      <c r="H97" s="172">
        <f t="shared" si="17"/>
        <v>7.4996673491374687E-3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'[35]Sch C'!D91</f>
        <v>11717</v>
      </c>
      <c r="D98" s="501">
        <f>'[35]Sch C'!F91</f>
        <v>0</v>
      </c>
      <c r="E98" s="171">
        <f t="shared" si="15"/>
        <v>11717</v>
      </c>
      <c r="F98" s="171"/>
      <c r="G98" s="171">
        <f t="shared" si="16"/>
        <v>11717</v>
      </c>
      <c r="H98" s="172">
        <f t="shared" si="17"/>
        <v>4.1910431787973348E-3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'[35]Sch C'!D92</f>
        <v>93663</v>
      </c>
      <c r="D99" s="501">
        <f>'[35]Sch C'!F92</f>
        <v>0</v>
      </c>
      <c r="E99" s="171">
        <f t="shared" si="15"/>
        <v>93663</v>
      </c>
      <c r="F99" s="171"/>
      <c r="G99" s="171">
        <f t="shared" si="16"/>
        <v>93663</v>
      </c>
      <c r="H99" s="172">
        <f t="shared" si="17"/>
        <v>3.350223412611545E-2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'[35]Sch C'!D93</f>
        <v>8323</v>
      </c>
      <c r="D100" s="501">
        <f>'[35]Sch C'!F93</f>
        <v>0</v>
      </c>
      <c r="E100" s="171">
        <f t="shared" si="15"/>
        <v>8323</v>
      </c>
      <c r="F100" s="171"/>
      <c r="G100" s="171">
        <f t="shared" si="16"/>
        <v>8323</v>
      </c>
      <c r="H100" s="172">
        <f t="shared" si="17"/>
        <v>2.9770463751071278E-3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'[35]Sch C'!D94</f>
        <v>0</v>
      </c>
      <c r="D101" s="501">
        <f>'[35]Sch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277356</v>
      </c>
      <c r="D102" s="501">
        <f>SUM(D96:D101)</f>
        <v>8109</v>
      </c>
      <c r="E102" s="171">
        <f t="shared" ref="E102:F102" si="18">SUM(E96:E101)</f>
        <v>285465</v>
      </c>
      <c r="F102" s="171">
        <f t="shared" si="18"/>
        <v>0</v>
      </c>
      <c r="G102" s="171">
        <f>SUM(G96:G101)</f>
        <v>285465</v>
      </c>
      <c r="H102" s="172">
        <f t="shared" si="17"/>
        <v>0.1021077187876915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'[35]Sch C'!D98</f>
        <v>19841</v>
      </c>
      <c r="D105" s="501">
        <f>'[35]Sch C'!F98</f>
        <v>0</v>
      </c>
      <c r="E105" s="171">
        <f t="shared" ref="E105:E110" si="19">C105+D105</f>
        <v>19841</v>
      </c>
      <c r="F105" s="171"/>
      <c r="G105" s="171">
        <f t="shared" ref="G105:G110" si="20">E105+F105</f>
        <v>19841</v>
      </c>
      <c r="H105" s="172">
        <f t="shared" ref="H105:H111" si="21">IF($G$208=0,0,G105/$G$208)</f>
        <v>7.0969094231047129E-3</v>
      </c>
      <c r="I105" s="473"/>
      <c r="J105" s="183">
        <v>1748.49</v>
      </c>
      <c r="K105" s="183">
        <v>1860.35</v>
      </c>
    </row>
    <row r="106" spans="1:11" s="167" customFormat="1">
      <c r="A106" s="169" t="s">
        <v>86</v>
      </c>
      <c r="B106" s="170" t="s">
        <v>45</v>
      </c>
      <c r="C106" s="501">
        <f>'[35]Sch C'!D99</f>
        <v>1728</v>
      </c>
      <c r="D106" s="501">
        <f>'[35]Sch C'!F99</f>
        <v>1067</v>
      </c>
      <c r="E106" s="171">
        <f t="shared" si="19"/>
        <v>2795</v>
      </c>
      <c r="F106" s="171"/>
      <c r="G106" s="171">
        <f t="shared" si="20"/>
        <v>2795</v>
      </c>
      <c r="H106" s="172">
        <f t="shared" si="21"/>
        <v>9.9974103309196467E-4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'[35]Sch C'!D100</f>
        <v>3741</v>
      </c>
      <c r="D107" s="501">
        <f>'[35]Sch C'!F100</f>
        <v>0</v>
      </c>
      <c r="E107" s="171">
        <f t="shared" si="19"/>
        <v>3741</v>
      </c>
      <c r="F107" s="171"/>
      <c r="G107" s="171">
        <f t="shared" si="20"/>
        <v>3741</v>
      </c>
      <c r="H107" s="172">
        <f t="shared" si="21"/>
        <v>1.3381149212153989E-3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'[35]Sch C'!D101</f>
        <v>0</v>
      </c>
      <c r="D108" s="501">
        <f>'[35]Sch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'[35]Sch C'!D102</f>
        <v>2565</v>
      </c>
      <c r="D109" s="501">
        <f>'[35]Sch C'!F102</f>
        <v>0</v>
      </c>
      <c r="E109" s="171">
        <f t="shared" si="19"/>
        <v>2565</v>
      </c>
      <c r="F109" s="171"/>
      <c r="G109" s="171">
        <f t="shared" si="20"/>
        <v>2565</v>
      </c>
      <c r="H109" s="172">
        <f t="shared" si="21"/>
        <v>9.1747254020783171E-4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'[35]Sch C'!D103</f>
        <v>0</v>
      </c>
      <c r="D110" s="501">
        <f>'[35]Sch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27875</v>
      </c>
      <c r="D111" s="501">
        <f>SUM(D105:D110)</f>
        <v>1067</v>
      </c>
      <c r="E111" s="171">
        <f t="shared" ref="E111:F111" si="22">SUM(E105:E110)</f>
        <v>28942</v>
      </c>
      <c r="F111" s="171">
        <f t="shared" si="22"/>
        <v>0</v>
      </c>
      <c r="G111" s="171">
        <f>SUM(G105:G110)</f>
        <v>28942</v>
      </c>
      <c r="H111" s="172">
        <f t="shared" si="21"/>
        <v>1.0352237917619907E-2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'[35]Sch C'!D115</f>
        <v>37748</v>
      </c>
      <c r="D114" s="501">
        <f>'[35]Sch C'!F115</f>
        <v>0</v>
      </c>
      <c r="E114" s="171">
        <f t="shared" ref="E114:E118" si="23">C114+D114</f>
        <v>37748</v>
      </c>
      <c r="F114" s="171"/>
      <c r="G114" s="171">
        <f>E114+F114</f>
        <v>37748</v>
      </c>
      <c r="H114" s="172">
        <f t="shared" ref="H114:H119" si="24">IF($G$208=0,0,G114/$G$208)</f>
        <v>1.3502048127783715E-2</v>
      </c>
      <c r="I114" s="473"/>
      <c r="J114" s="183">
        <v>3523.43</v>
      </c>
      <c r="K114" s="183">
        <v>3587.44</v>
      </c>
    </row>
    <row r="115" spans="1:11" s="167" customFormat="1">
      <c r="A115" s="169" t="s">
        <v>86</v>
      </c>
      <c r="B115" s="170" t="s">
        <v>151</v>
      </c>
      <c r="C115" s="501">
        <f>'[35]Sch C'!D116</f>
        <v>3286</v>
      </c>
      <c r="D115" s="501">
        <f>'[35]Sch C'!F116</f>
        <v>2030</v>
      </c>
      <c r="E115" s="171">
        <f t="shared" si="23"/>
        <v>5316</v>
      </c>
      <c r="F115" s="171"/>
      <c r="G115" s="171">
        <f>E115+F115</f>
        <v>5316</v>
      </c>
      <c r="H115" s="172">
        <f t="shared" si="24"/>
        <v>1.9014752529219621E-3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'[35]Sch C'!D117</f>
        <v>11913</v>
      </c>
      <c r="D116" s="501">
        <f>'[35]Sch C'!F117</f>
        <v>0</v>
      </c>
      <c r="E116" s="171">
        <f t="shared" si="23"/>
        <v>11913</v>
      </c>
      <c r="F116" s="171"/>
      <c r="G116" s="171">
        <f>E116+F116</f>
        <v>11913</v>
      </c>
      <c r="H116" s="172">
        <f t="shared" si="24"/>
        <v>4.2611502422985961E-3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'[35]Sch C'!D118</f>
        <v>1853</v>
      </c>
      <c r="D117" s="501">
        <f>'[35]Sch C'!F118</f>
        <v>0</v>
      </c>
      <c r="E117" s="171">
        <f t="shared" si="23"/>
        <v>1853</v>
      </c>
      <c r="F117" s="171"/>
      <c r="G117" s="171">
        <f>E117+F117</f>
        <v>1853</v>
      </c>
      <c r="H117" s="172">
        <f t="shared" si="24"/>
        <v>6.6279790136651541E-4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'[35]Sch C'!D119</f>
        <v>0</v>
      </c>
      <c r="D118" s="501">
        <f>'[35]Sch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54800</v>
      </c>
      <c r="D119" s="501">
        <f>SUM(D114:D118)</f>
        <v>2030</v>
      </c>
      <c r="E119" s="171">
        <f t="shared" ref="E119:F119" si="25">SUM(E114:E118)</f>
        <v>56830</v>
      </c>
      <c r="F119" s="171">
        <f t="shared" si="25"/>
        <v>0</v>
      </c>
      <c r="G119" s="171">
        <f>SUM(G114:G118)</f>
        <v>56830</v>
      </c>
      <c r="H119" s="172">
        <f t="shared" si="24"/>
        <v>2.032747152437079E-2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'[35]Sch C'!D124</f>
        <v>0</v>
      </c>
      <c r="D123" s="501">
        <f>'[35]Sch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'[35]Sch C'!D125</f>
        <v>77198</v>
      </c>
      <c r="D124" s="501">
        <f>'[35]Sch C'!F125</f>
        <v>0</v>
      </c>
      <c r="E124" s="171">
        <f t="shared" si="26"/>
        <v>77198</v>
      </c>
      <c r="F124" s="171"/>
      <c r="G124" s="171">
        <f>E124+F124</f>
        <v>77198</v>
      </c>
      <c r="H124" s="172">
        <f>IF($G$208=0,0,G124/$G$208)</f>
        <v>2.7612883102910015E-2</v>
      </c>
      <c r="I124" s="473"/>
      <c r="J124" s="183">
        <v>1789</v>
      </c>
      <c r="K124" s="183">
        <v>1821</v>
      </c>
    </row>
    <row r="125" spans="1:11" s="167" customFormat="1">
      <c r="A125" s="163" t="s">
        <v>198</v>
      </c>
      <c r="B125" s="163" t="s">
        <v>195</v>
      </c>
      <c r="C125" s="501">
        <f>'[35]Sch C'!D126</f>
        <v>0</v>
      </c>
      <c r="D125" s="501">
        <f>'[35]Sch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'[35]Sch C'!D127</f>
        <v>0</v>
      </c>
      <c r="D126" s="501">
        <f>'[35]Sch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'[35]Sch C'!D128</f>
        <v>4336</v>
      </c>
      <c r="D127" s="501">
        <f>'[35]Sch C'!F128</f>
        <v>0</v>
      </c>
      <c r="E127" s="171">
        <f t="shared" si="26"/>
        <v>4336</v>
      </c>
      <c r="F127" s="171"/>
      <c r="G127" s="171">
        <f>E127+F127</f>
        <v>4336</v>
      </c>
      <c r="H127" s="172">
        <f>IF($G$208=0,0,G127/$G$208)</f>
        <v>1.5509399354156563E-3</v>
      </c>
      <c r="I127" s="473"/>
      <c r="J127" s="183">
        <v>473.78</v>
      </c>
      <c r="K127" s="183">
        <v>481.78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'[35]Sch C'!D130</f>
        <v>0</v>
      </c>
      <c r="D129" s="501">
        <f>'[35]Sch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'[35]Sch C'!D131</f>
        <v>0</v>
      </c>
      <c r="D130" s="501">
        <f>'[35]Sch C'!F131</f>
        <v>10442</v>
      </c>
      <c r="E130" s="171">
        <f t="shared" si="27"/>
        <v>10442</v>
      </c>
      <c r="F130" s="171"/>
      <c r="G130" s="171">
        <f>E130+F130</f>
        <v>10442</v>
      </c>
      <c r="H130" s="172">
        <f>IF($G$208=0,0,G130/$G$208)</f>
        <v>3.7349895769396408E-3</v>
      </c>
      <c r="I130" s="473"/>
      <c r="J130" s="204"/>
      <c r="K130" s="204"/>
    </row>
    <row r="131" spans="1:11" s="167" customFormat="1">
      <c r="B131" s="163" t="s">
        <v>195</v>
      </c>
      <c r="C131" s="501">
        <f>'[35]Sch C'!D132</f>
        <v>0</v>
      </c>
      <c r="D131" s="501">
        <f>'[35]Sch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'[35]Sch C'!D133</f>
        <v>0</v>
      </c>
      <c r="D132" s="501">
        <f>'[35]Sch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'[35]Sch C'!D134</f>
        <v>0</v>
      </c>
      <c r="D133" s="501">
        <f>'[35]Sch C'!F134</f>
        <v>586</v>
      </c>
      <c r="E133" s="171">
        <f t="shared" si="27"/>
        <v>586</v>
      </c>
      <c r="F133" s="171"/>
      <c r="G133" s="171">
        <f>E133+F133</f>
        <v>586</v>
      </c>
      <c r="H133" s="172">
        <f>IF($G$208=0,0,G133/$G$208)</f>
        <v>2.0960581230479116E-4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'[35]Sch C'!D136</f>
        <v>189469</v>
      </c>
      <c r="D135" s="501">
        <f>'[35]Sch C'!F136</f>
        <v>0</v>
      </c>
      <c r="E135" s="171">
        <f t="shared" ref="E135:E138" si="28">C135+D135</f>
        <v>189469</v>
      </c>
      <c r="F135" s="171"/>
      <c r="G135" s="171">
        <f>E135+F135</f>
        <v>189469</v>
      </c>
      <c r="H135" s="172">
        <f>IF($G$208=0,0,G135/$G$208)</f>
        <v>6.777099599245133E-2</v>
      </c>
      <c r="I135" s="473"/>
      <c r="J135" s="183">
        <v>5845.71</v>
      </c>
      <c r="K135" s="183">
        <v>5828.04</v>
      </c>
    </row>
    <row r="136" spans="1:11" s="167" customFormat="1">
      <c r="A136" s="169"/>
      <c r="B136" s="163" t="s">
        <v>195</v>
      </c>
      <c r="C136" s="501">
        <f>'[35]Sch C'!D137</f>
        <v>160541</v>
      </c>
      <c r="D136" s="501">
        <f>'[35]Sch C'!F137</f>
        <v>0</v>
      </c>
      <c r="E136" s="171">
        <f t="shared" si="28"/>
        <v>160541</v>
      </c>
      <c r="F136" s="171"/>
      <c r="G136" s="171">
        <f>E136+F136</f>
        <v>160541</v>
      </c>
      <c r="H136" s="172">
        <f>IF($G$208=0,0,G136/$G$208)</f>
        <v>5.7423765722224365E-2</v>
      </c>
      <c r="I136" s="473"/>
      <c r="J136" s="183">
        <v>6531.68</v>
      </c>
      <c r="K136" s="183">
        <v>6637.68</v>
      </c>
    </row>
    <row r="137" spans="1:11" s="167" customFormat="1">
      <c r="A137" s="169"/>
      <c r="B137" s="163" t="s">
        <v>196</v>
      </c>
      <c r="C137" s="501">
        <f>'[35]Sch C'!D138</f>
        <v>333337</v>
      </c>
      <c r="D137" s="501">
        <f>'[35]Sch C'!F138</f>
        <v>0</v>
      </c>
      <c r="E137" s="171">
        <f t="shared" si="28"/>
        <v>333337</v>
      </c>
      <c r="F137" s="171"/>
      <c r="G137" s="171">
        <f>E137+F137</f>
        <v>333337</v>
      </c>
      <c r="H137" s="172">
        <f>IF($G$208=0,0,G137/$G$208)</f>
        <v>0.11923101135877505</v>
      </c>
      <c r="I137" s="473"/>
      <c r="J137" s="183">
        <v>23698.69</v>
      </c>
      <c r="K137" s="183">
        <v>24305.32</v>
      </c>
    </row>
    <row r="138" spans="1:11" s="167" customFormat="1">
      <c r="A138" s="169"/>
      <c r="B138" s="163" t="s">
        <v>197</v>
      </c>
      <c r="C138" s="501">
        <f>'[35]Sch C'!D139</f>
        <v>0</v>
      </c>
      <c r="D138" s="501">
        <f>'[35]Sch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'[35]Sch C'!D141</f>
        <v>35166</v>
      </c>
      <c r="D140" s="501">
        <f>'[35]Sch C'!F141</f>
        <v>-9538</v>
      </c>
      <c r="E140" s="171">
        <f t="shared" ref="E140:E143" si="29">C140+D140</f>
        <v>25628</v>
      </c>
      <c r="F140" s="171"/>
      <c r="G140" s="171">
        <f>E140+F140</f>
        <v>25628</v>
      </c>
      <c r="H140" s="172">
        <f>IF($G$208=0,0,G140/$G$208)</f>
        <v>9.1668562418894001E-3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'[35]Sch C'!D142</f>
        <v>0</v>
      </c>
      <c r="D141" s="501">
        <f>'[35]Sch C'!F142</f>
        <v>21715</v>
      </c>
      <c r="E141" s="171">
        <f t="shared" si="29"/>
        <v>21715</v>
      </c>
      <c r="F141" s="171"/>
      <c r="G141" s="171">
        <f>E141+F141</f>
        <v>21715</v>
      </c>
      <c r="H141" s="172">
        <f>IF($G$208=0,0,G141/$G$208)</f>
        <v>7.7672187955606488E-3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'[35]Sch C'!D143</f>
        <v>28603</v>
      </c>
      <c r="D142" s="501">
        <f>'[35]Sch C'!F143</f>
        <v>17925</v>
      </c>
      <c r="E142" s="171">
        <f t="shared" si="29"/>
        <v>46528</v>
      </c>
      <c r="F142" s="171"/>
      <c r="G142" s="171">
        <f>E142+F142</f>
        <v>46528</v>
      </c>
      <c r="H142" s="172">
        <f>IF($G$208=0,0,G142/$G$208)</f>
        <v>1.6642558421360622E-2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'[35]Sch C'!D144</f>
        <v>0</v>
      </c>
      <c r="D143" s="501">
        <f>'[35]Sch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'[35]Sch C'!D146</f>
        <v>12000</v>
      </c>
      <c r="D145" s="501">
        <f>'[35]Sch C'!F146</f>
        <v>0</v>
      </c>
      <c r="E145" s="171">
        <f t="shared" ref="E145:E153" si="30">C145+D145</f>
        <v>12000</v>
      </c>
      <c r="F145" s="171"/>
      <c r="G145" s="171">
        <f t="shared" ref="G145:G153" si="31">E145+F145</f>
        <v>12000</v>
      </c>
      <c r="H145" s="172">
        <f t="shared" ref="H145:H153" si="32">IF($G$208=0,0,G145/$G$208)</f>
        <v>4.2922691939547676E-3</v>
      </c>
      <c r="I145" s="473"/>
      <c r="J145" s="183">
        <v>125.5</v>
      </c>
      <c r="K145" s="183">
        <v>125.5</v>
      </c>
    </row>
    <row r="146" spans="1:11" s="167" customFormat="1">
      <c r="A146" s="169"/>
      <c r="B146" s="163" t="s">
        <v>194</v>
      </c>
      <c r="C146" s="501">
        <f>'[35]Sch C'!D147</f>
        <v>23332</v>
      </c>
      <c r="D146" s="501">
        <f>'[35]Sch C'!F147</f>
        <v>0</v>
      </c>
      <c r="E146" s="171">
        <f t="shared" si="30"/>
        <v>23332</v>
      </c>
      <c r="F146" s="171"/>
      <c r="G146" s="171">
        <f t="shared" si="31"/>
        <v>23332</v>
      </c>
      <c r="H146" s="172">
        <f t="shared" si="32"/>
        <v>8.3456020694460537E-3</v>
      </c>
      <c r="I146" s="473"/>
      <c r="J146" s="183">
        <v>411</v>
      </c>
      <c r="K146" s="183">
        <v>411</v>
      </c>
    </row>
    <row r="147" spans="1:11" s="167" customFormat="1">
      <c r="A147" s="169"/>
      <c r="B147" s="163" t="s">
        <v>195</v>
      </c>
      <c r="C147" s="501">
        <f>'[35]Sch C'!D148</f>
        <v>4618</v>
      </c>
      <c r="D147" s="501">
        <f>'[35]Sch C'!F148</f>
        <v>0</v>
      </c>
      <c r="E147" s="171">
        <f t="shared" si="30"/>
        <v>4618</v>
      </c>
      <c r="F147" s="171"/>
      <c r="G147" s="171">
        <f t="shared" si="31"/>
        <v>4618</v>
      </c>
      <c r="H147" s="172">
        <f t="shared" si="32"/>
        <v>1.6518082614735933E-3</v>
      </c>
      <c r="I147" s="473"/>
      <c r="J147" s="183">
        <v>129.25</v>
      </c>
      <c r="K147" s="183">
        <v>129.25</v>
      </c>
    </row>
    <row r="148" spans="1:11" s="167" customFormat="1">
      <c r="A148" s="169"/>
      <c r="B148" s="163" t="s">
        <v>196</v>
      </c>
      <c r="C148" s="501">
        <f>'[35]Sch C'!D149</f>
        <v>9618</v>
      </c>
      <c r="D148" s="501">
        <f>'[35]Sch C'!F149</f>
        <v>0</v>
      </c>
      <c r="E148" s="171">
        <f t="shared" si="30"/>
        <v>9618</v>
      </c>
      <c r="F148" s="171"/>
      <c r="G148" s="171">
        <f t="shared" si="31"/>
        <v>9618</v>
      </c>
      <c r="H148" s="172">
        <f t="shared" si="32"/>
        <v>3.4402537589547466E-3</v>
      </c>
      <c r="I148" s="473"/>
      <c r="J148" s="183">
        <v>383.75</v>
      </c>
      <c r="K148" s="183">
        <v>383.75</v>
      </c>
    </row>
    <row r="149" spans="1:11" s="167" customFormat="1">
      <c r="A149" s="169"/>
      <c r="B149" s="163" t="s">
        <v>197</v>
      </c>
      <c r="C149" s="501">
        <f>'[35]Sch C'!D150</f>
        <v>8845</v>
      </c>
      <c r="D149" s="501">
        <f>'[35]Sch C'!F150</f>
        <v>0</v>
      </c>
      <c r="E149" s="171">
        <f t="shared" si="30"/>
        <v>8845</v>
      </c>
      <c r="F149" s="171"/>
      <c r="G149" s="171">
        <f t="shared" si="31"/>
        <v>8845</v>
      </c>
      <c r="H149" s="172">
        <f t="shared" si="32"/>
        <v>3.1637600850441604E-3</v>
      </c>
      <c r="I149" s="473"/>
      <c r="J149" s="183">
        <v>107.25</v>
      </c>
      <c r="K149" s="183">
        <v>107.25</v>
      </c>
    </row>
    <row r="150" spans="1:11" s="167" customFormat="1">
      <c r="A150" s="169">
        <v>110</v>
      </c>
      <c r="B150" s="167" t="s">
        <v>65</v>
      </c>
      <c r="C150" s="501">
        <f>'[35]Sch C'!D151</f>
        <v>44694</v>
      </c>
      <c r="D150" s="501">
        <f>'[35]Sch C'!F151</f>
        <v>0</v>
      </c>
      <c r="E150" s="171">
        <f t="shared" si="30"/>
        <v>44694</v>
      </c>
      <c r="F150" s="171"/>
      <c r="G150" s="171">
        <f t="shared" si="31"/>
        <v>44694</v>
      </c>
      <c r="H150" s="172">
        <f t="shared" si="32"/>
        <v>1.5986556612884534E-2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'[35]Sch C'!D152</f>
        <v>6462</v>
      </c>
      <c r="D151" s="501">
        <f>'[35]Sch C'!F152</f>
        <v>0</v>
      </c>
      <c r="E151" s="171">
        <f t="shared" si="30"/>
        <v>6462</v>
      </c>
      <c r="F151" s="171"/>
      <c r="G151" s="171">
        <f t="shared" si="31"/>
        <v>6462</v>
      </c>
      <c r="H151" s="172">
        <f t="shared" si="32"/>
        <v>2.3113869609446428E-3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'[35]Sch C'!D153</f>
        <v>0</v>
      </c>
      <c r="D152" s="501">
        <f>'[35]Sch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'[35]Sch C'!D154</f>
        <v>0</v>
      </c>
      <c r="D153" s="501">
        <f>'[35]Sch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'[35]Sch C'!D156</f>
        <v>0</v>
      </c>
      <c r="D155" s="501">
        <f>'[35]Sch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'[35]Sch C'!D157</f>
        <v>0</v>
      </c>
      <c r="D156" s="501">
        <f>'[35]Sch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'[35]Sch C'!D158</f>
        <v>0</v>
      </c>
      <c r="D157" s="501">
        <f>'[35]Sch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'[35]Sch C'!D159</f>
        <v>0</v>
      </c>
      <c r="D158" s="501">
        <f>'[35]Sch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'[35]Sch C'!D160</f>
        <v>0</v>
      </c>
      <c r="D159" s="501">
        <f>'[35]Sch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'[35]Sch C'!D161</f>
        <v>0</v>
      </c>
      <c r="D160" s="501">
        <f>'[35]Sch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938219</v>
      </c>
      <c r="D161" s="501">
        <f>SUM(D123:D160)</f>
        <v>41130</v>
      </c>
      <c r="E161" s="171">
        <f t="shared" ref="E161:F161" si="36">SUM(E123:E160)</f>
        <v>979349</v>
      </c>
      <c r="F161" s="171">
        <f t="shared" si="36"/>
        <v>0</v>
      </c>
      <c r="G161" s="171">
        <f>SUM(G123:G160)</f>
        <v>979349</v>
      </c>
      <c r="H161" s="172">
        <f t="shared" si="35"/>
        <v>0.350302461902534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'[35]Sch C'!D175</f>
        <v>0</v>
      </c>
      <c r="D164" s="501">
        <f>'[35]Sch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'[35]Sch C'!D176</f>
        <v>0</v>
      </c>
      <c r="D165" s="501">
        <f>'[35]Sch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'[35]Sch C'!D177</f>
        <v>0</v>
      </c>
      <c r="D166" s="501">
        <f>'[35]Sch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'[35]Sch C'!D178</f>
        <v>0</v>
      </c>
      <c r="D167" s="501">
        <f>'[35]Sch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'[35]Sch C'!D179</f>
        <v>0</v>
      </c>
      <c r="D168" s="501">
        <f>'[35]Sch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'[35]Sch C'!D180</f>
        <v>0</v>
      </c>
      <c r="D169" s="501">
        <f>'[35]Sch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'[35]Sch C'!D181</f>
        <v>0</v>
      </c>
      <c r="D170" s="501">
        <f>'[35]Sch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'[35]Sch C'!D182</f>
        <v>0</v>
      </c>
      <c r="D171" s="501">
        <f>'[35]Sch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'[35]Sch C'!D183</f>
        <v>0</v>
      </c>
      <c r="D172" s="501">
        <f>'[35]Sch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'[35]Sch C'!D184</f>
        <v>0</v>
      </c>
      <c r="D173" s="501">
        <f>'[35]Sch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'[35]Sch C'!D185</f>
        <v>0</v>
      </c>
      <c r="D174" s="501">
        <f>'[35]Sch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'[35]Sch C'!D186</f>
        <v>0</v>
      </c>
      <c r="D175" s="501">
        <f>'[35]Sch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'[35]Sch C'!D187</f>
        <v>0</v>
      </c>
      <c r="D176" s="501">
        <f>'[35]Sch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'[35]Sch C'!D188</f>
        <v>0</v>
      </c>
      <c r="D177" s="501">
        <f>'[35]Sch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'[35]Sch C'!D189</f>
        <v>0</v>
      </c>
      <c r="D178" s="501">
        <f>'[35]Sch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'[35]Sch C'!D190</f>
        <v>0</v>
      </c>
      <c r="D179" s="501">
        <f>'[35]Sch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'[35]Sch C'!D191</f>
        <v>0</v>
      </c>
      <c r="D180" s="501">
        <f>'[35]Sch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'[35]Sch C'!D192</f>
        <v>0</v>
      </c>
      <c r="D181" s="501">
        <f>'[35]Sch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'[35]Sch C'!D193</f>
        <v>0</v>
      </c>
      <c r="D182" s="501">
        <f>'[35]Sch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'[35]Sch C'!D194</f>
        <v>81530</v>
      </c>
      <c r="D183" s="501">
        <f>'[35]Sch C'!F194</f>
        <v>0</v>
      </c>
      <c r="E183" s="171">
        <f t="shared" si="37"/>
        <v>81530</v>
      </c>
      <c r="F183" s="216"/>
      <c r="G183" s="171">
        <f t="shared" si="38"/>
        <v>81530</v>
      </c>
      <c r="H183" s="172">
        <f t="shared" si="39"/>
        <v>2.9162392281927688E-2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'[35]Sch C'!D195</f>
        <v>40694</v>
      </c>
      <c r="D184" s="501">
        <f>'[35]Sch C'!F195</f>
        <v>0</v>
      </c>
      <c r="E184" s="171">
        <f t="shared" si="37"/>
        <v>40694</v>
      </c>
      <c r="F184" s="216"/>
      <c r="G184" s="171">
        <f t="shared" si="38"/>
        <v>40694</v>
      </c>
      <c r="H184" s="172">
        <f t="shared" si="39"/>
        <v>1.4555800214899611E-2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'[35]Sch C'!D196</f>
        <v>0</v>
      </c>
      <c r="D185" s="501">
        <f>'[35]Sch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'[35]Sch C'!D197</f>
        <v>75862</v>
      </c>
      <c r="D186" s="501">
        <f>'[35]Sch C'!F197</f>
        <v>0</v>
      </c>
      <c r="E186" s="171">
        <f t="shared" si="37"/>
        <v>75862</v>
      </c>
      <c r="F186" s="216"/>
      <c r="G186" s="171">
        <f t="shared" si="38"/>
        <v>75862</v>
      </c>
      <c r="H186" s="172">
        <f t="shared" si="39"/>
        <v>2.7135010465983052E-2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'[35]Sch C'!D198</f>
        <v>10315</v>
      </c>
      <c r="D187" s="501">
        <f>'[35]Sch C'!F198</f>
        <v>0</v>
      </c>
      <c r="E187" s="171">
        <f t="shared" si="37"/>
        <v>10315</v>
      </c>
      <c r="F187" s="216"/>
      <c r="G187" s="171">
        <f t="shared" si="38"/>
        <v>10315</v>
      </c>
      <c r="H187" s="172">
        <f t="shared" si="39"/>
        <v>3.6895630613036192E-3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'[35]Sch C'!D199</f>
        <v>0</v>
      </c>
      <c r="D188" s="501">
        <f>'[35]Sch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'[35]Sch C'!D200</f>
        <v>0</v>
      </c>
      <c r="D189" s="501">
        <f>'[35]Sch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'[35]Sch C'!D201</f>
        <v>0</v>
      </c>
      <c r="D190" s="501">
        <f>'[35]Sch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'[35]Sch C'!D202</f>
        <v>0</v>
      </c>
      <c r="D191" s="501">
        <f>'[35]Sch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'[35]Sch C'!D203</f>
        <v>0</v>
      </c>
      <c r="D192" s="501">
        <f>'[35]Sch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'[35]Sch C'!D204</f>
        <v>0</v>
      </c>
      <c r="D193" s="501">
        <f>'[35]Sch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'[35]Sch C'!D205</f>
        <v>83319</v>
      </c>
      <c r="D194" s="501">
        <f>'[35]Sch C'!F205</f>
        <v>0</v>
      </c>
      <c r="E194" s="171">
        <f t="shared" si="37"/>
        <v>83319</v>
      </c>
      <c r="F194" s="216"/>
      <c r="G194" s="171">
        <f t="shared" si="38"/>
        <v>83319</v>
      </c>
      <c r="H194" s="172">
        <f t="shared" si="39"/>
        <v>2.9802298080926444E-2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'[35]Sch C'!D206</f>
        <v>1030</v>
      </c>
      <c r="D195" s="501">
        <f>'[35]Sch C'!F206</f>
        <v>0</v>
      </c>
      <c r="E195" s="171">
        <f t="shared" si="37"/>
        <v>1030</v>
      </c>
      <c r="F195" s="216"/>
      <c r="G195" s="171">
        <f t="shared" si="38"/>
        <v>1030</v>
      </c>
      <c r="H195" s="172">
        <f t="shared" si="39"/>
        <v>3.6841977248111758E-4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'[35]Sch C'!D207</f>
        <v>0</v>
      </c>
      <c r="D196" s="501">
        <f>'[35]Sch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292750</v>
      </c>
      <c r="D197" s="501">
        <f>SUM(D164:D196)</f>
        <v>0</v>
      </c>
      <c r="E197" s="171">
        <f t="shared" ref="E197:F197" si="40">SUM(E164:E196)</f>
        <v>292750</v>
      </c>
      <c r="F197" s="171">
        <f t="shared" si="40"/>
        <v>0</v>
      </c>
      <c r="G197" s="171">
        <f>SUM(G164:G196)</f>
        <v>292750</v>
      </c>
      <c r="H197" s="172">
        <f>IF($G$208=0,0,G197/$G$208)</f>
        <v>0.10471348387752152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'[35]Sch C'!D211</f>
        <v>65285</v>
      </c>
      <c r="D200" s="501">
        <f>'[35]Sch C'!F211</f>
        <v>0</v>
      </c>
      <c r="E200" s="171">
        <f t="shared" ref="E200:E205" si="41">C200+D200</f>
        <v>65285</v>
      </c>
      <c r="F200" s="171"/>
      <c r="G200" s="171">
        <f t="shared" ref="G200:G205" si="42">E200+F200</f>
        <v>65285</v>
      </c>
      <c r="H200" s="172">
        <f t="shared" ref="H200:H206" si="43">IF($G$208=0,0,G200/$G$208)</f>
        <v>2.3351732860611419E-2</v>
      </c>
      <c r="I200" s="473"/>
      <c r="J200" s="183">
        <v>4795.97</v>
      </c>
      <c r="K200" s="183">
        <v>5090.74</v>
      </c>
    </row>
    <row r="201" spans="1:14" s="167" customFormat="1">
      <c r="A201" s="169" t="s">
        <v>86</v>
      </c>
      <c r="B201" s="170" t="s">
        <v>45</v>
      </c>
      <c r="C201" s="501">
        <f>'[35]Sch C'!D212</f>
        <v>5819</v>
      </c>
      <c r="D201" s="501">
        <f>'[35]Sch C'!F212</f>
        <v>3511</v>
      </c>
      <c r="E201" s="171">
        <f t="shared" si="41"/>
        <v>9330</v>
      </c>
      <c r="F201" s="171"/>
      <c r="G201" s="171">
        <f t="shared" si="42"/>
        <v>9330</v>
      </c>
      <c r="H201" s="172">
        <f t="shared" si="43"/>
        <v>3.337239298299832E-3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'[35]Sch C'!D213</f>
        <v>9948</v>
      </c>
      <c r="D202" s="501">
        <f>'[35]Sch C'!F213</f>
        <v>0</v>
      </c>
      <c r="E202" s="171">
        <f t="shared" si="41"/>
        <v>9948</v>
      </c>
      <c r="F202" s="171"/>
      <c r="G202" s="171">
        <f t="shared" si="42"/>
        <v>9948</v>
      </c>
      <c r="H202" s="172">
        <f t="shared" si="43"/>
        <v>3.5582911617885026E-3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'[35]Sch C'!D214</f>
        <v>3888</v>
      </c>
      <c r="D203" s="501">
        <f>'[35]Sch C'!F214</f>
        <v>0</v>
      </c>
      <c r="E203" s="171">
        <f t="shared" si="41"/>
        <v>3888</v>
      </c>
      <c r="F203" s="171"/>
      <c r="G203" s="171">
        <f t="shared" si="42"/>
        <v>3888</v>
      </c>
      <c r="H203" s="172">
        <f t="shared" si="43"/>
        <v>1.390695218841345E-3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'[35]Sch C'!D215</f>
        <v>0</v>
      </c>
      <c r="D204" s="501">
        <f>'[35]Sch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'[35]Sch C'!D216</f>
        <v>3772</v>
      </c>
      <c r="D205" s="501">
        <f>'[35]Sch C'!F216</f>
        <v>0</v>
      </c>
      <c r="E205" s="171">
        <f t="shared" si="41"/>
        <v>3772</v>
      </c>
      <c r="F205" s="171"/>
      <c r="G205" s="171">
        <f t="shared" si="42"/>
        <v>3772</v>
      </c>
      <c r="H205" s="172">
        <f t="shared" si="43"/>
        <v>1.3492032832997821E-3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88712</v>
      </c>
      <c r="D206" s="501">
        <f>SUM(D200:D205)</f>
        <v>3511</v>
      </c>
      <c r="E206" s="171">
        <f t="shared" ref="E206:F206" si="44">SUM(E200:E205)</f>
        <v>92223</v>
      </c>
      <c r="F206" s="171">
        <f t="shared" si="44"/>
        <v>0</v>
      </c>
      <c r="G206" s="171">
        <f>SUM(G200:G205)</f>
        <v>92223</v>
      </c>
      <c r="H206" s="172">
        <f t="shared" si="43"/>
        <v>3.298716182284088E-2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2791391</v>
      </c>
      <c r="D208" s="501">
        <f>SUM(D25:D206)/2</f>
        <v>-10455</v>
      </c>
      <c r="E208" s="171">
        <f t="shared" ref="E208:F208" si="45">SUM(E25:E206)/2</f>
        <v>2780936</v>
      </c>
      <c r="F208" s="171">
        <f t="shared" si="45"/>
        <v>14788</v>
      </c>
      <c r="G208" s="171">
        <f>SUM(G25:G206)/2</f>
        <v>2795724</v>
      </c>
      <c r="H208" s="172">
        <f>IF($G$208=0,0,G208/$G$208)</f>
        <v>1</v>
      </c>
      <c r="I208" s="473"/>
      <c r="J208" s="183">
        <f>SUM(J25:J200)</f>
        <v>68484.88</v>
      </c>
      <c r="K208" s="183">
        <f>SUM(K25:K200)</f>
        <v>70149.459999999992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'[35]Sch C'!D221</f>
        <v>2791391</v>
      </c>
      <c r="D211" s="196"/>
      <c r="E211" s="165"/>
      <c r="F211" s="419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19"/>
      <c r="G212"/>
      <c r="I212" s="475"/>
      <c r="J212" s="168"/>
      <c r="K212" s="168"/>
    </row>
    <row r="213" spans="1:11" s="167" customFormat="1" ht="15">
      <c r="A213" s="163"/>
      <c r="B213" s="230"/>
      <c r="C213" s="581"/>
      <c r="D213" s="231"/>
      <c r="E213" s="231"/>
      <c r="F213" s="419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385649</v>
      </c>
      <c r="D215" s="501">
        <f>D21-D208</f>
        <v>10455</v>
      </c>
      <c r="E215" s="171">
        <f t="shared" ref="E215:F215" si="46">E21-E208</f>
        <v>396104</v>
      </c>
      <c r="F215" s="171">
        <f t="shared" si="46"/>
        <v>1851129</v>
      </c>
      <c r="G215" s="171">
        <f>G21-G208</f>
        <v>2247233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'[35]Sch D'!C9</f>
        <v>10211</v>
      </c>
      <c r="D219" s="530"/>
      <c r="E219" s="234">
        <f t="shared" ref="E219:G227" si="47">C219+D219</f>
        <v>10211</v>
      </c>
      <c r="F219" s="233"/>
      <c r="G219" s="234">
        <f t="shared" si="47"/>
        <v>10211</v>
      </c>
      <c r="H219" s="172">
        <f t="shared" ref="H219:H228" si="48">IF($G$228=0,0,G219/$G$228)</f>
        <v>0.73971312662996236</v>
      </c>
      <c r="I219" s="473"/>
      <c r="J219" s="168"/>
      <c r="K219" s="168"/>
    </row>
    <row r="220" spans="1:11">
      <c r="A220" s="163"/>
      <c r="B220" s="170" t="s">
        <v>217</v>
      </c>
      <c r="C220" s="530">
        <f>'[35]Sch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'[35]Sch D'!E9</f>
        <v>1418</v>
      </c>
      <c r="D221" s="530"/>
      <c r="E221" s="234">
        <f t="shared" si="49"/>
        <v>1418</v>
      </c>
      <c r="F221" s="233"/>
      <c r="G221" s="234">
        <f t="shared" si="47"/>
        <v>1418</v>
      </c>
      <c r="H221" s="172">
        <f t="shared" si="48"/>
        <v>0.10272384815995364</v>
      </c>
      <c r="I221" s="473"/>
      <c r="J221" s="168"/>
      <c r="K221" s="168"/>
    </row>
    <row r="222" spans="1:11">
      <c r="A222" s="163"/>
      <c r="B222" s="202" t="s">
        <v>334</v>
      </c>
      <c r="C222" s="530">
        <f>'[35]Sch D'!F9</f>
        <v>22</v>
      </c>
      <c r="D222" s="530"/>
      <c r="E222" s="234">
        <f>C222+D222</f>
        <v>22</v>
      </c>
      <c r="F222" s="233"/>
      <c r="G222" s="234">
        <f>E222+F222</f>
        <v>22</v>
      </c>
      <c r="H222" s="172">
        <f t="shared" si="48"/>
        <v>1.5937409446537235E-3</v>
      </c>
      <c r="I222" s="473"/>
      <c r="J222" s="168"/>
      <c r="K222" s="168"/>
    </row>
    <row r="223" spans="1:11">
      <c r="A223" s="163"/>
      <c r="B223" s="170" t="s">
        <v>73</v>
      </c>
      <c r="C223" s="530">
        <f>'[35]Sch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'[35]Sch D'!H9</f>
        <v>859</v>
      </c>
      <c r="D224" s="530"/>
      <c r="E224" s="234">
        <f t="shared" si="49"/>
        <v>859</v>
      </c>
      <c r="F224" s="233"/>
      <c r="G224" s="234">
        <f t="shared" si="47"/>
        <v>859</v>
      </c>
      <c r="H224" s="172">
        <f t="shared" si="48"/>
        <v>6.2228339611706748E-2</v>
      </c>
      <c r="I224" s="473"/>
      <c r="J224" s="168"/>
      <c r="K224" s="168"/>
    </row>
    <row r="225" spans="1:11">
      <c r="A225" s="163"/>
      <c r="B225" s="170" t="s">
        <v>236</v>
      </c>
      <c r="C225" s="530">
        <f>'[35]Sch D'!I9</f>
        <v>1294</v>
      </c>
      <c r="D225" s="530"/>
      <c r="E225" s="234">
        <f t="shared" si="49"/>
        <v>1294</v>
      </c>
      <c r="F225" s="233"/>
      <c r="G225" s="234">
        <f t="shared" si="47"/>
        <v>1294</v>
      </c>
      <c r="H225" s="172">
        <f t="shared" si="48"/>
        <v>9.3740944653723554E-2</v>
      </c>
      <c r="I225" s="473"/>
      <c r="J225" s="168"/>
      <c r="K225" s="168"/>
    </row>
    <row r="226" spans="1:11">
      <c r="A226" s="163"/>
      <c r="B226" s="170" t="s">
        <v>235</v>
      </c>
      <c r="C226" s="530">
        <f>'[35]Sch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'[35]Sch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13804</v>
      </c>
      <c r="D228" s="530">
        <f>SUM(D219:D227)</f>
        <v>0</v>
      </c>
      <c r="E228" s="236">
        <f>SUM(E219:E227)</f>
        <v>13804</v>
      </c>
      <c r="F228" s="236">
        <f>SUM(F219:F227)</f>
        <v>0</v>
      </c>
      <c r="G228" s="236">
        <f>SUM(G219:G227)</f>
        <v>13804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'[35]Sch D'!N22</f>
        <v>41</v>
      </c>
      <c r="D231" s="502"/>
      <c r="E231" s="234">
        <f>C231+D231</f>
        <v>41</v>
      </c>
      <c r="F231" s="234"/>
      <c r="G231" s="234">
        <f>E231+F231</f>
        <v>41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'[35]Sch D'!N24</f>
        <v>41</v>
      </c>
      <c r="D232" s="502"/>
      <c r="E232" s="234">
        <f>C232+D232</f>
        <v>41</v>
      </c>
      <c r="F232" s="234"/>
      <c r="G232" s="234">
        <f>E232+F232</f>
        <v>41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'[35]Sch D'!N28</f>
        <v>14965</v>
      </c>
      <c r="D235" s="438"/>
      <c r="E235" s="233">
        <f>E231*E233</f>
        <v>14965</v>
      </c>
      <c r="F235" s="238"/>
      <c r="G235" s="233">
        <f>G231*G233</f>
        <v>14965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'[35]Sch D'!N30</f>
        <v>0.9224189776144337</v>
      </c>
      <c r="D236" s="238"/>
      <c r="E236" s="242">
        <f>E228/E235</f>
        <v>0.9224189776144337</v>
      </c>
      <c r="F236" s="243"/>
      <c r="G236" s="242">
        <f>G228/G235</f>
        <v>0.9224189776144337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'[35]Sch D'!N32</f>
        <v>0.68232542599398593</v>
      </c>
      <c r="D237" s="238"/>
      <c r="E237" s="242">
        <f>(E219+E220)/E235</f>
        <v>0.68232542599398593</v>
      </c>
      <c r="F237" s="243"/>
      <c r="G237" s="242">
        <f>(G219+G220)/G235</f>
        <v>0.68232542599398593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'[35]Sch D'!N34</f>
        <v>0.73971312662996225</v>
      </c>
      <c r="D238" s="238"/>
      <c r="E238" s="242">
        <f>(E237/E236)</f>
        <v>0.73971312662996225</v>
      </c>
      <c r="F238" s="243"/>
      <c r="G238" s="242">
        <f>(G237/G236)</f>
        <v>0.73971312662996225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 ht="15.5">
      <c r="B241" s="148" t="s">
        <v>339</v>
      </c>
      <c r="D241"/>
      <c r="E241"/>
      <c r="F241" s="142" t="s">
        <v>340</v>
      </c>
      <c r="G241" s="501">
        <f>'[35]Sch B'!C85</f>
        <v>198.55039548022597</v>
      </c>
      <c r="I241" s="475"/>
    </row>
    <row r="242" spans="2:9" ht="15.5">
      <c r="D242"/>
      <c r="E242"/>
      <c r="F242" s="142" t="s">
        <v>341</v>
      </c>
      <c r="G242" s="501">
        <f>'[35]Sch B'!E85</f>
        <v>185.16720183486237</v>
      </c>
      <c r="I242" s="475"/>
    </row>
    <row r="243" spans="2:9" ht="15.5">
      <c r="D243"/>
      <c r="E243"/>
      <c r="F243" s="142" t="s">
        <v>342</v>
      </c>
      <c r="G243" s="501">
        <f>'[35]Sch B'!G85</f>
        <v>198.11167441860465</v>
      </c>
      <c r="I243" s="475"/>
    </row>
    <row r="244" spans="2:9" ht="15.5">
      <c r="D244"/>
      <c r="E244"/>
      <c r="F244" s="142" t="s">
        <v>343</v>
      </c>
      <c r="G244" s="501">
        <f>'[35]Sch B'!I85</f>
        <v>228.18120481927713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tabColor rgb="FFE28CAB"/>
  </sheetPr>
  <dimension ref="A1:O248"/>
  <sheetViews>
    <sheetView showGridLines="0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356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'[36]Sch B'!E10</f>
        <v>3912461.41</v>
      </c>
      <c r="D11" s="501">
        <f>'[36]Sch B'!G10</f>
        <v>0</v>
      </c>
      <c r="E11" s="171">
        <f>C11+D11</f>
        <v>3912461.41</v>
      </c>
      <c r="F11" s="171"/>
      <c r="G11" s="171">
        <f t="shared" ref="G11:G20" si="0">E11+F11</f>
        <v>3912461.41</v>
      </c>
      <c r="H11" s="172">
        <f t="shared" ref="H11:H21" si="1">IF($G$21=0,0,G11/$G$21)</f>
        <v>0.58947777769877829</v>
      </c>
      <c r="I11" s="473"/>
      <c r="J11" s="336" t="s">
        <v>344</v>
      </c>
      <c r="K11" s="337">
        <f>G21</f>
        <v>6637165.2299999995</v>
      </c>
    </row>
    <row r="12" spans="1:11" s="167" customFormat="1">
      <c r="A12" s="169" t="s">
        <v>15</v>
      </c>
      <c r="B12" s="170" t="s">
        <v>212</v>
      </c>
      <c r="C12" s="501">
        <f>'[36]Sch B'!E15</f>
        <v>496334.3</v>
      </c>
      <c r="D12" s="501">
        <f>'[36]Sch B'!G15</f>
        <v>0</v>
      </c>
      <c r="E12" s="171">
        <f t="shared" ref="E12:E20" si="2">C12+D12</f>
        <v>496334.3</v>
      </c>
      <c r="F12" s="171"/>
      <c r="G12" s="171">
        <f>E12+F12</f>
        <v>496334.3</v>
      </c>
      <c r="H12" s="172">
        <f t="shared" si="1"/>
        <v>7.4781067338291957E-2</v>
      </c>
      <c r="I12" s="473"/>
      <c r="J12" s="338" t="s">
        <v>345</v>
      </c>
      <c r="K12" s="339">
        <f>G208</f>
        <v>6223484.830000001</v>
      </c>
    </row>
    <row r="13" spans="1:11" s="167" customFormat="1">
      <c r="A13" s="169" t="s">
        <v>16</v>
      </c>
      <c r="B13" s="170" t="s">
        <v>170</v>
      </c>
      <c r="C13" s="501">
        <f>'[36]Sch B'!E21</f>
        <v>468297.22</v>
      </c>
      <c r="D13" s="501">
        <f>'[36]Sch B'!G21</f>
        <v>0</v>
      </c>
      <c r="E13" s="171">
        <f t="shared" si="2"/>
        <v>468297.22</v>
      </c>
      <c r="F13" s="171"/>
      <c r="G13" s="171">
        <f t="shared" si="0"/>
        <v>468297.22</v>
      </c>
      <c r="H13" s="172">
        <f t="shared" si="1"/>
        <v>7.0556812098529001E-2</v>
      </c>
      <c r="I13" s="473"/>
      <c r="J13" s="338" t="s">
        <v>346</v>
      </c>
      <c r="K13" s="339">
        <f>G228</f>
        <v>29031</v>
      </c>
    </row>
    <row r="14" spans="1:11" s="167" customFormat="1">
      <c r="A14" s="173" t="s">
        <v>18</v>
      </c>
      <c r="B14" s="174" t="s">
        <v>306</v>
      </c>
      <c r="C14" s="501">
        <f>'[36]Sch B'!E27</f>
        <v>0</v>
      </c>
      <c r="D14" s="501">
        <f>'[36]Sch B'!G27</f>
        <v>0</v>
      </c>
      <c r="E14" s="171">
        <f t="shared" si="2"/>
        <v>0</v>
      </c>
      <c r="F14" s="171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82</v>
      </c>
    </row>
    <row r="15" spans="1:11" s="167" customFormat="1">
      <c r="A15" s="169" t="s">
        <v>19</v>
      </c>
      <c r="B15" s="170" t="s">
        <v>171</v>
      </c>
      <c r="C15" s="501">
        <f>'[36]Sch B'!E32</f>
        <v>1019898.33</v>
      </c>
      <c r="D15" s="501">
        <f>'[36]Sch B'!G32</f>
        <v>0</v>
      </c>
      <c r="E15" s="171">
        <f t="shared" si="2"/>
        <v>1019898.33</v>
      </c>
      <c r="F15" s="171"/>
      <c r="G15" s="171">
        <f t="shared" si="0"/>
        <v>1019898.33</v>
      </c>
      <c r="H15" s="172">
        <f t="shared" si="1"/>
        <v>0.15366474912965214</v>
      </c>
      <c r="I15" s="473"/>
      <c r="J15" s="338" t="s">
        <v>348</v>
      </c>
      <c r="K15" s="339">
        <f>G235</f>
        <v>29930</v>
      </c>
    </row>
    <row r="16" spans="1:11" s="167" customFormat="1">
      <c r="A16" s="169" t="s">
        <v>21</v>
      </c>
      <c r="B16" s="170" t="s">
        <v>172</v>
      </c>
      <c r="C16" s="501">
        <f>'[36]Sch B'!E37</f>
        <v>415768.53</v>
      </c>
      <c r="D16" s="501">
        <f>'[36]Sch B'!G37</f>
        <v>0</v>
      </c>
      <c r="E16" s="171">
        <f t="shared" si="2"/>
        <v>415768.53</v>
      </c>
      <c r="F16" s="171"/>
      <c r="G16" s="171">
        <f t="shared" si="0"/>
        <v>415768.53</v>
      </c>
      <c r="H16" s="172">
        <f t="shared" si="1"/>
        <v>6.264248600000577E-2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'[36]Sch B'!E42</f>
        <v>188700</v>
      </c>
      <c r="D17" s="501">
        <f>'[36]Sch B'!G42</f>
        <v>0</v>
      </c>
      <c r="E17" s="171">
        <f t="shared" si="2"/>
        <v>188700</v>
      </c>
      <c r="F17" s="171"/>
      <c r="G17" s="171">
        <f>E17+F17</f>
        <v>188700</v>
      </c>
      <c r="H17" s="172">
        <f t="shared" si="1"/>
        <v>2.8430812472028819E-2</v>
      </c>
      <c r="I17" s="473"/>
      <c r="J17" s="338" t="s">
        <v>156</v>
      </c>
      <c r="K17" s="339">
        <f>J208</f>
        <v>160604</v>
      </c>
    </row>
    <row r="18" spans="1:11" s="167" customFormat="1" ht="13.5" thickBot="1">
      <c r="A18" s="169" t="s">
        <v>216</v>
      </c>
      <c r="B18" s="170" t="s">
        <v>229</v>
      </c>
      <c r="C18" s="501">
        <f>'[36]Sch B'!E47</f>
        <v>0</v>
      </c>
      <c r="D18" s="501">
        <f>'[36]Sch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172164</v>
      </c>
    </row>
    <row r="19" spans="1:11" s="167" customFormat="1">
      <c r="A19" s="169" t="s">
        <v>227</v>
      </c>
      <c r="B19" s="177" t="s">
        <v>173</v>
      </c>
      <c r="C19" s="501">
        <f>'[36]Sch B'!E52</f>
        <v>30063.599999999999</v>
      </c>
      <c r="D19" s="501">
        <f>'[36]Sch B'!G52</f>
        <v>0</v>
      </c>
      <c r="E19" s="171">
        <f t="shared" si="2"/>
        <v>30063.599999999999</v>
      </c>
      <c r="F19" s="171"/>
      <c r="G19" s="171">
        <f t="shared" si="0"/>
        <v>30063.599999999999</v>
      </c>
      <c r="H19" s="172">
        <f t="shared" si="1"/>
        <v>4.5295843870380792E-3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'[36]Sch B'!E67</f>
        <v>105641.84</v>
      </c>
      <c r="D20" s="501">
        <f>'[36]Sch B'!G67</f>
        <v>0</v>
      </c>
      <c r="E20" s="171">
        <f t="shared" si="2"/>
        <v>105641.84</v>
      </c>
      <c r="F20" s="171"/>
      <c r="G20" s="171">
        <f t="shared" si="0"/>
        <v>105641.84</v>
      </c>
      <c r="H20" s="172">
        <f t="shared" si="1"/>
        <v>1.591671087567606E-2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6637165.2299999995</v>
      </c>
      <c r="D21" s="501">
        <f>SUM(D11:D20)</f>
        <v>0</v>
      </c>
      <c r="E21" s="171">
        <f>SUM(E11:E20)</f>
        <v>6637165.2299999995</v>
      </c>
      <c r="F21" s="171">
        <f>SUM(F11:F20)</f>
        <v>0</v>
      </c>
      <c r="G21" s="171">
        <f>SUM(G11:G20)</f>
        <v>6637165.2299999995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'[36]Sch C'!D10</f>
        <v>142620</v>
      </c>
      <c r="D25" s="501">
        <f>'[36]Sch C'!F10</f>
        <v>0</v>
      </c>
      <c r="E25" s="171">
        <f t="shared" ref="E25:E60" si="3">C25+D25</f>
        <v>142620</v>
      </c>
      <c r="F25" s="171"/>
      <c r="G25" s="182">
        <f>E25+F25</f>
        <v>142620</v>
      </c>
      <c r="H25" s="172">
        <f>IF($G$208=0,0,G25/$G$208)</f>
        <v>2.2916421248832704E-2</v>
      </c>
      <c r="I25" s="473"/>
      <c r="J25" s="183">
        <v>2737</v>
      </c>
      <c r="K25" s="183">
        <v>2889</v>
      </c>
    </row>
    <row r="26" spans="1:11" s="167" customFormat="1">
      <c r="A26" s="169" t="s">
        <v>84</v>
      </c>
      <c r="B26" s="170" t="s">
        <v>176</v>
      </c>
      <c r="C26" s="501">
        <f>'[36]Sch C'!D11</f>
        <v>0</v>
      </c>
      <c r="D26" s="501">
        <f>'[36]Sch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'[36]Sch C'!D12</f>
        <v>149810.46</v>
      </c>
      <c r="D27" s="501">
        <f>'[36]Sch C'!F12</f>
        <v>0</v>
      </c>
      <c r="E27" s="171">
        <f t="shared" si="3"/>
        <v>149810.46</v>
      </c>
      <c r="F27" s="171"/>
      <c r="G27" s="171">
        <f t="shared" si="4"/>
        <v>149810.46</v>
      </c>
      <c r="H27" s="172">
        <f t="shared" si="5"/>
        <v>2.4071796443986829E-2</v>
      </c>
      <c r="I27" s="473"/>
      <c r="J27" s="183">
        <v>4047</v>
      </c>
      <c r="K27" s="183">
        <v>4351</v>
      </c>
    </row>
    <row r="28" spans="1:11" s="167" customFormat="1">
      <c r="A28" s="169" t="s">
        <v>86</v>
      </c>
      <c r="B28" s="170" t="s">
        <v>45</v>
      </c>
      <c r="C28" s="501">
        <f>'[36]Sch C'!D13</f>
        <v>22771</v>
      </c>
      <c r="D28" s="501">
        <f>'[36]Sch C'!F13</f>
        <v>0</v>
      </c>
      <c r="E28" s="171">
        <f t="shared" si="3"/>
        <v>22771</v>
      </c>
      <c r="F28" s="171"/>
      <c r="G28" s="171">
        <f t="shared" si="4"/>
        <v>22771</v>
      </c>
      <c r="H28" s="172">
        <f t="shared" si="5"/>
        <v>3.6588825428212697E-3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'[36]Sch C'!D14</f>
        <v>0</v>
      </c>
      <c r="D29" s="501">
        <f>'[36]Sch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'[36]Sch C'!D15</f>
        <v>0</v>
      </c>
      <c r="D30" s="501">
        <f>'[36]Sch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'[36]Sch C'!D16</f>
        <v>0</v>
      </c>
      <c r="D31" s="501">
        <f>'[36]Sch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'[36]Sch C'!D17</f>
        <v>8413.6299999999992</v>
      </c>
      <c r="D32" s="501">
        <f>'[36]Sch C'!F17</f>
        <v>0</v>
      </c>
      <c r="E32" s="171">
        <f t="shared" si="3"/>
        <v>8413.6299999999992</v>
      </c>
      <c r="F32" s="171"/>
      <c r="G32" s="171">
        <f t="shared" si="4"/>
        <v>8413.6299999999992</v>
      </c>
      <c r="H32" s="172">
        <f t="shared" si="5"/>
        <v>1.3519162060848147E-3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'[36]Sch C'!D18</f>
        <v>18708.84</v>
      </c>
      <c r="D33" s="501">
        <f>'[36]Sch C'!F18</f>
        <v>0</v>
      </c>
      <c r="E33" s="171">
        <f t="shared" si="3"/>
        <v>18708.84</v>
      </c>
      <c r="F33" s="171"/>
      <c r="G33" s="171">
        <f t="shared" si="4"/>
        <v>18708.84</v>
      </c>
      <c r="H33" s="172">
        <f t="shared" si="5"/>
        <v>3.0061678482471688E-3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'[36]Sch C'!D19</f>
        <v>12169.6</v>
      </c>
      <c r="D34" s="501">
        <f>'[36]Sch C'!F19</f>
        <v>0</v>
      </c>
      <c r="E34" s="171">
        <f t="shared" si="3"/>
        <v>12169.6</v>
      </c>
      <c r="F34" s="171"/>
      <c r="G34" s="171">
        <f t="shared" si="4"/>
        <v>12169.6</v>
      </c>
      <c r="H34" s="172">
        <f t="shared" si="5"/>
        <v>1.955431776958312E-3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'[36]Sch C'!D20</f>
        <v>34344.47</v>
      </c>
      <c r="D35" s="501">
        <f>'[36]Sch C'!F20</f>
        <v>0</v>
      </c>
      <c r="E35" s="171">
        <f t="shared" si="3"/>
        <v>34344.47</v>
      </c>
      <c r="F35" s="171"/>
      <c r="G35" s="171">
        <f t="shared" si="4"/>
        <v>34344.47</v>
      </c>
      <c r="H35" s="172">
        <f t="shared" si="5"/>
        <v>5.5185271496837563E-3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'[36]Sch C'!D21</f>
        <v>3520</v>
      </c>
      <c r="D36" s="501">
        <f>'[36]Sch C'!F21</f>
        <v>0</v>
      </c>
      <c r="E36" s="171">
        <f t="shared" si="3"/>
        <v>3520</v>
      </c>
      <c r="F36" s="171"/>
      <c r="G36" s="171">
        <f t="shared" si="4"/>
        <v>3520</v>
      </c>
      <c r="H36" s="172">
        <f t="shared" si="5"/>
        <v>5.6559951476574887E-4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'[36]Sch C'!D22</f>
        <v>0</v>
      </c>
      <c r="D37" s="501">
        <f>'[36]Sch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'[36]Sch C'!D23</f>
        <v>17813.43</v>
      </c>
      <c r="D38" s="501">
        <f>'[36]Sch C'!F23</f>
        <v>-16056.21</v>
      </c>
      <c r="E38" s="171">
        <f t="shared" si="3"/>
        <v>1757.2200000000012</v>
      </c>
      <c r="F38" s="171"/>
      <c r="G38" s="171">
        <f t="shared" si="4"/>
        <v>1757.2200000000012</v>
      </c>
      <c r="H38" s="172">
        <f t="shared" si="5"/>
        <v>2.8235306231155397E-4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'[36]Sch C'!D24</f>
        <v>17901.64</v>
      </c>
      <c r="D39" s="501">
        <f>'[36]Sch C'!F24</f>
        <v>0</v>
      </c>
      <c r="E39" s="171">
        <f t="shared" si="3"/>
        <v>17901.64</v>
      </c>
      <c r="F39" s="171"/>
      <c r="G39" s="171">
        <f t="shared" si="4"/>
        <v>17901.64</v>
      </c>
      <c r="H39" s="172">
        <f t="shared" si="5"/>
        <v>2.8764655958838413E-3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'[36]Sch C'!D25</f>
        <v>0</v>
      </c>
      <c r="D40" s="501">
        <f>'[36]Sch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'[36]Sch C'!D26</f>
        <v>487671.02</v>
      </c>
      <c r="D41" s="501">
        <f>'[36]Sch C'!F26</f>
        <v>0</v>
      </c>
      <c r="E41" s="171">
        <f t="shared" si="3"/>
        <v>487671.02</v>
      </c>
      <c r="F41" s="171"/>
      <c r="G41" s="171">
        <f t="shared" si="4"/>
        <v>487671.02</v>
      </c>
      <c r="H41" s="172">
        <f t="shared" si="5"/>
        <v>7.8359798942419845E-2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'[36]Sch C'!D27</f>
        <v>33113</v>
      </c>
      <c r="D42" s="501">
        <f>'[36]Sch C'!F27</f>
        <v>0</v>
      </c>
      <c r="E42" s="171">
        <f t="shared" si="3"/>
        <v>33113</v>
      </c>
      <c r="F42" s="171"/>
      <c r="G42" s="171">
        <f t="shared" si="4"/>
        <v>33113</v>
      </c>
      <c r="H42" s="172">
        <f t="shared" si="5"/>
        <v>5.3206524808063196E-3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'[36]Sch C'!D28</f>
        <v>0</v>
      </c>
      <c r="D43" s="501">
        <f>'[36]Sch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'[36]Sch C'!D29</f>
        <v>27829.38</v>
      </c>
      <c r="D44" s="501">
        <f>'[36]Sch C'!F29</f>
        <v>-27829.38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'[36]Sch C'!D30</f>
        <v>0</v>
      </c>
      <c r="D45" s="501">
        <f>'[36]Sch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'[36]Sch C'!D31</f>
        <v>30699.66</v>
      </c>
      <c r="D46" s="501">
        <f>'[36]Sch C'!F31</f>
        <v>0</v>
      </c>
      <c r="E46" s="171">
        <f t="shared" si="3"/>
        <v>30699.66</v>
      </c>
      <c r="F46" s="171"/>
      <c r="G46" s="171">
        <f t="shared" si="4"/>
        <v>30699.66</v>
      </c>
      <c r="H46" s="172">
        <f t="shared" si="5"/>
        <v>4.9328729543958727E-3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'[36]Sch C'!D32</f>
        <v>74187.839999999997</v>
      </c>
      <c r="D47" s="501">
        <f>'[36]Sch C'!F32</f>
        <v>0</v>
      </c>
      <c r="E47" s="171">
        <f t="shared" si="3"/>
        <v>74187.839999999997</v>
      </c>
      <c r="F47" s="171"/>
      <c r="G47" s="171">
        <f t="shared" si="4"/>
        <v>74187.839999999997</v>
      </c>
      <c r="H47" s="172">
        <f t="shared" si="5"/>
        <v>1.192062679134063E-2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'[36]Sch C'!D33</f>
        <v>0</v>
      </c>
      <c r="D48" s="501">
        <f>'[36]Sch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'[36]Sch C'!D34</f>
        <v>0</v>
      </c>
      <c r="D49" s="501">
        <f>'[36]Sch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'[36]Sch C'!D35</f>
        <v>0</v>
      </c>
      <c r="D50" s="501">
        <f>'[36]Sch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'[36]Sch C'!D36</f>
        <v>58507.25</v>
      </c>
      <c r="D51" s="501">
        <f>'[36]Sch C'!F36</f>
        <v>0</v>
      </c>
      <c r="E51" s="171">
        <f t="shared" si="3"/>
        <v>58507.25</v>
      </c>
      <c r="F51" s="171"/>
      <c r="G51" s="171">
        <f t="shared" si="4"/>
        <v>58507.25</v>
      </c>
      <c r="H51" s="172">
        <f t="shared" si="5"/>
        <v>9.4010432415563526E-3</v>
      </c>
      <c r="I51" s="473"/>
      <c r="J51" s="183">
        <v>2665</v>
      </c>
      <c r="K51" s="183">
        <v>2817</v>
      </c>
    </row>
    <row r="52" spans="1:11" s="167" customFormat="1">
      <c r="A52" s="163">
        <v>290</v>
      </c>
      <c r="B52" s="170" t="s">
        <v>205</v>
      </c>
      <c r="C52" s="501">
        <f>'[36]Sch C'!D37</f>
        <v>4949.8100000000004</v>
      </c>
      <c r="D52" s="501">
        <f>'[36]Sch C'!F37</f>
        <v>0</v>
      </c>
      <c r="E52" s="171">
        <f t="shared" si="3"/>
        <v>4949.8100000000004</v>
      </c>
      <c r="F52" s="171"/>
      <c r="G52" s="171">
        <f t="shared" si="4"/>
        <v>4949.8100000000004</v>
      </c>
      <c r="H52" s="172">
        <f t="shared" si="5"/>
        <v>7.953437881200716E-4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'[36]Sch C'!D38</f>
        <v>0</v>
      </c>
      <c r="D53" s="501">
        <f>'[36]Sch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'[36]Sch C'!D39</f>
        <v>4449.6000000000004</v>
      </c>
      <c r="D54" s="501">
        <f>'[36]Sch C'!F39</f>
        <v>0</v>
      </c>
      <c r="E54" s="171">
        <f t="shared" si="3"/>
        <v>4449.6000000000004</v>
      </c>
      <c r="F54" s="171"/>
      <c r="G54" s="171">
        <f t="shared" si="4"/>
        <v>4449.6000000000004</v>
      </c>
      <c r="H54" s="172">
        <f t="shared" si="5"/>
        <v>7.1496920480161271E-4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'[36]Sch C'!D40</f>
        <v>4466.0200000000004</v>
      </c>
      <c r="D55" s="501">
        <f>'[36]Sch C'!F40</f>
        <v>0</v>
      </c>
      <c r="E55" s="171">
        <f t="shared" si="3"/>
        <v>4466.0200000000004</v>
      </c>
      <c r="F55" s="171"/>
      <c r="G55" s="171">
        <f t="shared" si="4"/>
        <v>4466.0200000000004</v>
      </c>
      <c r="H55" s="172">
        <f t="shared" si="5"/>
        <v>7.1760759799265061E-4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'[36]Sch C'!D41</f>
        <v>1778.88</v>
      </c>
      <c r="D56" s="501">
        <f>'[36]Sch C'!F41</f>
        <v>0</v>
      </c>
      <c r="E56" s="171">
        <f t="shared" si="3"/>
        <v>1778.88</v>
      </c>
      <c r="F56" s="171"/>
      <c r="G56" s="171">
        <f t="shared" si="4"/>
        <v>1778.88</v>
      </c>
      <c r="H56" s="172">
        <f t="shared" si="5"/>
        <v>2.8583342750752714E-4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'[36]Sch C'!D42</f>
        <v>0</v>
      </c>
      <c r="D57" s="501">
        <f>'[36]Sch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'[36]Sch C'!D43</f>
        <v>0</v>
      </c>
      <c r="D58" s="501">
        <f>'[36]Sch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'[36]Sch C'!D44</f>
        <v>0</v>
      </c>
      <c r="D59" s="501">
        <f>'[36]Sch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'[36]Sch C'!D45</f>
        <v>0</v>
      </c>
      <c r="D60" s="501">
        <f>'[36]Sch C'!F45</f>
        <v>0</v>
      </c>
      <c r="E60" s="171">
        <f t="shared" si="3"/>
        <v>0</v>
      </c>
      <c r="F60" s="171"/>
      <c r="G60" s="171">
        <f t="shared" si="4"/>
        <v>0</v>
      </c>
      <c r="H60" s="172">
        <f t="shared" si="5"/>
        <v>0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1155725.5300000003</v>
      </c>
      <c r="D61" s="501">
        <f>SUM(D25:D60)</f>
        <v>-43885.59</v>
      </c>
      <c r="E61" s="171">
        <f t="shared" ref="E61:F61" si="6">SUM(E25:E60)</f>
        <v>1111839.94</v>
      </c>
      <c r="F61" s="171">
        <f t="shared" si="6"/>
        <v>0</v>
      </c>
      <c r="G61" s="171">
        <f>SUM(G25:G60)</f>
        <v>1111839.94</v>
      </c>
      <c r="H61" s="186">
        <f t="shared" si="5"/>
        <v>0.17865230981851687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'[36]Sch C'!D57</f>
        <v>280968</v>
      </c>
      <c r="D64" s="501">
        <f>'[36]Sch C'!F57</f>
        <v>-280968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'[36]Sch C'!D58</f>
        <v>19823</v>
      </c>
      <c r="D65" s="501">
        <f>'[36]Sch C'!F58</f>
        <v>81765</v>
      </c>
      <c r="E65" s="171">
        <f t="shared" si="7"/>
        <v>101588</v>
      </c>
      <c r="F65" s="171"/>
      <c r="G65" s="171">
        <f t="shared" si="8"/>
        <v>101588</v>
      </c>
      <c r="H65" s="172">
        <f t="shared" si="9"/>
        <v>1.6323330541483778E-2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'[36]Sch C'!D59</f>
        <v>0</v>
      </c>
      <c r="D66" s="501">
        <f>'[36]Sch C'!F59</f>
        <v>161673</v>
      </c>
      <c r="E66" s="171">
        <f t="shared" si="7"/>
        <v>161673</v>
      </c>
      <c r="F66" s="171"/>
      <c r="G66" s="171">
        <f t="shared" si="8"/>
        <v>161673</v>
      </c>
      <c r="H66" s="172">
        <f t="shared" si="9"/>
        <v>2.5977889304182648E-2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'[36]Sch C'!D60</f>
        <v>0</v>
      </c>
      <c r="D67" s="501">
        <f>'[36]Sch C'!F60</f>
        <v>24471.360000000001</v>
      </c>
      <c r="E67" s="171">
        <f t="shared" si="7"/>
        <v>24471.360000000001</v>
      </c>
      <c r="F67" s="171"/>
      <c r="G67" s="171">
        <f t="shared" si="8"/>
        <v>24471.360000000001</v>
      </c>
      <c r="H67" s="172">
        <f t="shared" si="9"/>
        <v>3.9320992447891929E-3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'[36]Sch C'!D61</f>
        <v>0</v>
      </c>
      <c r="D68" s="501">
        <f>'[36]Sch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'[36]Sch C'!D62</f>
        <v>56178</v>
      </c>
      <c r="D69" s="501">
        <f>'[36]Sch C'!F62</f>
        <v>0</v>
      </c>
      <c r="E69" s="171">
        <f t="shared" si="7"/>
        <v>56178</v>
      </c>
      <c r="F69" s="171"/>
      <c r="G69" s="171">
        <f t="shared" si="8"/>
        <v>56178</v>
      </c>
      <c r="H69" s="172">
        <f t="shared" si="9"/>
        <v>9.0267754376449558E-3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'[36]Sch C'!D63</f>
        <v>4062.67</v>
      </c>
      <c r="D70" s="501">
        <f>'[36]Sch C'!F63</f>
        <v>0</v>
      </c>
      <c r="E70" s="171">
        <f t="shared" si="7"/>
        <v>4062.67</v>
      </c>
      <c r="F70" s="171"/>
      <c r="G70" s="171">
        <f t="shared" si="8"/>
        <v>4062.67</v>
      </c>
      <c r="H70" s="172">
        <f t="shared" si="9"/>
        <v>6.5279664223106962E-4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'[36]Sch C'!D64</f>
        <v>0</v>
      </c>
      <c r="D71" s="501">
        <f>'[36]Sch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'[36]Sch C'!D65</f>
        <v>14447.97</v>
      </c>
      <c r="D72" s="501">
        <f>'[36]Sch C'!F65</f>
        <v>0</v>
      </c>
      <c r="E72" s="171">
        <f t="shared" si="7"/>
        <v>14447.97</v>
      </c>
      <c r="F72" s="171"/>
      <c r="G72" s="171">
        <f t="shared" si="8"/>
        <v>14447.97</v>
      </c>
      <c r="H72" s="172">
        <f t="shared" si="9"/>
        <v>2.3215240969744594E-3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'[36]Sch C'!D66</f>
        <v>1773.99</v>
      </c>
      <c r="D73" s="501">
        <f>'[36]Sch C'!F66</f>
        <v>0</v>
      </c>
      <c r="E73" s="171">
        <f t="shared" si="7"/>
        <v>1773.99</v>
      </c>
      <c r="F73" s="171"/>
      <c r="G73" s="171">
        <f t="shared" si="8"/>
        <v>1773.99</v>
      </c>
      <c r="H73" s="172">
        <f t="shared" si="9"/>
        <v>2.8504769409070768E-4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'[36]Sch C'!D67</f>
        <v>69331</v>
      </c>
      <c r="D74" s="501">
        <f>'[36]Sch C'!F67</f>
        <v>0</v>
      </c>
      <c r="E74" s="171">
        <f t="shared" si="7"/>
        <v>69331</v>
      </c>
      <c r="F74" s="171"/>
      <c r="G74" s="171">
        <f t="shared" si="8"/>
        <v>69331</v>
      </c>
      <c r="H74" s="172">
        <f t="shared" si="9"/>
        <v>1.1140221579040948E-2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'[36]Sch C'!D68</f>
        <v>37171</v>
      </c>
      <c r="D75" s="501">
        <f>'[36]Sch C'!F68</f>
        <v>-37171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'[36]Sch C'!D69</f>
        <v>1635.8</v>
      </c>
      <c r="D76" s="501">
        <f>'[36]Sch C'!F69</f>
        <v>0</v>
      </c>
      <c r="E76" s="171">
        <f t="shared" si="7"/>
        <v>1635.8</v>
      </c>
      <c r="F76" s="171"/>
      <c r="G76" s="171">
        <f t="shared" si="8"/>
        <v>1635.8</v>
      </c>
      <c r="H76" s="172">
        <f t="shared" si="9"/>
        <v>2.6284309268574207E-4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'[36]Sch C'!D70</f>
        <v>0</v>
      </c>
      <c r="D77" s="501">
        <f>'[36]Sch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'[36]Sch C'!D71</f>
        <v>0</v>
      </c>
      <c r="D78" s="501">
        <f>'[36]Sch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485391.42999999993</v>
      </c>
      <c r="D79" s="501">
        <f>SUM(D64:D78)</f>
        <v>-50229.64</v>
      </c>
      <c r="E79" s="171">
        <f t="shared" ref="E79:F79" si="10">SUM(E64:E78)</f>
        <v>435161.78999999992</v>
      </c>
      <c r="F79" s="171">
        <f t="shared" si="10"/>
        <v>0</v>
      </c>
      <c r="G79" s="171">
        <f>SUM(G64:G78)</f>
        <v>435161.78999999992</v>
      </c>
      <c r="H79" s="172">
        <f t="shared" si="9"/>
        <v>6.9922527633123496E-2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'[36]Sch C'!D75</f>
        <v>172712.54</v>
      </c>
      <c r="D82" s="501">
        <f>'[36]Sch C'!F75</f>
        <v>0</v>
      </c>
      <c r="E82" s="171">
        <f t="shared" ref="E82:E92" si="11">C82+D82</f>
        <v>172712.54</v>
      </c>
      <c r="F82" s="171"/>
      <c r="G82" s="171">
        <f t="shared" ref="G82:G92" si="12">E82+F82</f>
        <v>172712.54</v>
      </c>
      <c r="H82" s="172">
        <f t="shared" ref="H82:H93" si="13">IF($G$208=0,0,G82/$G$208)</f>
        <v>2.7751741141465912E-2</v>
      </c>
      <c r="I82" s="473"/>
      <c r="J82" s="183">
        <v>6712</v>
      </c>
      <c r="K82" s="183">
        <v>7168</v>
      </c>
    </row>
    <row r="83" spans="1:11" s="167" customFormat="1">
      <c r="A83" s="169" t="s">
        <v>86</v>
      </c>
      <c r="B83" s="199" t="s">
        <v>45</v>
      </c>
      <c r="C83" s="501">
        <f>'[36]Sch C'!D76</f>
        <v>12261</v>
      </c>
      <c r="D83" s="501">
        <f>'[36]Sch C'!F76</f>
        <v>0</v>
      </c>
      <c r="E83" s="171">
        <f t="shared" si="11"/>
        <v>12261</v>
      </c>
      <c r="F83" s="171"/>
      <c r="G83" s="171">
        <f t="shared" si="12"/>
        <v>12261</v>
      </c>
      <c r="H83" s="172">
        <f t="shared" si="13"/>
        <v>1.9701180825405819E-3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'[36]Sch C'!D77</f>
        <v>63221.32</v>
      </c>
      <c r="D84" s="501">
        <f>'[36]Sch C'!F77</f>
        <v>0</v>
      </c>
      <c r="E84" s="171">
        <f t="shared" si="11"/>
        <v>63221.32</v>
      </c>
      <c r="F84" s="171"/>
      <c r="G84" s="171">
        <f t="shared" si="12"/>
        <v>63221.32</v>
      </c>
      <c r="H84" s="172">
        <f t="shared" si="13"/>
        <v>1.0158507930355153E-2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'[36]Sch C'!D78</f>
        <v>10065.42</v>
      </c>
      <c r="D85" s="501">
        <f>'[36]Sch C'!F78</f>
        <v>0</v>
      </c>
      <c r="E85" s="171">
        <f t="shared" si="11"/>
        <v>10065.42</v>
      </c>
      <c r="F85" s="171"/>
      <c r="G85" s="171">
        <f t="shared" si="12"/>
        <v>10065.42</v>
      </c>
      <c r="H85" s="172">
        <f t="shared" si="13"/>
        <v>1.6173285988390525E-3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'[36]Sch C'!D79</f>
        <v>0</v>
      </c>
      <c r="D86" s="501">
        <f>'[36]Sch C'!F79</f>
        <v>0</v>
      </c>
      <c r="E86" s="171">
        <f t="shared" si="11"/>
        <v>0</v>
      </c>
      <c r="F86" s="171"/>
      <c r="G86" s="171">
        <f>E86+F86</f>
        <v>0</v>
      </c>
      <c r="H86" s="172">
        <f t="shared" si="13"/>
        <v>0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'[36]Sch C'!D80</f>
        <v>28811.38</v>
      </c>
      <c r="D87" s="501">
        <f>'[36]Sch C'!F80</f>
        <v>0</v>
      </c>
      <c r="E87" s="171">
        <f t="shared" si="11"/>
        <v>28811.38</v>
      </c>
      <c r="F87" s="171"/>
      <c r="G87" s="171">
        <f t="shared" si="12"/>
        <v>28811.38</v>
      </c>
      <c r="H87" s="172">
        <f t="shared" si="13"/>
        <v>4.6294609510601145E-3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'[36]Sch C'!D81</f>
        <v>0</v>
      </c>
      <c r="D88" s="501">
        <f>'[36]Sch C'!F81</f>
        <v>0</v>
      </c>
      <c r="E88" s="171">
        <f t="shared" si="11"/>
        <v>0</v>
      </c>
      <c r="F88" s="171"/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'[36]Sch C'!D82</f>
        <v>0</v>
      </c>
      <c r="D89" s="501">
        <f>'[36]Sch C'!F82</f>
        <v>0</v>
      </c>
      <c r="E89" s="171">
        <f t="shared" si="11"/>
        <v>0</v>
      </c>
      <c r="F89" s="171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'[36]Sch C'!D83</f>
        <v>29709.040000000001</v>
      </c>
      <c r="D90" s="501">
        <f>'[36]Sch C'!F83</f>
        <v>0</v>
      </c>
      <c r="E90" s="171">
        <f t="shared" si="11"/>
        <v>29709.040000000001</v>
      </c>
      <c r="F90" s="171"/>
      <c r="G90" s="171">
        <f t="shared" si="12"/>
        <v>29709.040000000001</v>
      </c>
      <c r="H90" s="172">
        <f t="shared" si="13"/>
        <v>4.7736984682262007E-3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'[36]Sch C'!D84</f>
        <v>104042.43</v>
      </c>
      <c r="D91" s="501">
        <f>'[36]Sch C'!F84</f>
        <v>0</v>
      </c>
      <c r="E91" s="171">
        <f t="shared" si="11"/>
        <v>104042.43</v>
      </c>
      <c r="F91" s="171"/>
      <c r="G91" s="171">
        <f t="shared" si="12"/>
        <v>104042.43</v>
      </c>
      <c r="H91" s="172">
        <f t="shared" si="13"/>
        <v>1.6717712478139031E-2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'[36]Sch C'!D85</f>
        <v>0</v>
      </c>
      <c r="D92" s="501">
        <f>'[36]Sch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420823.13</v>
      </c>
      <c r="D93" s="501">
        <f>SUM(D82:D92)</f>
        <v>0</v>
      </c>
      <c r="E93" s="171">
        <f t="shared" ref="E93:F93" si="14">SUM(E82:E92)</f>
        <v>420823.13</v>
      </c>
      <c r="F93" s="171">
        <f t="shared" si="14"/>
        <v>0</v>
      </c>
      <c r="G93" s="171">
        <f>SUM(G82:G92)</f>
        <v>420823.13</v>
      </c>
      <c r="H93" s="172">
        <f t="shared" si="13"/>
        <v>6.7618567650626044E-2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'[36]Sch C'!D89</f>
        <v>259192.48</v>
      </c>
      <c r="D96" s="501">
        <f>'[36]Sch C'!F89</f>
        <v>0</v>
      </c>
      <c r="E96" s="171">
        <f t="shared" ref="E96:E101" si="15">C96+D96</f>
        <v>259192.48</v>
      </c>
      <c r="F96" s="171"/>
      <c r="G96" s="171">
        <f t="shared" ref="G96:G101" si="16">E96+F96</f>
        <v>259192.48</v>
      </c>
      <c r="H96" s="172">
        <f t="shared" ref="H96:H102" si="17">IF($G$208=0,0,G96/$G$208)</f>
        <v>4.1647483215605421E-2</v>
      </c>
      <c r="I96" s="473"/>
      <c r="J96" s="183">
        <v>16332</v>
      </c>
      <c r="K96" s="183">
        <v>17548</v>
      </c>
    </row>
    <row r="97" spans="1:11" s="167" customFormat="1">
      <c r="A97" s="169" t="s">
        <v>86</v>
      </c>
      <c r="B97" s="170" t="s">
        <v>45</v>
      </c>
      <c r="C97" s="501">
        <f>'[36]Sch C'!D90</f>
        <v>23647.360000000001</v>
      </c>
      <c r="D97" s="501">
        <f>'[36]Sch C'!F90</f>
        <v>0</v>
      </c>
      <c r="E97" s="171">
        <f t="shared" si="15"/>
        <v>23647.360000000001</v>
      </c>
      <c r="F97" s="171"/>
      <c r="G97" s="171">
        <f t="shared" si="16"/>
        <v>23647.360000000001</v>
      </c>
      <c r="H97" s="172">
        <f t="shared" si="17"/>
        <v>3.7996975401963012E-3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'[36]Sch C'!D91</f>
        <v>10397.15</v>
      </c>
      <c r="D98" s="501">
        <f>'[36]Sch C'!F91</f>
        <v>0</v>
      </c>
      <c r="E98" s="171">
        <f t="shared" si="15"/>
        <v>10397.15</v>
      </c>
      <c r="F98" s="171"/>
      <c r="G98" s="171">
        <f t="shared" si="16"/>
        <v>10397.15</v>
      </c>
      <c r="H98" s="172">
        <f t="shared" si="17"/>
        <v>1.6706315326553143E-3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'[36]Sch C'!D92</f>
        <v>279258.55</v>
      </c>
      <c r="D99" s="501">
        <f>'[36]Sch C'!F92</f>
        <v>0</v>
      </c>
      <c r="E99" s="171">
        <f t="shared" si="15"/>
        <v>279258.55</v>
      </c>
      <c r="F99" s="171"/>
      <c r="G99" s="171">
        <f t="shared" si="16"/>
        <v>279258.55</v>
      </c>
      <c r="H99" s="172">
        <f t="shared" si="17"/>
        <v>4.4871733060848476E-2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'[36]Sch C'!D93</f>
        <v>1246.79</v>
      </c>
      <c r="D100" s="501">
        <f>'[36]Sch C'!F93</f>
        <v>0</v>
      </c>
      <c r="E100" s="171">
        <f t="shared" si="15"/>
        <v>1246.79</v>
      </c>
      <c r="F100" s="171"/>
      <c r="G100" s="171">
        <f t="shared" si="16"/>
        <v>1246.79</v>
      </c>
      <c r="H100" s="172">
        <f t="shared" si="17"/>
        <v>2.0033631222011024E-4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'[36]Sch C'!D94</f>
        <v>0</v>
      </c>
      <c r="D101" s="501">
        <f>'[36]Sch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573742.33000000007</v>
      </c>
      <c r="D102" s="501">
        <f>SUM(D96:D101)</f>
        <v>0</v>
      </c>
      <c r="E102" s="171">
        <f t="shared" ref="E102:F102" si="18">SUM(E96:E101)</f>
        <v>573742.33000000007</v>
      </c>
      <c r="F102" s="171">
        <f t="shared" si="18"/>
        <v>0</v>
      </c>
      <c r="G102" s="171">
        <f>SUM(G96:G101)</f>
        <v>573742.33000000007</v>
      </c>
      <c r="H102" s="172">
        <f t="shared" si="17"/>
        <v>9.2189881661525641E-2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'[36]Sch C'!D98</f>
        <v>87145.73</v>
      </c>
      <c r="D105" s="501">
        <f>'[36]Sch C'!F98</f>
        <v>0</v>
      </c>
      <c r="E105" s="171">
        <f t="shared" ref="E105:E110" si="19">C105+D105</f>
        <v>87145.73</v>
      </c>
      <c r="F105" s="171"/>
      <c r="G105" s="171">
        <f t="shared" ref="G105:G110" si="20">E105+F105</f>
        <v>87145.73</v>
      </c>
      <c r="H105" s="172">
        <f t="shared" ref="H105:H111" si="21">IF($G$208=0,0,G105/$G$208)</f>
        <v>1.4002722330087206E-2</v>
      </c>
      <c r="I105" s="473"/>
      <c r="J105" s="183">
        <v>6278</v>
      </c>
      <c r="K105" s="183">
        <v>6734</v>
      </c>
    </row>
    <row r="106" spans="1:11" s="167" customFormat="1">
      <c r="A106" s="169" t="s">
        <v>86</v>
      </c>
      <c r="B106" s="170" t="s">
        <v>45</v>
      </c>
      <c r="C106" s="501">
        <f>'[36]Sch C'!D99</f>
        <v>7911.63</v>
      </c>
      <c r="D106" s="501">
        <f>'[36]Sch C'!F99</f>
        <v>0</v>
      </c>
      <c r="E106" s="171">
        <f t="shared" si="19"/>
        <v>7911.63</v>
      </c>
      <c r="F106" s="171"/>
      <c r="G106" s="171">
        <f t="shared" si="20"/>
        <v>7911.63</v>
      </c>
      <c r="H106" s="172">
        <f t="shared" si="21"/>
        <v>1.271254002558563E-3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'[36]Sch C'!D100</f>
        <v>8224.39</v>
      </c>
      <c r="D107" s="501">
        <f>'[36]Sch C'!F100</f>
        <v>0</v>
      </c>
      <c r="E107" s="171">
        <f t="shared" si="19"/>
        <v>8224.39</v>
      </c>
      <c r="F107" s="171"/>
      <c r="G107" s="171">
        <f t="shared" si="20"/>
        <v>8224.39</v>
      </c>
      <c r="H107" s="172">
        <f t="shared" si="21"/>
        <v>1.3215088048989425E-3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'[36]Sch C'!D101</f>
        <v>0</v>
      </c>
      <c r="D108" s="501">
        <f>'[36]Sch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'[36]Sch C'!D102</f>
        <v>0</v>
      </c>
      <c r="D109" s="501">
        <f>'[36]Sch C'!F102</f>
        <v>0</v>
      </c>
      <c r="E109" s="171">
        <f t="shared" si="19"/>
        <v>0</v>
      </c>
      <c r="F109" s="171"/>
      <c r="G109" s="171">
        <f t="shared" si="20"/>
        <v>0</v>
      </c>
      <c r="H109" s="172">
        <f t="shared" si="21"/>
        <v>0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'[36]Sch C'!D103</f>
        <v>0</v>
      </c>
      <c r="D110" s="501">
        <f>'[36]Sch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103281.75</v>
      </c>
      <c r="D111" s="501">
        <f>SUM(D105:D110)</f>
        <v>0</v>
      </c>
      <c r="E111" s="171">
        <f t="shared" ref="E111:F111" si="22">SUM(E105:E110)</f>
        <v>103281.75</v>
      </c>
      <c r="F111" s="171">
        <f t="shared" si="22"/>
        <v>0</v>
      </c>
      <c r="G111" s="171">
        <f>SUM(G105:G110)</f>
        <v>103281.75</v>
      </c>
      <c r="H111" s="172">
        <f t="shared" si="21"/>
        <v>1.6595485137544712E-2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'[36]Sch C'!D115</f>
        <v>163899.06</v>
      </c>
      <c r="D114" s="501">
        <f>'[36]Sch C'!F115</f>
        <v>0</v>
      </c>
      <c r="E114" s="171">
        <f t="shared" ref="E114:E118" si="23">C114+D114</f>
        <v>163899.06</v>
      </c>
      <c r="F114" s="171"/>
      <c r="G114" s="171">
        <f>E114+F114</f>
        <v>163899.06</v>
      </c>
      <c r="H114" s="172">
        <f t="shared" ref="H114:H119" si="24">IF($G$208=0,0,G114/$G$208)</f>
        <v>2.6335576365500674E-2</v>
      </c>
      <c r="I114" s="473"/>
      <c r="J114" s="183">
        <v>12103</v>
      </c>
      <c r="K114" s="183">
        <v>12863</v>
      </c>
    </row>
    <row r="115" spans="1:11" s="167" customFormat="1">
      <c r="A115" s="169" t="s">
        <v>86</v>
      </c>
      <c r="B115" s="170" t="s">
        <v>151</v>
      </c>
      <c r="C115" s="501">
        <f>'[36]Sch C'!D116</f>
        <v>14002.99</v>
      </c>
      <c r="D115" s="501">
        <f>'[36]Sch C'!F116</f>
        <v>0</v>
      </c>
      <c r="E115" s="171">
        <f t="shared" si="23"/>
        <v>14002.99</v>
      </c>
      <c r="F115" s="171"/>
      <c r="G115" s="171">
        <f>E115+F115</f>
        <v>14002.99</v>
      </c>
      <c r="H115" s="172">
        <f t="shared" si="24"/>
        <v>2.2500239628606917E-3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'[36]Sch C'!D117</f>
        <v>38450.089999999997</v>
      </c>
      <c r="D116" s="501">
        <f>'[36]Sch C'!F117</f>
        <v>0</v>
      </c>
      <c r="E116" s="171">
        <f t="shared" si="23"/>
        <v>38450.089999999997</v>
      </c>
      <c r="F116" s="171"/>
      <c r="G116" s="171">
        <f>E116+F116</f>
        <v>38450.089999999997</v>
      </c>
      <c r="H116" s="172">
        <f t="shared" si="24"/>
        <v>6.1782250700850487E-3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'[36]Sch C'!D118</f>
        <v>0</v>
      </c>
      <c r="D117" s="501">
        <f>'[36]Sch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'[36]Sch C'!D119</f>
        <v>0</v>
      </c>
      <c r="D118" s="501">
        <f>'[36]Sch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216352.13999999998</v>
      </c>
      <c r="D119" s="501">
        <f>SUM(D114:D118)</f>
        <v>0</v>
      </c>
      <c r="E119" s="171">
        <f t="shared" ref="E119:F119" si="25">SUM(E114:E118)</f>
        <v>216352.13999999998</v>
      </c>
      <c r="F119" s="171">
        <f t="shared" si="25"/>
        <v>0</v>
      </c>
      <c r="G119" s="171">
        <f>SUM(G114:G118)</f>
        <v>216352.13999999998</v>
      </c>
      <c r="H119" s="172">
        <f t="shared" si="24"/>
        <v>3.4763825398446413E-2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'[36]Sch C'!D124</f>
        <v>0</v>
      </c>
      <c r="D123" s="501">
        <f>'[36]Sch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'[36]Sch C'!D125</f>
        <v>101158.2</v>
      </c>
      <c r="D124" s="501">
        <f>'[36]Sch C'!F125</f>
        <v>0</v>
      </c>
      <c r="E124" s="171">
        <f t="shared" si="26"/>
        <v>101158.2</v>
      </c>
      <c r="F124" s="171"/>
      <c r="G124" s="171">
        <f>E124+F124</f>
        <v>101158.2</v>
      </c>
      <c r="H124" s="172">
        <f>IF($G$208=0,0,G124/$G$208)</f>
        <v>1.6254269555277437E-2</v>
      </c>
      <c r="I124" s="473"/>
      <c r="J124" s="183">
        <v>2082</v>
      </c>
      <c r="K124" s="183">
        <v>2234</v>
      </c>
    </row>
    <row r="125" spans="1:11" s="167" customFormat="1">
      <c r="A125" s="163" t="s">
        <v>198</v>
      </c>
      <c r="B125" s="163" t="s">
        <v>195</v>
      </c>
      <c r="C125" s="501">
        <f>'[36]Sch C'!D126</f>
        <v>99050.16</v>
      </c>
      <c r="D125" s="501">
        <f>'[36]Sch C'!F126</f>
        <v>0</v>
      </c>
      <c r="E125" s="171">
        <f t="shared" si="26"/>
        <v>99050.16</v>
      </c>
      <c r="F125" s="171"/>
      <c r="G125" s="171">
        <f>E125+F125</f>
        <v>99050.16</v>
      </c>
      <c r="H125" s="172">
        <f>IF($G$208=0,0,G125/$G$208)</f>
        <v>1.5915546145872102E-2</v>
      </c>
      <c r="I125" s="473"/>
      <c r="J125" s="183">
        <v>2118</v>
      </c>
      <c r="K125" s="183">
        <v>2270</v>
      </c>
    </row>
    <row r="126" spans="1:11" s="167" customFormat="1">
      <c r="A126" s="169"/>
      <c r="B126" s="163" t="s">
        <v>196</v>
      </c>
      <c r="C126" s="501">
        <f>'[36]Sch C'!D127</f>
        <v>0</v>
      </c>
      <c r="D126" s="501">
        <f>'[36]Sch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'[36]Sch C'!D128</f>
        <v>166692.54</v>
      </c>
      <c r="D127" s="501">
        <f>'[36]Sch C'!F128</f>
        <v>-21500</v>
      </c>
      <c r="E127" s="171">
        <f t="shared" si="26"/>
        <v>145192.54</v>
      </c>
      <c r="F127" s="171"/>
      <c r="G127" s="171">
        <f>E127+F127</f>
        <v>145192.54</v>
      </c>
      <c r="H127" s="172">
        <f>IF($G$208=0,0,G127/$G$208)</f>
        <v>2.3329781298751875E-2</v>
      </c>
      <c r="I127" s="473"/>
      <c r="J127" s="183">
        <v>4181</v>
      </c>
      <c r="K127" s="183">
        <v>4485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'[36]Sch C'!D130</f>
        <v>0</v>
      </c>
      <c r="D129" s="501">
        <f>'[36]Sch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'[36]Sch C'!D131</f>
        <v>8081.58</v>
      </c>
      <c r="D130" s="501">
        <f>'[36]Sch C'!F131</f>
        <v>0</v>
      </c>
      <c r="E130" s="171">
        <f t="shared" si="27"/>
        <v>8081.58</v>
      </c>
      <c r="F130" s="171"/>
      <c r="G130" s="171">
        <f>E130+F130</f>
        <v>8081.58</v>
      </c>
      <c r="H130" s="172">
        <f>IF($G$208=0,0,G130/$G$208)</f>
        <v>1.2985618541308469E-3</v>
      </c>
      <c r="I130" s="473"/>
      <c r="J130" s="204"/>
      <c r="K130" s="204"/>
    </row>
    <row r="131" spans="1:11" s="167" customFormat="1">
      <c r="B131" s="163" t="s">
        <v>195</v>
      </c>
      <c r="C131" s="501">
        <f>'[36]Sch C'!D132</f>
        <v>8786</v>
      </c>
      <c r="D131" s="501">
        <f>'[36]Sch C'!F132</f>
        <v>0</v>
      </c>
      <c r="E131" s="171">
        <f t="shared" si="27"/>
        <v>8786</v>
      </c>
      <c r="F131" s="171"/>
      <c r="G131" s="171">
        <f>E131+F131</f>
        <v>8786</v>
      </c>
      <c r="H131" s="172">
        <f>IF($G$208=0,0,G131/$G$208)</f>
        <v>1.4117492433897358E-3</v>
      </c>
      <c r="I131" s="473"/>
      <c r="J131" s="168"/>
      <c r="K131" s="168"/>
    </row>
    <row r="132" spans="1:11" s="167" customFormat="1">
      <c r="B132" s="163" t="s">
        <v>196</v>
      </c>
      <c r="C132" s="501">
        <f>'[36]Sch C'!D133</f>
        <v>0</v>
      </c>
      <c r="D132" s="501">
        <f>'[36]Sch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'[36]Sch C'!D134</f>
        <v>12296.98</v>
      </c>
      <c r="D133" s="501">
        <f>'[36]Sch C'!F134</f>
        <v>0</v>
      </c>
      <c r="E133" s="171">
        <f t="shared" si="27"/>
        <v>12296.98</v>
      </c>
      <c r="F133" s="171"/>
      <c r="G133" s="171">
        <f>E133+F133</f>
        <v>12296.98</v>
      </c>
      <c r="H133" s="172">
        <f>IF($G$208=0,0,G133/$G$208)</f>
        <v>1.9758994093988973E-3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'[36]Sch C'!D136</f>
        <v>533247.18999999994</v>
      </c>
      <c r="D135" s="501">
        <f>'[36]Sch C'!F136</f>
        <v>0</v>
      </c>
      <c r="E135" s="171">
        <f t="shared" ref="E135:E138" si="28">C135+D135</f>
        <v>533247.18999999994</v>
      </c>
      <c r="F135" s="171"/>
      <c r="G135" s="171">
        <f>E135+F135</f>
        <v>533247.18999999994</v>
      </c>
      <c r="H135" s="172">
        <f>IF($G$208=0,0,G135/$G$208)</f>
        <v>8.5683054521079285E-2</v>
      </c>
      <c r="I135" s="473"/>
      <c r="J135" s="183">
        <v>16311</v>
      </c>
      <c r="K135" s="183">
        <v>17527</v>
      </c>
    </row>
    <row r="136" spans="1:11" s="167" customFormat="1">
      <c r="A136" s="169"/>
      <c r="B136" s="163" t="s">
        <v>195</v>
      </c>
      <c r="C136" s="501">
        <f>'[36]Sch C'!D137</f>
        <v>172502.69</v>
      </c>
      <c r="D136" s="501">
        <f>'[36]Sch C'!F137</f>
        <v>0</v>
      </c>
      <c r="E136" s="171">
        <f t="shared" si="28"/>
        <v>172502.69</v>
      </c>
      <c r="F136" s="171"/>
      <c r="G136" s="171">
        <f>E136+F136</f>
        <v>172502.69</v>
      </c>
      <c r="H136" s="172">
        <f>IF($G$208=0,0,G136/$G$208)</f>
        <v>2.7718022090848411E-2</v>
      </c>
      <c r="I136" s="473"/>
      <c r="J136" s="183">
        <v>4829</v>
      </c>
      <c r="K136" s="183">
        <v>5589</v>
      </c>
    </row>
    <row r="137" spans="1:11" s="167" customFormat="1">
      <c r="A137" s="169"/>
      <c r="B137" s="163" t="s">
        <v>196</v>
      </c>
      <c r="C137" s="501">
        <f>'[36]Sch C'!D138</f>
        <v>1288428.19</v>
      </c>
      <c r="D137" s="501">
        <f>'[36]Sch C'!F138</f>
        <v>0</v>
      </c>
      <c r="E137" s="171">
        <f t="shared" si="28"/>
        <v>1288428.19</v>
      </c>
      <c r="F137" s="171"/>
      <c r="G137" s="171">
        <f>E137+F137</f>
        <v>1288428.19</v>
      </c>
      <c r="H137" s="172">
        <f>IF($G$208=0,0,G137/$G$208)</f>
        <v>0.20702680655525912</v>
      </c>
      <c r="I137" s="473"/>
      <c r="J137" s="183">
        <v>67434</v>
      </c>
      <c r="K137" s="183">
        <v>71994</v>
      </c>
    </row>
    <row r="138" spans="1:11" s="167" customFormat="1">
      <c r="A138" s="169"/>
      <c r="B138" s="163" t="s">
        <v>197</v>
      </c>
      <c r="C138" s="501">
        <f>'[36]Sch C'!D139</f>
        <v>0</v>
      </c>
      <c r="D138" s="501">
        <f>'[36]Sch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'[36]Sch C'!D141</f>
        <v>51102</v>
      </c>
      <c r="D140" s="501">
        <f>'[36]Sch C'!F141</f>
        <v>0</v>
      </c>
      <c r="E140" s="171">
        <f t="shared" ref="E140:E143" si="29">C140+D140</f>
        <v>51102</v>
      </c>
      <c r="F140" s="171"/>
      <c r="G140" s="171">
        <f>E140+F140</f>
        <v>51102</v>
      </c>
      <c r="H140" s="172">
        <f>IF($G$208=0,0,G140/$G$208)</f>
        <v>8.211155228283893E-3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'[36]Sch C'!D142</f>
        <v>16523.189999999999</v>
      </c>
      <c r="D141" s="501">
        <f>'[36]Sch C'!F142</f>
        <v>0</v>
      </c>
      <c r="E141" s="171">
        <f t="shared" si="29"/>
        <v>16523.189999999999</v>
      </c>
      <c r="F141" s="171"/>
      <c r="G141" s="171">
        <f>E141+F141</f>
        <v>16523.189999999999</v>
      </c>
      <c r="H141" s="172">
        <f>IF($G$208=0,0,G141/$G$208)</f>
        <v>2.6549739336313278E-3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'[36]Sch C'!D143</f>
        <v>79963</v>
      </c>
      <c r="D142" s="501">
        <f>'[36]Sch C'!F143</f>
        <v>0</v>
      </c>
      <c r="E142" s="171">
        <f t="shared" si="29"/>
        <v>79963</v>
      </c>
      <c r="F142" s="171"/>
      <c r="G142" s="171">
        <f>E142+F142</f>
        <v>79963</v>
      </c>
      <c r="H142" s="172">
        <f>IF($G$208=0,0,G142/$G$208)</f>
        <v>1.2848589204322041E-2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'[36]Sch C'!D144</f>
        <v>0</v>
      </c>
      <c r="D143" s="501">
        <f>'[36]Sch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'[36]Sch C'!D146</f>
        <v>26241.75</v>
      </c>
      <c r="D145" s="501">
        <f>'[36]Sch C'!F146</f>
        <v>0</v>
      </c>
      <c r="E145" s="171">
        <f t="shared" ref="E145:E153" si="30">C145+D145</f>
        <v>26241.75</v>
      </c>
      <c r="F145" s="171"/>
      <c r="G145" s="171">
        <f t="shared" ref="G145:G153" si="31">E145+F145</f>
        <v>26241.75</v>
      </c>
      <c r="H145" s="172">
        <f t="shared" ref="H145:H153" si="32">IF($G$208=0,0,G145/$G$208)</f>
        <v>4.2165684848307081E-3</v>
      </c>
      <c r="I145" s="473"/>
      <c r="J145" s="183">
        <v>208</v>
      </c>
      <c r="K145" s="183">
        <v>208</v>
      </c>
    </row>
    <row r="146" spans="1:11" s="167" customFormat="1">
      <c r="A146" s="169"/>
      <c r="B146" s="163" t="s">
        <v>194</v>
      </c>
      <c r="C146" s="501">
        <f>'[36]Sch C'!D147</f>
        <v>0</v>
      </c>
      <c r="D146" s="501">
        <f>'[36]Sch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'[36]Sch C'!D148</f>
        <v>0</v>
      </c>
      <c r="D147" s="501">
        <f>'[36]Sch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'[36]Sch C'!D149</f>
        <v>0</v>
      </c>
      <c r="D148" s="501">
        <f>'[36]Sch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'[36]Sch C'!D150</f>
        <v>8781.36</v>
      </c>
      <c r="D149" s="501">
        <f>'[36]Sch C'!F150</f>
        <v>0</v>
      </c>
      <c r="E149" s="171">
        <f t="shared" si="30"/>
        <v>8781.36</v>
      </c>
      <c r="F149" s="171"/>
      <c r="G149" s="171">
        <f t="shared" si="31"/>
        <v>8781.36</v>
      </c>
      <c r="H149" s="172">
        <f t="shared" si="32"/>
        <v>1.4110036803929992E-3</v>
      </c>
      <c r="I149" s="473"/>
      <c r="J149" s="183">
        <v>429</v>
      </c>
      <c r="K149" s="183">
        <v>429</v>
      </c>
    </row>
    <row r="150" spans="1:11" s="167" customFormat="1">
      <c r="A150" s="169">
        <v>110</v>
      </c>
      <c r="B150" s="167" t="s">
        <v>65</v>
      </c>
      <c r="C150" s="501">
        <f>'[36]Sch C'!D151</f>
        <v>124929</v>
      </c>
      <c r="D150" s="501">
        <f>'[36]Sch C'!F151</f>
        <v>0</v>
      </c>
      <c r="E150" s="171">
        <f t="shared" si="30"/>
        <v>124929</v>
      </c>
      <c r="F150" s="171"/>
      <c r="G150" s="171">
        <f t="shared" si="31"/>
        <v>124929</v>
      </c>
      <c r="H150" s="172">
        <f t="shared" si="32"/>
        <v>2.0073801642093821E-2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'[36]Sch C'!D152</f>
        <v>1131.05</v>
      </c>
      <c r="D151" s="501">
        <f>'[36]Sch C'!F152</f>
        <v>0</v>
      </c>
      <c r="E151" s="171">
        <f t="shared" si="30"/>
        <v>1131.05</v>
      </c>
      <c r="F151" s="171"/>
      <c r="G151" s="171">
        <f t="shared" si="31"/>
        <v>1131.05</v>
      </c>
      <c r="H151" s="172">
        <f t="shared" si="32"/>
        <v>1.8173901453857964E-4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'[36]Sch C'!D153</f>
        <v>0</v>
      </c>
      <c r="D152" s="501">
        <f>'[36]Sch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'[36]Sch C'!D154</f>
        <v>8922</v>
      </c>
      <c r="D153" s="501">
        <f>'[36]Sch C'!F154</f>
        <v>0</v>
      </c>
      <c r="E153" s="171">
        <f t="shared" si="30"/>
        <v>8922</v>
      </c>
      <c r="F153" s="171"/>
      <c r="G153" s="171">
        <f t="shared" si="31"/>
        <v>8922</v>
      </c>
      <c r="H153" s="172">
        <f t="shared" si="32"/>
        <v>1.433601951914776E-3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'[36]Sch C'!D156</f>
        <v>0</v>
      </c>
      <c r="D155" s="501">
        <f>'[36]Sch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'[36]Sch C'!D157</f>
        <v>0</v>
      </c>
      <c r="D156" s="501">
        <f>'[36]Sch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'[36]Sch C'!D158</f>
        <v>0</v>
      </c>
      <c r="D157" s="501">
        <f>'[36]Sch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'[36]Sch C'!D159</f>
        <v>0</v>
      </c>
      <c r="D158" s="501">
        <f>'[36]Sch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'[36]Sch C'!D160</f>
        <v>0</v>
      </c>
      <c r="D159" s="501">
        <f>'[36]Sch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'[36]Sch C'!D161</f>
        <v>417.4</v>
      </c>
      <c r="D160" s="501">
        <f>'[36]Sch C'!F161</f>
        <v>0</v>
      </c>
      <c r="E160" s="171">
        <f t="shared" si="33"/>
        <v>417.4</v>
      </c>
      <c r="F160" s="171"/>
      <c r="G160" s="171">
        <f t="shared" si="34"/>
        <v>417.4</v>
      </c>
      <c r="H160" s="172">
        <f t="shared" si="35"/>
        <v>6.7068533370233968E-5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2708254.2799999993</v>
      </c>
      <c r="D161" s="501">
        <f>SUM(D123:D160)</f>
        <v>-21500</v>
      </c>
      <c r="E161" s="171">
        <f t="shared" ref="E161:F161" si="36">SUM(E123:E160)</f>
        <v>2686754.2799999993</v>
      </c>
      <c r="F161" s="171">
        <f t="shared" si="36"/>
        <v>0</v>
      </c>
      <c r="G161" s="171">
        <f>SUM(G123:G160)</f>
        <v>2686754.2799999993</v>
      </c>
      <c r="H161" s="172">
        <f t="shared" si="35"/>
        <v>0.431712192347386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'[36]Sch C'!D175</f>
        <v>0</v>
      </c>
      <c r="D164" s="501">
        <f>'[36]Sch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'[36]Sch C'!D176</f>
        <v>0</v>
      </c>
      <c r="D165" s="501">
        <f>'[36]Sch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'[36]Sch C'!D177</f>
        <v>13679</v>
      </c>
      <c r="D166" s="501">
        <f>'[36]Sch C'!F177</f>
        <v>0</v>
      </c>
      <c r="E166" s="171">
        <f t="shared" si="37"/>
        <v>13679</v>
      </c>
      <c r="F166" s="216"/>
      <c r="G166" s="171">
        <f t="shared" si="38"/>
        <v>13679</v>
      </c>
      <c r="H166" s="172">
        <f t="shared" si="39"/>
        <v>2.197964705250193E-3</v>
      </c>
      <c r="I166" s="483"/>
      <c r="J166" s="183">
        <v>542</v>
      </c>
      <c r="K166" s="183">
        <v>622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'[36]Sch C'!D178</f>
        <v>1591.53</v>
      </c>
      <c r="D167" s="501">
        <f>'[36]Sch C'!F178</f>
        <v>0</v>
      </c>
      <c r="E167" s="171">
        <f t="shared" si="37"/>
        <v>1591.53</v>
      </c>
      <c r="F167" s="216"/>
      <c r="G167" s="171">
        <f t="shared" si="38"/>
        <v>1591.53</v>
      </c>
      <c r="H167" s="172">
        <f t="shared" si="39"/>
        <v>2.5572971469748078E-4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'[36]Sch C'!D179</f>
        <v>0</v>
      </c>
      <c r="D168" s="501">
        <f>'[36]Sch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'[36]Sch C'!D180</f>
        <v>0</v>
      </c>
      <c r="D169" s="501">
        <f>'[36]Sch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'[36]Sch C'!D181</f>
        <v>0</v>
      </c>
      <c r="D170" s="501">
        <f>'[36]Sch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'[36]Sch C'!D182</f>
        <v>0</v>
      </c>
      <c r="D171" s="501">
        <f>'[36]Sch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'[36]Sch C'!D183</f>
        <v>55189</v>
      </c>
      <c r="D172" s="501">
        <f>'[36]Sch C'!F183</f>
        <v>0</v>
      </c>
      <c r="E172" s="171">
        <f t="shared" si="37"/>
        <v>55189</v>
      </c>
      <c r="F172" s="216"/>
      <c r="G172" s="171">
        <f t="shared" si="38"/>
        <v>55189</v>
      </c>
      <c r="H172" s="172">
        <f t="shared" si="39"/>
        <v>8.8678612557974192E-3</v>
      </c>
      <c r="I172" s="483"/>
      <c r="J172" s="183">
        <v>598</v>
      </c>
      <c r="K172" s="183">
        <v>678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'[36]Sch C'!D184</f>
        <v>1808.28</v>
      </c>
      <c r="D173" s="501">
        <f>'[36]Sch C'!F184</f>
        <v>0</v>
      </c>
      <c r="E173" s="171">
        <f t="shared" si="37"/>
        <v>1808.28</v>
      </c>
      <c r="F173" s="216"/>
      <c r="G173" s="171">
        <f t="shared" si="38"/>
        <v>1808.28</v>
      </c>
      <c r="H173" s="172">
        <f t="shared" si="39"/>
        <v>2.9055746890926378E-4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'[36]Sch C'!D185</f>
        <v>0</v>
      </c>
      <c r="D174" s="501">
        <f>'[36]Sch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'[36]Sch C'!D186</f>
        <v>0</v>
      </c>
      <c r="D175" s="501">
        <f>'[36]Sch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'[36]Sch C'!D187</f>
        <v>0</v>
      </c>
      <c r="D176" s="501">
        <f>'[36]Sch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'[36]Sch C'!D188</f>
        <v>0</v>
      </c>
      <c r="D177" s="501">
        <f>'[36]Sch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'[36]Sch C'!D189</f>
        <v>0</v>
      </c>
      <c r="D178" s="501">
        <f>'[36]Sch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'[36]Sch C'!D190</f>
        <v>0</v>
      </c>
      <c r="D179" s="501">
        <f>'[36]Sch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'[36]Sch C'!D191</f>
        <v>0</v>
      </c>
      <c r="D180" s="501">
        <f>'[36]Sch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'[36]Sch C'!D192</f>
        <v>0</v>
      </c>
      <c r="D181" s="501">
        <f>'[36]Sch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'[36]Sch C'!D193</f>
        <v>0</v>
      </c>
      <c r="D182" s="501">
        <f>'[36]Sch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'[36]Sch C'!D194</f>
        <v>86909</v>
      </c>
      <c r="D183" s="501">
        <f>'[36]Sch C'!F194</f>
        <v>0</v>
      </c>
      <c r="E183" s="171">
        <f t="shared" si="37"/>
        <v>86909</v>
      </c>
      <c r="F183" s="216"/>
      <c r="G183" s="171">
        <f t="shared" si="38"/>
        <v>86909</v>
      </c>
      <c r="H183" s="172">
        <f t="shared" si="39"/>
        <v>1.3964684155902407E-2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'[36]Sch C'!D195</f>
        <v>25214.85</v>
      </c>
      <c r="D184" s="501">
        <f>'[36]Sch C'!F195</f>
        <v>0</v>
      </c>
      <c r="E184" s="171">
        <f t="shared" si="37"/>
        <v>25214.85</v>
      </c>
      <c r="F184" s="216"/>
      <c r="G184" s="171">
        <f t="shared" si="38"/>
        <v>25214.85</v>
      </c>
      <c r="H184" s="172">
        <f t="shared" si="39"/>
        <v>4.0515644672986205E-3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'[36]Sch C'!D196</f>
        <v>0</v>
      </c>
      <c r="D185" s="501">
        <f>'[36]Sch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'[36]Sch C'!D197</f>
        <v>74760</v>
      </c>
      <c r="D186" s="501">
        <f>'[36]Sch C'!F197</f>
        <v>0</v>
      </c>
      <c r="E186" s="171">
        <f t="shared" si="37"/>
        <v>74760</v>
      </c>
      <c r="F186" s="216"/>
      <c r="G186" s="171">
        <f t="shared" si="38"/>
        <v>74760</v>
      </c>
      <c r="H186" s="172">
        <f t="shared" si="39"/>
        <v>1.2012562421558917E-2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'[36]Sch C'!D198</f>
        <v>19261.53</v>
      </c>
      <c r="D187" s="501">
        <f>'[36]Sch C'!F198</f>
        <v>0</v>
      </c>
      <c r="E187" s="171">
        <f t="shared" si="37"/>
        <v>19261.53</v>
      </c>
      <c r="F187" s="216"/>
      <c r="G187" s="171">
        <f t="shared" si="38"/>
        <v>19261.53</v>
      </c>
      <c r="H187" s="172">
        <f t="shared" si="39"/>
        <v>3.0949750061494076E-3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'[36]Sch C'!D199</f>
        <v>0</v>
      </c>
      <c r="D188" s="501">
        <f>'[36]Sch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'[36]Sch C'!D200</f>
        <v>0</v>
      </c>
      <c r="D189" s="501">
        <f>'[36]Sch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'[36]Sch C'!D201</f>
        <v>0</v>
      </c>
      <c r="D190" s="501">
        <f>'[36]Sch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'[36]Sch C'!D202</f>
        <v>0</v>
      </c>
      <c r="D191" s="501">
        <f>'[36]Sch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'[36]Sch C'!D203</f>
        <v>0</v>
      </c>
      <c r="D192" s="501">
        <f>'[36]Sch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'[36]Sch C'!D204</f>
        <v>0</v>
      </c>
      <c r="D193" s="501">
        <f>'[36]Sch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'[36]Sch C'!D205</f>
        <v>81696.14</v>
      </c>
      <c r="D194" s="501">
        <f>'[36]Sch C'!F205</f>
        <v>0</v>
      </c>
      <c r="E194" s="171">
        <f t="shared" si="37"/>
        <v>81696.14</v>
      </c>
      <c r="F194" s="216"/>
      <c r="G194" s="171">
        <f t="shared" si="38"/>
        <v>81696.14</v>
      </c>
      <c r="H194" s="172">
        <f t="shared" si="39"/>
        <v>1.3127073051771219E-2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'[36]Sch C'!D206</f>
        <v>0</v>
      </c>
      <c r="D195" s="501">
        <f>'[36]Sch C'!F206</f>
        <v>0</v>
      </c>
      <c r="E195" s="171">
        <f t="shared" si="37"/>
        <v>0</v>
      </c>
      <c r="F195" s="216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'[36]Sch C'!D207</f>
        <v>0</v>
      </c>
      <c r="D196" s="501">
        <f>'[36]Sch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360109.33</v>
      </c>
      <c r="D197" s="501">
        <f>SUM(D164:D196)</f>
        <v>0</v>
      </c>
      <c r="E197" s="171">
        <f t="shared" ref="E197:F197" si="40">SUM(E164:E196)</f>
        <v>360109.33</v>
      </c>
      <c r="F197" s="171">
        <f t="shared" si="40"/>
        <v>0</v>
      </c>
      <c r="G197" s="171">
        <f>SUM(G164:G196)</f>
        <v>360109.33</v>
      </c>
      <c r="H197" s="172">
        <f>IF($G$208=0,0,G197/$G$208)</f>
        <v>5.7862972247334929E-2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'[36]Sch C'!D211</f>
        <v>228009.99</v>
      </c>
      <c r="D200" s="501">
        <f>'[36]Sch C'!F211</f>
        <v>0</v>
      </c>
      <c r="E200" s="171">
        <f t="shared" ref="E200:E205" si="41">C200+D200</f>
        <v>228009.99</v>
      </c>
      <c r="F200" s="171"/>
      <c r="G200" s="171">
        <f t="shared" ref="G200:G205" si="42">E200+F200</f>
        <v>228009.99</v>
      </c>
      <c r="H200" s="172">
        <f t="shared" ref="H200:H206" si="43">IF($G$208=0,0,G200/$G$208)</f>
        <v>3.6637028325495244E-2</v>
      </c>
      <c r="I200" s="473"/>
      <c r="J200" s="183">
        <v>10998</v>
      </c>
      <c r="K200" s="183">
        <v>11758</v>
      </c>
    </row>
    <row r="201" spans="1:14" s="167" customFormat="1">
      <c r="A201" s="169" t="s">
        <v>86</v>
      </c>
      <c r="B201" s="170" t="s">
        <v>45</v>
      </c>
      <c r="C201" s="501">
        <f>'[36]Sch C'!D212</f>
        <v>19692.57</v>
      </c>
      <c r="D201" s="501">
        <f>'[36]Sch C'!F212</f>
        <v>0</v>
      </c>
      <c r="E201" s="171">
        <f t="shared" si="41"/>
        <v>19692.57</v>
      </c>
      <c r="F201" s="171"/>
      <c r="G201" s="171">
        <f t="shared" si="42"/>
        <v>19692.57</v>
      </c>
      <c r="H201" s="172">
        <f t="shared" si="43"/>
        <v>3.1642352376393592E-3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'[36]Sch C'!D213</f>
        <v>31229</v>
      </c>
      <c r="D202" s="501">
        <f>'[36]Sch C'!F213</f>
        <v>0</v>
      </c>
      <c r="E202" s="171">
        <f t="shared" si="41"/>
        <v>31229</v>
      </c>
      <c r="F202" s="171"/>
      <c r="G202" s="171">
        <f t="shared" si="42"/>
        <v>31229</v>
      </c>
      <c r="H202" s="172">
        <f t="shared" si="43"/>
        <v>5.0179281950623791E-3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'[36]Sch C'!D214</f>
        <v>0</v>
      </c>
      <c r="D203" s="501">
        <f>'[36]Sch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'[36]Sch C'!D215</f>
        <v>0</v>
      </c>
      <c r="D204" s="501">
        <f>'[36]Sch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'[36]Sch C'!D216</f>
        <v>327420.46000000002</v>
      </c>
      <c r="D205" s="501">
        <f>'[36]Sch C'!F216</f>
        <v>-290931.88</v>
      </c>
      <c r="E205" s="171">
        <f t="shared" si="41"/>
        <v>36488.580000000016</v>
      </c>
      <c r="F205" s="171"/>
      <c r="G205" s="171">
        <f t="shared" si="42"/>
        <v>36488.580000000016</v>
      </c>
      <c r="H205" s="172">
        <f t="shared" si="43"/>
        <v>5.8630463472986423E-3</v>
      </c>
      <c r="I205" s="472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606352.02</v>
      </c>
      <c r="D206" s="501">
        <f>SUM(D200:D205)</f>
        <v>-290931.88</v>
      </c>
      <c r="E206" s="171">
        <f t="shared" ref="E206:F206" si="44">SUM(E200:E205)</f>
        <v>315420.14</v>
      </c>
      <c r="F206" s="171">
        <f t="shared" si="44"/>
        <v>0</v>
      </c>
      <c r="G206" s="171">
        <f>SUM(G200:G205)</f>
        <v>315420.14</v>
      </c>
      <c r="H206" s="172">
        <f t="shared" si="43"/>
        <v>5.0682238105495624E-2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6630031.9400000013</v>
      </c>
      <c r="D208" s="501">
        <f>SUM(D25:D206)/2</f>
        <v>-406547.11</v>
      </c>
      <c r="E208" s="171">
        <f t="shared" ref="E208:F208" si="45">SUM(E25:E206)/2</f>
        <v>6223484.830000001</v>
      </c>
      <c r="F208" s="171">
        <f t="shared" si="45"/>
        <v>0</v>
      </c>
      <c r="G208" s="171">
        <f>SUM(G25:G206)/2</f>
        <v>6223484.830000001</v>
      </c>
      <c r="H208" s="172">
        <f>IF($G$208=0,0,G208/$G$208)</f>
        <v>1</v>
      </c>
      <c r="I208" s="473"/>
      <c r="J208" s="183">
        <f>SUM(J25:J200)</f>
        <v>160604</v>
      </c>
      <c r="K208" s="183">
        <f>SUM(K25:K200)</f>
        <v>172164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'[36]Sch C'!D221</f>
        <v>6630031.6100000003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0.33000000100582838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7133.2899999981746</v>
      </c>
      <c r="D215" s="501">
        <f>D21-D208</f>
        <v>406547.11</v>
      </c>
      <c r="E215" s="171">
        <f t="shared" ref="E215:F215" si="46">E21-E208</f>
        <v>413680.39999999851</v>
      </c>
      <c r="F215" s="171">
        <f t="shared" si="46"/>
        <v>0</v>
      </c>
      <c r="G215" s="171">
        <f>G21-G208</f>
        <v>413680.39999999851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'[36]Sch D'!C9</f>
        <v>19014</v>
      </c>
      <c r="D219" s="530"/>
      <c r="E219" s="234">
        <f t="shared" ref="E219:G227" si="47">C219+D219</f>
        <v>19014</v>
      </c>
      <c r="F219" s="233"/>
      <c r="G219" s="234">
        <f t="shared" si="47"/>
        <v>19014</v>
      </c>
      <c r="H219" s="172">
        <f t="shared" ref="H219:H228" si="48">IF($G$228=0,0,G219/$G$228)</f>
        <v>0.65495504805208227</v>
      </c>
      <c r="I219" s="473"/>
      <c r="J219" s="168"/>
      <c r="K219" s="168"/>
    </row>
    <row r="220" spans="1:11">
      <c r="A220" s="163"/>
      <c r="B220" s="170" t="s">
        <v>217</v>
      </c>
      <c r="C220" s="530">
        <f>'[36]Sch D'!D9</f>
        <v>2466</v>
      </c>
      <c r="D220" s="530"/>
      <c r="E220" s="234">
        <f t="shared" ref="E220:E227" si="49">C220+D220</f>
        <v>2466</v>
      </c>
      <c r="F220" s="233"/>
      <c r="G220" s="234">
        <f t="shared" si="47"/>
        <v>2466</v>
      </c>
      <c r="H220" s="172">
        <f t="shared" si="48"/>
        <v>8.4943680892838686E-2</v>
      </c>
      <c r="I220" s="473"/>
      <c r="J220" s="168"/>
      <c r="K220" s="168"/>
    </row>
    <row r="221" spans="1:11">
      <c r="A221" s="163"/>
      <c r="B221" s="170" t="s">
        <v>72</v>
      </c>
      <c r="C221" s="530">
        <f>'[36]Sch D'!E9</f>
        <v>573</v>
      </c>
      <c r="D221" s="530"/>
      <c r="E221" s="234">
        <f t="shared" si="49"/>
        <v>573</v>
      </c>
      <c r="F221" s="233"/>
      <c r="G221" s="234">
        <f t="shared" si="47"/>
        <v>573</v>
      </c>
      <c r="H221" s="172">
        <f t="shared" si="48"/>
        <v>1.9737521959284902E-2</v>
      </c>
      <c r="I221" s="473"/>
      <c r="J221" s="168"/>
      <c r="K221" s="168"/>
    </row>
    <row r="222" spans="1:11">
      <c r="A222" s="163"/>
      <c r="B222" s="202" t="s">
        <v>334</v>
      </c>
      <c r="C222" s="530">
        <f>'[36]Sch D'!F9</f>
        <v>0</v>
      </c>
      <c r="D222" s="530"/>
      <c r="E222" s="234">
        <f>C222+D222</f>
        <v>0</v>
      </c>
      <c r="F222" s="233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'[36]Sch D'!G9</f>
        <v>4378</v>
      </c>
      <c r="D223" s="530"/>
      <c r="E223" s="234">
        <f t="shared" si="49"/>
        <v>4378</v>
      </c>
      <c r="F223" s="233"/>
      <c r="G223" s="234">
        <f t="shared" si="47"/>
        <v>4378</v>
      </c>
      <c r="H223" s="172">
        <f t="shared" si="48"/>
        <v>0.15080431263132513</v>
      </c>
      <c r="I223" s="473"/>
      <c r="J223" s="168"/>
      <c r="K223" s="168"/>
    </row>
    <row r="224" spans="1:11">
      <c r="A224" s="163"/>
      <c r="B224" s="170" t="s">
        <v>74</v>
      </c>
      <c r="C224" s="530">
        <f>'[36]Sch D'!H9</f>
        <v>1681</v>
      </c>
      <c r="D224" s="530"/>
      <c r="E224" s="234">
        <f t="shared" si="49"/>
        <v>1681</v>
      </c>
      <c r="F224" s="233"/>
      <c r="G224" s="234">
        <f t="shared" si="47"/>
        <v>1681</v>
      </c>
      <c r="H224" s="172">
        <f t="shared" si="48"/>
        <v>5.790362026798939E-2</v>
      </c>
      <c r="I224" s="473"/>
      <c r="J224" s="168"/>
      <c r="K224" s="168"/>
    </row>
    <row r="225" spans="1:11">
      <c r="A225" s="163"/>
      <c r="B225" s="170" t="s">
        <v>236</v>
      </c>
      <c r="C225" s="530">
        <f>'[36]Sch D'!I9</f>
        <v>919</v>
      </c>
      <c r="D225" s="530"/>
      <c r="E225" s="234">
        <f t="shared" si="49"/>
        <v>919</v>
      </c>
      <c r="F225" s="233"/>
      <c r="G225" s="234">
        <f t="shared" si="47"/>
        <v>919</v>
      </c>
      <c r="H225" s="172">
        <f t="shared" si="48"/>
        <v>3.1655816196479628E-2</v>
      </c>
      <c r="I225" s="473"/>
      <c r="J225" s="168"/>
      <c r="K225" s="168"/>
    </row>
    <row r="226" spans="1:11">
      <c r="A226" s="163"/>
      <c r="B226" s="170" t="s">
        <v>235</v>
      </c>
      <c r="C226" s="530">
        <f>'[36]Sch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'[36]Sch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29031</v>
      </c>
      <c r="D228" s="530">
        <f>SUM(D219:D227)</f>
        <v>0</v>
      </c>
      <c r="E228" s="236">
        <f>SUM(E219:E227)</f>
        <v>29031</v>
      </c>
      <c r="F228" s="236">
        <f>SUM(F219:F227)</f>
        <v>0</v>
      </c>
      <c r="G228" s="236">
        <f>SUM(G219:G227)</f>
        <v>29031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'[36]Sch D'!N22</f>
        <v>82</v>
      </c>
      <c r="D231" s="502"/>
      <c r="E231" s="234">
        <f>C231+D231</f>
        <v>82</v>
      </c>
      <c r="F231" s="234"/>
      <c r="G231" s="234">
        <f>E231+F231</f>
        <v>82</v>
      </c>
      <c r="I231" s="475"/>
      <c r="J231" s="168"/>
      <c r="K231" s="168"/>
    </row>
    <row r="232" spans="1:11">
      <c r="A232" s="163"/>
      <c r="B232" s="202" t="s">
        <v>290</v>
      </c>
      <c r="C232" s="531">
        <f>'[36]Sch D'!N24</f>
        <v>78</v>
      </c>
      <c r="D232" s="502"/>
      <c r="E232" s="234">
        <f>C232+D232</f>
        <v>78</v>
      </c>
      <c r="F232" s="234"/>
      <c r="G232" s="234">
        <f>E232+F232</f>
        <v>78</v>
      </c>
      <c r="H232" s="275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'[36]Sch D'!N28</f>
        <v>29930</v>
      </c>
      <c r="D235" s="438"/>
      <c r="E235" s="233">
        <f>E231*E233</f>
        <v>29930</v>
      </c>
      <c r="F235" s="238"/>
      <c r="G235" s="233">
        <f>G231*G233</f>
        <v>29930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'[36]Sch D'!N30</f>
        <v>0.96996324757768126</v>
      </c>
      <c r="D236" s="238"/>
      <c r="E236" s="242">
        <f>E228/E235</f>
        <v>0.96996324757768126</v>
      </c>
      <c r="F236" s="243"/>
      <c r="G236" s="242">
        <f>G228/G235</f>
        <v>0.96996324757768126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'[36]Sch D'!N32</f>
        <v>0.71767457400601409</v>
      </c>
      <c r="D237" s="238"/>
      <c r="E237" s="242">
        <f>(E219+E220)/E235</f>
        <v>0.71767457400601409</v>
      </c>
      <c r="F237" s="243"/>
      <c r="G237" s="242">
        <f>(G219+G220)/G235</f>
        <v>0.71767457400601409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'[36]Sch D'!N34</f>
        <v>0.73989872894492104</v>
      </c>
      <c r="D238" s="238"/>
      <c r="E238" s="242">
        <f>(E237/E236)</f>
        <v>0.73989872894492104</v>
      </c>
      <c r="F238" s="243"/>
      <c r="G238" s="242">
        <f>(G237/G236)</f>
        <v>0.73989872894492104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/>
      <c r="F241" s="142" t="s">
        <v>340</v>
      </c>
      <c r="G241" s="501">
        <f>'[36]Sch B'!C85</f>
        <v>248.88659793814432</v>
      </c>
      <c r="I241" s="475"/>
    </row>
    <row r="242" spans="2:9">
      <c r="F242" s="142" t="s">
        <v>341</v>
      </c>
      <c r="G242" s="501">
        <f>'[36]Sch B'!E85</f>
        <v>254.32644628099175</v>
      </c>
      <c r="I242" s="475"/>
    </row>
    <row r="243" spans="2:9">
      <c r="B243" s="455"/>
      <c r="F243" s="142" t="s">
        <v>342</v>
      </c>
      <c r="G243" s="501">
        <f>'[36]Sch B'!G85</f>
        <v>231.98814229249012</v>
      </c>
      <c r="I243" s="475"/>
    </row>
    <row r="244" spans="2:9">
      <c r="B244" s="421"/>
      <c r="F244" s="142" t="s">
        <v>343</v>
      </c>
      <c r="G244" s="501">
        <f>'[36]Sch B'!I85</f>
        <v>259.80372937293731</v>
      </c>
      <c r="I244" s="475"/>
    </row>
    <row r="245" spans="2:9">
      <c r="B245" s="421"/>
      <c r="F245" s="142"/>
      <c r="I245" s="475"/>
    </row>
    <row r="246" spans="2:9">
      <c r="B246" s="421"/>
      <c r="I246" s="475"/>
    </row>
    <row r="247" spans="2:9">
      <c r="B247" s="421"/>
    </row>
    <row r="248" spans="2:9">
      <c r="B248" s="421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4" sqref="F4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6">
    <tabColor rgb="FFE28CAB"/>
  </sheetPr>
  <dimension ref="A1:O245"/>
  <sheetViews>
    <sheetView showGridLines="0" topLeftCell="A7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475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74"/>
    </row>
    <row r="2" spans="1:11" ht="23">
      <c r="B2" s="143" t="s">
        <v>189</v>
      </c>
      <c r="C2" s="244" t="s">
        <v>366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476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'[37]Sch B'!E10</f>
        <v>1619975.05</v>
      </c>
      <c r="D11" s="501">
        <f>'[37]Sch B'!G10</f>
        <v>0</v>
      </c>
      <c r="E11" s="171">
        <f>C11+D11</f>
        <v>1619975.05</v>
      </c>
      <c r="F11" s="171">
        <v>452677</v>
      </c>
      <c r="G11" s="171">
        <f t="shared" ref="G11:G20" si="0">E11+F11</f>
        <v>2072652.05</v>
      </c>
      <c r="H11" s="172">
        <f t="shared" ref="H11:H21" si="1">IF($G$21=0,0,G11/$G$21)</f>
        <v>0.48685193483397526</v>
      </c>
      <c r="I11" s="473"/>
      <c r="J11" s="336" t="s">
        <v>344</v>
      </c>
      <c r="K11" s="337">
        <f>G21</f>
        <v>4257253.3899999997</v>
      </c>
    </row>
    <row r="12" spans="1:11" s="167" customFormat="1">
      <c r="A12" s="169" t="s">
        <v>15</v>
      </c>
      <c r="B12" s="170" t="s">
        <v>212</v>
      </c>
      <c r="C12" s="501">
        <f>'[37]Sch B'!E15</f>
        <v>0</v>
      </c>
      <c r="D12" s="501">
        <f>'[37]Sch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3834542.4700000021</v>
      </c>
    </row>
    <row r="13" spans="1:11" s="167" customFormat="1">
      <c r="A13" s="169" t="s">
        <v>16</v>
      </c>
      <c r="B13" s="170" t="s">
        <v>170</v>
      </c>
      <c r="C13" s="501">
        <f>'[37]Sch B'!E21</f>
        <v>984891.42</v>
      </c>
      <c r="D13" s="501">
        <f>'[37]Sch B'!G21</f>
        <v>0</v>
      </c>
      <c r="E13" s="171">
        <f t="shared" si="2"/>
        <v>984891.42</v>
      </c>
      <c r="F13" s="171"/>
      <c r="G13" s="171">
        <f t="shared" si="0"/>
        <v>984891.42</v>
      </c>
      <c r="H13" s="172">
        <f t="shared" si="1"/>
        <v>0.23134432691120604</v>
      </c>
      <c r="I13" s="473"/>
      <c r="J13" s="338" t="s">
        <v>346</v>
      </c>
      <c r="K13" s="339">
        <f>G228</f>
        <v>15147</v>
      </c>
    </row>
    <row r="14" spans="1:11" s="167" customFormat="1">
      <c r="A14" s="173" t="s">
        <v>18</v>
      </c>
      <c r="B14" s="174" t="s">
        <v>306</v>
      </c>
      <c r="C14" s="501">
        <f>'[37]Sch B'!E27</f>
        <v>90762.55</v>
      </c>
      <c r="D14" s="501">
        <f>'[37]Sch B'!G27</f>
        <v>0</v>
      </c>
      <c r="E14" s="171">
        <f t="shared" si="2"/>
        <v>90762.55</v>
      </c>
      <c r="F14" s="175"/>
      <c r="G14" s="175">
        <f>E14+F14</f>
        <v>90762.55</v>
      </c>
      <c r="H14" s="176">
        <f t="shared" si="1"/>
        <v>2.1319508538814039E-2</v>
      </c>
      <c r="I14" s="479"/>
      <c r="J14" s="338" t="s">
        <v>347</v>
      </c>
      <c r="K14" s="339">
        <f>G231</f>
        <v>60</v>
      </c>
    </row>
    <row r="15" spans="1:11" s="167" customFormat="1">
      <c r="A15" s="169" t="s">
        <v>19</v>
      </c>
      <c r="B15" s="170" t="s">
        <v>171</v>
      </c>
      <c r="C15" s="501">
        <f>'[37]Sch B'!E32</f>
        <v>0</v>
      </c>
      <c r="D15" s="501">
        <f>'[37]Sch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21900</v>
      </c>
    </row>
    <row r="16" spans="1:11" s="167" customFormat="1">
      <c r="A16" s="169" t="s">
        <v>21</v>
      </c>
      <c r="B16" s="170" t="s">
        <v>172</v>
      </c>
      <c r="C16" s="501">
        <f>'[37]Sch B'!E37</f>
        <v>887278.79</v>
      </c>
      <c r="D16" s="501">
        <f>'[37]Sch B'!G37</f>
        <v>0</v>
      </c>
      <c r="E16" s="171">
        <f t="shared" si="2"/>
        <v>887278.79</v>
      </c>
      <c r="F16" s="171"/>
      <c r="G16" s="171">
        <f t="shared" si="0"/>
        <v>887278.79</v>
      </c>
      <c r="H16" s="172">
        <f t="shared" si="1"/>
        <v>0.2084157809549598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'[37]Sch B'!E42</f>
        <v>33535.300000000003</v>
      </c>
      <c r="D17" s="501">
        <f>'[37]Sch B'!G42</f>
        <v>0</v>
      </c>
      <c r="E17" s="171">
        <f t="shared" si="2"/>
        <v>33535.300000000003</v>
      </c>
      <c r="F17" s="171"/>
      <c r="G17" s="171">
        <f>E17+F17</f>
        <v>33535.300000000003</v>
      </c>
      <c r="H17" s="172">
        <f t="shared" si="1"/>
        <v>7.877214938338449E-3</v>
      </c>
      <c r="I17" s="473"/>
      <c r="J17" s="338" t="s">
        <v>156</v>
      </c>
      <c r="K17" s="339">
        <f>J208</f>
        <v>95407.01</v>
      </c>
    </row>
    <row r="18" spans="1:11" s="167" customFormat="1" ht="13.5" thickBot="1">
      <c r="A18" s="169" t="s">
        <v>216</v>
      </c>
      <c r="B18" s="170" t="s">
        <v>229</v>
      </c>
      <c r="C18" s="501">
        <f>'[37]Sch B'!E47</f>
        <v>13716</v>
      </c>
      <c r="D18" s="501">
        <f>'[37]Sch B'!G47</f>
        <v>0</v>
      </c>
      <c r="E18" s="171">
        <f t="shared" si="2"/>
        <v>13716</v>
      </c>
      <c r="F18" s="171"/>
      <c r="G18" s="171">
        <f>E18+F18</f>
        <v>13716</v>
      </c>
      <c r="H18" s="172">
        <f t="shared" si="1"/>
        <v>3.221795543628659E-3</v>
      </c>
      <c r="I18" s="473"/>
      <c r="J18" s="341" t="s">
        <v>252</v>
      </c>
      <c r="K18" s="342">
        <f>K208</f>
        <v>103260.09000000001</v>
      </c>
    </row>
    <row r="19" spans="1:11" s="167" customFormat="1">
      <c r="A19" s="169" t="s">
        <v>227</v>
      </c>
      <c r="B19" s="177" t="s">
        <v>173</v>
      </c>
      <c r="C19" s="501">
        <f>'[37]Sch B'!E52</f>
        <v>0</v>
      </c>
      <c r="D19" s="501">
        <f>'[37]Sch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'[37]Sch B'!E67</f>
        <v>174417.28</v>
      </c>
      <c r="D20" s="501">
        <f>'[37]Sch B'!G67</f>
        <v>0</v>
      </c>
      <c r="E20" s="171">
        <f t="shared" si="2"/>
        <v>174417.28</v>
      </c>
      <c r="F20" s="171"/>
      <c r="G20" s="171">
        <f t="shared" si="0"/>
        <v>174417.28</v>
      </c>
      <c r="H20" s="172">
        <f t="shared" si="1"/>
        <v>4.0969438279077869E-2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3804576.3899999997</v>
      </c>
      <c r="D21" s="501">
        <f>SUM(D11:D20)</f>
        <v>0</v>
      </c>
      <c r="E21" s="171">
        <f>SUM(E11:E20)</f>
        <v>3804576.3899999997</v>
      </c>
      <c r="F21" s="171">
        <f>SUM(F11:F20)</f>
        <v>452677</v>
      </c>
      <c r="G21" s="171">
        <f>SUM(G11:G20)</f>
        <v>4257253.3899999997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</row>
    <row r="24" spans="1:11">
      <c r="A24" s="181" t="s">
        <v>161</v>
      </c>
      <c r="B24" s="148" t="s">
        <v>12</v>
      </c>
    </row>
    <row r="25" spans="1:11" s="167" customFormat="1">
      <c r="A25" s="169" t="s">
        <v>83</v>
      </c>
      <c r="B25" s="170" t="s">
        <v>14</v>
      </c>
      <c r="C25" s="501">
        <f>'[37]Sch C'!D10</f>
        <v>76214.41</v>
      </c>
      <c r="D25" s="501">
        <f>'[37]Sch C'!F10</f>
        <v>0</v>
      </c>
      <c r="E25" s="171">
        <f t="shared" ref="E25:E60" si="3">C25+D25</f>
        <v>76214.41</v>
      </c>
      <c r="F25" s="171"/>
      <c r="G25" s="182">
        <f>E25+F25</f>
        <v>76214.41</v>
      </c>
      <c r="H25" s="172">
        <f>IF($G$208=0,0,G25/$G$208)</f>
        <v>1.9875750652463098E-2</v>
      </c>
      <c r="I25" s="473"/>
      <c r="J25" s="183">
        <v>2047.51</v>
      </c>
      <c r="K25" s="183">
        <v>2177.41</v>
      </c>
    </row>
    <row r="26" spans="1:11" s="167" customFormat="1">
      <c r="A26" s="169" t="s">
        <v>84</v>
      </c>
      <c r="B26" s="170" t="s">
        <v>176</v>
      </c>
      <c r="C26" s="501">
        <f>'[37]Sch C'!D11</f>
        <v>0</v>
      </c>
      <c r="D26" s="501">
        <f>'[37]Sch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'[37]Sch C'!D12</f>
        <v>52149.46</v>
      </c>
      <c r="D27" s="501">
        <f>'[37]Sch C'!F12</f>
        <v>0</v>
      </c>
      <c r="E27" s="171">
        <f t="shared" si="3"/>
        <v>52149.46</v>
      </c>
      <c r="F27" s="171"/>
      <c r="G27" s="171">
        <f t="shared" si="4"/>
        <v>52149.46</v>
      </c>
      <c r="H27" s="172">
        <f t="shared" si="5"/>
        <v>1.3599917176037946E-2</v>
      </c>
      <c r="I27" s="473"/>
      <c r="J27" s="183">
        <v>4107.37</v>
      </c>
      <c r="K27" s="183">
        <v>4493.04</v>
      </c>
    </row>
    <row r="28" spans="1:11" s="167" customFormat="1">
      <c r="A28" s="169" t="s">
        <v>86</v>
      </c>
      <c r="B28" s="170" t="s">
        <v>45</v>
      </c>
      <c r="C28" s="501">
        <f>'[37]Sch C'!D13</f>
        <v>637223.28</v>
      </c>
      <c r="D28" s="501">
        <f>'[37]Sch C'!F13</f>
        <v>-585467.45062157104</v>
      </c>
      <c r="E28" s="171">
        <f t="shared" si="3"/>
        <v>51755.829378428985</v>
      </c>
      <c r="F28" s="171"/>
      <c r="G28" s="171">
        <f t="shared" si="4"/>
        <v>51755.829378428985</v>
      </c>
      <c r="H28" s="172">
        <f t="shared" si="5"/>
        <v>1.3497263306730036E-2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'[37]Sch C'!D14</f>
        <v>0</v>
      </c>
      <c r="D29" s="501">
        <f>'[37]Sch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'[37]Sch C'!D15</f>
        <v>168014.69</v>
      </c>
      <c r="D30" s="501">
        <f>'[37]Sch C'!F15</f>
        <v>-168015</v>
      </c>
      <c r="E30" s="171">
        <f t="shared" si="3"/>
        <v>-0.30999999999767169</v>
      </c>
      <c r="F30" s="171"/>
      <c r="G30" s="171">
        <f t="shared" si="4"/>
        <v>-0.30999999999767169</v>
      </c>
      <c r="H30" s="172">
        <f t="shared" si="5"/>
        <v>-8.0844064819465029E-8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'[37]Sch C'!D16</f>
        <v>0</v>
      </c>
      <c r="D31" s="501">
        <f>'[37]Sch C'!F16</f>
        <v>146852</v>
      </c>
      <c r="E31" s="171">
        <f t="shared" si="3"/>
        <v>146852</v>
      </c>
      <c r="F31" s="171"/>
      <c r="G31" s="171">
        <f t="shared" si="4"/>
        <v>146852</v>
      </c>
      <c r="H31" s="172">
        <f t="shared" si="5"/>
        <v>3.8297137441797566E-2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'[37]Sch C'!D17</f>
        <v>26240.45</v>
      </c>
      <c r="D32" s="501">
        <f>'[37]Sch C'!F17</f>
        <v>-26240</v>
      </c>
      <c r="E32" s="171">
        <f t="shared" si="3"/>
        <v>0.4500000000007276</v>
      </c>
      <c r="F32" s="171"/>
      <c r="G32" s="171">
        <f t="shared" si="4"/>
        <v>0.4500000000007276</v>
      </c>
      <c r="H32" s="172">
        <f t="shared" si="5"/>
        <v>1.1735428764223007E-7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'[37]Sch C'!D18</f>
        <v>39764.5</v>
      </c>
      <c r="D33" s="501">
        <f>'[37]Sch C'!F18</f>
        <v>0</v>
      </c>
      <c r="E33" s="171">
        <f t="shared" si="3"/>
        <v>39764.5</v>
      </c>
      <c r="F33" s="171"/>
      <c r="G33" s="171">
        <f t="shared" si="4"/>
        <v>39764.5</v>
      </c>
      <c r="H33" s="172">
        <f t="shared" si="5"/>
        <v>1.037007682431536E-2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'[37]Sch C'!D19</f>
        <v>12880.12</v>
      </c>
      <c r="D34" s="501">
        <f>'[37]Sch C'!F19</f>
        <v>0</v>
      </c>
      <c r="E34" s="171">
        <f t="shared" si="3"/>
        <v>12880.12</v>
      </c>
      <c r="F34" s="171"/>
      <c r="G34" s="171">
        <f t="shared" si="4"/>
        <v>12880.12</v>
      </c>
      <c r="H34" s="172">
        <f t="shared" si="5"/>
        <v>3.3589717940977698E-3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'[37]Sch C'!D20</f>
        <v>7743.36</v>
      </c>
      <c r="D35" s="501">
        <f>'[37]Sch C'!F20</f>
        <v>0</v>
      </c>
      <c r="E35" s="171">
        <f t="shared" si="3"/>
        <v>7743.36</v>
      </c>
      <c r="F35" s="171"/>
      <c r="G35" s="171">
        <f t="shared" si="4"/>
        <v>7743.36</v>
      </c>
      <c r="H35" s="172">
        <f t="shared" si="5"/>
        <v>2.0193699927908205E-3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'[37]Sch C'!D21</f>
        <v>7902</v>
      </c>
      <c r="D36" s="501">
        <f>'[37]Sch C'!F21</f>
        <v>0</v>
      </c>
      <c r="E36" s="171">
        <f t="shared" si="3"/>
        <v>7902</v>
      </c>
      <c r="F36" s="171"/>
      <c r="G36" s="171">
        <f t="shared" si="4"/>
        <v>7902</v>
      </c>
      <c r="H36" s="172">
        <f t="shared" si="5"/>
        <v>2.0607412909942279E-3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'[37]Sch C'!D22</f>
        <v>0</v>
      </c>
      <c r="D37" s="501">
        <f>'[37]Sch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'[37]Sch C'!D23</f>
        <v>20930.509999999998</v>
      </c>
      <c r="D38" s="501">
        <f>'[37]Sch C'!F23</f>
        <v>0</v>
      </c>
      <c r="E38" s="171">
        <f t="shared" si="3"/>
        <v>20930.509999999998</v>
      </c>
      <c r="F38" s="171"/>
      <c r="G38" s="171">
        <f t="shared" si="4"/>
        <v>20930.509999999998</v>
      </c>
      <c r="H38" s="172">
        <f t="shared" si="5"/>
        <v>5.4584113134102247E-3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'[37]Sch C'!D24</f>
        <v>34174.519999999997</v>
      </c>
      <c r="D39" s="501">
        <f>'[37]Sch C'!F24</f>
        <v>0</v>
      </c>
      <c r="E39" s="171">
        <f t="shared" si="3"/>
        <v>34174.519999999997</v>
      </c>
      <c r="F39" s="171"/>
      <c r="G39" s="171">
        <f t="shared" si="4"/>
        <v>34174.519999999997</v>
      </c>
      <c r="H39" s="172">
        <f t="shared" si="5"/>
        <v>8.9122810002414659E-3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'[37]Sch C'!D25</f>
        <v>0</v>
      </c>
      <c r="D40" s="501">
        <f>'[37]Sch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'[37]Sch C'!D26</f>
        <v>240752.78</v>
      </c>
      <c r="D41" s="501">
        <f>'[37]Sch C'!F26</f>
        <v>0</v>
      </c>
      <c r="E41" s="171">
        <f t="shared" si="3"/>
        <v>240752.78</v>
      </c>
      <c r="F41" s="171"/>
      <c r="G41" s="171">
        <f t="shared" si="4"/>
        <v>240752.78</v>
      </c>
      <c r="H41" s="172">
        <f t="shared" si="5"/>
        <v>6.2785268877201886E-2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'[37]Sch C'!D27</f>
        <v>0</v>
      </c>
      <c r="D42" s="501">
        <f>'[37]Sch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'[37]Sch C'!D28</f>
        <v>0</v>
      </c>
      <c r="D43" s="501">
        <f>'[37]Sch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'[37]Sch C'!D29</f>
        <v>84122.73</v>
      </c>
      <c r="D44" s="501">
        <f>'[37]Sch C'!F29</f>
        <v>-84122.73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'[37]Sch C'!D30</f>
        <v>200</v>
      </c>
      <c r="D45" s="501">
        <f>'[37]Sch C'!F30</f>
        <v>-200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'[37]Sch C'!D31</f>
        <v>47141.49</v>
      </c>
      <c r="D46" s="501">
        <f>'[37]Sch C'!F31</f>
        <v>0</v>
      </c>
      <c r="E46" s="171">
        <f t="shared" si="3"/>
        <v>47141.49</v>
      </c>
      <c r="F46" s="171"/>
      <c r="G46" s="171">
        <f t="shared" si="4"/>
        <v>47141.49</v>
      </c>
      <c r="H46" s="172">
        <f t="shared" si="5"/>
        <v>1.229390217185415E-2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'[37]Sch C'!D32</f>
        <v>15011.02</v>
      </c>
      <c r="D47" s="501">
        <f>'[37]Sch C'!F32</f>
        <v>0</v>
      </c>
      <c r="E47" s="171">
        <f t="shared" si="3"/>
        <v>15011.02</v>
      </c>
      <c r="F47" s="171"/>
      <c r="G47" s="171">
        <f t="shared" si="4"/>
        <v>15011.02</v>
      </c>
      <c r="H47" s="172">
        <f t="shared" si="5"/>
        <v>3.9146834641787115E-3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'[37]Sch C'!D33</f>
        <v>0</v>
      </c>
      <c r="D48" s="501">
        <f>'[37]Sch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'[37]Sch C'!D34</f>
        <v>0</v>
      </c>
      <c r="D49" s="501">
        <f>'[37]Sch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'[37]Sch C'!D35</f>
        <v>0</v>
      </c>
      <c r="D50" s="501">
        <f>'[37]Sch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'[37]Sch C'!D36</f>
        <v>0</v>
      </c>
      <c r="D51" s="501">
        <f>'[37]Sch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'[37]Sch C'!D37</f>
        <v>0</v>
      </c>
      <c r="D52" s="501">
        <f>'[37]Sch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'[37]Sch C'!D38</f>
        <v>2385.8000000000002</v>
      </c>
      <c r="D53" s="501">
        <f>'[37]Sch C'!F38</f>
        <v>0</v>
      </c>
      <c r="E53" s="171">
        <f t="shared" si="3"/>
        <v>2385.8000000000002</v>
      </c>
      <c r="F53" s="171"/>
      <c r="G53" s="171">
        <f t="shared" si="4"/>
        <v>2385.8000000000002</v>
      </c>
      <c r="H53" s="172">
        <f t="shared" si="5"/>
        <v>6.2218635434751069E-4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'[37]Sch C'!D39</f>
        <v>4014.23</v>
      </c>
      <c r="D54" s="501">
        <f>'[37]Sch C'!F39</f>
        <v>0</v>
      </c>
      <c r="E54" s="171">
        <f t="shared" si="3"/>
        <v>4014.23</v>
      </c>
      <c r="F54" s="171"/>
      <c r="G54" s="171">
        <f t="shared" si="4"/>
        <v>4014.23</v>
      </c>
      <c r="H54" s="172">
        <f t="shared" si="5"/>
        <v>1.0468602268473501E-3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'[37]Sch C'!D40</f>
        <v>3358.13</v>
      </c>
      <c r="D55" s="501">
        <f>'[37]Sch C'!F40</f>
        <v>-3358</v>
      </c>
      <c r="E55" s="171">
        <f t="shared" si="3"/>
        <v>0.13000000000010914</v>
      </c>
      <c r="F55" s="171"/>
      <c r="G55" s="171">
        <f t="shared" si="4"/>
        <v>0.13000000000010914</v>
      </c>
      <c r="H55" s="172">
        <f t="shared" si="5"/>
        <v>3.3902349763284553E-8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'[37]Sch C'!D41</f>
        <v>11276.44</v>
      </c>
      <c r="D56" s="501">
        <f>'[37]Sch C'!F41</f>
        <v>0</v>
      </c>
      <c r="E56" s="171">
        <f t="shared" si="3"/>
        <v>11276.44</v>
      </c>
      <c r="F56" s="171"/>
      <c r="G56" s="171">
        <f t="shared" si="4"/>
        <v>11276.44</v>
      </c>
      <c r="H56" s="172">
        <f t="shared" si="5"/>
        <v>2.9407524074182428E-3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'[37]Sch C'!D42</f>
        <v>3006.76</v>
      </c>
      <c r="D57" s="501">
        <f>'[37]Sch C'!F42</f>
        <v>0</v>
      </c>
      <c r="E57" s="171">
        <f t="shared" si="3"/>
        <v>3006.76</v>
      </c>
      <c r="F57" s="171"/>
      <c r="G57" s="171">
        <f t="shared" si="4"/>
        <v>3006.76</v>
      </c>
      <c r="H57" s="172">
        <f t="shared" si="5"/>
        <v>7.8412483980129153E-4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'[37]Sch C'!D43</f>
        <v>8164.99</v>
      </c>
      <c r="D58" s="501">
        <f>'[37]Sch C'!F43</f>
        <v>0</v>
      </c>
      <c r="E58" s="171">
        <f t="shared" si="3"/>
        <v>8164.99</v>
      </c>
      <c r="F58" s="171">
        <v>-8164.99</v>
      </c>
      <c r="G58" s="171">
        <f t="shared" si="4"/>
        <v>0</v>
      </c>
      <c r="H58" s="172">
        <f t="shared" si="5"/>
        <v>0</v>
      </c>
      <c r="I58" s="473" t="s">
        <v>661</v>
      </c>
      <c r="J58" s="168"/>
      <c r="K58" s="168"/>
    </row>
    <row r="59" spans="1:11" s="167" customFormat="1">
      <c r="A59" s="163">
        <v>360</v>
      </c>
      <c r="B59" s="170" t="s">
        <v>211</v>
      </c>
      <c r="C59" s="501">
        <f>'[37]Sch C'!D44</f>
        <v>686.69</v>
      </c>
      <c r="D59" s="501">
        <f>'[37]Sch C'!F44</f>
        <v>0</v>
      </c>
      <c r="E59" s="171">
        <f t="shared" si="3"/>
        <v>686.69</v>
      </c>
      <c r="F59" s="171"/>
      <c r="G59" s="171">
        <f t="shared" si="4"/>
        <v>686.69</v>
      </c>
      <c r="H59" s="172">
        <f t="shared" si="5"/>
        <v>1.7908003506869483E-4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'[37]Sch C'!D45</f>
        <v>8.56</v>
      </c>
      <c r="D60" s="501">
        <f>'[37]Sch C'!F45</f>
        <v>0</v>
      </c>
      <c r="E60" s="171">
        <f t="shared" si="3"/>
        <v>8.56</v>
      </c>
      <c r="F60" s="171"/>
      <c r="G60" s="171">
        <f t="shared" si="4"/>
        <v>8.56</v>
      </c>
      <c r="H60" s="172">
        <f t="shared" si="5"/>
        <v>2.2323393382574781E-6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1503366.92</v>
      </c>
      <c r="D61" s="501">
        <f>SUM(D25:D60)</f>
        <v>-720551.18062157102</v>
      </c>
      <c r="E61" s="171">
        <f t="shared" ref="E61:F61" si="6">SUM(E25:E60)</f>
        <v>782815.73937842902</v>
      </c>
      <c r="F61" s="171">
        <f t="shared" si="6"/>
        <v>-8164.99</v>
      </c>
      <c r="G61" s="171">
        <f>SUM(G25:G60)</f>
        <v>774650.74937842903</v>
      </c>
      <c r="H61" s="186">
        <f t="shared" si="5"/>
        <v>0.20201908192150722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'[37]Sch C'!D57</f>
        <v>0</v>
      </c>
      <c r="D64" s="501">
        <f>'[37]Sch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'[37]Sch C'!D58</f>
        <v>165171.79</v>
      </c>
      <c r="D65" s="501">
        <f>'[37]Sch C'!F58</f>
        <v>0</v>
      </c>
      <c r="E65" s="171">
        <f t="shared" si="7"/>
        <v>165171.79</v>
      </c>
      <c r="F65" s="171"/>
      <c r="G65" s="171">
        <f t="shared" si="8"/>
        <v>165171.79</v>
      </c>
      <c r="H65" s="172">
        <f t="shared" si="9"/>
        <v>4.3074706120023731E-2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'[37]Sch C'!D59</f>
        <v>0</v>
      </c>
      <c r="D66" s="501">
        <f>'[37]Sch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'[37]Sch C'!D60</f>
        <v>0</v>
      </c>
      <c r="D67" s="501">
        <f>'[37]Sch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'[37]Sch C'!D61</f>
        <v>3457.59</v>
      </c>
      <c r="D68" s="501">
        <f>'[37]Sch C'!F61</f>
        <v>0</v>
      </c>
      <c r="E68" s="171">
        <f t="shared" si="7"/>
        <v>3457.59</v>
      </c>
      <c r="F68" s="171"/>
      <c r="G68" s="171">
        <f t="shared" si="8"/>
        <v>3457.59</v>
      </c>
      <c r="H68" s="172">
        <f t="shared" si="9"/>
        <v>9.0169558090720493E-4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'[37]Sch C'!D62</f>
        <v>10340.48</v>
      </c>
      <c r="D69" s="501">
        <f>'[37]Sch C'!F62</f>
        <v>0</v>
      </c>
      <c r="E69" s="171">
        <f t="shared" si="7"/>
        <v>10340.48</v>
      </c>
      <c r="F69" s="171"/>
      <c r="G69" s="171">
        <f t="shared" si="8"/>
        <v>10340.48</v>
      </c>
      <c r="H69" s="172">
        <f t="shared" si="9"/>
        <v>2.6966659206150334E-3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'[37]Sch C'!D63</f>
        <v>0</v>
      </c>
      <c r="D70" s="501">
        <f>'[37]Sch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'[37]Sch C'!D64</f>
        <v>0</v>
      </c>
      <c r="D71" s="501">
        <f>'[37]Sch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'[37]Sch C'!D65</f>
        <v>2489</v>
      </c>
      <c r="D72" s="501">
        <f>'[37]Sch C'!F65</f>
        <v>0</v>
      </c>
      <c r="E72" s="171">
        <f t="shared" si="7"/>
        <v>2489</v>
      </c>
      <c r="F72" s="171"/>
      <c r="G72" s="171">
        <f t="shared" si="8"/>
        <v>2489</v>
      </c>
      <c r="H72" s="172">
        <f t="shared" si="9"/>
        <v>6.4909960431341852E-4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'[37]Sch C'!D66</f>
        <v>34226.959999999999</v>
      </c>
      <c r="D73" s="501">
        <f>'[37]Sch C'!F66</f>
        <v>0</v>
      </c>
      <c r="E73" s="171">
        <f t="shared" si="7"/>
        <v>34226.959999999999</v>
      </c>
      <c r="F73" s="171"/>
      <c r="G73" s="171">
        <f t="shared" si="8"/>
        <v>34226.959999999999</v>
      </c>
      <c r="H73" s="172">
        <f t="shared" si="9"/>
        <v>8.9259566865613517E-3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'[37]Sch C'!D67</f>
        <v>29668.04</v>
      </c>
      <c r="D74" s="501">
        <f>'[37]Sch C'!F67</f>
        <v>0</v>
      </c>
      <c r="E74" s="171">
        <f t="shared" si="7"/>
        <v>29668.04</v>
      </c>
      <c r="F74" s="171"/>
      <c r="G74" s="171">
        <f t="shared" si="8"/>
        <v>29668.04</v>
      </c>
      <c r="H74" s="172">
        <f t="shared" si="9"/>
        <v>7.7370482220790173E-3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'[37]Sch C'!D68</f>
        <v>0</v>
      </c>
      <c r="D75" s="501">
        <f>'[37]Sch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'[37]Sch C'!D69</f>
        <v>0</v>
      </c>
      <c r="D76" s="501">
        <f>'[37]Sch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'[37]Sch C'!D70</f>
        <v>0</v>
      </c>
      <c r="D77" s="501">
        <f>'[37]Sch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'[37]Sch C'!D71</f>
        <v>0</v>
      </c>
      <c r="D78" s="501">
        <f>'[37]Sch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245353.86000000002</v>
      </c>
      <c r="D79" s="501">
        <f>SUM(D64:D78)</f>
        <v>0</v>
      </c>
      <c r="E79" s="171">
        <f t="shared" ref="E79:F79" si="10">SUM(E64:E78)</f>
        <v>245353.86000000002</v>
      </c>
      <c r="F79" s="171">
        <f t="shared" si="10"/>
        <v>0</v>
      </c>
      <c r="G79" s="171">
        <f>SUM(G64:G78)</f>
        <v>245353.86000000002</v>
      </c>
      <c r="H79" s="172">
        <f t="shared" si="9"/>
        <v>6.3985172134499765E-2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'[37]Sch C'!D75</f>
        <v>37410.910000000003</v>
      </c>
      <c r="D82" s="501">
        <f>'[37]Sch C'!F75</f>
        <v>0</v>
      </c>
      <c r="E82" s="171">
        <f t="shared" ref="E82:E92" si="11">C82+D82</f>
        <v>37410.910000000003</v>
      </c>
      <c r="F82" s="171"/>
      <c r="G82" s="171">
        <f t="shared" ref="G82:G92" si="12">E82+F82</f>
        <v>37410.910000000003</v>
      </c>
      <c r="H82" s="172">
        <f t="shared" ref="H82:H93" si="13">IF($G$208=0,0,G82/$G$208)</f>
        <v>9.7562904290899623E-3</v>
      </c>
      <c r="I82" s="473"/>
      <c r="J82" s="183">
        <v>2178.09</v>
      </c>
      <c r="K82" s="183">
        <v>2266.36</v>
      </c>
    </row>
    <row r="83" spans="1:11" s="167" customFormat="1">
      <c r="A83" s="169" t="s">
        <v>86</v>
      </c>
      <c r="B83" s="199" t="s">
        <v>45</v>
      </c>
      <c r="C83" s="501">
        <f>'[37]Sch C'!D76</f>
        <v>0</v>
      </c>
      <c r="D83" s="501">
        <f>'[37]Sch C'!F76</f>
        <v>15083.938142810448</v>
      </c>
      <c r="E83" s="171">
        <f t="shared" si="11"/>
        <v>15083.938142810448</v>
      </c>
      <c r="F83" s="171"/>
      <c r="G83" s="171">
        <f t="shared" si="12"/>
        <v>15083.938142810448</v>
      </c>
      <c r="H83" s="172">
        <f t="shared" si="13"/>
        <v>3.9336995901913798E-3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'[37]Sch C'!D77</f>
        <v>7254.01</v>
      </c>
      <c r="D84" s="501">
        <f>'[37]Sch C'!F77</f>
        <v>0</v>
      </c>
      <c r="E84" s="171">
        <f t="shared" si="11"/>
        <v>7254.01</v>
      </c>
      <c r="F84" s="171"/>
      <c r="G84" s="171">
        <f t="shared" si="12"/>
        <v>7254.01</v>
      </c>
      <c r="H84" s="172">
        <f t="shared" si="13"/>
        <v>1.8917537246627488E-3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'[37]Sch C'!D78</f>
        <v>375</v>
      </c>
      <c r="D85" s="501">
        <f>'[37]Sch C'!F78</f>
        <v>0</v>
      </c>
      <c r="E85" s="171">
        <f t="shared" si="11"/>
        <v>375</v>
      </c>
      <c r="F85" s="171"/>
      <c r="G85" s="171">
        <f t="shared" si="12"/>
        <v>375</v>
      </c>
      <c r="H85" s="172">
        <f t="shared" si="13"/>
        <v>9.7795239701700269E-5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'[37]Sch C'!D79</f>
        <v>3085.63</v>
      </c>
      <c r="D86" s="501">
        <f>'[37]Sch C'!F79</f>
        <v>0</v>
      </c>
      <c r="E86" s="171">
        <f t="shared" si="11"/>
        <v>3085.63</v>
      </c>
      <c r="F86" s="171"/>
      <c r="G86" s="171">
        <f>E86+F86</f>
        <v>3085.63</v>
      </c>
      <c r="H86" s="172">
        <f t="shared" si="13"/>
        <v>8.0469313461535303E-4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'[37]Sch C'!D80</f>
        <v>9390.9699999999993</v>
      </c>
      <c r="D87" s="501">
        <f>'[37]Sch C'!F80</f>
        <v>0</v>
      </c>
      <c r="E87" s="171">
        <f t="shared" si="11"/>
        <v>9390.9699999999993</v>
      </c>
      <c r="F87" s="171"/>
      <c r="G87" s="171">
        <f t="shared" si="12"/>
        <v>9390.9699999999993</v>
      </c>
      <c r="H87" s="172">
        <f t="shared" si="13"/>
        <v>2.4490457658172694E-3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'[37]Sch C'!D81</f>
        <v>12567.39</v>
      </c>
      <c r="D88" s="501">
        <f>'[37]Sch C'!F81</f>
        <v>0</v>
      </c>
      <c r="E88" s="171">
        <f t="shared" si="11"/>
        <v>12567.39</v>
      </c>
      <c r="F88" s="171"/>
      <c r="G88" s="171">
        <f t="shared" si="12"/>
        <v>12567.39</v>
      </c>
      <c r="H88" s="172">
        <f t="shared" si="13"/>
        <v>3.2774157799326689E-3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'[37]Sch C'!D82</f>
        <v>32117.24</v>
      </c>
      <c r="D89" s="501">
        <f>'[37]Sch C'!F82</f>
        <v>0</v>
      </c>
      <c r="E89" s="171">
        <f t="shared" si="11"/>
        <v>32117.24</v>
      </c>
      <c r="F89" s="171"/>
      <c r="G89" s="171">
        <f t="shared" si="12"/>
        <v>32117.24</v>
      </c>
      <c r="H89" s="172">
        <f t="shared" si="13"/>
        <v>8.3757684916187618E-3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'[37]Sch C'!D83</f>
        <v>2460.4299999999998</v>
      </c>
      <c r="D90" s="501">
        <f>'[37]Sch C'!F83</f>
        <v>0</v>
      </c>
      <c r="E90" s="171">
        <f t="shared" si="11"/>
        <v>2460.4299999999998</v>
      </c>
      <c r="F90" s="171"/>
      <c r="G90" s="171">
        <f t="shared" si="12"/>
        <v>2460.4299999999998</v>
      </c>
      <c r="H90" s="172">
        <f t="shared" si="13"/>
        <v>6.416489109846783E-4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'[37]Sch C'!D84</f>
        <v>92165.36</v>
      </c>
      <c r="D91" s="501">
        <f>'[37]Sch C'!F84</f>
        <v>0</v>
      </c>
      <c r="E91" s="171">
        <f t="shared" si="11"/>
        <v>92165.36</v>
      </c>
      <c r="F91" s="171"/>
      <c r="G91" s="171">
        <f t="shared" si="12"/>
        <v>92165.36</v>
      </c>
      <c r="H91" s="172">
        <f t="shared" si="13"/>
        <v>2.4035555929049327E-2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'[37]Sch C'!D85</f>
        <v>0</v>
      </c>
      <c r="D92" s="501">
        <f>'[37]Sch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196826.94</v>
      </c>
      <c r="D93" s="501">
        <f>SUM(D82:D92)</f>
        <v>15083.938142810448</v>
      </c>
      <c r="E93" s="171">
        <f t="shared" ref="E93:F93" si="14">SUM(E82:E92)</f>
        <v>211910.87814281043</v>
      </c>
      <c r="F93" s="171">
        <f t="shared" si="14"/>
        <v>0</v>
      </c>
      <c r="G93" s="171">
        <f>SUM(G82:G92)</f>
        <v>211910.87814281043</v>
      </c>
      <c r="H93" s="172">
        <f t="shared" si="13"/>
        <v>5.5263666995663846E-2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'[37]Sch C'!D89</f>
        <v>147674.17000000001</v>
      </c>
      <c r="D96" s="501">
        <f>'[37]Sch C'!F89</f>
        <v>0</v>
      </c>
      <c r="E96" s="171">
        <f t="shared" ref="E96:E101" si="15">C96+D96</f>
        <v>147674.17000000001</v>
      </c>
      <c r="F96" s="171"/>
      <c r="G96" s="171">
        <f t="shared" ref="G96:G101" si="16">E96+F96</f>
        <v>147674.17000000001</v>
      </c>
      <c r="H96" s="172">
        <f t="shared" ref="H96:H102" si="17">IF($G$208=0,0,G96/$G$208)</f>
        <v>3.8511548941065697E-2</v>
      </c>
      <c r="I96" s="473"/>
      <c r="J96" s="183">
        <v>11792.41</v>
      </c>
      <c r="K96" s="183">
        <v>12781.09</v>
      </c>
    </row>
    <row r="97" spans="1:11" s="167" customFormat="1">
      <c r="A97" s="169" t="s">
        <v>86</v>
      </c>
      <c r="B97" s="170" t="s">
        <v>45</v>
      </c>
      <c r="C97" s="501">
        <f>'[37]Sch C'!D90</f>
        <v>0</v>
      </c>
      <c r="D97" s="501">
        <f>'[37]Sch C'!F90</f>
        <v>59541.669677932841</v>
      </c>
      <c r="E97" s="171">
        <f t="shared" si="15"/>
        <v>59541.669677932841</v>
      </c>
      <c r="F97" s="171"/>
      <c r="G97" s="171">
        <f t="shared" si="16"/>
        <v>59541.669677932841</v>
      </c>
      <c r="H97" s="172">
        <f t="shared" si="17"/>
        <v>1.5527711622381068E-2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'[37]Sch C'!D91</f>
        <v>3614.07</v>
      </c>
      <c r="D98" s="501">
        <f>'[37]Sch C'!F91</f>
        <v>0</v>
      </c>
      <c r="E98" s="171">
        <f t="shared" si="15"/>
        <v>3614.07</v>
      </c>
      <c r="F98" s="171"/>
      <c r="G98" s="171">
        <f t="shared" si="16"/>
        <v>3614.07</v>
      </c>
      <c r="H98" s="172">
        <f t="shared" si="17"/>
        <v>9.4250357852993037E-4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'[37]Sch C'!D92</f>
        <v>138556.92000000001</v>
      </c>
      <c r="D99" s="501">
        <f>'[37]Sch C'!F92</f>
        <v>0</v>
      </c>
      <c r="E99" s="171">
        <f t="shared" si="15"/>
        <v>138556.92000000001</v>
      </c>
      <c r="F99" s="171"/>
      <c r="G99" s="171">
        <f t="shared" si="16"/>
        <v>138556.92000000001</v>
      </c>
      <c r="H99" s="172">
        <f t="shared" si="17"/>
        <v>3.6133885876611489E-2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'[37]Sch C'!D93</f>
        <v>15861.45</v>
      </c>
      <c r="D100" s="501">
        <f>'[37]Sch C'!F93</f>
        <v>0</v>
      </c>
      <c r="E100" s="171">
        <f t="shared" si="15"/>
        <v>15861.45</v>
      </c>
      <c r="F100" s="171"/>
      <c r="G100" s="171">
        <f t="shared" si="16"/>
        <v>15861.45</v>
      </c>
      <c r="H100" s="172">
        <f t="shared" si="17"/>
        <v>4.1364648127107566E-3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'[37]Sch C'!D94</f>
        <v>0</v>
      </c>
      <c r="D101" s="501">
        <f>'[37]Sch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305706.61000000004</v>
      </c>
      <c r="D102" s="501">
        <f>SUM(D96:D101)</f>
        <v>59541.669677932841</v>
      </c>
      <c r="E102" s="171">
        <f t="shared" ref="E102:F102" si="18">SUM(E96:E101)</f>
        <v>365248.27967793291</v>
      </c>
      <c r="F102" s="171">
        <f t="shared" si="18"/>
        <v>0</v>
      </c>
      <c r="G102" s="171">
        <f>SUM(G96:G101)</f>
        <v>365248.27967793291</v>
      </c>
      <c r="H102" s="172">
        <f t="shared" si="17"/>
        <v>9.5252114831298945E-2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'[37]Sch C'!D98</f>
        <v>44709.29</v>
      </c>
      <c r="D105" s="501">
        <f>'[37]Sch C'!F98</f>
        <v>0</v>
      </c>
      <c r="E105" s="171">
        <f t="shared" ref="E105:E110" si="19">C105+D105</f>
        <v>44709.29</v>
      </c>
      <c r="F105" s="171"/>
      <c r="G105" s="171">
        <f t="shared" ref="G105:G110" si="20">E105+F105</f>
        <v>44709.29</v>
      </c>
      <c r="H105" s="172">
        <f t="shared" ref="H105:H111" si="21">IF($G$208=0,0,G105/$G$208)</f>
        <v>1.1659615286514215E-2</v>
      </c>
      <c r="I105" s="473"/>
      <c r="J105" s="183">
        <v>4146.6499999999996</v>
      </c>
      <c r="K105" s="183">
        <v>4617.6099999999997</v>
      </c>
    </row>
    <row r="106" spans="1:11" s="167" customFormat="1">
      <c r="A106" s="169" t="s">
        <v>86</v>
      </c>
      <c r="B106" s="170" t="s">
        <v>45</v>
      </c>
      <c r="C106" s="501">
        <f>'[37]Sch C'!D99</f>
        <v>0</v>
      </c>
      <c r="D106" s="501">
        <f>'[37]Sch C'!F99</f>
        <v>18026.617496579842</v>
      </c>
      <c r="E106" s="171">
        <f t="shared" si="19"/>
        <v>18026.617496579842</v>
      </c>
      <c r="F106" s="171"/>
      <c r="G106" s="171">
        <f t="shared" si="20"/>
        <v>18026.617496579842</v>
      </c>
      <c r="H106" s="172">
        <f t="shared" si="21"/>
        <v>4.7011130109037057E-3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'[37]Sch C'!D100</f>
        <v>7134.7</v>
      </c>
      <c r="D107" s="501">
        <f>'[37]Sch C'!F100</f>
        <v>0</v>
      </c>
      <c r="E107" s="171">
        <f t="shared" si="19"/>
        <v>7134.7</v>
      </c>
      <c r="F107" s="171"/>
      <c r="G107" s="171">
        <f t="shared" si="20"/>
        <v>7134.7</v>
      </c>
      <c r="H107" s="172">
        <f t="shared" si="21"/>
        <v>1.8606391911992557E-3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'[37]Sch C'!D101</f>
        <v>0</v>
      </c>
      <c r="D108" s="501">
        <f>'[37]Sch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'[37]Sch C'!D102</f>
        <v>1877.63</v>
      </c>
      <c r="D109" s="501">
        <f>'[37]Sch C'!F102</f>
        <v>0</v>
      </c>
      <c r="E109" s="171">
        <f t="shared" si="19"/>
        <v>1877.63</v>
      </c>
      <c r="F109" s="171"/>
      <c r="G109" s="171">
        <f t="shared" si="20"/>
        <v>1877.63</v>
      </c>
      <c r="H109" s="172">
        <f t="shared" si="21"/>
        <v>4.8966206912294259E-4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'[37]Sch C'!D103</f>
        <v>0</v>
      </c>
      <c r="D110" s="501">
        <f>'[37]Sch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53721.619999999995</v>
      </c>
      <c r="D111" s="501">
        <f>SUM(D105:D110)</f>
        <v>18026.617496579842</v>
      </c>
      <c r="E111" s="171">
        <f t="shared" ref="E111:F111" si="22">SUM(E105:E110)</f>
        <v>71748.237496579852</v>
      </c>
      <c r="F111" s="171">
        <f t="shared" si="22"/>
        <v>0</v>
      </c>
      <c r="G111" s="171">
        <f>SUM(G105:G110)</f>
        <v>71748.237496579852</v>
      </c>
      <c r="H111" s="172">
        <f t="shared" si="21"/>
        <v>1.8711029557740122E-2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'[37]Sch C'!D115</f>
        <v>102234.88</v>
      </c>
      <c r="D114" s="501">
        <f>'[37]Sch C'!F115</f>
        <v>0</v>
      </c>
      <c r="E114" s="171">
        <f t="shared" ref="E114:E118" si="23">C114+D114</f>
        <v>102234.88</v>
      </c>
      <c r="F114" s="171"/>
      <c r="G114" s="171">
        <f>E114+F114</f>
        <v>102234.88</v>
      </c>
      <c r="H114" s="172">
        <f t="shared" ref="H114:H119" si="24">IF($G$208=0,0,G114/$G$208)</f>
        <v>2.66615589212655E-2</v>
      </c>
      <c r="I114" s="473"/>
      <c r="J114" s="183">
        <v>9549.6200000000008</v>
      </c>
      <c r="K114" s="183">
        <v>10070.83</v>
      </c>
    </row>
    <row r="115" spans="1:11" s="167" customFormat="1">
      <c r="A115" s="169" t="s">
        <v>86</v>
      </c>
      <c r="B115" s="170" t="s">
        <v>151</v>
      </c>
      <c r="C115" s="501">
        <f>'[37]Sch C'!D116</f>
        <v>0</v>
      </c>
      <c r="D115" s="501">
        <f>'[37]Sch C'!F116</f>
        <v>41220.718928185626</v>
      </c>
      <c r="E115" s="171">
        <f t="shared" si="23"/>
        <v>41220.718928185626</v>
      </c>
      <c r="F115" s="171"/>
      <c r="G115" s="171">
        <f>E115+F115</f>
        <v>41220.718928185626</v>
      </c>
      <c r="H115" s="172">
        <f t="shared" si="24"/>
        <v>1.0749840235355537E-2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'[37]Sch C'!D117</f>
        <v>19404.18</v>
      </c>
      <c r="D116" s="501">
        <f>'[37]Sch C'!F117</f>
        <v>0</v>
      </c>
      <c r="E116" s="171">
        <f t="shared" si="23"/>
        <v>19404.18</v>
      </c>
      <c r="F116" s="171"/>
      <c r="G116" s="171">
        <f>E116+F116</f>
        <v>19404.18</v>
      </c>
      <c r="H116" s="172">
        <f t="shared" si="24"/>
        <v>5.0603638248398353E-3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'[37]Sch C'!D118</f>
        <v>0</v>
      </c>
      <c r="D117" s="501">
        <f>'[37]Sch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'[37]Sch C'!D119</f>
        <v>0</v>
      </c>
      <c r="D118" s="501">
        <f>'[37]Sch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121639.06</v>
      </c>
      <c r="D119" s="501">
        <f>SUM(D114:D118)</f>
        <v>41220.718928185626</v>
      </c>
      <c r="E119" s="171">
        <f t="shared" ref="E119:F119" si="25">SUM(E114:E118)</f>
        <v>162859.77892818564</v>
      </c>
      <c r="F119" s="171">
        <f t="shared" si="25"/>
        <v>0</v>
      </c>
      <c r="G119" s="171">
        <f>SUM(G114:G118)</f>
        <v>162859.77892818564</v>
      </c>
      <c r="H119" s="172">
        <f t="shared" si="24"/>
        <v>4.2471762981460874E-2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'[37]Sch C'!D124</f>
        <v>0</v>
      </c>
      <c r="D123" s="501">
        <f>'[37]Sch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'[37]Sch C'!D125</f>
        <v>151107.97</v>
      </c>
      <c r="D124" s="501">
        <f>'[37]Sch C'!F125</f>
        <v>0</v>
      </c>
      <c r="E124" s="171">
        <f t="shared" si="26"/>
        <v>151107.97</v>
      </c>
      <c r="F124" s="171"/>
      <c r="G124" s="171">
        <f>E124+F124</f>
        <v>151107.97</v>
      </c>
      <c r="H124" s="172">
        <f>IF($G$208=0,0,G124/$G$208)</f>
        <v>3.9407040391966221E-2</v>
      </c>
      <c r="I124" s="473"/>
      <c r="J124" s="183">
        <v>4131</v>
      </c>
      <c r="K124" s="183">
        <v>4525.2299999999996</v>
      </c>
    </row>
    <row r="125" spans="1:11" s="167" customFormat="1">
      <c r="A125" s="163" t="s">
        <v>198</v>
      </c>
      <c r="B125" s="163" t="s">
        <v>195</v>
      </c>
      <c r="C125" s="501">
        <f>'[37]Sch C'!D126</f>
        <v>0</v>
      </c>
      <c r="D125" s="501">
        <f>'[37]Sch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'[37]Sch C'!D127</f>
        <v>0</v>
      </c>
      <c r="D126" s="501">
        <f>'[37]Sch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'[37]Sch C'!D128</f>
        <v>0</v>
      </c>
      <c r="D127" s="501">
        <f>'[37]Sch C'!F128</f>
        <v>0</v>
      </c>
      <c r="E127" s="171">
        <f t="shared" si="26"/>
        <v>0</v>
      </c>
      <c r="F127" s="171"/>
      <c r="G127" s="171">
        <f>E127+F127</f>
        <v>0</v>
      </c>
      <c r="H127" s="172">
        <f>IF($G$208=0,0,G127/$G$208)</f>
        <v>0</v>
      </c>
      <c r="I127" s="473"/>
      <c r="J127" s="183">
        <v>0</v>
      </c>
      <c r="K127" s="183">
        <v>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'[37]Sch C'!D130</f>
        <v>0</v>
      </c>
      <c r="D129" s="501">
        <f>'[37]Sch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'[37]Sch C'!D131</f>
        <v>0</v>
      </c>
      <c r="D130" s="501">
        <f>'[37]Sch C'!F131</f>
        <v>60926.16491728367</v>
      </c>
      <c r="E130" s="171">
        <f t="shared" si="27"/>
        <v>60926.16491728367</v>
      </c>
      <c r="F130" s="171"/>
      <c r="G130" s="171">
        <f>E130+F130</f>
        <v>60926.16491728367</v>
      </c>
      <c r="H130" s="172">
        <f>IF($G$208=0,0,G130/$G$208)</f>
        <v>1.5888770405842873E-2</v>
      </c>
      <c r="I130" s="473"/>
      <c r="J130" s="204"/>
      <c r="K130" s="204"/>
    </row>
    <row r="131" spans="1:11" s="167" customFormat="1">
      <c r="B131" s="163" t="s">
        <v>195</v>
      </c>
      <c r="C131" s="501">
        <f>'[37]Sch C'!D132</f>
        <v>0</v>
      </c>
      <c r="D131" s="501">
        <f>'[37]Sch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'[37]Sch C'!D133</f>
        <v>0</v>
      </c>
      <c r="D132" s="501">
        <f>'[37]Sch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'[37]Sch C'!D134</f>
        <v>0</v>
      </c>
      <c r="D133" s="501">
        <f>'[37]Sch C'!F134</f>
        <v>0</v>
      </c>
      <c r="E133" s="171">
        <f t="shared" si="27"/>
        <v>0</v>
      </c>
      <c r="F133" s="17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'[37]Sch C'!D136</f>
        <v>360768.23</v>
      </c>
      <c r="D135" s="501">
        <f>'[37]Sch C'!F136</f>
        <v>0</v>
      </c>
      <c r="E135" s="171">
        <f t="shared" ref="E135:E138" si="28">C135+D135</f>
        <v>360768.23</v>
      </c>
      <c r="F135" s="171"/>
      <c r="G135" s="171">
        <f>E135+F135</f>
        <v>360768.23</v>
      </c>
      <c r="H135" s="172">
        <f>IF($G$208=0,0,G135/$G$208)</f>
        <v>9.4083774745621684E-2</v>
      </c>
      <c r="I135" s="473"/>
      <c r="J135" s="183">
        <v>13033.53</v>
      </c>
      <c r="K135" s="183">
        <v>14303.65</v>
      </c>
    </row>
    <row r="136" spans="1:11" s="167" customFormat="1">
      <c r="A136" s="169"/>
      <c r="B136" s="163" t="s">
        <v>195</v>
      </c>
      <c r="C136" s="501">
        <f>'[37]Sch C'!D137</f>
        <v>148698.16</v>
      </c>
      <c r="D136" s="501">
        <f>'[37]Sch C'!F137</f>
        <v>0</v>
      </c>
      <c r="E136" s="171">
        <f t="shared" si="28"/>
        <v>148698.16</v>
      </c>
      <c r="F136" s="171"/>
      <c r="G136" s="171">
        <f>E136+F136</f>
        <v>148698.16</v>
      </c>
      <c r="H136" s="172">
        <f>IF($G$208=0,0,G136/$G$208)</f>
        <v>3.8778592534404743E-2</v>
      </c>
      <c r="I136" s="473"/>
      <c r="J136" s="183">
        <v>7031.32</v>
      </c>
      <c r="K136" s="183">
        <v>7749.14</v>
      </c>
    </row>
    <row r="137" spans="1:11" s="167" customFormat="1">
      <c r="A137" s="169"/>
      <c r="B137" s="163" t="s">
        <v>196</v>
      </c>
      <c r="C137" s="501">
        <f>'[37]Sch C'!D138</f>
        <v>391155.71</v>
      </c>
      <c r="D137" s="501">
        <f>'[37]Sch C'!F138</f>
        <v>0</v>
      </c>
      <c r="E137" s="171">
        <f t="shared" si="28"/>
        <v>391155.71</v>
      </c>
      <c r="F137" s="171"/>
      <c r="G137" s="171">
        <f>E137+F137</f>
        <v>391155.71</v>
      </c>
      <c r="H137" s="172">
        <f>IF($G$208=0,0,G137/$G$208)</f>
        <v>0.10200844378703669</v>
      </c>
      <c r="I137" s="473"/>
      <c r="J137" s="183">
        <v>32674.11</v>
      </c>
      <c r="K137" s="183">
        <v>35071</v>
      </c>
    </row>
    <row r="138" spans="1:11" s="167" customFormat="1">
      <c r="A138" s="169"/>
      <c r="B138" s="163" t="s">
        <v>197</v>
      </c>
      <c r="C138" s="501">
        <f>'[37]Sch C'!D139</f>
        <v>0</v>
      </c>
      <c r="D138" s="501">
        <f>'[37]Sch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'[37]Sch C'!D141</f>
        <v>0</v>
      </c>
      <c r="D140" s="501">
        <f>'[37]Sch C'!F141</f>
        <v>145460.39284292236</v>
      </c>
      <c r="E140" s="171">
        <f t="shared" ref="E140:E143" si="29">C140+D140</f>
        <v>145460.39284292236</v>
      </c>
      <c r="F140" s="171"/>
      <c r="G140" s="171">
        <f>E140+F140</f>
        <v>145460.39284292236</v>
      </c>
      <c r="H140" s="172">
        <f>IF($G$208=0,0,G140/$G$208)</f>
        <v>3.7934223960472205E-2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'[37]Sch C'!D142</f>
        <v>0</v>
      </c>
      <c r="D141" s="501">
        <f>'[37]Sch C'!F142</f>
        <v>59954.538592879209</v>
      </c>
      <c r="E141" s="171">
        <f t="shared" si="29"/>
        <v>59954.538592879209</v>
      </c>
      <c r="F141" s="171"/>
      <c r="G141" s="171">
        <f>E141+F141</f>
        <v>59954.538592879209</v>
      </c>
      <c r="H141" s="172">
        <f>IF($G$208=0,0,G141/$G$208)</f>
        <v>1.5635382594387896E-2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'[37]Sch C'!D143</f>
        <v>0</v>
      </c>
      <c r="D142" s="501">
        <f>'[37]Sch C'!F143</f>
        <v>157712.51043738585</v>
      </c>
      <c r="E142" s="171">
        <f t="shared" si="29"/>
        <v>157712.51043738585</v>
      </c>
      <c r="F142" s="171"/>
      <c r="G142" s="171">
        <f>E142+F142</f>
        <v>157712.51043738585</v>
      </c>
      <c r="H142" s="172">
        <f>IF($G$208=0,0,G142/$G$208)</f>
        <v>4.1129420699149474E-2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'[37]Sch C'!D144</f>
        <v>0</v>
      </c>
      <c r="D143" s="501">
        <f>'[37]Sch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'[37]Sch C'!D146</f>
        <v>11000</v>
      </c>
      <c r="D145" s="501">
        <f>'[37]Sch C'!F146</f>
        <v>0</v>
      </c>
      <c r="E145" s="171">
        <f t="shared" ref="E145:E153" si="30">C145+D145</f>
        <v>11000</v>
      </c>
      <c r="F145" s="171"/>
      <c r="G145" s="171">
        <f t="shared" ref="G145:G153" si="31">E145+F145</f>
        <v>11000</v>
      </c>
      <c r="H145" s="172">
        <f t="shared" ref="H145:H153" si="32">IF($G$208=0,0,G145/$G$208)</f>
        <v>2.8686603645832077E-3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'[37]Sch C'!D147</f>
        <v>0</v>
      </c>
      <c r="D146" s="501">
        <f>'[37]Sch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'[37]Sch C'!D148</f>
        <v>0</v>
      </c>
      <c r="D147" s="501">
        <f>'[37]Sch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'[37]Sch C'!D149</f>
        <v>0</v>
      </c>
      <c r="D148" s="501">
        <f>'[37]Sch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'[37]Sch C'!D150</f>
        <v>14738.99</v>
      </c>
      <c r="D149" s="501">
        <f>'[37]Sch C'!F150</f>
        <v>0</v>
      </c>
      <c r="E149" s="171">
        <f t="shared" si="30"/>
        <v>14738.99</v>
      </c>
      <c r="F149" s="171"/>
      <c r="G149" s="171">
        <f t="shared" si="31"/>
        <v>14738.99</v>
      </c>
      <c r="H149" s="172">
        <f t="shared" si="32"/>
        <v>3.8437414933625686E-3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'[37]Sch C'!D151</f>
        <v>64995.06</v>
      </c>
      <c r="D150" s="501">
        <f>'[37]Sch C'!F151</f>
        <v>0</v>
      </c>
      <c r="E150" s="171">
        <f t="shared" si="30"/>
        <v>64995.06</v>
      </c>
      <c r="F150" s="171"/>
      <c r="G150" s="171">
        <f t="shared" si="31"/>
        <v>64995.06</v>
      </c>
      <c r="H150" s="172">
        <f t="shared" si="32"/>
        <v>1.6949886592337041E-2</v>
      </c>
      <c r="I150" s="472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'[37]Sch C'!D152</f>
        <v>119.19</v>
      </c>
      <c r="D151" s="501">
        <f>'[37]Sch C'!F152</f>
        <v>0</v>
      </c>
      <c r="E151" s="171">
        <f t="shared" si="30"/>
        <v>119.19</v>
      </c>
      <c r="F151" s="171"/>
      <c r="G151" s="171">
        <f t="shared" si="31"/>
        <v>119.19</v>
      </c>
      <c r="H151" s="172">
        <f t="shared" si="32"/>
        <v>3.1083238986788415E-5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'[37]Sch C'!D153</f>
        <v>2111.1</v>
      </c>
      <c r="D152" s="501">
        <f>'[37]Sch C'!F153</f>
        <v>0</v>
      </c>
      <c r="E152" s="171">
        <f t="shared" si="30"/>
        <v>2111.1</v>
      </c>
      <c r="F152" s="171"/>
      <c r="G152" s="171">
        <f t="shared" si="31"/>
        <v>2111.1</v>
      </c>
      <c r="H152" s="172">
        <f t="shared" si="32"/>
        <v>5.5054808142469174E-4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'[37]Sch C'!D154</f>
        <v>0</v>
      </c>
      <c r="D153" s="501">
        <f>'[37]Sch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'[37]Sch C'!D156</f>
        <v>0</v>
      </c>
      <c r="D155" s="501">
        <f>'[37]Sch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'[37]Sch C'!D157</f>
        <v>464</v>
      </c>
      <c r="D156" s="501">
        <f>'[37]Sch C'!F157</f>
        <v>0</v>
      </c>
      <c r="E156" s="171">
        <f t="shared" si="33"/>
        <v>464</v>
      </c>
      <c r="F156" s="171"/>
      <c r="G156" s="171">
        <f t="shared" si="34"/>
        <v>464</v>
      </c>
      <c r="H156" s="172">
        <f t="shared" si="35"/>
        <v>1.2100530992423712E-4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'[37]Sch C'!D158</f>
        <v>582</v>
      </c>
      <c r="D157" s="501">
        <f>'[37]Sch C'!F158</f>
        <v>0</v>
      </c>
      <c r="E157" s="171">
        <f t="shared" si="33"/>
        <v>582</v>
      </c>
      <c r="F157" s="171"/>
      <c r="G157" s="171">
        <f t="shared" si="34"/>
        <v>582</v>
      </c>
      <c r="H157" s="172">
        <f t="shared" si="35"/>
        <v>1.5177821201703881E-4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'[37]Sch C'!D159</f>
        <v>182.32</v>
      </c>
      <c r="D158" s="501">
        <f>'[37]Sch C'!F159</f>
        <v>0</v>
      </c>
      <c r="E158" s="171">
        <f t="shared" si="33"/>
        <v>182.32</v>
      </c>
      <c r="F158" s="171"/>
      <c r="G158" s="171">
        <f t="shared" si="34"/>
        <v>182.32</v>
      </c>
      <c r="H158" s="172">
        <f t="shared" si="35"/>
        <v>4.7546741606437313E-5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'[37]Sch C'!D160</f>
        <v>0</v>
      </c>
      <c r="D159" s="501">
        <f>'[37]Sch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'[37]Sch C'!D161</f>
        <v>0</v>
      </c>
      <c r="D160" s="501">
        <f>'[37]Sch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1145922.7300000002</v>
      </c>
      <c r="D161" s="501">
        <f>SUM(D123:D160)</f>
        <v>424053.60679047112</v>
      </c>
      <c r="E161" s="171">
        <f t="shared" ref="E161:F161" si="36">SUM(E123:E160)</f>
        <v>1569976.3367904713</v>
      </c>
      <c r="F161" s="171">
        <f t="shared" si="36"/>
        <v>0</v>
      </c>
      <c r="G161" s="171">
        <f>SUM(G123:G160)</f>
        <v>1569976.3367904713</v>
      </c>
      <c r="H161" s="172">
        <f t="shared" si="35"/>
        <v>0.40942989915312389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'[37]Sch C'!D175</f>
        <v>0</v>
      </c>
      <c r="D164" s="501">
        <f>'[37]Sch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'[37]Sch C'!D176</f>
        <v>0</v>
      </c>
      <c r="D165" s="501">
        <f>'[37]Sch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'[37]Sch C'!D177</f>
        <v>0</v>
      </c>
      <c r="D166" s="501">
        <f>'[37]Sch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'[37]Sch C'!D178</f>
        <v>0</v>
      </c>
      <c r="D167" s="501">
        <f>'[37]Sch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'[37]Sch C'!D179</f>
        <v>0</v>
      </c>
      <c r="D168" s="501">
        <f>'[37]Sch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'[37]Sch C'!D180</f>
        <v>0</v>
      </c>
      <c r="D169" s="501">
        <f>'[37]Sch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'[37]Sch C'!D181</f>
        <v>0</v>
      </c>
      <c r="D170" s="501">
        <f>'[37]Sch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'[37]Sch C'!D182</f>
        <v>0</v>
      </c>
      <c r="D171" s="501">
        <f>'[37]Sch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'[37]Sch C'!D183</f>
        <v>0</v>
      </c>
      <c r="D172" s="501">
        <f>'[37]Sch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'[37]Sch C'!D184</f>
        <v>0</v>
      </c>
      <c r="D173" s="501">
        <f>'[37]Sch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'[37]Sch C'!D185</f>
        <v>0</v>
      </c>
      <c r="D174" s="501">
        <f>'[37]Sch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'[37]Sch C'!D186</f>
        <v>0</v>
      </c>
      <c r="D175" s="501">
        <f>'[37]Sch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'[37]Sch C'!D187</f>
        <v>0</v>
      </c>
      <c r="D176" s="501">
        <f>'[37]Sch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'[37]Sch C'!D188</f>
        <v>0</v>
      </c>
      <c r="D177" s="501">
        <f>'[37]Sch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'[37]Sch C'!D189</f>
        <v>0</v>
      </c>
      <c r="D178" s="501">
        <f>'[37]Sch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'[37]Sch C'!D190</f>
        <v>0</v>
      </c>
      <c r="D179" s="501">
        <f>'[37]Sch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'[37]Sch C'!D191</f>
        <v>0</v>
      </c>
      <c r="D180" s="501">
        <f>'[37]Sch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'[37]Sch C'!D192</f>
        <v>0</v>
      </c>
      <c r="D181" s="501">
        <f>'[37]Sch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'[37]Sch C'!D193</f>
        <v>-166.23</v>
      </c>
      <c r="D182" s="501">
        <f>'[37]Sch C'!F193</f>
        <v>0</v>
      </c>
      <c r="E182" s="171">
        <f t="shared" si="37"/>
        <v>-166.23</v>
      </c>
      <c r="F182" s="216"/>
      <c r="G182" s="171">
        <f t="shared" si="38"/>
        <v>-166.23</v>
      </c>
      <c r="H182" s="172">
        <f t="shared" si="39"/>
        <v>-4.3350673854969691E-5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'[37]Sch C'!D194</f>
        <v>171540</v>
      </c>
      <c r="D183" s="501">
        <f>'[37]Sch C'!F194</f>
        <v>0</v>
      </c>
      <c r="E183" s="171">
        <f t="shared" si="37"/>
        <v>171540</v>
      </c>
      <c r="F183" s="216"/>
      <c r="G183" s="171">
        <f t="shared" si="38"/>
        <v>171540</v>
      </c>
      <c r="H183" s="172">
        <f t="shared" si="39"/>
        <v>4.473545444914577E-2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'[37]Sch C'!D195</f>
        <v>789</v>
      </c>
      <c r="D184" s="501">
        <f>'[37]Sch C'!F195</f>
        <v>0</v>
      </c>
      <c r="E184" s="171">
        <f t="shared" si="37"/>
        <v>789</v>
      </c>
      <c r="F184" s="216"/>
      <c r="G184" s="171">
        <f t="shared" si="38"/>
        <v>789</v>
      </c>
      <c r="H184" s="172">
        <f t="shared" si="39"/>
        <v>2.0576118433237735E-4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'[37]Sch C'!D196</f>
        <v>4104</v>
      </c>
      <c r="D185" s="501">
        <f>'[37]Sch C'!F196</f>
        <v>0</v>
      </c>
      <c r="E185" s="171">
        <f t="shared" si="37"/>
        <v>4104</v>
      </c>
      <c r="F185" s="216"/>
      <c r="G185" s="171">
        <f t="shared" si="38"/>
        <v>4104</v>
      </c>
      <c r="H185" s="172">
        <f t="shared" si="39"/>
        <v>1.0702711032954076E-3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'[37]Sch C'!D197</f>
        <v>0</v>
      </c>
      <c r="D186" s="501">
        <f>'[37]Sch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'[37]Sch C'!D198</f>
        <v>39877.769999999997</v>
      </c>
      <c r="D187" s="501">
        <f>'[37]Sch C'!F198</f>
        <v>0</v>
      </c>
      <c r="E187" s="171">
        <f t="shared" si="37"/>
        <v>39877.769999999997</v>
      </c>
      <c r="F187" s="216"/>
      <c r="G187" s="171">
        <f t="shared" si="38"/>
        <v>39877.769999999997</v>
      </c>
      <c r="H187" s="172">
        <f t="shared" si="39"/>
        <v>1.0399616202451391E-2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'[37]Sch C'!D199</f>
        <v>0</v>
      </c>
      <c r="D188" s="501">
        <f>'[37]Sch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'[37]Sch C'!D200</f>
        <v>0</v>
      </c>
      <c r="D189" s="501">
        <f>'[37]Sch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'[37]Sch C'!D201</f>
        <v>0</v>
      </c>
      <c r="D190" s="501">
        <f>'[37]Sch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'[37]Sch C'!D202</f>
        <v>0</v>
      </c>
      <c r="D191" s="501">
        <f>'[37]Sch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'[37]Sch C'!D203</f>
        <v>0</v>
      </c>
      <c r="D192" s="501">
        <f>'[37]Sch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'[37]Sch C'!D204</f>
        <v>0</v>
      </c>
      <c r="D193" s="501">
        <f>'[37]Sch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'[37]Sch C'!D205</f>
        <v>105120.57</v>
      </c>
      <c r="D194" s="501">
        <f>'[37]Sch C'!F205</f>
        <v>0</v>
      </c>
      <c r="E194" s="171">
        <f t="shared" si="37"/>
        <v>105120.57</v>
      </c>
      <c r="F194" s="216"/>
      <c r="G194" s="171">
        <f t="shared" si="38"/>
        <v>105120.57</v>
      </c>
      <c r="H194" s="172">
        <f t="shared" si="39"/>
        <v>2.7414110241944966E-2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'[37]Sch C'!D206</f>
        <v>0</v>
      </c>
      <c r="D195" s="501">
        <f>'[37]Sch C'!F206</f>
        <v>0</v>
      </c>
      <c r="E195" s="171">
        <f t="shared" si="37"/>
        <v>0</v>
      </c>
      <c r="F195" s="216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'[37]Sch C'!D207</f>
        <v>0</v>
      </c>
      <c r="D196" s="501">
        <f>'[37]Sch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321265.11</v>
      </c>
      <c r="D197" s="501">
        <f>SUM(D164:D196)</f>
        <v>0</v>
      </c>
      <c r="E197" s="171">
        <f t="shared" ref="E197:F197" si="40">SUM(E164:E196)</f>
        <v>321265.11</v>
      </c>
      <c r="F197" s="171">
        <f t="shared" si="40"/>
        <v>0</v>
      </c>
      <c r="G197" s="171">
        <f>SUM(G164:G196)</f>
        <v>321265.11</v>
      </c>
      <c r="H197" s="172">
        <f>IF($G$208=0,0,G197/$G$208)</f>
        <v>8.3781862507314939E-2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'[37]Sch C'!D211</f>
        <v>68306.44</v>
      </c>
      <c r="D200" s="501">
        <f>'[37]Sch C'!F211</f>
        <v>0</v>
      </c>
      <c r="E200" s="171">
        <f t="shared" ref="E200:E205" si="41">C200+D200</f>
        <v>68306.44</v>
      </c>
      <c r="F200" s="171"/>
      <c r="G200" s="171">
        <f t="shared" ref="G200:G205" si="42">E200+F200</f>
        <v>68306.44</v>
      </c>
      <c r="H200" s="172">
        <f t="shared" ref="H200:H206" si="43">IF($G$208=0,0,G200/$G$208)</f>
        <v>1.7813452461252821E-2</v>
      </c>
      <c r="I200" s="473"/>
      <c r="J200" s="183">
        <v>4715.3999999999996</v>
      </c>
      <c r="K200" s="183">
        <v>5204.7299999999996</v>
      </c>
    </row>
    <row r="201" spans="1:14" s="167" customFormat="1">
      <c r="A201" s="169" t="s">
        <v>86</v>
      </c>
      <c r="B201" s="170" t="s">
        <v>45</v>
      </c>
      <c r="C201" s="501">
        <f>'[37]Sch C'!D212</f>
        <v>0</v>
      </c>
      <c r="D201" s="501">
        <f>'[37]Sch C'!F212</f>
        <v>27540.899585591298</v>
      </c>
      <c r="E201" s="171">
        <f t="shared" si="41"/>
        <v>27540.899585591298</v>
      </c>
      <c r="F201" s="171"/>
      <c r="G201" s="171">
        <f t="shared" si="42"/>
        <v>27540.899585591298</v>
      </c>
      <c r="H201" s="172">
        <f t="shared" si="43"/>
        <v>7.1823170041956227E-3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'[37]Sch C'!D213</f>
        <v>9648.7900000000009</v>
      </c>
      <c r="D202" s="501">
        <f>'[37]Sch C'!F213</f>
        <v>0</v>
      </c>
      <c r="E202" s="171">
        <f t="shared" si="41"/>
        <v>9648.7900000000009</v>
      </c>
      <c r="F202" s="171"/>
      <c r="G202" s="171">
        <f t="shared" si="42"/>
        <v>9648.7900000000009</v>
      </c>
      <c r="H202" s="172">
        <f t="shared" si="43"/>
        <v>2.516281949016983E-3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'[37]Sch C'!D214</f>
        <v>1921.25</v>
      </c>
      <c r="D203" s="501">
        <f>'[37]Sch C'!F214</f>
        <v>0</v>
      </c>
      <c r="E203" s="171">
        <f t="shared" si="41"/>
        <v>1921.25</v>
      </c>
      <c r="F203" s="171"/>
      <c r="G203" s="171">
        <f t="shared" si="42"/>
        <v>1921.25</v>
      </c>
      <c r="H203" s="172">
        <f t="shared" si="43"/>
        <v>5.010376114050444E-4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'[37]Sch C'!D215</f>
        <v>0</v>
      </c>
      <c r="D204" s="501">
        <f>'[37]Sch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'[37]Sch C'!D216</f>
        <v>4111.8599999999997</v>
      </c>
      <c r="D205" s="501">
        <f>'[37]Sch C'!F216</f>
        <v>0</v>
      </c>
      <c r="E205" s="171">
        <f t="shared" si="41"/>
        <v>4111.8599999999997</v>
      </c>
      <c r="F205" s="246"/>
      <c r="G205" s="171">
        <f t="shared" si="42"/>
        <v>4111.8599999999997</v>
      </c>
      <c r="H205" s="172">
        <f t="shared" si="43"/>
        <v>1.0723208915195553E-3</v>
      </c>
      <c r="I205" s="472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83988.340000000011</v>
      </c>
      <c r="D206" s="501">
        <f>SUM(D200:D205)</f>
        <v>27540.899585591298</v>
      </c>
      <c r="E206" s="171">
        <f t="shared" ref="E206:F206" si="44">SUM(E200:E205)</f>
        <v>111529.23958559129</v>
      </c>
      <c r="F206" s="171">
        <f t="shared" si="44"/>
        <v>0</v>
      </c>
      <c r="G206" s="171">
        <f>SUM(G200:G205)</f>
        <v>111529.23958559129</v>
      </c>
      <c r="H206" s="172">
        <f t="shared" si="43"/>
        <v>2.9085409917390021E-2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3977791.19</v>
      </c>
      <c r="D208" s="501">
        <f>SUM(D25:D206)/2</f>
        <v>-135083.72999999998</v>
      </c>
      <c r="E208" s="171">
        <f t="shared" ref="E208:F208" si="45">SUM(E25:E206)/2</f>
        <v>3842707.4600000018</v>
      </c>
      <c r="F208" s="171">
        <f t="shared" si="45"/>
        <v>-8164.99</v>
      </c>
      <c r="G208" s="171">
        <f>SUM(G25:G206)/2</f>
        <v>3834542.4700000021</v>
      </c>
      <c r="H208" s="172">
        <f>IF($G$208=0,0,G208/$G$208)</f>
        <v>1</v>
      </c>
      <c r="I208" s="473"/>
      <c r="J208" s="183">
        <f>SUM(J25:J200)</f>
        <v>95407.01</v>
      </c>
      <c r="K208" s="183">
        <f>SUM(K25:K200)</f>
        <v>103260.09000000001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'[37]Sch C'!D221</f>
        <v>3977791.19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-173214.80000000028</v>
      </c>
      <c r="D215" s="501">
        <f>D21-D208</f>
        <v>135083.72999999998</v>
      </c>
      <c r="E215" s="171">
        <f t="shared" ref="E215:F215" si="46">E21-E208</f>
        <v>-38131.070000002161</v>
      </c>
      <c r="F215" s="171">
        <f t="shared" si="46"/>
        <v>460841.99</v>
      </c>
      <c r="G215" s="171">
        <f>G21-G208</f>
        <v>422710.9199999976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'[37]Sch D'!C9</f>
        <v>6285</v>
      </c>
      <c r="D219" s="530"/>
      <c r="E219" s="234">
        <f t="shared" ref="E219:G227" si="47">C219+D219</f>
        <v>6285</v>
      </c>
      <c r="F219" s="573"/>
      <c r="G219" s="234">
        <f t="shared" si="47"/>
        <v>6285</v>
      </c>
      <c r="H219" s="172">
        <f t="shared" ref="H219:H228" si="48">IF($G$228=0,0,G219/$G$228)</f>
        <v>0.41493365022776785</v>
      </c>
      <c r="I219" s="472"/>
      <c r="J219" s="168"/>
      <c r="K219" s="168"/>
    </row>
    <row r="220" spans="1:11">
      <c r="A220" s="163"/>
      <c r="B220" s="170" t="s">
        <v>217</v>
      </c>
      <c r="C220" s="530">
        <f>'[37]Sch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'[37]Sch D'!E9</f>
        <v>2111</v>
      </c>
      <c r="D221" s="530"/>
      <c r="E221" s="234">
        <f t="shared" si="49"/>
        <v>2111</v>
      </c>
      <c r="F221" s="233"/>
      <c r="G221" s="234">
        <f t="shared" si="47"/>
        <v>2111</v>
      </c>
      <c r="H221" s="172">
        <f t="shared" si="48"/>
        <v>0.13936753152439427</v>
      </c>
      <c r="I221" s="473"/>
      <c r="J221" s="168"/>
      <c r="K221" s="168"/>
    </row>
    <row r="222" spans="1:11">
      <c r="A222" s="163"/>
      <c r="B222" s="202" t="s">
        <v>334</v>
      </c>
      <c r="C222" s="530">
        <f>'[37]Sch D'!F9</f>
        <v>209</v>
      </c>
      <c r="D222" s="530"/>
      <c r="E222" s="234">
        <f>C222+D222</f>
        <v>209</v>
      </c>
      <c r="F222" s="233"/>
      <c r="G222" s="234">
        <f>E222+F222</f>
        <v>209</v>
      </c>
      <c r="H222" s="172">
        <f t="shared" si="48"/>
        <v>1.3798111837327523E-2</v>
      </c>
      <c r="I222" s="473"/>
      <c r="J222" s="168"/>
      <c r="K222" s="168"/>
    </row>
    <row r="223" spans="1:11">
      <c r="A223" s="163"/>
      <c r="B223" s="170" t="s">
        <v>73</v>
      </c>
      <c r="C223" s="530">
        <f>'[37]Sch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'[37]Sch D'!H9</f>
        <v>6252</v>
      </c>
      <c r="D224" s="530"/>
      <c r="E224" s="234">
        <f t="shared" si="49"/>
        <v>6252</v>
      </c>
      <c r="F224" s="233"/>
      <c r="G224" s="234">
        <f t="shared" si="47"/>
        <v>6252</v>
      </c>
      <c r="H224" s="172">
        <f t="shared" si="48"/>
        <v>0.41275500099029511</v>
      </c>
      <c r="I224" s="473"/>
      <c r="J224" s="168"/>
      <c r="K224" s="168"/>
    </row>
    <row r="225" spans="1:11">
      <c r="A225" s="163"/>
      <c r="B225" s="170" t="s">
        <v>236</v>
      </c>
      <c r="C225" s="530">
        <f>'[37]Sch D'!I9</f>
        <v>203</v>
      </c>
      <c r="D225" s="530"/>
      <c r="E225" s="234">
        <f t="shared" si="49"/>
        <v>203</v>
      </c>
      <c r="F225" s="233"/>
      <c r="G225" s="234">
        <f t="shared" si="47"/>
        <v>203</v>
      </c>
      <c r="H225" s="172">
        <f t="shared" si="48"/>
        <v>1.3401993794150658E-2</v>
      </c>
      <c r="I225" s="473"/>
      <c r="J225" s="168"/>
      <c r="K225" s="168"/>
    </row>
    <row r="226" spans="1:11">
      <c r="A226" s="163"/>
      <c r="B226" s="170" t="s">
        <v>235</v>
      </c>
      <c r="C226" s="530">
        <f>'[37]Sch D'!J9</f>
        <v>87</v>
      </c>
      <c r="D226" s="530"/>
      <c r="E226" s="234">
        <f>C226+D226</f>
        <v>87</v>
      </c>
      <c r="F226" s="573"/>
      <c r="G226" s="234">
        <f>E226+F226</f>
        <v>87</v>
      </c>
      <c r="H226" s="172">
        <f t="shared" si="48"/>
        <v>5.7437116260645668E-3</v>
      </c>
      <c r="I226" s="472"/>
      <c r="J226" s="168"/>
      <c r="K226" s="168"/>
    </row>
    <row r="227" spans="1:11">
      <c r="A227" s="163"/>
      <c r="B227" s="170" t="s">
        <v>179</v>
      </c>
      <c r="C227" s="530">
        <f>'[37]Sch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15147</v>
      </c>
      <c r="D228" s="530">
        <f>SUM(D219:D227)</f>
        <v>0</v>
      </c>
      <c r="E228" s="236">
        <f>SUM(E219:E227)</f>
        <v>15147</v>
      </c>
      <c r="F228" s="236">
        <f>SUM(F219:F227)</f>
        <v>0</v>
      </c>
      <c r="G228" s="236">
        <f>SUM(G219:G227)</f>
        <v>15147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J230" s="168"/>
      <c r="K230" s="168"/>
    </row>
    <row r="231" spans="1:11">
      <c r="A231" s="163"/>
      <c r="B231" s="202" t="s">
        <v>219</v>
      </c>
      <c r="C231" s="531">
        <f>'[37]Sch D'!N22</f>
        <v>60</v>
      </c>
      <c r="D231" s="502"/>
      <c r="E231" s="234">
        <f>C231+D231</f>
        <v>60</v>
      </c>
      <c r="F231" s="234"/>
      <c r="G231" s="234">
        <f>E231+F231</f>
        <v>60</v>
      </c>
      <c r="H231" s="167"/>
      <c r="J231" s="168"/>
      <c r="K231" s="168"/>
    </row>
    <row r="232" spans="1:11">
      <c r="A232" s="163"/>
      <c r="B232" s="202" t="s">
        <v>290</v>
      </c>
      <c r="C232" s="531">
        <f>'[37]Sch D'!N24</f>
        <v>60</v>
      </c>
      <c r="D232" s="502"/>
      <c r="E232" s="234">
        <f>C232+D232</f>
        <v>60</v>
      </c>
      <c r="F232" s="234"/>
      <c r="G232" s="234">
        <f>E232+F232</f>
        <v>60</v>
      </c>
      <c r="H232" s="167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J234" s="168"/>
      <c r="K234" s="168"/>
    </row>
    <row r="235" spans="1:11" ht="26">
      <c r="A235" s="163"/>
      <c r="B235" s="241" t="s">
        <v>335</v>
      </c>
      <c r="C235" s="531">
        <f>'[37]Sch D'!N28</f>
        <v>21900</v>
      </c>
      <c r="D235" s="438"/>
      <c r="E235" s="233">
        <f>E231*E233</f>
        <v>21900</v>
      </c>
      <c r="F235" s="238"/>
      <c r="G235" s="233">
        <f>G231*G233</f>
        <v>21900</v>
      </c>
      <c r="H235" s="167"/>
      <c r="J235" s="168"/>
      <c r="K235" s="168"/>
    </row>
    <row r="236" spans="1:11" ht="26">
      <c r="A236" s="163"/>
      <c r="B236" s="241" t="s">
        <v>336</v>
      </c>
      <c r="C236" s="532">
        <f>'[37]Sch D'!N30</f>
        <v>0.69164383561643838</v>
      </c>
      <c r="D236" s="238"/>
      <c r="E236" s="242">
        <f>E228/E235</f>
        <v>0.69164383561643838</v>
      </c>
      <c r="F236" s="243"/>
      <c r="G236" s="242">
        <f>G228/G235</f>
        <v>0.69164383561643838</v>
      </c>
      <c r="H236" s="167"/>
      <c r="J236" s="168"/>
      <c r="K236" s="168"/>
    </row>
    <row r="237" spans="1:11" ht="26">
      <c r="A237" s="163"/>
      <c r="B237" s="241" t="s">
        <v>337</v>
      </c>
      <c r="C237" s="532">
        <f>'[37]Sch D'!N32</f>
        <v>0.28698630136986303</v>
      </c>
      <c r="D237" s="238"/>
      <c r="E237" s="242">
        <f>(E219+E220)/E235</f>
        <v>0.28698630136986303</v>
      </c>
      <c r="F237" s="243"/>
      <c r="G237" s="242">
        <f>(G219+G220)/G235</f>
        <v>0.28698630136986303</v>
      </c>
      <c r="H237" s="167"/>
      <c r="J237" s="168"/>
      <c r="K237" s="168"/>
    </row>
    <row r="238" spans="1:11" ht="26">
      <c r="A238" s="163"/>
      <c r="B238" s="241" t="s">
        <v>338</v>
      </c>
      <c r="C238" s="532">
        <f>'[37]Sch D'!N34</f>
        <v>0.4149336502277679</v>
      </c>
      <c r="D238" s="238"/>
      <c r="E238" s="242">
        <f>(E237/E236)</f>
        <v>0.4149336502277679</v>
      </c>
      <c r="F238" s="243"/>
      <c r="G238" s="242">
        <f>(G237/G236)</f>
        <v>0.4149336502277679</v>
      </c>
      <c r="H238" s="167"/>
      <c r="J238" s="168"/>
      <c r="K238" s="168"/>
    </row>
    <row r="241" spans="1:7">
      <c r="B241" s="148" t="s">
        <v>339</v>
      </c>
      <c r="F241" s="142" t="s">
        <v>340</v>
      </c>
      <c r="G241" s="501">
        <f>'[37]Sch B'!C85</f>
        <v>154.71378246753244</v>
      </c>
    </row>
    <row r="242" spans="1:7">
      <c r="F242" s="142" t="s">
        <v>341</v>
      </c>
      <c r="G242" s="501">
        <f>'[37]Sch B'!E85</f>
        <v>160.05621790423316</v>
      </c>
    </row>
    <row r="243" spans="1:7" ht="15">
      <c r="A243" s="249"/>
      <c r="B243" s="419"/>
      <c r="F243" s="142" t="s">
        <v>342</v>
      </c>
      <c r="G243" s="501">
        <f>'[37]Sch B'!G85</f>
        <v>122.90049738219895</v>
      </c>
    </row>
    <row r="244" spans="1:7" ht="15">
      <c r="B244" s="419"/>
      <c r="F244" s="142" t="s">
        <v>343</v>
      </c>
      <c r="G244" s="501">
        <f>'[37]Sch B'!I85</f>
        <v>127.48066202090592</v>
      </c>
    </row>
    <row r="245" spans="1:7">
      <c r="F245" s="142"/>
    </row>
  </sheetData>
  <phoneticPr fontId="16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tabColor rgb="FFE28CAB"/>
  </sheetPr>
  <dimension ref="A1:O246"/>
  <sheetViews>
    <sheetView showGridLines="0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377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360</v>
      </c>
      <c r="D2" s="144"/>
      <c r="E2" s="144"/>
      <c r="F2" s="421" t="s">
        <v>639</v>
      </c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'[4]Sch B'!E10</f>
        <v>5584464</v>
      </c>
      <c r="D11" s="501">
        <f>'[4]Sch B'!G10</f>
        <v>0</v>
      </c>
      <c r="E11" s="171">
        <f>C11+D11</f>
        <v>5584464</v>
      </c>
      <c r="F11" s="171"/>
      <c r="G11" s="171">
        <f t="shared" ref="G11:G20" si="0">E11+F11</f>
        <v>5584464</v>
      </c>
      <c r="H11" s="172">
        <f t="shared" ref="H11:H21" si="1">IF($G$21=0,0,G11/$G$21)</f>
        <v>0.62118365030088307</v>
      </c>
      <c r="I11" s="473"/>
      <c r="J11" s="336" t="s">
        <v>344</v>
      </c>
      <c r="K11" s="337">
        <f>G21</f>
        <v>8990037</v>
      </c>
    </row>
    <row r="12" spans="1:11" s="167" customFormat="1">
      <c r="A12" s="169" t="s">
        <v>15</v>
      </c>
      <c r="B12" s="170" t="s">
        <v>212</v>
      </c>
      <c r="C12" s="501">
        <f>'[4]Sch B'!E15</f>
        <v>0</v>
      </c>
      <c r="D12" s="501">
        <f>'[4]Sch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9791453.1400000006</v>
      </c>
    </row>
    <row r="13" spans="1:11" s="167" customFormat="1">
      <c r="A13" s="169" t="s">
        <v>16</v>
      </c>
      <c r="B13" s="170" t="s">
        <v>170</v>
      </c>
      <c r="C13" s="501">
        <f>'[4]Sch B'!E21</f>
        <v>913627</v>
      </c>
      <c r="D13" s="501">
        <f>'[4]Sch B'!G21</f>
        <v>0</v>
      </c>
      <c r="E13" s="171">
        <f t="shared" si="2"/>
        <v>913627</v>
      </c>
      <c r="F13" s="171"/>
      <c r="G13" s="171">
        <f t="shared" si="0"/>
        <v>913627</v>
      </c>
      <c r="H13" s="172">
        <f t="shared" si="1"/>
        <v>0.10162661177034088</v>
      </c>
      <c r="I13" s="473"/>
      <c r="J13" s="338" t="s">
        <v>346</v>
      </c>
      <c r="K13" s="339">
        <f>G228</f>
        <v>39708</v>
      </c>
    </row>
    <row r="14" spans="1:11" s="167" customFormat="1">
      <c r="A14" s="173" t="s">
        <v>18</v>
      </c>
      <c r="B14" s="174" t="s">
        <v>306</v>
      </c>
      <c r="C14" s="501">
        <f>'[4]Sch B'!E27</f>
        <v>1030829</v>
      </c>
      <c r="D14" s="501">
        <f>'[4]Sch B'!G27</f>
        <v>0</v>
      </c>
      <c r="E14" s="171">
        <f t="shared" si="2"/>
        <v>1030829</v>
      </c>
      <c r="F14" s="175"/>
      <c r="G14" s="175">
        <f>E14+F14</f>
        <v>1030829</v>
      </c>
      <c r="H14" s="176">
        <f t="shared" si="1"/>
        <v>0.11466348803681231</v>
      </c>
      <c r="I14" s="479"/>
      <c r="J14" s="338" t="s">
        <v>347</v>
      </c>
      <c r="K14" s="339">
        <f>G231</f>
        <v>140</v>
      </c>
    </row>
    <row r="15" spans="1:11" s="167" customFormat="1">
      <c r="A15" s="169" t="s">
        <v>19</v>
      </c>
      <c r="B15" s="170" t="s">
        <v>171</v>
      </c>
      <c r="C15" s="501">
        <f>'[4]Sch B'!E32</f>
        <v>0</v>
      </c>
      <c r="D15" s="501">
        <f>'[4]Sch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51100</v>
      </c>
    </row>
    <row r="16" spans="1:11" s="167" customFormat="1">
      <c r="A16" s="169" t="s">
        <v>21</v>
      </c>
      <c r="B16" s="170" t="s">
        <v>172</v>
      </c>
      <c r="C16" s="501">
        <f>'[4]Sch B'!E37</f>
        <v>288849</v>
      </c>
      <c r="D16" s="501">
        <f>'[4]Sch B'!G37</f>
        <v>0</v>
      </c>
      <c r="E16" s="171">
        <f t="shared" si="2"/>
        <v>288849</v>
      </c>
      <c r="F16" s="171"/>
      <c r="G16" s="171">
        <f t="shared" si="0"/>
        <v>288849</v>
      </c>
      <c r="H16" s="172">
        <f t="shared" si="1"/>
        <v>3.2129901133888548E-2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'[4]Sch B'!E42</f>
        <v>967303</v>
      </c>
      <c r="D17" s="501">
        <f>'[4]Sch B'!G42</f>
        <v>0</v>
      </c>
      <c r="E17" s="171">
        <f t="shared" si="2"/>
        <v>967303</v>
      </c>
      <c r="F17" s="171"/>
      <c r="G17" s="171">
        <f>E17+F17</f>
        <v>967303</v>
      </c>
      <c r="H17" s="172">
        <f t="shared" si="1"/>
        <v>0.10759722123501828</v>
      </c>
      <c r="I17" s="473"/>
      <c r="J17" s="338" t="s">
        <v>156</v>
      </c>
      <c r="K17" s="339">
        <f>J208</f>
        <v>207489</v>
      </c>
    </row>
    <row r="18" spans="1:11" s="167" customFormat="1" ht="13.5" thickBot="1">
      <c r="A18" s="169" t="s">
        <v>216</v>
      </c>
      <c r="B18" s="170" t="s">
        <v>229</v>
      </c>
      <c r="C18" s="501">
        <f>'[4]Sch B'!E47</f>
        <v>0</v>
      </c>
      <c r="D18" s="501">
        <f>'[4]Sch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220114</v>
      </c>
    </row>
    <row r="19" spans="1:11" s="167" customFormat="1">
      <c r="A19" s="169" t="s">
        <v>227</v>
      </c>
      <c r="B19" s="177" t="s">
        <v>173</v>
      </c>
      <c r="C19" s="501">
        <f>'[4]Sch B'!E52</f>
        <v>5350</v>
      </c>
      <c r="D19" s="501">
        <f>'[4]Sch B'!G52</f>
        <v>0</v>
      </c>
      <c r="E19" s="171">
        <f t="shared" si="2"/>
        <v>5350</v>
      </c>
      <c r="F19" s="171"/>
      <c r="G19" s="171">
        <f t="shared" si="0"/>
        <v>5350</v>
      </c>
      <c r="H19" s="172">
        <f t="shared" si="1"/>
        <v>5.9510322371309485E-4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'[4]Sch B'!E67</f>
        <v>238323</v>
      </c>
      <c r="D20" s="501">
        <f>'[4]Sch B'!G67</f>
        <v>-38708</v>
      </c>
      <c r="E20" s="171">
        <f t="shared" si="2"/>
        <v>199615</v>
      </c>
      <c r="F20" s="171"/>
      <c r="G20" s="171">
        <f t="shared" si="0"/>
        <v>199615</v>
      </c>
      <c r="H20" s="172">
        <f t="shared" si="1"/>
        <v>2.2204024299343816E-2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9028745</v>
      </c>
      <c r="D21" s="501">
        <f>SUM(D11:D20)</f>
        <v>-38708</v>
      </c>
      <c r="E21" s="171">
        <f>SUM(E11:E20)</f>
        <v>8990037</v>
      </c>
      <c r="F21" s="171">
        <f>SUM(F11:F20)</f>
        <v>0</v>
      </c>
      <c r="G21" s="171">
        <f>SUM(G11:G20)</f>
        <v>8990037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'[4]Sch C'!D10</f>
        <v>0</v>
      </c>
      <c r="D25" s="501">
        <f>'[4]Sch C'!F10</f>
        <v>107481</v>
      </c>
      <c r="E25" s="171">
        <f t="shared" ref="E25:E60" si="3">C25+D25</f>
        <v>107481</v>
      </c>
      <c r="F25" s="171"/>
      <c r="G25" s="182">
        <f>E25+F25</f>
        <v>107481</v>
      </c>
      <c r="H25" s="172">
        <f>IF($G$208=0,0,G25/$G$208)</f>
        <v>1.0977022354416333E-2</v>
      </c>
      <c r="I25" s="473"/>
      <c r="J25" s="183">
        <v>1664</v>
      </c>
      <c r="K25" s="183">
        <v>1776</v>
      </c>
    </row>
    <row r="26" spans="1:11" s="167" customFormat="1">
      <c r="A26" s="169" t="s">
        <v>84</v>
      </c>
      <c r="B26" s="170" t="s">
        <v>176</v>
      </c>
      <c r="C26" s="501">
        <f>'[4]Sch C'!D11</f>
        <v>0</v>
      </c>
      <c r="D26" s="501">
        <f>'[4]Sch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'[4]Sch C'!D12</f>
        <v>343057</v>
      </c>
      <c r="D27" s="501">
        <f>'[4]Sch C'!F12</f>
        <v>-107481</v>
      </c>
      <c r="E27" s="171">
        <f t="shared" si="3"/>
        <v>235576</v>
      </c>
      <c r="F27" s="171"/>
      <c r="G27" s="171">
        <f t="shared" si="4"/>
        <v>235576</v>
      </c>
      <c r="H27" s="172">
        <f t="shared" si="5"/>
        <v>2.4059350193652664E-2</v>
      </c>
      <c r="I27" s="473"/>
      <c r="J27" s="183">
        <v>12377</v>
      </c>
      <c r="K27" s="183">
        <v>13229</v>
      </c>
    </row>
    <row r="28" spans="1:11" s="167" customFormat="1">
      <c r="A28" s="169" t="s">
        <v>86</v>
      </c>
      <c r="B28" s="170" t="s">
        <v>45</v>
      </c>
      <c r="C28" s="501">
        <f>'[4]Sch C'!D13</f>
        <v>78370</v>
      </c>
      <c r="D28" s="501">
        <f>'[4]Sch C'!F13</f>
        <v>0</v>
      </c>
      <c r="E28" s="171">
        <f t="shared" si="3"/>
        <v>78370</v>
      </c>
      <c r="F28" s="171"/>
      <c r="G28" s="171">
        <f t="shared" si="4"/>
        <v>78370</v>
      </c>
      <c r="H28" s="172">
        <f t="shared" si="5"/>
        <v>8.003919222147245E-3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'[4]Sch C'!D14</f>
        <v>16000</v>
      </c>
      <c r="D29" s="501">
        <f>'[4]Sch C'!F14</f>
        <v>0</v>
      </c>
      <c r="E29" s="171">
        <f t="shared" si="3"/>
        <v>16000</v>
      </c>
      <c r="F29" s="171"/>
      <c r="G29" s="171">
        <f t="shared" si="4"/>
        <v>16000</v>
      </c>
      <c r="H29" s="172">
        <f t="shared" si="5"/>
        <v>1.6340781874997564E-3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'[4]Sch C'!D15</f>
        <v>0</v>
      </c>
      <c r="D30" s="501">
        <f>'[4]Sch C'!F15</f>
        <v>541247</v>
      </c>
      <c r="E30" s="171">
        <f t="shared" si="3"/>
        <v>541247</v>
      </c>
      <c r="F30" s="171"/>
      <c r="G30" s="171">
        <f t="shared" si="4"/>
        <v>541247</v>
      </c>
      <c r="H30" s="172">
        <f t="shared" si="5"/>
        <v>5.5277494796855044E-2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'[4]Sch C'!D16</f>
        <v>541247</v>
      </c>
      <c r="D31" s="501">
        <f>'[4]Sch C'!F16</f>
        <v>-541247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'[4]Sch C'!D17</f>
        <v>406</v>
      </c>
      <c r="D32" s="501">
        <f>'[4]Sch C'!F17</f>
        <v>-406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'[4]Sch C'!D18</f>
        <v>14951</v>
      </c>
      <c r="D33" s="501">
        <f>'[4]Sch C'!F18</f>
        <v>0</v>
      </c>
      <c r="E33" s="171">
        <f t="shared" si="3"/>
        <v>14951</v>
      </c>
      <c r="F33" s="171"/>
      <c r="G33" s="171">
        <f t="shared" si="4"/>
        <v>14951</v>
      </c>
      <c r="H33" s="172">
        <f t="shared" si="5"/>
        <v>1.5269439363318038E-3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'[4]Sch C'!D19</f>
        <v>20615</v>
      </c>
      <c r="D34" s="501">
        <f>'[4]Sch C'!F19</f>
        <v>0</v>
      </c>
      <c r="E34" s="171">
        <f t="shared" si="3"/>
        <v>20615</v>
      </c>
      <c r="F34" s="171"/>
      <c r="G34" s="171">
        <f t="shared" si="4"/>
        <v>20615</v>
      </c>
      <c r="H34" s="172">
        <f t="shared" si="5"/>
        <v>2.1054076147067175E-3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'[4]Sch C'!D20</f>
        <v>26658</v>
      </c>
      <c r="D35" s="501">
        <f>'[4]Sch C'!F20</f>
        <v>0</v>
      </c>
      <c r="E35" s="171">
        <f t="shared" si="3"/>
        <v>26658</v>
      </c>
      <c r="F35" s="171"/>
      <c r="G35" s="171">
        <f t="shared" si="4"/>
        <v>26658</v>
      </c>
      <c r="H35" s="172">
        <f t="shared" si="5"/>
        <v>2.7225785201480317E-3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'[4]Sch C'!D21</f>
        <v>50160</v>
      </c>
      <c r="D36" s="501">
        <f>'[4]Sch C'!F21</f>
        <v>0</v>
      </c>
      <c r="E36" s="171">
        <f t="shared" si="3"/>
        <v>50160</v>
      </c>
      <c r="F36" s="171"/>
      <c r="G36" s="171">
        <f t="shared" si="4"/>
        <v>50160</v>
      </c>
      <c r="H36" s="172">
        <f t="shared" si="5"/>
        <v>5.1228351178117361E-3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'[4]Sch C'!D22</f>
        <v>0</v>
      </c>
      <c r="D37" s="501">
        <f>'[4]Sch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'[4]Sch C'!D23</f>
        <v>3480</v>
      </c>
      <c r="D38" s="501">
        <f>'[4]Sch C'!F23</f>
        <v>0</v>
      </c>
      <c r="E38" s="171">
        <f t="shared" si="3"/>
        <v>3480</v>
      </c>
      <c r="F38" s="171"/>
      <c r="G38" s="171">
        <f t="shared" si="4"/>
        <v>3480</v>
      </c>
      <c r="H38" s="172">
        <f t="shared" si="5"/>
        <v>3.5541200578119702E-4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'[4]Sch C'!D24</f>
        <v>37074</v>
      </c>
      <c r="D39" s="501">
        <f>'[4]Sch C'!F24</f>
        <v>0</v>
      </c>
      <c r="E39" s="171">
        <f t="shared" si="3"/>
        <v>37074</v>
      </c>
      <c r="F39" s="171"/>
      <c r="G39" s="171">
        <f t="shared" si="4"/>
        <v>37074</v>
      </c>
      <c r="H39" s="172">
        <f t="shared" si="5"/>
        <v>3.7863634202103731E-3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'[4]Sch C'!D25</f>
        <v>9397</v>
      </c>
      <c r="D40" s="501">
        <f>'[4]Sch C'!F25</f>
        <v>0</v>
      </c>
      <c r="E40" s="171">
        <f t="shared" si="3"/>
        <v>9397</v>
      </c>
      <c r="F40" s="171"/>
      <c r="G40" s="171">
        <f t="shared" si="4"/>
        <v>9397</v>
      </c>
      <c r="H40" s="172">
        <f t="shared" si="5"/>
        <v>9.5971454549595068E-4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'[4]Sch C'!D26</f>
        <v>673066</v>
      </c>
      <c r="D41" s="501">
        <f>'[4]Sch C'!F26</f>
        <v>0</v>
      </c>
      <c r="E41" s="171">
        <f t="shared" si="3"/>
        <v>673066</v>
      </c>
      <c r="F41" s="171"/>
      <c r="G41" s="171">
        <f t="shared" si="4"/>
        <v>673066</v>
      </c>
      <c r="H41" s="172">
        <f t="shared" si="5"/>
        <v>6.8740154334231945E-2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'[4]Sch C'!D27</f>
        <v>385</v>
      </c>
      <c r="D42" s="501">
        <f>'[4]Sch C'!F27</f>
        <v>-25712</v>
      </c>
      <c r="E42" s="171">
        <f t="shared" si="3"/>
        <v>-25327</v>
      </c>
      <c r="F42" s="171"/>
      <c r="G42" s="171">
        <f t="shared" si="4"/>
        <v>-25327</v>
      </c>
      <c r="H42" s="172">
        <f t="shared" si="5"/>
        <v>-2.5866436409253957E-3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'[4]Sch C'!D28</f>
        <v>0</v>
      </c>
      <c r="D43" s="501">
        <f>'[4]Sch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'[4]Sch C'!D29</f>
        <v>194337</v>
      </c>
      <c r="D44" s="501">
        <f>'[4]Sch C'!F29</f>
        <v>-194337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'[4]Sch C'!D30</f>
        <v>0</v>
      </c>
      <c r="D45" s="501">
        <f>'[4]Sch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'[4]Sch C'!D31</f>
        <v>0</v>
      </c>
      <c r="D46" s="501">
        <f>'[4]Sch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'[4]Sch C'!D32</f>
        <v>116861</v>
      </c>
      <c r="D47" s="501">
        <f>'[4]Sch C'!F32</f>
        <v>0</v>
      </c>
      <c r="E47" s="171">
        <f t="shared" si="3"/>
        <v>116861</v>
      </c>
      <c r="F47" s="171"/>
      <c r="G47" s="171">
        <f t="shared" si="4"/>
        <v>116861</v>
      </c>
      <c r="H47" s="172">
        <f t="shared" si="5"/>
        <v>1.1935000691838065E-2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'[4]Sch C'!D33</f>
        <v>0</v>
      </c>
      <c r="D48" s="501">
        <f>'[4]Sch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'[4]Sch C'!D34</f>
        <v>213</v>
      </c>
      <c r="D49" s="501">
        <f>'[4]Sch C'!F34</f>
        <v>0</v>
      </c>
      <c r="E49" s="171">
        <f t="shared" si="3"/>
        <v>213</v>
      </c>
      <c r="F49" s="171"/>
      <c r="G49" s="171">
        <f t="shared" si="4"/>
        <v>213</v>
      </c>
      <c r="H49" s="172">
        <f t="shared" si="5"/>
        <v>2.1753665871090508E-5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'[4]Sch C'!D35</f>
        <v>52755</v>
      </c>
      <c r="D50" s="501">
        <f>'[4]Sch C'!F35</f>
        <v>-52755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'[4]Sch C'!D36</f>
        <v>0</v>
      </c>
      <c r="D51" s="501">
        <f>'[4]Sch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'[4]Sch C'!D37</f>
        <v>0</v>
      </c>
      <c r="D52" s="501">
        <f>'[4]Sch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'[4]Sch C'!D38</f>
        <v>666</v>
      </c>
      <c r="D53" s="501">
        <f>'[4]Sch C'!F38</f>
        <v>-666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'[4]Sch C'!D39</f>
        <v>10724</v>
      </c>
      <c r="D54" s="501">
        <f>'[4]Sch C'!F39</f>
        <v>0</v>
      </c>
      <c r="E54" s="171">
        <f t="shared" si="3"/>
        <v>10724</v>
      </c>
      <c r="F54" s="171"/>
      <c r="G54" s="171">
        <f t="shared" si="4"/>
        <v>10724</v>
      </c>
      <c r="H54" s="172">
        <f t="shared" si="5"/>
        <v>1.0952409051717118E-3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'[4]Sch C'!D40</f>
        <v>2190</v>
      </c>
      <c r="D55" s="501">
        <f>'[4]Sch C'!F40</f>
        <v>-2190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'[4]Sch C'!D41</f>
        <v>210634</v>
      </c>
      <c r="D56" s="501">
        <f>'[4]Sch C'!F41</f>
        <v>0</v>
      </c>
      <c r="E56" s="171">
        <f t="shared" si="3"/>
        <v>210634</v>
      </c>
      <c r="F56" s="171"/>
      <c r="G56" s="171">
        <f t="shared" si="4"/>
        <v>210634</v>
      </c>
      <c r="H56" s="172">
        <f t="shared" si="5"/>
        <v>2.1512026559113981E-2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'[4]Sch C'!D42</f>
        <v>5332</v>
      </c>
      <c r="D57" s="501">
        <f>'[4]Sch C'!F42</f>
        <v>0</v>
      </c>
      <c r="E57" s="171">
        <f t="shared" si="3"/>
        <v>5332</v>
      </c>
      <c r="F57" s="171"/>
      <c r="G57" s="171">
        <f t="shared" si="4"/>
        <v>5332</v>
      </c>
      <c r="H57" s="172">
        <f t="shared" si="5"/>
        <v>5.4455655598429384E-4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'[4]Sch C'!D43</f>
        <v>7626</v>
      </c>
      <c r="D58" s="501">
        <f>'[4]Sch C'!F43</f>
        <v>-7626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'[4]Sch C'!D44</f>
        <v>0</v>
      </c>
      <c r="D59" s="501">
        <f>'[4]Sch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'[4]Sch C'!D45</f>
        <v>5949</v>
      </c>
      <c r="D60" s="501">
        <f>'[4]Sch C'!F45</f>
        <v>-9771</v>
      </c>
      <c r="E60" s="171">
        <f t="shared" si="3"/>
        <v>-3822</v>
      </c>
      <c r="F60" s="171">
        <v>-1810.86</v>
      </c>
      <c r="G60" s="171">
        <f t="shared" si="4"/>
        <v>-5632.86</v>
      </c>
      <c r="H60" s="172">
        <f t="shared" si="5"/>
        <v>-5.7528335370249232E-4</v>
      </c>
      <c r="I60" s="472" t="s">
        <v>402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2422153</v>
      </c>
      <c r="D61" s="501">
        <f>SUM(D25:D60)</f>
        <v>-293463</v>
      </c>
      <c r="E61" s="171">
        <f t="shared" ref="E61:F61" si="6">SUM(E25:E60)</f>
        <v>2128690</v>
      </c>
      <c r="F61" s="171">
        <f t="shared" si="6"/>
        <v>-1810.86</v>
      </c>
      <c r="G61" s="171">
        <f>SUM(G25:G60)</f>
        <v>2126879.14</v>
      </c>
      <c r="H61" s="186">
        <f t="shared" si="5"/>
        <v>0.21721792563264006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'[4]Sch C'!D57</f>
        <v>0</v>
      </c>
      <c r="D64" s="501">
        <f>'[4]Sch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'[4]Sch C'!D58</f>
        <v>179470</v>
      </c>
      <c r="D65" s="501">
        <f>'[4]Sch C'!F58</f>
        <v>0</v>
      </c>
      <c r="E65" s="171">
        <f t="shared" si="7"/>
        <v>179470</v>
      </c>
      <c r="F65" s="171"/>
      <c r="G65" s="171">
        <f t="shared" si="8"/>
        <v>179470</v>
      </c>
      <c r="H65" s="172">
        <f t="shared" si="9"/>
        <v>1.8329250769411332E-2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'[4]Sch C'!D59</f>
        <v>216756</v>
      </c>
      <c r="D66" s="501">
        <f>'[4]Sch C'!F59</f>
        <v>0</v>
      </c>
      <c r="E66" s="171">
        <f t="shared" si="7"/>
        <v>216756</v>
      </c>
      <c r="F66" s="171"/>
      <c r="G66" s="171">
        <f t="shared" si="8"/>
        <v>216756</v>
      </c>
      <c r="H66" s="172">
        <f t="shared" si="9"/>
        <v>2.2137265725606075E-2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'[4]Sch C'!D60</f>
        <v>62208</v>
      </c>
      <c r="D67" s="501">
        <f>'[4]Sch C'!F60</f>
        <v>0</v>
      </c>
      <c r="E67" s="171">
        <f t="shared" si="7"/>
        <v>62208</v>
      </c>
      <c r="F67" s="171"/>
      <c r="G67" s="171">
        <f t="shared" si="8"/>
        <v>62208</v>
      </c>
      <c r="H67" s="172">
        <f t="shared" si="9"/>
        <v>6.3532959929990529E-3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'[4]Sch C'!D61</f>
        <v>37069</v>
      </c>
      <c r="D68" s="501">
        <f>'[4]Sch C'!F61</f>
        <v>0</v>
      </c>
      <c r="E68" s="171">
        <f t="shared" si="7"/>
        <v>37069</v>
      </c>
      <c r="F68" s="171"/>
      <c r="G68" s="171">
        <f t="shared" si="8"/>
        <v>37069</v>
      </c>
      <c r="H68" s="172">
        <f t="shared" si="9"/>
        <v>3.7858527707767793E-3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'[4]Sch C'!D62</f>
        <v>0</v>
      </c>
      <c r="D69" s="501">
        <f>'[4]Sch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'[4]Sch C'!D63</f>
        <v>0</v>
      </c>
      <c r="D70" s="501">
        <f>'[4]Sch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'[4]Sch C'!D64</f>
        <v>0</v>
      </c>
      <c r="D71" s="501">
        <f>'[4]Sch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'[4]Sch C'!D65</f>
        <v>0</v>
      </c>
      <c r="D72" s="501">
        <f>'[4]Sch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'[4]Sch C'!D66</f>
        <v>71644</v>
      </c>
      <c r="D73" s="501">
        <f>'[4]Sch C'!F66</f>
        <v>0</v>
      </c>
      <c r="E73" s="171">
        <f t="shared" si="7"/>
        <v>71644</v>
      </c>
      <c r="F73" s="171"/>
      <c r="G73" s="171">
        <f t="shared" si="8"/>
        <v>71644</v>
      </c>
      <c r="H73" s="172">
        <f t="shared" si="9"/>
        <v>7.3169936040770349E-3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'[4]Sch C'!D67</f>
        <v>133364</v>
      </c>
      <c r="D74" s="501">
        <f>'[4]Sch C'!F67</f>
        <v>0</v>
      </c>
      <c r="E74" s="171">
        <f t="shared" si="7"/>
        <v>133364</v>
      </c>
      <c r="F74" s="171"/>
      <c r="G74" s="171">
        <f t="shared" si="8"/>
        <v>133364</v>
      </c>
      <c r="H74" s="172">
        <f t="shared" si="9"/>
        <v>1.3620450212357344E-2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'[4]Sch C'!D68</f>
        <v>0</v>
      </c>
      <c r="D75" s="501">
        <f>'[4]Sch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'[4]Sch C'!D69</f>
        <v>10440</v>
      </c>
      <c r="D76" s="501">
        <f>'[4]Sch C'!F69</f>
        <v>0</v>
      </c>
      <c r="E76" s="171">
        <f t="shared" si="7"/>
        <v>10440</v>
      </c>
      <c r="F76" s="171"/>
      <c r="G76" s="171">
        <f t="shared" si="8"/>
        <v>10440</v>
      </c>
      <c r="H76" s="172">
        <f t="shared" si="9"/>
        <v>1.0662360173435911E-3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'[4]Sch C'!D70</f>
        <v>0</v>
      </c>
      <c r="D77" s="501">
        <f>'[4]Sch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'[4]Sch C'!D71</f>
        <v>0</v>
      </c>
      <c r="D78" s="501">
        <f>'[4]Sch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710951</v>
      </c>
      <c r="D79" s="501">
        <f>SUM(D64:D78)</f>
        <v>0</v>
      </c>
      <c r="E79" s="171">
        <f t="shared" ref="E79:F79" si="10">SUM(E64:E78)</f>
        <v>710951</v>
      </c>
      <c r="F79" s="171">
        <f t="shared" si="10"/>
        <v>0</v>
      </c>
      <c r="G79" s="171">
        <f>SUM(G64:G78)</f>
        <v>710951</v>
      </c>
      <c r="H79" s="172">
        <f t="shared" si="9"/>
        <v>7.2609345092571206E-2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'[4]Sch C'!D75</f>
        <v>48571</v>
      </c>
      <c r="D82" s="501">
        <f>'[4]Sch C'!F75</f>
        <v>0</v>
      </c>
      <c r="E82" s="171">
        <f t="shared" ref="E82:E92" si="11">C82+D82</f>
        <v>48571</v>
      </c>
      <c r="F82" s="171"/>
      <c r="G82" s="171">
        <f t="shared" ref="G82:G92" si="12">E82+F82</f>
        <v>48571</v>
      </c>
      <c r="H82" s="172">
        <f t="shared" ref="H82:H93" si="13">IF($G$208=0,0,G82/$G$208)</f>
        <v>4.9605507278156673E-3</v>
      </c>
      <c r="I82" s="473"/>
      <c r="J82" s="183">
        <v>2045</v>
      </c>
      <c r="K82" s="183">
        <v>2152</v>
      </c>
    </row>
    <row r="83" spans="1:11" s="167" customFormat="1">
      <c r="A83" s="169" t="s">
        <v>86</v>
      </c>
      <c r="B83" s="199" t="s">
        <v>45</v>
      </c>
      <c r="C83" s="501">
        <f>'[4]Sch C'!D76</f>
        <v>5533</v>
      </c>
      <c r="D83" s="501">
        <f>'[4]Sch C'!F76</f>
        <v>0</v>
      </c>
      <c r="E83" s="171">
        <f t="shared" si="11"/>
        <v>5533</v>
      </c>
      <c r="F83" s="171"/>
      <c r="G83" s="171">
        <f t="shared" si="12"/>
        <v>5533</v>
      </c>
      <c r="H83" s="172">
        <f t="shared" si="13"/>
        <v>5.6508466321475957E-4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'[4]Sch C'!D77</f>
        <v>13001</v>
      </c>
      <c r="D84" s="501">
        <f>'[4]Sch C'!F77</f>
        <v>0</v>
      </c>
      <c r="E84" s="171">
        <f t="shared" si="11"/>
        <v>13001</v>
      </c>
      <c r="F84" s="171"/>
      <c r="G84" s="171">
        <f t="shared" si="12"/>
        <v>13001</v>
      </c>
      <c r="H84" s="172">
        <f t="shared" si="13"/>
        <v>1.3277906572302708E-3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'[4]Sch C'!D78</f>
        <v>0</v>
      </c>
      <c r="D85" s="501">
        <f>'[4]Sch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'[4]Sch C'!D79</f>
        <v>10447</v>
      </c>
      <c r="D86" s="501">
        <f>'[4]Sch C'!F79</f>
        <v>0</v>
      </c>
      <c r="E86" s="171">
        <f t="shared" si="11"/>
        <v>10447</v>
      </c>
      <c r="F86" s="171"/>
      <c r="G86" s="171">
        <f>E86+F86</f>
        <v>10447</v>
      </c>
      <c r="H86" s="172">
        <f t="shared" si="13"/>
        <v>1.0669509265506221E-3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'[4]Sch C'!D80</f>
        <v>15629</v>
      </c>
      <c r="D87" s="501">
        <f>'[4]Sch C'!F80</f>
        <v>0</v>
      </c>
      <c r="E87" s="171">
        <f t="shared" si="11"/>
        <v>15629</v>
      </c>
      <c r="F87" s="171"/>
      <c r="G87" s="171">
        <f t="shared" si="12"/>
        <v>15629</v>
      </c>
      <c r="H87" s="172">
        <f t="shared" si="13"/>
        <v>1.5961879995271058E-3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'[4]Sch C'!D81</f>
        <v>23128</v>
      </c>
      <c r="D88" s="501">
        <f>'[4]Sch C'!F81</f>
        <v>0</v>
      </c>
      <c r="E88" s="171">
        <f t="shared" si="11"/>
        <v>23128</v>
      </c>
      <c r="F88" s="171"/>
      <c r="G88" s="171">
        <f t="shared" si="12"/>
        <v>23128</v>
      </c>
      <c r="H88" s="172">
        <f t="shared" si="13"/>
        <v>2.362060020030898E-3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'[4]Sch C'!D82</f>
        <v>20433</v>
      </c>
      <c r="D89" s="501">
        <f>'[4]Sch C'!F82</f>
        <v>0</v>
      </c>
      <c r="E89" s="171">
        <f t="shared" si="11"/>
        <v>20433</v>
      </c>
      <c r="F89" s="171"/>
      <c r="G89" s="171">
        <f t="shared" si="12"/>
        <v>20433</v>
      </c>
      <c r="H89" s="172">
        <f t="shared" si="13"/>
        <v>2.0868199753239077E-3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'[4]Sch C'!D83</f>
        <v>0</v>
      </c>
      <c r="D90" s="501">
        <f>'[4]Sch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'[4]Sch C'!D84</f>
        <v>172886</v>
      </c>
      <c r="D91" s="501">
        <f>'[4]Sch C'!F84</f>
        <v>0</v>
      </c>
      <c r="E91" s="171">
        <f t="shared" si="11"/>
        <v>172886</v>
      </c>
      <c r="F91" s="171"/>
      <c r="G91" s="171">
        <f t="shared" si="12"/>
        <v>172886</v>
      </c>
      <c r="H91" s="172">
        <f t="shared" si="13"/>
        <v>1.7656827595255182E-2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'[4]Sch C'!D85</f>
        <v>0</v>
      </c>
      <c r="D92" s="501">
        <f>'[4]Sch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309628</v>
      </c>
      <c r="D93" s="501">
        <f>SUM(D82:D92)</f>
        <v>0</v>
      </c>
      <c r="E93" s="171">
        <f t="shared" ref="E93:F93" si="14">SUM(E82:E92)</f>
        <v>309628</v>
      </c>
      <c r="F93" s="171">
        <f t="shared" si="14"/>
        <v>0</v>
      </c>
      <c r="G93" s="171">
        <f>SUM(G82:G92)</f>
        <v>309628</v>
      </c>
      <c r="H93" s="172">
        <f t="shared" si="13"/>
        <v>3.1622272564948414E-2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'[4]Sch C'!D89</f>
        <v>56742</v>
      </c>
      <c r="D96" s="501">
        <f>'[4]Sch C'!F89</f>
        <v>0</v>
      </c>
      <c r="E96" s="171">
        <f t="shared" ref="E96:E101" si="15">C96+D96</f>
        <v>56742</v>
      </c>
      <c r="F96" s="171"/>
      <c r="G96" s="171">
        <f t="shared" ref="G96:G101" si="16">E96+F96</f>
        <v>56742</v>
      </c>
      <c r="H96" s="172">
        <f t="shared" ref="H96:H102" si="17">IF($G$208=0,0,G96/$G$208)</f>
        <v>5.7950540321944485E-3</v>
      </c>
      <c r="I96" s="473"/>
      <c r="J96" s="183">
        <v>2876</v>
      </c>
      <c r="K96" s="183">
        <v>2964</v>
      </c>
    </row>
    <row r="97" spans="1:11" s="167" customFormat="1">
      <c r="A97" s="169" t="s">
        <v>86</v>
      </c>
      <c r="B97" s="170" t="s">
        <v>45</v>
      </c>
      <c r="C97" s="501">
        <f>'[4]Sch C'!D90</f>
        <v>7683</v>
      </c>
      <c r="D97" s="501">
        <f>'[4]Sch C'!F90</f>
        <v>0</v>
      </c>
      <c r="E97" s="171">
        <f t="shared" si="15"/>
        <v>7683</v>
      </c>
      <c r="F97" s="171"/>
      <c r="G97" s="171">
        <f t="shared" si="16"/>
        <v>7683</v>
      </c>
      <c r="H97" s="172">
        <f t="shared" si="17"/>
        <v>7.8466391966003932E-4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'[4]Sch C'!D91</f>
        <v>687196</v>
      </c>
      <c r="D98" s="501">
        <f>'[4]Sch C'!F91</f>
        <v>0</v>
      </c>
      <c r="E98" s="171">
        <f t="shared" si="15"/>
        <v>687196</v>
      </c>
      <c r="F98" s="171"/>
      <c r="G98" s="171">
        <f t="shared" si="16"/>
        <v>687196</v>
      </c>
      <c r="H98" s="172">
        <f t="shared" si="17"/>
        <v>7.018324963356766E-2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'[4]Sch C'!D92</f>
        <v>53993</v>
      </c>
      <c r="D99" s="501">
        <f>'[4]Sch C'!F92</f>
        <v>-8825</v>
      </c>
      <c r="E99" s="171">
        <f t="shared" si="15"/>
        <v>45168</v>
      </c>
      <c r="F99" s="171"/>
      <c r="G99" s="171">
        <f t="shared" si="16"/>
        <v>45168</v>
      </c>
      <c r="H99" s="172">
        <f t="shared" si="17"/>
        <v>4.6130027233118121E-3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'[4]Sch C'!D93</f>
        <v>13189</v>
      </c>
      <c r="D100" s="501">
        <f>'[4]Sch C'!F93</f>
        <v>0</v>
      </c>
      <c r="E100" s="171">
        <f t="shared" si="15"/>
        <v>13189</v>
      </c>
      <c r="F100" s="171"/>
      <c r="G100" s="171">
        <f t="shared" si="16"/>
        <v>13189</v>
      </c>
      <c r="H100" s="172">
        <f t="shared" si="17"/>
        <v>1.3469910759333929E-3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'[4]Sch C'!D94</f>
        <v>0</v>
      </c>
      <c r="D101" s="501">
        <f>'[4]Sch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818803</v>
      </c>
      <c r="D102" s="501">
        <f>SUM(D96:D101)</f>
        <v>-8825</v>
      </c>
      <c r="E102" s="171">
        <f t="shared" ref="E102:F102" si="18">SUM(E96:E101)</f>
        <v>809978</v>
      </c>
      <c r="F102" s="171">
        <f t="shared" si="18"/>
        <v>0</v>
      </c>
      <c r="G102" s="171">
        <f>SUM(G96:G101)</f>
        <v>809978</v>
      </c>
      <c r="H102" s="172">
        <f t="shared" si="17"/>
        <v>8.2722961384667351E-2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'[4]Sch C'!D98</f>
        <v>0</v>
      </c>
      <c r="D105" s="501">
        <f>'[4]Sch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'[4]Sch C'!D99</f>
        <v>0</v>
      </c>
      <c r="D106" s="501">
        <f>'[4]Sch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'[4]Sch C'!D100</f>
        <v>0</v>
      </c>
      <c r="D107" s="501">
        <f>'[4]Sch C'!F100</f>
        <v>0</v>
      </c>
      <c r="E107" s="171">
        <f t="shared" si="19"/>
        <v>0</v>
      </c>
      <c r="F107" s="171"/>
      <c r="G107" s="171">
        <f t="shared" si="20"/>
        <v>0</v>
      </c>
      <c r="H107" s="172">
        <f t="shared" si="21"/>
        <v>0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'[4]Sch C'!D101</f>
        <v>123120</v>
      </c>
      <c r="D108" s="501">
        <f>'[4]Sch C'!F101</f>
        <v>0</v>
      </c>
      <c r="E108" s="171">
        <f t="shared" si="19"/>
        <v>123120</v>
      </c>
      <c r="F108" s="171"/>
      <c r="G108" s="171">
        <f t="shared" si="20"/>
        <v>123120</v>
      </c>
      <c r="H108" s="172">
        <f t="shared" si="21"/>
        <v>1.2574231652810627E-2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'[4]Sch C'!D102</f>
        <v>6134</v>
      </c>
      <c r="D109" s="501">
        <f>'[4]Sch C'!F102</f>
        <v>0</v>
      </c>
      <c r="E109" s="171">
        <f t="shared" si="19"/>
        <v>6134</v>
      </c>
      <c r="F109" s="171"/>
      <c r="G109" s="171">
        <f t="shared" si="20"/>
        <v>6134</v>
      </c>
      <c r="H109" s="172">
        <f t="shared" si="21"/>
        <v>6.2646472513271914E-4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'[4]Sch C'!D103</f>
        <v>0</v>
      </c>
      <c r="D110" s="501">
        <f>'[4]Sch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129254</v>
      </c>
      <c r="D111" s="501">
        <f>SUM(D105:D110)</f>
        <v>0</v>
      </c>
      <c r="E111" s="171">
        <f t="shared" ref="E111:F111" si="22">SUM(E105:E110)</f>
        <v>129254</v>
      </c>
      <c r="F111" s="171">
        <f t="shared" si="22"/>
        <v>0</v>
      </c>
      <c r="G111" s="171">
        <f>SUM(G105:G110)</f>
        <v>129254</v>
      </c>
      <c r="H111" s="172">
        <f t="shared" si="21"/>
        <v>1.3200696377943345E-2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'[4]Sch C'!D115</f>
        <v>0</v>
      </c>
      <c r="D114" s="501">
        <f>'[4]Sch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'[4]Sch C'!D116</f>
        <v>0</v>
      </c>
      <c r="D115" s="501">
        <f>'[4]Sch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'[4]Sch C'!D117</f>
        <v>1183</v>
      </c>
      <c r="D116" s="501">
        <f>'[4]Sch C'!F117</f>
        <v>0</v>
      </c>
      <c r="E116" s="171">
        <f t="shared" si="23"/>
        <v>1183</v>
      </c>
      <c r="F116" s="171"/>
      <c r="G116" s="171">
        <f>E116+F116</f>
        <v>1183</v>
      </c>
      <c r="H116" s="172">
        <f t="shared" si="24"/>
        <v>1.2081965598826324E-4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'[4]Sch C'!D118</f>
        <v>186136</v>
      </c>
      <c r="D117" s="501">
        <f>'[4]Sch C'!F118</f>
        <v>0</v>
      </c>
      <c r="E117" s="171">
        <f t="shared" si="23"/>
        <v>186136</v>
      </c>
      <c r="F117" s="171"/>
      <c r="G117" s="171">
        <f>E117+F117</f>
        <v>186136</v>
      </c>
      <c r="H117" s="172">
        <f t="shared" si="24"/>
        <v>1.9010048594278416E-2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'[4]Sch C'!D119</f>
        <v>416</v>
      </c>
      <c r="D118" s="501">
        <f>'[4]Sch C'!F119</f>
        <v>0</v>
      </c>
      <c r="E118" s="171">
        <f t="shared" si="23"/>
        <v>416</v>
      </c>
      <c r="F118" s="171"/>
      <c r="G118" s="171">
        <f>E118+F118</f>
        <v>416</v>
      </c>
      <c r="H118" s="172">
        <f t="shared" si="24"/>
        <v>4.2486032874993668E-5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187735</v>
      </c>
      <c r="D119" s="501">
        <f>SUM(D114:D118)</f>
        <v>0</v>
      </c>
      <c r="E119" s="171">
        <f t="shared" ref="E119:F119" si="25">SUM(E114:E118)</f>
        <v>187735</v>
      </c>
      <c r="F119" s="171">
        <f t="shared" si="25"/>
        <v>0</v>
      </c>
      <c r="G119" s="171">
        <f>SUM(G114:G118)</f>
        <v>187735</v>
      </c>
      <c r="H119" s="172">
        <f t="shared" si="24"/>
        <v>1.9173354283141673E-2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'[4]Sch C'!D124</f>
        <v>0</v>
      </c>
      <c r="D123" s="501">
        <f>'[4]Sch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'[4]Sch C'!D125</f>
        <v>265366</v>
      </c>
      <c r="D124" s="501">
        <f>'[4]Sch C'!F125</f>
        <v>0</v>
      </c>
      <c r="E124" s="171">
        <f t="shared" si="26"/>
        <v>265366</v>
      </c>
      <c r="F124" s="171"/>
      <c r="G124" s="171">
        <f>E124+F124</f>
        <v>265366</v>
      </c>
      <c r="H124" s="172">
        <f>IF($G$208=0,0,G124/$G$208)</f>
        <v>2.7101799519003773E-2</v>
      </c>
      <c r="I124" s="473"/>
      <c r="J124" s="183">
        <v>7040</v>
      </c>
      <c r="K124" s="183">
        <v>7752</v>
      </c>
    </row>
    <row r="125" spans="1:11" s="167" customFormat="1">
      <c r="A125" s="163" t="s">
        <v>198</v>
      </c>
      <c r="B125" s="163" t="s">
        <v>195</v>
      </c>
      <c r="C125" s="501">
        <f>'[4]Sch C'!D126</f>
        <v>0</v>
      </c>
      <c r="D125" s="501">
        <f>'[4]Sch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'[4]Sch C'!D127</f>
        <v>0</v>
      </c>
      <c r="D126" s="501">
        <f>'[4]Sch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'[4]Sch C'!D128</f>
        <v>99250</v>
      </c>
      <c r="D127" s="501">
        <f>'[4]Sch C'!F128</f>
        <v>0</v>
      </c>
      <c r="E127" s="171">
        <f t="shared" si="26"/>
        <v>99250</v>
      </c>
      <c r="F127" s="171"/>
      <c r="G127" s="171">
        <f>E127+F127</f>
        <v>99250</v>
      </c>
      <c r="H127" s="172">
        <f>IF($G$208=0,0,G127/$G$208)</f>
        <v>1.0136391256834427E-2</v>
      </c>
      <c r="I127" s="473"/>
      <c r="J127" s="183">
        <v>4036</v>
      </c>
      <c r="K127" s="183">
        <v>4414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'[4]Sch C'!D130</f>
        <v>0</v>
      </c>
      <c r="D129" s="501">
        <f>'[4]Sch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'[4]Sch C'!D131</f>
        <v>80374</v>
      </c>
      <c r="D130" s="501">
        <f>'[4]Sch C'!F131</f>
        <v>0</v>
      </c>
      <c r="E130" s="171">
        <f t="shared" si="27"/>
        <v>80374</v>
      </c>
      <c r="F130" s="171"/>
      <c r="G130" s="171">
        <f>E130+F130</f>
        <v>80374</v>
      </c>
      <c r="H130" s="172">
        <f>IF($G$208=0,0,G130/$G$208)</f>
        <v>8.2085875151315883E-3</v>
      </c>
      <c r="I130" s="473"/>
      <c r="J130" s="204"/>
      <c r="K130" s="204"/>
    </row>
    <row r="131" spans="1:11" s="167" customFormat="1">
      <c r="B131" s="163" t="s">
        <v>195</v>
      </c>
      <c r="C131" s="501">
        <f>'[4]Sch C'!D132</f>
        <v>0</v>
      </c>
      <c r="D131" s="501">
        <f>'[4]Sch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'[4]Sch C'!D133</f>
        <v>0</v>
      </c>
      <c r="D132" s="501">
        <f>'[4]Sch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'[4]Sch C'!D134</f>
        <v>11158</v>
      </c>
      <c r="D133" s="501">
        <f>'[4]Sch C'!F134</f>
        <v>0</v>
      </c>
      <c r="E133" s="171">
        <f t="shared" si="27"/>
        <v>11158</v>
      </c>
      <c r="F133" s="171"/>
      <c r="G133" s="171">
        <f>E133+F133</f>
        <v>11158</v>
      </c>
      <c r="H133" s="172">
        <f>IF($G$208=0,0,G133/$G$208)</f>
        <v>1.1395652760076427E-3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'[4]Sch C'!D136</f>
        <v>1233508</v>
      </c>
      <c r="D135" s="501">
        <f>'[4]Sch C'!F136</f>
        <v>0</v>
      </c>
      <c r="E135" s="171">
        <f t="shared" ref="E135:E138" si="28">C135+D135</f>
        <v>1233508</v>
      </c>
      <c r="F135" s="171"/>
      <c r="G135" s="171">
        <f>E135+F135</f>
        <v>1233508</v>
      </c>
      <c r="H135" s="172">
        <f>IF($G$208=0,0,G135/$G$208)</f>
        <v>0.12597803230665311</v>
      </c>
      <c r="I135" s="473"/>
      <c r="J135" s="183">
        <v>33531</v>
      </c>
      <c r="K135" s="183">
        <v>35895</v>
      </c>
    </row>
    <row r="136" spans="1:11" s="167" customFormat="1">
      <c r="A136" s="169"/>
      <c r="B136" s="163" t="s">
        <v>195</v>
      </c>
      <c r="C136" s="501">
        <f>'[4]Sch C'!D137</f>
        <v>411028</v>
      </c>
      <c r="D136" s="501">
        <f>'[4]Sch C'!F137</f>
        <v>0</v>
      </c>
      <c r="E136" s="171">
        <f t="shared" si="28"/>
        <v>411028</v>
      </c>
      <c r="F136" s="171"/>
      <c r="G136" s="171">
        <f>E136+F136</f>
        <v>411028</v>
      </c>
      <c r="H136" s="172">
        <f>IF($G$208=0,0,G136/$G$208)</f>
        <v>4.1978243078228117E-2</v>
      </c>
      <c r="I136" s="473"/>
      <c r="J136" s="183">
        <v>16462</v>
      </c>
      <c r="K136" s="183">
        <v>17599</v>
      </c>
    </row>
    <row r="137" spans="1:11" s="167" customFormat="1">
      <c r="A137" s="169"/>
      <c r="B137" s="163" t="s">
        <v>196</v>
      </c>
      <c r="C137" s="501">
        <f>'[4]Sch C'!D138</f>
        <v>1216685</v>
      </c>
      <c r="D137" s="501">
        <f>'[4]Sch C'!F138</f>
        <v>-30307</v>
      </c>
      <c r="E137" s="171">
        <f t="shared" si="28"/>
        <v>1186378</v>
      </c>
      <c r="F137" s="171"/>
      <c r="G137" s="171">
        <f>E137+F137</f>
        <v>1186378</v>
      </c>
      <c r="H137" s="172">
        <f>IF($G$208=0,0,G137/$G$208)</f>
        <v>0.12116465074559912</v>
      </c>
      <c r="I137" s="473"/>
      <c r="J137" s="183">
        <v>112999</v>
      </c>
      <c r="K137" s="183">
        <v>119313</v>
      </c>
    </row>
    <row r="138" spans="1:11" s="167" customFormat="1">
      <c r="A138" s="169"/>
      <c r="B138" s="163" t="s">
        <v>197</v>
      </c>
      <c r="C138" s="501">
        <f>'[4]Sch C'!D139</f>
        <v>30307</v>
      </c>
      <c r="D138" s="501">
        <f>'[4]Sch C'!F139</f>
        <v>30307</v>
      </c>
      <c r="E138" s="171">
        <f t="shared" si="28"/>
        <v>60614</v>
      </c>
      <c r="F138" s="171"/>
      <c r="G138" s="171">
        <f>E138+F138</f>
        <v>60614</v>
      </c>
      <c r="H138" s="172">
        <f>IF($G$208=0,0,G138/$G$208)</f>
        <v>6.1905009535693899E-3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'[4]Sch C'!D141</f>
        <v>559967</v>
      </c>
      <c r="D140" s="501">
        <f>'[4]Sch C'!F141</f>
        <v>-321089</v>
      </c>
      <c r="E140" s="171">
        <f t="shared" ref="E140:E143" si="29">C140+D140</f>
        <v>238878</v>
      </c>
      <c r="F140" s="171"/>
      <c r="G140" s="171">
        <f>E140+F140</f>
        <v>238878</v>
      </c>
      <c r="H140" s="172">
        <f>IF($G$208=0,0,G140/$G$208)</f>
        <v>2.4396583079597925E-2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'[4]Sch C'!D142</f>
        <v>0</v>
      </c>
      <c r="D141" s="501">
        <f>'[4]Sch C'!F142</f>
        <v>79599</v>
      </c>
      <c r="E141" s="171">
        <f t="shared" si="29"/>
        <v>79599</v>
      </c>
      <c r="F141" s="171"/>
      <c r="G141" s="171">
        <f>E141+F141</f>
        <v>79599</v>
      </c>
      <c r="H141" s="172">
        <f>IF($G$208=0,0,G141/$G$208)</f>
        <v>8.1294368529245698E-3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'[4]Sch C'!D143</f>
        <v>0</v>
      </c>
      <c r="D142" s="501">
        <f>'[4]Sch C'!F143</f>
        <v>241490</v>
      </c>
      <c r="E142" s="171">
        <f t="shared" si="29"/>
        <v>241490</v>
      </c>
      <c r="F142" s="171"/>
      <c r="G142" s="171">
        <f>E142+F142</f>
        <v>241490</v>
      </c>
      <c r="H142" s="172">
        <f>IF($G$208=0,0,G142/$G$208)</f>
        <v>2.4663346343707263E-2</v>
      </c>
      <c r="I142" s="473" t="s">
        <v>473</v>
      </c>
      <c r="J142" s="168"/>
      <c r="K142" s="168"/>
    </row>
    <row r="143" spans="1:11" s="167" customFormat="1">
      <c r="A143" s="169"/>
      <c r="B143" s="163" t="s">
        <v>197</v>
      </c>
      <c r="C143" s="501">
        <f>'[4]Sch C'!D144</f>
        <v>0</v>
      </c>
      <c r="D143" s="501">
        <f>'[4]Sch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'[4]Sch C'!D146</f>
        <v>51368</v>
      </c>
      <c r="D145" s="501">
        <f>'[4]Sch C'!F146</f>
        <v>0</v>
      </c>
      <c r="E145" s="171">
        <f t="shared" ref="E145:E153" si="30">C145+D145</f>
        <v>51368</v>
      </c>
      <c r="F145" s="171"/>
      <c r="G145" s="171">
        <f t="shared" ref="G145:G153" si="31">E145+F145</f>
        <v>51368</v>
      </c>
      <c r="H145" s="172">
        <f t="shared" ref="H145:H153" si="32">IF($G$208=0,0,G145/$G$208)</f>
        <v>5.2462080209679683E-3</v>
      </c>
      <c r="I145" s="473"/>
      <c r="J145" s="183">
        <v>191</v>
      </c>
      <c r="K145" s="183">
        <v>191</v>
      </c>
    </row>
    <row r="146" spans="1:11" s="167" customFormat="1">
      <c r="A146" s="169"/>
      <c r="B146" s="163" t="s">
        <v>194</v>
      </c>
      <c r="C146" s="501">
        <f>'[4]Sch C'!D147</f>
        <v>17994</v>
      </c>
      <c r="D146" s="501">
        <f>'[4]Sch C'!F147</f>
        <v>0</v>
      </c>
      <c r="E146" s="171">
        <f t="shared" si="30"/>
        <v>17994</v>
      </c>
      <c r="F146" s="171"/>
      <c r="G146" s="171">
        <f t="shared" si="31"/>
        <v>17994</v>
      </c>
      <c r="H146" s="172">
        <f t="shared" si="32"/>
        <v>1.8377251816169137E-3</v>
      </c>
      <c r="I146" s="473"/>
      <c r="J146" s="183">
        <v>285</v>
      </c>
      <c r="K146" s="183">
        <v>285</v>
      </c>
    </row>
    <row r="147" spans="1:11" s="167" customFormat="1">
      <c r="A147" s="169"/>
      <c r="B147" s="163" t="s">
        <v>195</v>
      </c>
      <c r="C147" s="501">
        <f>'[4]Sch C'!D148</f>
        <v>11107</v>
      </c>
      <c r="D147" s="501">
        <f>'[4]Sch C'!F148</f>
        <v>0</v>
      </c>
      <c r="E147" s="171">
        <f t="shared" si="30"/>
        <v>11107</v>
      </c>
      <c r="F147" s="171"/>
      <c r="G147" s="171">
        <f t="shared" si="31"/>
        <v>11107</v>
      </c>
      <c r="H147" s="172">
        <f t="shared" si="32"/>
        <v>1.1343566517849871E-3</v>
      </c>
      <c r="I147" s="473"/>
      <c r="J147" s="183">
        <v>238</v>
      </c>
      <c r="K147" s="183">
        <v>238</v>
      </c>
    </row>
    <row r="148" spans="1:11" s="167" customFormat="1">
      <c r="A148" s="169"/>
      <c r="B148" s="163" t="s">
        <v>196</v>
      </c>
      <c r="C148" s="501">
        <f>'[4]Sch C'!D149</f>
        <v>143443</v>
      </c>
      <c r="D148" s="501">
        <f>'[4]Sch C'!F149</f>
        <v>0</v>
      </c>
      <c r="E148" s="171">
        <f t="shared" si="30"/>
        <v>143443</v>
      </c>
      <c r="F148" s="507"/>
      <c r="G148" s="171">
        <f t="shared" si="31"/>
        <v>143443</v>
      </c>
      <c r="H148" s="172">
        <f t="shared" si="32"/>
        <v>1.4649817340595473E-2</v>
      </c>
      <c r="I148" s="473"/>
      <c r="J148" s="183">
        <v>5789</v>
      </c>
      <c r="K148" s="183">
        <v>5789</v>
      </c>
    </row>
    <row r="149" spans="1:11" s="167" customFormat="1">
      <c r="A149" s="169"/>
      <c r="B149" s="163" t="s">
        <v>197</v>
      </c>
      <c r="C149" s="501">
        <f>'[4]Sch C'!D150</f>
        <v>6787</v>
      </c>
      <c r="D149" s="501">
        <f>'[4]Sch C'!F150</f>
        <v>0</v>
      </c>
      <c r="E149" s="171">
        <f t="shared" si="30"/>
        <v>6787</v>
      </c>
      <c r="F149" s="171"/>
      <c r="G149" s="171">
        <f t="shared" si="31"/>
        <v>6787</v>
      </c>
      <c r="H149" s="172">
        <f t="shared" si="32"/>
        <v>6.9315554116005295E-4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'[4]Sch C'!D151</f>
        <v>153638</v>
      </c>
      <c r="D150" s="501">
        <f>'[4]Sch C'!F151</f>
        <v>0</v>
      </c>
      <c r="E150" s="171">
        <f t="shared" si="30"/>
        <v>153638</v>
      </c>
      <c r="F150" s="171"/>
      <c r="G150" s="171">
        <f t="shared" si="31"/>
        <v>153638</v>
      </c>
      <c r="H150" s="172">
        <f t="shared" si="32"/>
        <v>1.5691031535692974E-2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'[4]Sch C'!D152</f>
        <v>5178</v>
      </c>
      <c r="D151" s="501">
        <f>'[4]Sch C'!F152</f>
        <v>0</v>
      </c>
      <c r="E151" s="171">
        <f t="shared" si="30"/>
        <v>5178</v>
      </c>
      <c r="F151" s="171"/>
      <c r="G151" s="171">
        <f t="shared" si="31"/>
        <v>5178</v>
      </c>
      <c r="H151" s="172">
        <f t="shared" si="32"/>
        <v>5.2882855342960863E-4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'[4]Sch C'!D153</f>
        <v>0</v>
      </c>
      <c r="D152" s="501">
        <f>'[4]Sch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'[4]Sch C'!D154</f>
        <v>843</v>
      </c>
      <c r="D153" s="501">
        <f>'[4]Sch C'!F154</f>
        <v>0</v>
      </c>
      <c r="E153" s="171">
        <f t="shared" si="30"/>
        <v>843</v>
      </c>
      <c r="F153" s="171"/>
      <c r="G153" s="171">
        <f t="shared" si="31"/>
        <v>843</v>
      </c>
      <c r="H153" s="172">
        <f t="shared" si="32"/>
        <v>8.6095494503893422E-5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'[4]Sch C'!D156</f>
        <v>0</v>
      </c>
      <c r="D155" s="501">
        <f>'[4]Sch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'[4]Sch C'!D157</f>
        <v>0</v>
      </c>
      <c r="D156" s="501">
        <f>'[4]Sch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'[4]Sch C'!D158</f>
        <v>0</v>
      </c>
      <c r="D157" s="501">
        <f>'[4]Sch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'[4]Sch C'!D159</f>
        <v>0</v>
      </c>
      <c r="D158" s="501">
        <f>'[4]Sch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'[4]Sch C'!D160</f>
        <v>0</v>
      </c>
      <c r="D159" s="501">
        <f>'[4]Sch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'[4]Sch C'!D161</f>
        <v>22214</v>
      </c>
      <c r="D160" s="501">
        <f>'[4]Sch C'!F161</f>
        <v>0</v>
      </c>
      <c r="E160" s="171">
        <f t="shared" si="33"/>
        <v>22214</v>
      </c>
      <c r="F160" s="171"/>
      <c r="G160" s="171">
        <f t="shared" si="34"/>
        <v>22214</v>
      </c>
      <c r="H160" s="172">
        <f t="shared" si="35"/>
        <v>2.2687133035699742E-3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4320215</v>
      </c>
      <c r="D161" s="501">
        <f>SUM(D123:D160)</f>
        <v>0</v>
      </c>
      <c r="E161" s="171">
        <f t="shared" ref="E161:F161" si="36">SUM(E123:E160)</f>
        <v>4320215</v>
      </c>
      <c r="F161" s="171">
        <f t="shared" si="36"/>
        <v>0</v>
      </c>
      <c r="G161" s="171">
        <f>SUM(G123:G160)</f>
        <v>4320215</v>
      </c>
      <c r="H161" s="172">
        <f t="shared" si="35"/>
        <v>0.44122306855057875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'[4]Sch C'!D175</f>
        <v>0</v>
      </c>
      <c r="D164" s="501">
        <f>'[4]Sch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'[4]Sch C'!D176</f>
        <v>0</v>
      </c>
      <c r="D165" s="501">
        <f>'[4]Sch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'[4]Sch C'!D177</f>
        <v>0</v>
      </c>
      <c r="D166" s="501">
        <f>'[4]Sch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'[4]Sch C'!D178</f>
        <v>0</v>
      </c>
      <c r="D167" s="501">
        <f>'[4]Sch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'[4]Sch C'!D179</f>
        <v>0</v>
      </c>
      <c r="D168" s="501">
        <f>'[4]Sch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'[4]Sch C'!D180</f>
        <v>0</v>
      </c>
      <c r="D169" s="501">
        <f>'[4]Sch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'[4]Sch C'!D181</f>
        <v>0</v>
      </c>
      <c r="D170" s="501">
        <f>'[4]Sch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'[4]Sch C'!D182</f>
        <v>0</v>
      </c>
      <c r="D171" s="501">
        <f>'[4]Sch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'[4]Sch C'!D183</f>
        <v>0</v>
      </c>
      <c r="D172" s="501">
        <f>'[4]Sch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'[4]Sch C'!D184</f>
        <v>0</v>
      </c>
      <c r="D173" s="501">
        <f>'[4]Sch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'[4]Sch C'!D185</f>
        <v>0</v>
      </c>
      <c r="D174" s="501">
        <f>'[4]Sch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'[4]Sch C'!D186</f>
        <v>0</v>
      </c>
      <c r="D175" s="501">
        <f>'[4]Sch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'[4]Sch C'!D187</f>
        <v>0</v>
      </c>
      <c r="D176" s="501">
        <f>'[4]Sch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'[4]Sch C'!D188</f>
        <v>558</v>
      </c>
      <c r="D177" s="501">
        <f>'[4]Sch C'!F188</f>
        <v>0</v>
      </c>
      <c r="E177" s="171">
        <f t="shared" si="37"/>
        <v>558</v>
      </c>
      <c r="F177" s="216"/>
      <c r="G177" s="171">
        <f t="shared" si="38"/>
        <v>558</v>
      </c>
      <c r="H177" s="172">
        <f t="shared" si="39"/>
        <v>5.6988476789054009E-5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'[4]Sch C'!D189</f>
        <v>0</v>
      </c>
      <c r="D178" s="501">
        <f>'[4]Sch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'[4]Sch C'!D190</f>
        <v>0</v>
      </c>
      <c r="D179" s="501">
        <f>'[4]Sch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'[4]Sch C'!D191</f>
        <v>0</v>
      </c>
      <c r="D180" s="501">
        <f>'[4]Sch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'[4]Sch C'!D192</f>
        <v>0</v>
      </c>
      <c r="D181" s="501">
        <f>'[4]Sch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'[4]Sch C'!D193</f>
        <v>1187</v>
      </c>
      <c r="D182" s="501">
        <f>'[4]Sch C'!F193</f>
        <v>0</v>
      </c>
      <c r="E182" s="171">
        <f t="shared" si="37"/>
        <v>1187</v>
      </c>
      <c r="F182" s="216"/>
      <c r="G182" s="171">
        <f t="shared" si="38"/>
        <v>1187</v>
      </c>
      <c r="H182" s="172">
        <f t="shared" si="39"/>
        <v>1.2122817553513818E-4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'[4]Sch C'!D194</f>
        <v>317138</v>
      </c>
      <c r="D183" s="501">
        <f>'[4]Sch C'!F194</f>
        <v>0</v>
      </c>
      <c r="E183" s="171">
        <f t="shared" si="37"/>
        <v>317138</v>
      </c>
      <c r="F183" s="216"/>
      <c r="G183" s="171">
        <f t="shared" si="38"/>
        <v>317138</v>
      </c>
      <c r="H183" s="172">
        <f t="shared" si="39"/>
        <v>3.2389268014206107E-2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'[4]Sch C'!D195</f>
        <v>97484</v>
      </c>
      <c r="D184" s="501">
        <f>'[4]Sch C'!F195</f>
        <v>0</v>
      </c>
      <c r="E184" s="171">
        <f t="shared" si="37"/>
        <v>97484</v>
      </c>
      <c r="F184" s="216"/>
      <c r="G184" s="171">
        <f t="shared" si="38"/>
        <v>97484</v>
      </c>
      <c r="H184" s="172">
        <f t="shared" si="39"/>
        <v>9.9560298768891411E-3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'[4]Sch C'!D196</f>
        <v>0</v>
      </c>
      <c r="D185" s="501">
        <f>'[4]Sch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'[4]Sch C'!D197</f>
        <v>284741</v>
      </c>
      <c r="D186" s="501">
        <f>'[4]Sch C'!F197</f>
        <v>0</v>
      </c>
      <c r="E186" s="171">
        <f t="shared" si="37"/>
        <v>284741</v>
      </c>
      <c r="F186" s="216"/>
      <c r="G186" s="171">
        <f t="shared" si="38"/>
        <v>284741</v>
      </c>
      <c r="H186" s="172">
        <f t="shared" si="39"/>
        <v>2.9080566074179259E-2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'[4]Sch C'!D198</f>
        <v>55059</v>
      </c>
      <c r="D187" s="501">
        <f>'[4]Sch C'!F198</f>
        <v>0</v>
      </c>
      <c r="E187" s="171">
        <f t="shared" si="37"/>
        <v>55059</v>
      </c>
      <c r="F187" s="216"/>
      <c r="G187" s="171">
        <f t="shared" si="38"/>
        <v>55059</v>
      </c>
      <c r="H187" s="172">
        <f t="shared" si="39"/>
        <v>5.6231694328468182E-3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'[4]Sch C'!D199</f>
        <v>0</v>
      </c>
      <c r="D188" s="501">
        <f>'[4]Sch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'[4]Sch C'!D200</f>
        <v>0</v>
      </c>
      <c r="D189" s="501">
        <f>'[4]Sch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'[4]Sch C'!D201</f>
        <v>0</v>
      </c>
      <c r="D190" s="501">
        <f>'[4]Sch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'[4]Sch C'!D202</f>
        <v>0</v>
      </c>
      <c r="D191" s="501">
        <f>'[4]Sch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'[4]Sch C'!D203</f>
        <v>0</v>
      </c>
      <c r="D192" s="501">
        <f>'[4]Sch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'[4]Sch C'!D204</f>
        <v>0</v>
      </c>
      <c r="D193" s="501">
        <f>'[4]Sch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'[4]Sch C'!D205</f>
        <v>237723</v>
      </c>
      <c r="D194" s="501">
        <f>'[4]Sch C'!F205</f>
        <v>0</v>
      </c>
      <c r="E194" s="171">
        <f t="shared" si="37"/>
        <v>237723</v>
      </c>
      <c r="F194" s="216"/>
      <c r="G194" s="171">
        <f t="shared" si="38"/>
        <v>237723</v>
      </c>
      <c r="H194" s="172">
        <f t="shared" si="39"/>
        <v>2.4278623060437789E-2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'[4]Sch C'!D206</f>
        <v>1877</v>
      </c>
      <c r="D195" s="501">
        <f>'[4]Sch C'!F206</f>
        <v>0</v>
      </c>
      <c r="E195" s="171">
        <f t="shared" si="37"/>
        <v>1877</v>
      </c>
      <c r="F195" s="216"/>
      <c r="G195" s="171">
        <f t="shared" si="38"/>
        <v>1877</v>
      </c>
      <c r="H195" s="172">
        <f t="shared" si="39"/>
        <v>1.9169779737106518E-4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'[4]Sch C'!D207</f>
        <v>990</v>
      </c>
      <c r="D196" s="501">
        <f>'[4]Sch C'!F207</f>
        <v>0</v>
      </c>
      <c r="E196" s="171">
        <f t="shared" si="37"/>
        <v>990</v>
      </c>
      <c r="F196" s="216"/>
      <c r="G196" s="171">
        <f t="shared" si="38"/>
        <v>990</v>
      </c>
      <c r="H196" s="172">
        <f t="shared" si="39"/>
        <v>1.0110858785154742E-4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996757</v>
      </c>
      <c r="D197" s="501">
        <f>SUM(D164:D196)</f>
        <v>0</v>
      </c>
      <c r="E197" s="171">
        <f t="shared" ref="E197:F197" si="40">SUM(E164:E196)</f>
        <v>996757</v>
      </c>
      <c r="F197" s="171">
        <f t="shared" si="40"/>
        <v>0</v>
      </c>
      <c r="G197" s="171">
        <f>SUM(G164:G196)</f>
        <v>996757</v>
      </c>
      <c r="H197" s="172">
        <f>IF($G$208=0,0,G197/$G$208)</f>
        <v>0.10179867949610592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'[4]Sch C'!D211</f>
        <v>137557</v>
      </c>
      <c r="D200" s="501">
        <f>'[4]Sch C'!F211</f>
        <v>0</v>
      </c>
      <c r="E200" s="171">
        <f t="shared" ref="E200:E205" si="41">C200+D200</f>
        <v>137557</v>
      </c>
      <c r="F200" s="171"/>
      <c r="G200" s="171">
        <f t="shared" ref="G200:G205" si="42">E200+F200</f>
        <v>137557</v>
      </c>
      <c r="H200" s="172">
        <f t="shared" ref="H200:H206" si="43">IF($G$208=0,0,G200/$G$208)</f>
        <v>1.4048680827369001E-2</v>
      </c>
      <c r="I200" s="473"/>
      <c r="J200" s="183">
        <v>7956</v>
      </c>
      <c r="K200" s="183">
        <v>8517</v>
      </c>
    </row>
    <row r="201" spans="1:14" s="167" customFormat="1">
      <c r="A201" s="169" t="s">
        <v>86</v>
      </c>
      <c r="B201" s="170" t="s">
        <v>45</v>
      </c>
      <c r="C201" s="501">
        <f>'[4]Sch C'!D212</f>
        <v>55004</v>
      </c>
      <c r="D201" s="501">
        <f>'[4]Sch C'!F212</f>
        <v>0</v>
      </c>
      <c r="E201" s="171">
        <f t="shared" si="41"/>
        <v>55004</v>
      </c>
      <c r="F201" s="171"/>
      <c r="G201" s="171">
        <f t="shared" si="42"/>
        <v>55004</v>
      </c>
      <c r="H201" s="172">
        <f t="shared" si="43"/>
        <v>5.6175522890772878E-3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'[4]Sch C'!D213</f>
        <v>5788</v>
      </c>
      <c r="D202" s="501">
        <f>'[4]Sch C'!F213</f>
        <v>0</v>
      </c>
      <c r="E202" s="171">
        <f t="shared" si="41"/>
        <v>5788</v>
      </c>
      <c r="F202" s="171"/>
      <c r="G202" s="171">
        <f t="shared" si="42"/>
        <v>5788</v>
      </c>
      <c r="H202" s="172">
        <f t="shared" si="43"/>
        <v>5.9112778432803686E-4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'[4]Sch C'!D214</f>
        <v>0</v>
      </c>
      <c r="D203" s="501">
        <f>'[4]Sch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'[4]Sch C'!D215</f>
        <v>0</v>
      </c>
      <c r="D204" s="501">
        <f>'[4]Sch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'[4]Sch C'!D216</f>
        <v>1707</v>
      </c>
      <c r="D205" s="501">
        <f>'[4]Sch C'!F216</f>
        <v>0</v>
      </c>
      <c r="E205" s="171">
        <f t="shared" si="41"/>
        <v>1707</v>
      </c>
      <c r="F205" s="171"/>
      <c r="G205" s="171">
        <f t="shared" si="42"/>
        <v>1707</v>
      </c>
      <c r="H205" s="172">
        <f t="shared" si="43"/>
        <v>1.7433571662888028E-4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200056</v>
      </c>
      <c r="D206" s="501">
        <f>SUM(D200:D205)</f>
        <v>0</v>
      </c>
      <c r="E206" s="171">
        <f t="shared" ref="E206:F206" si="44">SUM(E200:E205)</f>
        <v>200056</v>
      </c>
      <c r="F206" s="171">
        <f t="shared" si="44"/>
        <v>0</v>
      </c>
      <c r="G206" s="171">
        <f>SUM(G200:G205)</f>
        <v>200056</v>
      </c>
      <c r="H206" s="172">
        <f t="shared" si="43"/>
        <v>2.0431696617403204E-2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10095552</v>
      </c>
      <c r="D208" s="501">
        <f>SUM(D25:D206)/2</f>
        <v>-302288</v>
      </c>
      <c r="E208" s="171">
        <f t="shared" ref="E208:F208" si="45">SUM(E25:E206)/2</f>
        <v>9793264</v>
      </c>
      <c r="F208" s="171">
        <f t="shared" si="45"/>
        <v>-1810.86</v>
      </c>
      <c r="G208" s="171">
        <f>SUM(G25:G206)/2</f>
        <v>9791453.1400000006</v>
      </c>
      <c r="H208" s="172">
        <f>IF($G$208=0,0,G208/$G$208)</f>
        <v>1</v>
      </c>
      <c r="I208" s="473"/>
      <c r="J208" s="183">
        <f>SUM(J25:J200)</f>
        <v>207489</v>
      </c>
      <c r="K208" s="183">
        <f>SUM(K25:K200)</f>
        <v>220114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'[4]Sch C'!D221</f>
        <v>10095552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-1066807</v>
      </c>
      <c r="D215" s="501">
        <f>D21-D208</f>
        <v>263580</v>
      </c>
      <c r="E215" s="171">
        <f t="shared" ref="E215:F215" si="46">E21-E208</f>
        <v>-803227</v>
      </c>
      <c r="F215" s="171">
        <f t="shared" si="46"/>
        <v>1810.86</v>
      </c>
      <c r="G215" s="171">
        <f>G21-G208</f>
        <v>-801416.1400000006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'[4]Sch D'!C9</f>
        <v>28887</v>
      </c>
      <c r="D219" s="530"/>
      <c r="E219" s="234">
        <f t="shared" ref="E219:G227" si="47">C219+D219</f>
        <v>28887</v>
      </c>
      <c r="F219" s="233"/>
      <c r="G219" s="234">
        <f t="shared" si="47"/>
        <v>28887</v>
      </c>
      <c r="H219" s="172">
        <f t="shared" ref="H219:H228" si="48">IF($G$228=0,0,G219/$G$228)</f>
        <v>0.72748564521003323</v>
      </c>
      <c r="I219" s="473"/>
      <c r="J219" s="168"/>
      <c r="K219" s="168"/>
    </row>
    <row r="220" spans="1:11">
      <c r="A220" s="163"/>
      <c r="B220" s="170" t="s">
        <v>217</v>
      </c>
      <c r="C220" s="530">
        <f>'[4]Sch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'[4]Sch D'!E9</f>
        <v>1651</v>
      </c>
      <c r="D221" s="530"/>
      <c r="E221" s="234">
        <f t="shared" si="49"/>
        <v>1651</v>
      </c>
      <c r="F221" s="233"/>
      <c r="G221" s="234">
        <f t="shared" si="47"/>
        <v>1651</v>
      </c>
      <c r="H221" s="172">
        <f t="shared" si="48"/>
        <v>4.1578523219502367E-2</v>
      </c>
      <c r="I221" s="473"/>
      <c r="J221" s="168"/>
      <c r="K221" s="168"/>
    </row>
    <row r="222" spans="1:11">
      <c r="A222" s="163"/>
      <c r="B222" s="202" t="s">
        <v>334</v>
      </c>
      <c r="C222" s="530">
        <f>'[4]Sch D'!F9</f>
        <v>2182</v>
      </c>
      <c r="D222" s="530"/>
      <c r="E222" s="234">
        <f>C222+D222</f>
        <v>2182</v>
      </c>
      <c r="F222" s="233"/>
      <c r="G222" s="234">
        <f>E222+F222</f>
        <v>2182</v>
      </c>
      <c r="H222" s="172">
        <f t="shared" si="48"/>
        <v>5.4951143346428928E-2</v>
      </c>
      <c r="I222" s="473"/>
      <c r="J222" s="168"/>
      <c r="K222" s="168"/>
    </row>
    <row r="223" spans="1:11">
      <c r="A223" s="163"/>
      <c r="B223" s="170" t="s">
        <v>73</v>
      </c>
      <c r="C223" s="530">
        <f>'[4]Sch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'[4]Sch D'!H9</f>
        <v>1578</v>
      </c>
      <c r="D224" s="530"/>
      <c r="E224" s="234">
        <f t="shared" si="49"/>
        <v>1578</v>
      </c>
      <c r="F224" s="233"/>
      <c r="G224" s="234">
        <f t="shared" si="47"/>
        <v>1578</v>
      </c>
      <c r="H224" s="172">
        <f t="shared" si="48"/>
        <v>3.974010275007555E-2</v>
      </c>
      <c r="I224" s="473"/>
      <c r="J224" s="168"/>
      <c r="K224" s="168"/>
    </row>
    <row r="225" spans="1:11">
      <c r="A225" s="163"/>
      <c r="B225" s="170" t="s">
        <v>236</v>
      </c>
      <c r="C225" s="530">
        <f>'[4]Sch D'!I9</f>
        <v>4976</v>
      </c>
      <c r="D225" s="530"/>
      <c r="E225" s="234">
        <f t="shared" si="49"/>
        <v>4976</v>
      </c>
      <c r="F225" s="233"/>
      <c r="G225" s="234">
        <f t="shared" si="47"/>
        <v>4976</v>
      </c>
      <c r="H225" s="172">
        <f t="shared" si="48"/>
        <v>0.12531479802558679</v>
      </c>
      <c r="I225" s="473"/>
      <c r="J225" s="168"/>
      <c r="K225" s="168"/>
    </row>
    <row r="226" spans="1:11">
      <c r="A226" s="163"/>
      <c r="B226" s="170" t="s">
        <v>235</v>
      </c>
      <c r="C226" s="530">
        <f>'[4]Sch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'[4]Sch D'!K9</f>
        <v>434</v>
      </c>
      <c r="D227" s="530"/>
      <c r="E227" s="234">
        <f t="shared" si="49"/>
        <v>434</v>
      </c>
      <c r="F227" s="233"/>
      <c r="G227" s="234">
        <f t="shared" si="47"/>
        <v>434</v>
      </c>
      <c r="H227" s="172">
        <f t="shared" si="48"/>
        <v>1.0929787448373123E-2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39708</v>
      </c>
      <c r="D228" s="530">
        <f>SUM(D219:D227)</f>
        <v>0</v>
      </c>
      <c r="E228" s="236">
        <f>SUM(E219:E227)</f>
        <v>39708</v>
      </c>
      <c r="F228" s="236">
        <f>SUM(F219:F227)</f>
        <v>0</v>
      </c>
      <c r="G228" s="236">
        <f>SUM(G219:G227)</f>
        <v>39708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'[4]Sch D'!N22</f>
        <v>140</v>
      </c>
      <c r="D231" s="502"/>
      <c r="E231" s="234">
        <f>C231+D231</f>
        <v>140</v>
      </c>
      <c r="F231" s="234"/>
      <c r="G231" s="234">
        <f>E231+F231</f>
        <v>140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'[4]Sch D'!N24</f>
        <v>140</v>
      </c>
      <c r="D232" s="502"/>
      <c r="E232" s="234">
        <f>C232+D232</f>
        <v>140</v>
      </c>
      <c r="F232" s="234"/>
      <c r="G232" s="234">
        <f>E232+F232</f>
        <v>140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'[4]Sch D'!N28</f>
        <v>51100</v>
      </c>
      <c r="D235" s="438"/>
      <c r="E235" s="233">
        <f>E231*E233</f>
        <v>51100</v>
      </c>
      <c r="F235" s="238"/>
      <c r="G235" s="233">
        <f>G231*G233</f>
        <v>51100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'[4]Sch D'!N30</f>
        <v>0.77706457925636008</v>
      </c>
      <c r="D236" s="238"/>
      <c r="E236" s="242">
        <f>E228/E235</f>
        <v>0.77706457925636008</v>
      </c>
      <c r="F236" s="243"/>
      <c r="G236" s="242">
        <f>G228/G235</f>
        <v>0.77706457925636008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'[4]Sch D'!N32</f>
        <v>0.56530332681017614</v>
      </c>
      <c r="D237" s="238"/>
      <c r="E237" s="242">
        <f>(E219+E220)/E235</f>
        <v>0.56530332681017614</v>
      </c>
      <c r="F237" s="243"/>
      <c r="G237" s="242">
        <f>(G219+G220)/G235</f>
        <v>0.56530332681017614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'[4]Sch D'!N34</f>
        <v>0.72748564521003323</v>
      </c>
      <c r="D238" s="238"/>
      <c r="E238" s="242">
        <f>(E237/E236)</f>
        <v>0.72748564521003323</v>
      </c>
      <c r="F238" s="243"/>
      <c r="G238" s="242">
        <f>(G237/G236)</f>
        <v>0.72748564521003323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'[4]Sch B'!C85</f>
        <v>183.0475161987041</v>
      </c>
      <c r="I241" s="475"/>
    </row>
    <row r="242" spans="2:9">
      <c r="F242" s="142" t="s">
        <v>341</v>
      </c>
      <c r="G242" s="501">
        <f>'[4]Sch B'!E85</f>
        <v>183.04645476772617</v>
      </c>
      <c r="I242" s="475"/>
    </row>
    <row r="243" spans="2:9">
      <c r="F243" s="142" t="s">
        <v>342</v>
      </c>
      <c r="G243" s="501">
        <f>'[4]Sch B'!G85</f>
        <v>183.04729729729729</v>
      </c>
      <c r="I243" s="475"/>
    </row>
    <row r="244" spans="2:9">
      <c r="F244" s="142" t="s">
        <v>343</v>
      </c>
      <c r="G244" s="501">
        <f>'[4]Sch B'!I85</f>
        <v>183.04878048780489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selection activeCell="C1" sqref="C1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tabColor rgb="FFE28CAB"/>
  </sheetPr>
  <dimension ref="A1:O246"/>
  <sheetViews>
    <sheetView showGridLines="0" topLeftCell="A181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490</v>
      </c>
      <c r="D2" s="244"/>
      <c r="E2" s="486"/>
    </row>
    <row r="3" spans="1:11">
      <c r="A3" s="145"/>
      <c r="B3" s="140" t="s">
        <v>79</v>
      </c>
      <c r="C3" s="441">
        <v>42552</v>
      </c>
      <c r="D3" s="144"/>
      <c r="E3" s="147"/>
      <c r="F3" s="409"/>
    </row>
    <row r="4" spans="1:11">
      <c r="A4" s="145"/>
      <c r="B4" s="148" t="s">
        <v>80</v>
      </c>
      <c r="C4" s="441">
        <v>42916</v>
      </c>
      <c r="D4" s="559"/>
      <c r="E4" s="149"/>
      <c r="F4" s="409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213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'[38]Sch B'!E10</f>
        <v>3889813.4</v>
      </c>
      <c r="D11" s="501">
        <f>'[38]Sch B'!G10</f>
        <v>0</v>
      </c>
      <c r="E11" s="171">
        <f>C11+D11</f>
        <v>3889813.4</v>
      </c>
      <c r="F11" s="171">
        <v>1027229</v>
      </c>
      <c r="G11" s="171">
        <f t="shared" ref="G11:G20" si="0">E11+F11</f>
        <v>4917042.4000000004</v>
      </c>
      <c r="H11" s="172">
        <f t="shared" ref="H11:H21" si="1">IF($G$21=0,0,G11/$G$21)</f>
        <v>0.72647868607925459</v>
      </c>
      <c r="I11" s="473"/>
      <c r="J11" s="336" t="s">
        <v>344</v>
      </c>
      <c r="K11" s="337">
        <f>G21</f>
        <v>6768323.0000000019</v>
      </c>
    </row>
    <row r="12" spans="1:11" s="167" customFormat="1">
      <c r="A12" s="169" t="s">
        <v>15</v>
      </c>
      <c r="B12" s="170" t="s">
        <v>212</v>
      </c>
      <c r="C12" s="501">
        <f>'[38]Sch B'!E15</f>
        <v>930183.4</v>
      </c>
      <c r="D12" s="501">
        <f>'[38]Sch B'!G15</f>
        <v>0</v>
      </c>
      <c r="E12" s="171">
        <f t="shared" ref="E12:E20" si="2">C12+D12</f>
        <v>930183.4</v>
      </c>
      <c r="F12" s="171"/>
      <c r="G12" s="171">
        <f>E12+F12</f>
        <v>930183.4</v>
      </c>
      <c r="H12" s="172">
        <f t="shared" si="1"/>
        <v>0.13743188674653969</v>
      </c>
      <c r="I12" s="473"/>
      <c r="J12" s="338" t="s">
        <v>345</v>
      </c>
      <c r="K12" s="339">
        <f>G208</f>
        <v>4205393</v>
      </c>
    </row>
    <row r="13" spans="1:11" s="167" customFormat="1">
      <c r="A13" s="169" t="s">
        <v>16</v>
      </c>
      <c r="B13" s="170" t="s">
        <v>170</v>
      </c>
      <c r="C13" s="501">
        <f>'[38]Sch B'!E21</f>
        <v>757404.39999999991</v>
      </c>
      <c r="D13" s="501">
        <f>'[38]Sch B'!G21</f>
        <v>0</v>
      </c>
      <c r="E13" s="171">
        <f t="shared" si="2"/>
        <v>757404.39999999991</v>
      </c>
      <c r="F13" s="171"/>
      <c r="G13" s="171">
        <f t="shared" si="0"/>
        <v>757404.39999999991</v>
      </c>
      <c r="H13" s="172">
        <f t="shared" si="1"/>
        <v>0.11190429298365337</v>
      </c>
      <c r="I13" s="473"/>
      <c r="J13" s="338" t="s">
        <v>346</v>
      </c>
      <c r="K13" s="339">
        <f>G228</f>
        <v>20738</v>
      </c>
    </row>
    <row r="14" spans="1:11" s="167" customFormat="1">
      <c r="A14" s="173" t="s">
        <v>18</v>
      </c>
      <c r="B14" s="174" t="s">
        <v>306</v>
      </c>
      <c r="C14" s="501">
        <f>'[38]Sch B'!E27</f>
        <v>22497.4</v>
      </c>
      <c r="D14" s="501">
        <f>'[38]Sch B'!G27</f>
        <v>0</v>
      </c>
      <c r="E14" s="171">
        <f t="shared" si="2"/>
        <v>22497.4</v>
      </c>
      <c r="F14" s="175"/>
      <c r="G14" s="175">
        <f>E14+F14</f>
        <v>22497.4</v>
      </c>
      <c r="H14" s="176">
        <f t="shared" si="1"/>
        <v>3.3239252913904961E-3</v>
      </c>
      <c r="I14" s="479"/>
      <c r="J14" s="338" t="s">
        <v>347</v>
      </c>
      <c r="K14" s="339">
        <f>G231</f>
        <v>61</v>
      </c>
    </row>
    <row r="15" spans="1:11" s="167" customFormat="1">
      <c r="A15" s="169" t="s">
        <v>19</v>
      </c>
      <c r="B15" s="170" t="s">
        <v>171</v>
      </c>
      <c r="C15" s="501">
        <f>'[38]Sch B'!E32</f>
        <v>0</v>
      </c>
      <c r="D15" s="501">
        <f>'[38]Sch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22265</v>
      </c>
    </row>
    <row r="16" spans="1:11" s="167" customFormat="1">
      <c r="A16" s="169" t="s">
        <v>21</v>
      </c>
      <c r="B16" s="170" t="s">
        <v>172</v>
      </c>
      <c r="C16" s="501">
        <f>'[38]Sch B'!E37</f>
        <v>59185</v>
      </c>
      <c r="D16" s="501">
        <f>'[38]Sch B'!G37</f>
        <v>0</v>
      </c>
      <c r="E16" s="171">
        <f t="shared" si="2"/>
        <v>59185</v>
      </c>
      <c r="F16" s="171"/>
      <c r="G16" s="171">
        <f t="shared" si="0"/>
        <v>59185</v>
      </c>
      <c r="H16" s="172">
        <f t="shared" si="1"/>
        <v>8.7444112817901837E-3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'[38]Sch B'!E42</f>
        <v>81510.399999999994</v>
      </c>
      <c r="D17" s="501">
        <f>'[38]Sch B'!G42</f>
        <v>0</v>
      </c>
      <c r="E17" s="171">
        <f t="shared" si="2"/>
        <v>81510.399999999994</v>
      </c>
      <c r="F17" s="171"/>
      <c r="G17" s="171">
        <f>E17+F17</f>
        <v>81510.399999999994</v>
      </c>
      <c r="H17" s="172">
        <f t="shared" si="1"/>
        <v>1.2042924074397745E-2</v>
      </c>
      <c r="I17" s="473"/>
      <c r="J17" s="338" t="s">
        <v>156</v>
      </c>
      <c r="K17" s="339">
        <f>J208</f>
        <v>94647.790000000008</v>
      </c>
    </row>
    <row r="18" spans="1:11" s="167" customFormat="1" ht="13.5" thickBot="1">
      <c r="A18" s="169" t="s">
        <v>216</v>
      </c>
      <c r="B18" s="170" t="s">
        <v>229</v>
      </c>
      <c r="C18" s="501">
        <f>'[38]Sch B'!E47</f>
        <v>0</v>
      </c>
      <c r="D18" s="501">
        <f>'[38]Sch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96951.62999999999</v>
      </c>
    </row>
    <row r="19" spans="1:11" s="167" customFormat="1">
      <c r="A19" s="169" t="s">
        <v>227</v>
      </c>
      <c r="B19" s="177" t="s">
        <v>173</v>
      </c>
      <c r="C19" s="501">
        <f>'[38]Sch B'!E52</f>
        <v>0</v>
      </c>
      <c r="D19" s="501">
        <f>'[38]Sch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'[38]Sch B'!E67</f>
        <v>11478</v>
      </c>
      <c r="D20" s="501">
        <f>'[38]Sch B'!G67</f>
        <v>0</v>
      </c>
      <c r="E20" s="171">
        <f t="shared" si="2"/>
        <v>11478</v>
      </c>
      <c r="F20" s="171">
        <v>-10978</v>
      </c>
      <c r="G20" s="171">
        <f t="shared" si="0"/>
        <v>500</v>
      </c>
      <c r="H20" s="172">
        <f t="shared" si="1"/>
        <v>7.3873542973643521E-5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5752072</v>
      </c>
      <c r="D21" s="501">
        <f>SUM(D11:D20)</f>
        <v>0</v>
      </c>
      <c r="E21" s="171">
        <f>SUM(E11:E20)</f>
        <v>5752072</v>
      </c>
      <c r="F21" s="171">
        <f>SUM(F11:F20)</f>
        <v>1016251</v>
      </c>
      <c r="G21" s="171">
        <f>SUM(G11:G20)</f>
        <v>6768323.0000000019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'[38]Sch C'!D10</f>
        <v>132798</v>
      </c>
      <c r="D25" s="501">
        <f>'[38]Sch C'!F10</f>
        <v>0</v>
      </c>
      <c r="E25" s="171">
        <f t="shared" ref="E25:E60" si="3">C25+D25</f>
        <v>132798</v>
      </c>
      <c r="F25" s="171"/>
      <c r="G25" s="182">
        <f>E25+F25</f>
        <v>132798</v>
      </c>
      <c r="H25" s="172">
        <f>IF($G$208=0,0,G25/$G$208)</f>
        <v>3.1578023742370807E-2</v>
      </c>
      <c r="I25" s="473"/>
      <c r="J25" s="183">
        <v>2088</v>
      </c>
      <c r="K25" s="183">
        <v>2088</v>
      </c>
    </row>
    <row r="26" spans="1:11" s="167" customFormat="1">
      <c r="A26" s="169" t="s">
        <v>84</v>
      </c>
      <c r="B26" s="170" t="s">
        <v>176</v>
      </c>
      <c r="C26" s="501">
        <f>'[38]Sch C'!D11</f>
        <v>0</v>
      </c>
      <c r="D26" s="501">
        <f>'[38]Sch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'[38]Sch C'!D12</f>
        <v>45366</v>
      </c>
      <c r="D27" s="501">
        <f>'[38]Sch C'!F12</f>
        <v>0</v>
      </c>
      <c r="E27" s="171">
        <f t="shared" si="3"/>
        <v>45366</v>
      </c>
      <c r="F27" s="171"/>
      <c r="G27" s="171">
        <f t="shared" si="4"/>
        <v>45366</v>
      </c>
      <c r="H27" s="172">
        <f t="shared" si="5"/>
        <v>1.0787576809111538E-2</v>
      </c>
      <c r="I27" s="473"/>
      <c r="J27" s="183">
        <v>1608</v>
      </c>
      <c r="K27" s="183">
        <v>1628</v>
      </c>
    </row>
    <row r="28" spans="1:11" s="167" customFormat="1">
      <c r="A28" s="169" t="s">
        <v>86</v>
      </c>
      <c r="B28" s="170" t="s">
        <v>45</v>
      </c>
      <c r="C28" s="501">
        <f>'[38]Sch C'!D13</f>
        <v>143054</v>
      </c>
      <c r="D28" s="501">
        <f>'[38]Sch C'!F13</f>
        <v>-119585</v>
      </c>
      <c r="E28" s="171">
        <f t="shared" si="3"/>
        <v>23469</v>
      </c>
      <c r="F28" s="171"/>
      <c r="G28" s="171">
        <f t="shared" si="4"/>
        <v>23469</v>
      </c>
      <c r="H28" s="172">
        <f t="shared" si="5"/>
        <v>5.5806912695198756E-3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'[38]Sch C'!D14</f>
        <v>0</v>
      </c>
      <c r="D29" s="501">
        <f>'[38]Sch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'[38]Sch C'!D15</f>
        <v>1178228</v>
      </c>
      <c r="D30" s="501">
        <f>'[38]Sch C'!F15</f>
        <v>-1178228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'[38]Sch C'!D16</f>
        <v>100726</v>
      </c>
      <c r="D31" s="501">
        <f>'[38]Sch C'!F16</f>
        <v>25608</v>
      </c>
      <c r="E31" s="171">
        <f t="shared" si="3"/>
        <v>126334</v>
      </c>
      <c r="F31" s="171"/>
      <c r="G31" s="171">
        <f t="shared" si="4"/>
        <v>126334</v>
      </c>
      <c r="H31" s="172">
        <f t="shared" si="5"/>
        <v>3.0040949799459885E-2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'[38]Sch C'!D17</f>
        <v>1833</v>
      </c>
      <c r="D32" s="501">
        <f>'[38]Sch C'!F17</f>
        <v>-1833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'[38]Sch C'!D18</f>
        <v>7093</v>
      </c>
      <c r="D33" s="501">
        <f>'[38]Sch C'!F18</f>
        <v>0</v>
      </c>
      <c r="E33" s="171">
        <f t="shared" si="3"/>
        <v>7093</v>
      </c>
      <c r="F33" s="171"/>
      <c r="G33" s="171">
        <f t="shared" si="4"/>
        <v>7093</v>
      </c>
      <c r="H33" s="172">
        <f t="shared" si="5"/>
        <v>1.6866437928631166E-3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'[38]Sch C'!D19</f>
        <v>45586</v>
      </c>
      <c r="D34" s="501">
        <f>'[38]Sch C'!F19</f>
        <v>0</v>
      </c>
      <c r="E34" s="171">
        <f t="shared" si="3"/>
        <v>45586</v>
      </c>
      <c r="F34" s="171"/>
      <c r="G34" s="171">
        <f t="shared" si="4"/>
        <v>45586</v>
      </c>
      <c r="H34" s="172">
        <f t="shared" si="5"/>
        <v>1.0839890588109125E-2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'[38]Sch C'!D20</f>
        <v>17932</v>
      </c>
      <c r="D35" s="501">
        <f>'[38]Sch C'!F20</f>
        <v>0</v>
      </c>
      <c r="E35" s="171">
        <f t="shared" si="3"/>
        <v>17932</v>
      </c>
      <c r="F35" s="171">
        <f>-1985-1060</f>
        <v>-3045</v>
      </c>
      <c r="G35" s="171">
        <f t="shared" si="4"/>
        <v>14887</v>
      </c>
      <c r="H35" s="172">
        <f t="shared" si="5"/>
        <v>3.5399783088049083E-3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'[38]Sch C'!D21</f>
        <v>30790</v>
      </c>
      <c r="D36" s="501">
        <f>'[38]Sch C'!F21</f>
        <v>0</v>
      </c>
      <c r="E36" s="171">
        <f t="shared" si="3"/>
        <v>30790</v>
      </c>
      <c r="F36" s="171">
        <f>-948-2950</f>
        <v>-3898</v>
      </c>
      <c r="G36" s="171">
        <f t="shared" si="4"/>
        <v>26892</v>
      </c>
      <c r="H36" s="172">
        <f t="shared" si="5"/>
        <v>6.3946461127414251E-3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'[38]Sch C'!D22</f>
        <v>0</v>
      </c>
      <c r="D37" s="501">
        <f>'[38]Sch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'[38]Sch C'!D23</f>
        <v>11815</v>
      </c>
      <c r="D38" s="501">
        <f>'[38]Sch C'!F23</f>
        <v>0</v>
      </c>
      <c r="E38" s="171">
        <f t="shared" si="3"/>
        <v>11815</v>
      </c>
      <c r="F38" s="171"/>
      <c r="G38" s="171">
        <f t="shared" si="4"/>
        <v>11815</v>
      </c>
      <c r="H38" s="172">
        <f t="shared" si="5"/>
        <v>2.8094877220749643E-3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'[38]Sch C'!D24</f>
        <v>0</v>
      </c>
      <c r="D39" s="501">
        <f>'[38]Sch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'[38]Sch C'!D25</f>
        <v>0</v>
      </c>
      <c r="D40" s="501">
        <f>'[38]Sch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'[38]Sch C'!D26</f>
        <v>353884</v>
      </c>
      <c r="D41" s="501">
        <f>'[38]Sch C'!F26</f>
        <v>0</v>
      </c>
      <c r="E41" s="171">
        <f t="shared" si="3"/>
        <v>353884</v>
      </c>
      <c r="F41" s="171"/>
      <c r="G41" s="171">
        <f t="shared" si="4"/>
        <v>353884</v>
      </c>
      <c r="H41" s="172">
        <f t="shared" si="5"/>
        <v>8.4150042576282405E-2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'[38]Sch C'!D27</f>
        <v>0</v>
      </c>
      <c r="D42" s="501">
        <f>'[38]Sch C'!F27</f>
        <v>1077</v>
      </c>
      <c r="E42" s="171">
        <f t="shared" si="3"/>
        <v>1077</v>
      </c>
      <c r="F42" s="171"/>
      <c r="G42" s="171">
        <f t="shared" si="4"/>
        <v>1077</v>
      </c>
      <c r="H42" s="172">
        <f t="shared" si="5"/>
        <v>2.5609972718364254E-4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'[38]Sch C'!D28</f>
        <v>0</v>
      </c>
      <c r="D43" s="501">
        <f>'[38]Sch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'[38]Sch C'!D29</f>
        <v>0</v>
      </c>
      <c r="D44" s="501">
        <f>'[38]Sch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'[38]Sch C'!D30</f>
        <v>3470</v>
      </c>
      <c r="D45" s="501">
        <f>'[38]Sch C'!F30</f>
        <v>-3470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'[38]Sch C'!D31</f>
        <v>26167</v>
      </c>
      <c r="D46" s="501">
        <f>'[38]Sch C'!F31</f>
        <v>0</v>
      </c>
      <c r="E46" s="171">
        <f t="shared" si="3"/>
        <v>26167</v>
      </c>
      <c r="F46" s="171">
        <v>-9849</v>
      </c>
      <c r="G46" s="171">
        <f t="shared" si="4"/>
        <v>16318</v>
      </c>
      <c r="H46" s="172">
        <f t="shared" si="5"/>
        <v>3.8802556621937595E-3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'[38]Sch C'!D32</f>
        <v>45077</v>
      </c>
      <c r="D47" s="501">
        <f>'[38]Sch C'!F32</f>
        <v>-21265</v>
      </c>
      <c r="E47" s="171">
        <f t="shared" si="3"/>
        <v>23812</v>
      </c>
      <c r="F47" s="171"/>
      <c r="G47" s="171">
        <f t="shared" si="4"/>
        <v>23812</v>
      </c>
      <c r="H47" s="172">
        <f t="shared" si="5"/>
        <v>5.6622532067752054E-3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'[38]Sch C'!D33</f>
        <v>0</v>
      </c>
      <c r="D48" s="501">
        <f>'[38]Sch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'[38]Sch C'!D34</f>
        <v>0</v>
      </c>
      <c r="D49" s="501">
        <f>'[38]Sch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'[38]Sch C'!D35</f>
        <v>0</v>
      </c>
      <c r="D50" s="501">
        <f>'[38]Sch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'[38]Sch C'!D36</f>
        <v>20436</v>
      </c>
      <c r="D51" s="501">
        <f>'[38]Sch C'!F36</f>
        <v>1600</v>
      </c>
      <c r="E51" s="171">
        <f t="shared" si="3"/>
        <v>22036</v>
      </c>
      <c r="F51" s="171"/>
      <c r="G51" s="171">
        <f t="shared" si="4"/>
        <v>22036</v>
      </c>
      <c r="H51" s="172">
        <f t="shared" si="5"/>
        <v>5.2399383363219559E-3</v>
      </c>
      <c r="I51" s="473"/>
      <c r="J51" s="183">
        <v>1685.2</v>
      </c>
      <c r="K51" s="183">
        <v>1685.2</v>
      </c>
    </row>
    <row r="52" spans="1:11" s="167" customFormat="1">
      <c r="A52" s="163">
        <v>290</v>
      </c>
      <c r="B52" s="170" t="s">
        <v>205</v>
      </c>
      <c r="C52" s="501">
        <f>'[38]Sch C'!D37</f>
        <v>0</v>
      </c>
      <c r="D52" s="501">
        <f>'[38]Sch C'!F37</f>
        <v>3404</v>
      </c>
      <c r="E52" s="171">
        <f t="shared" si="3"/>
        <v>3404</v>
      </c>
      <c r="F52" s="171"/>
      <c r="G52" s="171">
        <f t="shared" si="4"/>
        <v>3404</v>
      </c>
      <c r="H52" s="172">
        <f t="shared" si="5"/>
        <v>8.0943683503539388E-4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'[38]Sch C'!D38</f>
        <v>0</v>
      </c>
      <c r="D53" s="501">
        <f>'[38]Sch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'[38]Sch C'!D39</f>
        <v>13617</v>
      </c>
      <c r="D54" s="501">
        <f>'[38]Sch C'!F39</f>
        <v>0</v>
      </c>
      <c r="E54" s="171">
        <f t="shared" si="3"/>
        <v>13617</v>
      </c>
      <c r="F54" s="171"/>
      <c r="G54" s="171">
        <f t="shared" si="4"/>
        <v>13617</v>
      </c>
      <c r="H54" s="172">
        <f t="shared" si="5"/>
        <v>3.2379851300461098E-3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'[38]Sch C'!D40</f>
        <v>0</v>
      </c>
      <c r="D55" s="501">
        <f>'[38]Sch C'!F40</f>
        <v>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'[38]Sch C'!D41</f>
        <v>19740</v>
      </c>
      <c r="D56" s="501">
        <f>'[38]Sch C'!F41</f>
        <v>0</v>
      </c>
      <c r="E56" s="171">
        <f t="shared" si="3"/>
        <v>19740</v>
      </c>
      <c r="F56" s="171"/>
      <c r="G56" s="171">
        <f t="shared" si="4"/>
        <v>19740</v>
      </c>
      <c r="H56" s="172">
        <f t="shared" si="5"/>
        <v>4.6939727155107741E-3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'[38]Sch C'!D42</f>
        <v>4281</v>
      </c>
      <c r="D57" s="501">
        <f>'[38]Sch C'!F42</f>
        <v>0</v>
      </c>
      <c r="E57" s="171">
        <f t="shared" si="3"/>
        <v>4281</v>
      </c>
      <c r="F57" s="171"/>
      <c r="G57" s="171">
        <f t="shared" si="4"/>
        <v>4281</v>
      </c>
      <c r="H57" s="172">
        <f t="shared" si="5"/>
        <v>1.0179785813121389E-3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'[38]Sch C'!D43</f>
        <v>3779</v>
      </c>
      <c r="D58" s="501">
        <f>'[38]Sch C'!F43</f>
        <v>-3779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'[38]Sch C'!D44</f>
        <v>0</v>
      </c>
      <c r="D59" s="501">
        <f>'[38]Sch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'[38]Sch C'!D45</f>
        <v>15887</v>
      </c>
      <c r="D60" s="501">
        <f>'[38]Sch C'!F45</f>
        <v>0</v>
      </c>
      <c r="E60" s="171">
        <f t="shared" si="3"/>
        <v>15887</v>
      </c>
      <c r="F60" s="171">
        <v>-815</v>
      </c>
      <c r="G60" s="171">
        <f t="shared" si="4"/>
        <v>15072</v>
      </c>
      <c r="H60" s="172">
        <f t="shared" si="5"/>
        <v>3.5839694411437884E-3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2221559</v>
      </c>
      <c r="D61" s="501">
        <f>SUM(D25:D60)</f>
        <v>-1296471</v>
      </c>
      <c r="E61" s="171">
        <f t="shared" ref="E61:F61" si="6">SUM(E25:E60)</f>
        <v>925088</v>
      </c>
      <c r="F61" s="171">
        <f t="shared" si="6"/>
        <v>-17607</v>
      </c>
      <c r="G61" s="171">
        <f>SUM(G25:G60)</f>
        <v>907481</v>
      </c>
      <c r="H61" s="186">
        <f t="shared" si="5"/>
        <v>0.21578982035686081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'[38]Sch C'!D57</f>
        <v>601152</v>
      </c>
      <c r="D64" s="501">
        <f>'[38]Sch C'!F57</f>
        <v>40099</v>
      </c>
      <c r="E64" s="171">
        <f t="shared" ref="E64:E78" si="7">C64+D64</f>
        <v>641251</v>
      </c>
      <c r="F64" s="171"/>
      <c r="G64" s="171">
        <f t="shared" ref="G64:G78" si="8">E64+F64</f>
        <v>641251</v>
      </c>
      <c r="H64" s="172">
        <f t="shared" ref="H64:H79" si="9">IF($G$208=0,0,G64/$G$208)</f>
        <v>0.15248301407264434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'[38]Sch C'!D58</f>
        <v>0</v>
      </c>
      <c r="D65" s="501">
        <f>'[38]Sch C'!F58</f>
        <v>0</v>
      </c>
      <c r="E65" s="171">
        <f t="shared" si="7"/>
        <v>0</v>
      </c>
      <c r="F65" s="171"/>
      <c r="G65" s="171">
        <f t="shared" si="8"/>
        <v>0</v>
      </c>
      <c r="H65" s="172">
        <f t="shared" si="9"/>
        <v>0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'[38]Sch C'!D59</f>
        <v>0</v>
      </c>
      <c r="D66" s="501">
        <f>'[38]Sch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'[38]Sch C'!D60</f>
        <v>15358</v>
      </c>
      <c r="D67" s="501">
        <f>'[38]Sch C'!F60</f>
        <v>-1107</v>
      </c>
      <c r="E67" s="171">
        <f t="shared" si="7"/>
        <v>14251</v>
      </c>
      <c r="F67" s="171"/>
      <c r="G67" s="171">
        <f t="shared" si="8"/>
        <v>14251</v>
      </c>
      <c r="H67" s="172">
        <f t="shared" si="9"/>
        <v>3.3887439295209746E-3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'[38]Sch C'!D61</f>
        <v>0</v>
      </c>
      <c r="D68" s="501">
        <f>'[38]Sch C'!F61</f>
        <v>10674</v>
      </c>
      <c r="E68" s="171">
        <f t="shared" si="7"/>
        <v>10674</v>
      </c>
      <c r="F68" s="171"/>
      <c r="G68" s="171">
        <f t="shared" si="8"/>
        <v>10674</v>
      </c>
      <c r="H68" s="172">
        <f t="shared" si="9"/>
        <v>2.5381694410011144E-3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'[38]Sch C'!D62</f>
        <v>0</v>
      </c>
      <c r="D69" s="501">
        <f>'[38]Sch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'[38]Sch C'!D63</f>
        <v>0</v>
      </c>
      <c r="D70" s="501">
        <f>'[38]Sch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'[38]Sch C'!D64</f>
        <v>0</v>
      </c>
      <c r="D71" s="501">
        <f>'[38]Sch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'[38]Sch C'!D65</f>
        <v>1247</v>
      </c>
      <c r="D72" s="501">
        <f>'[38]Sch C'!F65</f>
        <v>0</v>
      </c>
      <c r="E72" s="171">
        <f t="shared" si="7"/>
        <v>1247</v>
      </c>
      <c r="F72" s="171"/>
      <c r="G72" s="171">
        <f t="shared" si="8"/>
        <v>1247</v>
      </c>
      <c r="H72" s="172">
        <f t="shared" si="9"/>
        <v>2.9652401095450531E-4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'[38]Sch C'!D66</f>
        <v>0</v>
      </c>
      <c r="D73" s="501">
        <f>'[38]Sch C'!F66</f>
        <v>5671</v>
      </c>
      <c r="E73" s="171">
        <f t="shared" si="7"/>
        <v>5671</v>
      </c>
      <c r="F73" s="171">
        <f>1985-1129</f>
        <v>856</v>
      </c>
      <c r="G73" s="171">
        <f t="shared" si="8"/>
        <v>6527</v>
      </c>
      <c r="H73" s="172">
        <f t="shared" si="9"/>
        <v>1.5520547068965968E-3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'[38]Sch C'!D67</f>
        <v>0</v>
      </c>
      <c r="D74" s="501">
        <f>'[38]Sch C'!F67</f>
        <v>5589</v>
      </c>
      <c r="E74" s="171">
        <f t="shared" si="7"/>
        <v>5589</v>
      </c>
      <c r="F74" s="171"/>
      <c r="G74" s="171">
        <f t="shared" si="8"/>
        <v>5589</v>
      </c>
      <c r="H74" s="172">
        <f t="shared" si="9"/>
        <v>1.3290077764432479E-3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'[38]Sch C'!D68</f>
        <v>0</v>
      </c>
      <c r="D75" s="501">
        <f>'[38]Sch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'[38]Sch C'!D69</f>
        <v>0</v>
      </c>
      <c r="D76" s="501">
        <f>'[38]Sch C'!F69</f>
        <v>1107</v>
      </c>
      <c r="E76" s="171">
        <f t="shared" si="7"/>
        <v>1107</v>
      </c>
      <c r="F76" s="171"/>
      <c r="G76" s="171">
        <f t="shared" si="8"/>
        <v>1107</v>
      </c>
      <c r="H76" s="172">
        <f t="shared" si="9"/>
        <v>2.6323342431967714E-4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'[38]Sch C'!D70</f>
        <v>0</v>
      </c>
      <c r="D77" s="501">
        <f>'[38]Sch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'[38]Sch C'!D71</f>
        <v>0</v>
      </c>
      <c r="D78" s="501">
        <f>'[38]Sch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617757</v>
      </c>
      <c r="D79" s="501">
        <f>SUM(D64:D78)</f>
        <v>62033</v>
      </c>
      <c r="E79" s="171">
        <f t="shared" ref="E79:F79" si="10">SUM(E64:E78)</f>
        <v>679790</v>
      </c>
      <c r="F79" s="171">
        <f t="shared" si="10"/>
        <v>856</v>
      </c>
      <c r="G79" s="171">
        <f>SUM(G64:G78)</f>
        <v>680646</v>
      </c>
      <c r="H79" s="172">
        <f t="shared" si="9"/>
        <v>0.16185074736178046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'[38]Sch C'!D75</f>
        <v>40950</v>
      </c>
      <c r="D82" s="501">
        <f>'[38]Sch C'!F75</f>
        <v>0</v>
      </c>
      <c r="E82" s="171">
        <f t="shared" ref="E82:E92" si="11">C82+D82</f>
        <v>40950</v>
      </c>
      <c r="F82" s="171"/>
      <c r="G82" s="171">
        <f t="shared" ref="G82:G92" si="12">E82+F82</f>
        <v>40950</v>
      </c>
      <c r="H82" s="172">
        <f t="shared" ref="H82:H93" si="13">IF($G$208=0,0,G82/$G$208)</f>
        <v>9.7374965906872439E-3</v>
      </c>
      <c r="I82" s="473"/>
      <c r="J82" s="183">
        <v>1976.8</v>
      </c>
      <c r="K82" s="183">
        <v>2050.3000000000002</v>
      </c>
    </row>
    <row r="83" spans="1:11" s="167" customFormat="1">
      <c r="A83" s="169" t="s">
        <v>86</v>
      </c>
      <c r="B83" s="199" t="s">
        <v>45</v>
      </c>
      <c r="C83" s="501">
        <f>'[38]Sch C'!D76</f>
        <v>3067</v>
      </c>
      <c r="D83" s="501">
        <f>'[38]Sch C'!F76</f>
        <v>3111</v>
      </c>
      <c r="E83" s="171">
        <f t="shared" si="11"/>
        <v>6178</v>
      </c>
      <c r="F83" s="171"/>
      <c r="G83" s="171">
        <f t="shared" si="12"/>
        <v>6178</v>
      </c>
      <c r="H83" s="172">
        <f t="shared" si="13"/>
        <v>1.4690660302140608E-3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'[38]Sch C'!D77</f>
        <v>10299</v>
      </c>
      <c r="D84" s="501">
        <f>'[38]Sch C'!F77</f>
        <v>0</v>
      </c>
      <c r="E84" s="171">
        <f t="shared" si="11"/>
        <v>10299</v>
      </c>
      <c r="F84" s="171"/>
      <c r="G84" s="171">
        <f t="shared" si="12"/>
        <v>10299</v>
      </c>
      <c r="H84" s="172">
        <f t="shared" si="13"/>
        <v>2.4489982268006819E-3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'[38]Sch C'!D78</f>
        <v>2224</v>
      </c>
      <c r="D85" s="501">
        <f>'[38]Sch C'!F78</f>
        <v>0</v>
      </c>
      <c r="E85" s="171">
        <f t="shared" si="11"/>
        <v>2224</v>
      </c>
      <c r="F85" s="171"/>
      <c r="G85" s="171">
        <f t="shared" si="12"/>
        <v>2224</v>
      </c>
      <c r="H85" s="172">
        <f t="shared" si="13"/>
        <v>5.288447476846992E-4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'[38]Sch C'!D79</f>
        <v>4028</v>
      </c>
      <c r="D86" s="501">
        <f>'[38]Sch C'!F79</f>
        <v>0</v>
      </c>
      <c r="E86" s="171">
        <f t="shared" si="11"/>
        <v>4028</v>
      </c>
      <c r="F86" s="171">
        <f>1060+815</f>
        <v>1875</v>
      </c>
      <c r="G86" s="171">
        <f>E86+F86</f>
        <v>5903</v>
      </c>
      <c r="H86" s="172">
        <f t="shared" si="13"/>
        <v>1.403673806467077E-3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'[38]Sch C'!D80</f>
        <v>15267</v>
      </c>
      <c r="D87" s="501">
        <f>'[38]Sch C'!F80</f>
        <v>0</v>
      </c>
      <c r="E87" s="171">
        <f t="shared" si="11"/>
        <v>15267</v>
      </c>
      <c r="F87" s="171"/>
      <c r="G87" s="171">
        <f t="shared" si="12"/>
        <v>15267</v>
      </c>
      <c r="H87" s="172">
        <f t="shared" si="13"/>
        <v>3.6303384725280136E-3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'[38]Sch C'!D81</f>
        <v>44285</v>
      </c>
      <c r="D88" s="501">
        <f>'[38]Sch C'!F81</f>
        <v>-29849</v>
      </c>
      <c r="E88" s="171">
        <f t="shared" si="11"/>
        <v>14436</v>
      </c>
      <c r="F88" s="171"/>
      <c r="G88" s="171">
        <f t="shared" si="12"/>
        <v>14436</v>
      </c>
      <c r="H88" s="172">
        <f t="shared" si="13"/>
        <v>3.4327350618598546E-3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'[38]Sch C'!D82</f>
        <v>19336</v>
      </c>
      <c r="D89" s="501">
        <f>'[38]Sch C'!F82</f>
        <v>-18381</v>
      </c>
      <c r="E89" s="171">
        <f t="shared" si="11"/>
        <v>955</v>
      </c>
      <c r="F89" s="171"/>
      <c r="G89" s="171">
        <f t="shared" si="12"/>
        <v>955</v>
      </c>
      <c r="H89" s="172">
        <f t="shared" si="13"/>
        <v>2.270893588304351E-4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'[38]Sch C'!D83</f>
        <v>0</v>
      </c>
      <c r="D90" s="501">
        <f>'[38]Sch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'[38]Sch C'!D84</f>
        <v>51746</v>
      </c>
      <c r="D91" s="501">
        <f>'[38]Sch C'!F84</f>
        <v>0</v>
      </c>
      <c r="E91" s="171">
        <f t="shared" si="11"/>
        <v>51746</v>
      </c>
      <c r="F91" s="171"/>
      <c r="G91" s="171">
        <f t="shared" si="12"/>
        <v>51746</v>
      </c>
      <c r="H91" s="172">
        <f t="shared" si="13"/>
        <v>1.2304676400041566E-2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'[38]Sch C'!D85</f>
        <v>7838</v>
      </c>
      <c r="D92" s="501">
        <f>'[38]Sch C'!F85</f>
        <v>0</v>
      </c>
      <c r="E92" s="171">
        <f t="shared" si="11"/>
        <v>7838</v>
      </c>
      <c r="F92" s="171"/>
      <c r="G92" s="171">
        <f t="shared" si="12"/>
        <v>7838</v>
      </c>
      <c r="H92" s="172">
        <f t="shared" si="13"/>
        <v>1.8637972717413093E-3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199040</v>
      </c>
      <c r="D93" s="501">
        <f>SUM(D82:D92)</f>
        <v>-45119</v>
      </c>
      <c r="E93" s="171">
        <f t="shared" ref="E93:F93" si="14">SUM(E82:E92)</f>
        <v>153921</v>
      </c>
      <c r="F93" s="171">
        <f t="shared" si="14"/>
        <v>1875</v>
      </c>
      <c r="G93" s="171">
        <f>SUM(G82:G92)</f>
        <v>155796</v>
      </c>
      <c r="H93" s="172">
        <f t="shared" si="13"/>
        <v>3.7046715966854944E-2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'[38]Sch C'!D89</f>
        <v>140128</v>
      </c>
      <c r="D96" s="501">
        <f>'[38]Sch C'!F89</f>
        <v>0</v>
      </c>
      <c r="E96" s="171">
        <f t="shared" ref="E96:E101" si="15">C96+D96</f>
        <v>140128</v>
      </c>
      <c r="F96" s="171"/>
      <c r="G96" s="171">
        <f t="shared" ref="G96:G101" si="16">E96+F96</f>
        <v>140128</v>
      </c>
      <c r="H96" s="172">
        <f t="shared" ref="H96:H102" si="17">IF($G$208=0,0,G96/$G$208)</f>
        <v>3.3321023742608598E-2</v>
      </c>
      <c r="I96" s="473"/>
      <c r="J96" s="183">
        <v>10402.36</v>
      </c>
      <c r="K96" s="183">
        <v>10726.86</v>
      </c>
    </row>
    <row r="97" spans="1:11" s="167" customFormat="1">
      <c r="A97" s="169" t="s">
        <v>86</v>
      </c>
      <c r="B97" s="170" t="s">
        <v>45</v>
      </c>
      <c r="C97" s="501">
        <f>'[38]Sch C'!D90</f>
        <v>10777</v>
      </c>
      <c r="D97" s="501">
        <f>'[38]Sch C'!F90</f>
        <v>10645</v>
      </c>
      <c r="E97" s="171">
        <f t="shared" si="15"/>
        <v>21422</v>
      </c>
      <c r="F97" s="171"/>
      <c r="G97" s="171">
        <f t="shared" si="16"/>
        <v>21422</v>
      </c>
      <c r="H97" s="172">
        <f t="shared" si="17"/>
        <v>5.0939353349377815E-3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'[38]Sch C'!D91</f>
        <v>12492</v>
      </c>
      <c r="D98" s="501">
        <f>'[38]Sch C'!F91</f>
        <v>0</v>
      </c>
      <c r="E98" s="171">
        <f t="shared" si="15"/>
        <v>12492</v>
      </c>
      <c r="F98" s="171"/>
      <c r="G98" s="171">
        <f t="shared" si="16"/>
        <v>12492</v>
      </c>
      <c r="H98" s="172">
        <f t="shared" si="17"/>
        <v>2.9704714874448121E-3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'[38]Sch C'!D92</f>
        <v>116647</v>
      </c>
      <c r="D99" s="501">
        <f>'[38]Sch C'!F92</f>
        <v>0</v>
      </c>
      <c r="E99" s="171">
        <f t="shared" si="15"/>
        <v>116647</v>
      </c>
      <c r="F99" s="171"/>
      <c r="G99" s="171">
        <f t="shared" si="16"/>
        <v>116647</v>
      </c>
      <c r="H99" s="172">
        <f t="shared" si="17"/>
        <v>2.7737478994234309E-2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'[38]Sch C'!D93</f>
        <v>13849</v>
      </c>
      <c r="D100" s="501">
        <f>'[38]Sch C'!F93</f>
        <v>0</v>
      </c>
      <c r="E100" s="171">
        <f t="shared" si="15"/>
        <v>13849</v>
      </c>
      <c r="F100" s="171"/>
      <c r="G100" s="171">
        <f t="shared" si="16"/>
        <v>13849</v>
      </c>
      <c r="H100" s="172">
        <f t="shared" si="17"/>
        <v>3.2931523878981109E-3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'[38]Sch C'!D94</f>
        <v>0</v>
      </c>
      <c r="D101" s="501">
        <f>'[38]Sch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293893</v>
      </c>
      <c r="D102" s="501">
        <f>SUM(D96:D101)</f>
        <v>10645</v>
      </c>
      <c r="E102" s="171">
        <f t="shared" ref="E102:F102" si="18">SUM(E96:E101)</f>
        <v>304538</v>
      </c>
      <c r="F102" s="171">
        <f t="shared" si="18"/>
        <v>0</v>
      </c>
      <c r="G102" s="171">
        <f>SUM(G96:G101)</f>
        <v>304538</v>
      </c>
      <c r="H102" s="172">
        <f t="shared" si="17"/>
        <v>7.2416061947123606E-2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'[38]Sch C'!D98</f>
        <v>25290</v>
      </c>
      <c r="D105" s="501">
        <f>'[38]Sch C'!F98</f>
        <v>0</v>
      </c>
      <c r="E105" s="171">
        <f t="shared" ref="E105:E110" si="19">C105+D105</f>
        <v>25290</v>
      </c>
      <c r="F105" s="171"/>
      <c r="G105" s="171">
        <f t="shared" ref="G105:G110" si="20">E105+F105</f>
        <v>25290</v>
      </c>
      <c r="H105" s="172">
        <f t="shared" ref="H105:H111" si="21">IF($G$208=0,0,G105/$G$208)</f>
        <v>6.0137066856771771E-3</v>
      </c>
      <c r="I105" s="473"/>
      <c r="J105" s="183">
        <v>2552.13</v>
      </c>
      <c r="K105" s="183">
        <v>2680.13</v>
      </c>
    </row>
    <row r="106" spans="1:11" s="167" customFormat="1">
      <c r="A106" s="169" t="s">
        <v>86</v>
      </c>
      <c r="B106" s="170" t="s">
        <v>45</v>
      </c>
      <c r="C106" s="501">
        <f>'[38]Sch C'!D99</f>
        <v>2048</v>
      </c>
      <c r="D106" s="501">
        <f>'[38]Sch C'!F99</f>
        <v>1921</v>
      </c>
      <c r="E106" s="171">
        <f t="shared" si="19"/>
        <v>3969</v>
      </c>
      <c r="F106" s="171"/>
      <c r="G106" s="171">
        <f t="shared" si="20"/>
        <v>3969</v>
      </c>
      <c r="H106" s="172">
        <f t="shared" si="21"/>
        <v>9.4378813109737903E-4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'[38]Sch C'!D100</f>
        <v>4152</v>
      </c>
      <c r="D107" s="501">
        <f>'[38]Sch C'!F100</f>
        <v>0</v>
      </c>
      <c r="E107" s="171">
        <f t="shared" si="19"/>
        <v>4152</v>
      </c>
      <c r="F107" s="171"/>
      <c r="G107" s="171">
        <f t="shared" si="20"/>
        <v>4152</v>
      </c>
      <c r="H107" s="172">
        <f t="shared" si="21"/>
        <v>9.8730368362719015E-4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'[38]Sch C'!D101</f>
        <v>0</v>
      </c>
      <c r="D108" s="501">
        <f>'[38]Sch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'[38]Sch C'!D102</f>
        <v>4189</v>
      </c>
      <c r="D109" s="501">
        <f>'[38]Sch C'!F102</f>
        <v>0</v>
      </c>
      <c r="E109" s="171">
        <f t="shared" si="19"/>
        <v>4189</v>
      </c>
      <c r="F109" s="171"/>
      <c r="G109" s="171">
        <f t="shared" si="20"/>
        <v>4189</v>
      </c>
      <c r="H109" s="172">
        <f t="shared" si="21"/>
        <v>9.9610191009496607E-4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'[38]Sch C'!D103</f>
        <v>2291</v>
      </c>
      <c r="D110" s="501">
        <f>'[38]Sch C'!F103</f>
        <v>0</v>
      </c>
      <c r="E110" s="171">
        <f t="shared" si="19"/>
        <v>2291</v>
      </c>
      <c r="F110" s="171"/>
      <c r="G110" s="171">
        <f t="shared" si="20"/>
        <v>2291</v>
      </c>
      <c r="H110" s="172">
        <f t="shared" si="21"/>
        <v>5.4477667128850977E-4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37970</v>
      </c>
      <c r="D111" s="501">
        <f>SUM(D105:D110)</f>
        <v>1921</v>
      </c>
      <c r="E111" s="171">
        <f t="shared" ref="E111:F111" si="22">SUM(E105:E110)</f>
        <v>39891</v>
      </c>
      <c r="F111" s="171">
        <f t="shared" si="22"/>
        <v>0</v>
      </c>
      <c r="G111" s="171">
        <f>SUM(G105:G110)</f>
        <v>39891</v>
      </c>
      <c r="H111" s="172">
        <f t="shared" si="21"/>
        <v>9.4856770817852223E-3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'[38]Sch C'!D115</f>
        <v>79241</v>
      </c>
      <c r="D114" s="501">
        <f>'[38]Sch C'!F115</f>
        <v>0</v>
      </c>
      <c r="E114" s="171">
        <f t="shared" ref="E114:E118" si="23">C114+D114</f>
        <v>79241</v>
      </c>
      <c r="F114" s="171"/>
      <c r="G114" s="171">
        <f>E114+F114</f>
        <v>79241</v>
      </c>
      <c r="H114" s="172">
        <f t="shared" ref="H114:H119" si="24">IF($G$208=0,0,G114/$G$208)</f>
        <v>1.8842709825217286E-2</v>
      </c>
      <c r="I114" s="473"/>
      <c r="J114" s="183">
        <v>7951.35</v>
      </c>
      <c r="K114" s="183">
        <v>8106.35</v>
      </c>
    </row>
    <row r="115" spans="1:11" s="167" customFormat="1">
      <c r="A115" s="169" t="s">
        <v>86</v>
      </c>
      <c r="B115" s="170" t="s">
        <v>151</v>
      </c>
      <c r="C115" s="501">
        <f>'[38]Sch C'!D116</f>
        <v>6590</v>
      </c>
      <c r="D115" s="501">
        <f>'[38]Sch C'!F116</f>
        <v>6020</v>
      </c>
      <c r="E115" s="171">
        <f t="shared" si="23"/>
        <v>12610</v>
      </c>
      <c r="F115" s="171"/>
      <c r="G115" s="171">
        <f>E115+F115</f>
        <v>12610</v>
      </c>
      <c r="H115" s="172">
        <f t="shared" si="24"/>
        <v>2.9985306961798812E-3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'[38]Sch C'!D117</f>
        <v>21585</v>
      </c>
      <c r="D116" s="501">
        <f>'[38]Sch C'!F117</f>
        <v>0</v>
      </c>
      <c r="E116" s="171">
        <f t="shared" si="23"/>
        <v>21585</v>
      </c>
      <c r="F116" s="171"/>
      <c r="G116" s="171">
        <f>E116+F116</f>
        <v>21585</v>
      </c>
      <c r="H116" s="172">
        <f t="shared" si="24"/>
        <v>5.1326950893769022E-3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'[38]Sch C'!D118</f>
        <v>1383</v>
      </c>
      <c r="D117" s="501">
        <f>'[38]Sch C'!F118</f>
        <v>0</v>
      </c>
      <c r="E117" s="171">
        <f t="shared" si="23"/>
        <v>1383</v>
      </c>
      <c r="F117" s="171"/>
      <c r="G117" s="171">
        <f>E117+F117</f>
        <v>1383</v>
      </c>
      <c r="H117" s="172">
        <f t="shared" si="24"/>
        <v>3.2886343797119554E-4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'[38]Sch C'!D119</f>
        <v>0</v>
      </c>
      <c r="D118" s="501">
        <f>'[38]Sch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108799</v>
      </c>
      <c r="D119" s="501">
        <f>SUM(D114:D118)</f>
        <v>6020</v>
      </c>
      <c r="E119" s="171">
        <f t="shared" ref="E119:F119" si="25">SUM(E114:E118)</f>
        <v>114819</v>
      </c>
      <c r="F119" s="171">
        <f t="shared" si="25"/>
        <v>0</v>
      </c>
      <c r="G119" s="171">
        <f>SUM(G114:G118)</f>
        <v>114819</v>
      </c>
      <c r="H119" s="172">
        <f t="shared" si="24"/>
        <v>2.7302799048745267E-2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'[38]Sch C'!D124</f>
        <v>107247</v>
      </c>
      <c r="D123" s="501">
        <f>'[38]Sch C'!F124</f>
        <v>0</v>
      </c>
      <c r="E123" s="171">
        <f t="shared" ref="E123:E127" si="26">C123+D123</f>
        <v>107247</v>
      </c>
      <c r="F123" s="171"/>
      <c r="G123" s="171">
        <f>E123+F123</f>
        <v>107247</v>
      </c>
      <c r="H123" s="172">
        <f>IF($G$208=0,0,G123/$G$208)</f>
        <v>2.5502253891610129E-2</v>
      </c>
      <c r="I123" s="473"/>
      <c r="J123" s="183">
        <v>2622</v>
      </c>
      <c r="K123" s="183">
        <v>2740</v>
      </c>
    </row>
    <row r="124" spans="1:11" s="167" customFormat="1">
      <c r="B124" s="163" t="s">
        <v>194</v>
      </c>
      <c r="C124" s="501">
        <f>'[38]Sch C'!D125</f>
        <v>0</v>
      </c>
      <c r="D124" s="501">
        <f>'[38]Sch C'!F125</f>
        <v>0</v>
      </c>
      <c r="E124" s="171">
        <f t="shared" si="26"/>
        <v>0</v>
      </c>
      <c r="F124" s="171"/>
      <c r="G124" s="171">
        <f>E124+F124</f>
        <v>0</v>
      </c>
      <c r="H124" s="172">
        <f>IF($G$208=0,0,G124/$G$208)</f>
        <v>0</v>
      </c>
      <c r="I124" s="473"/>
      <c r="J124" s="183">
        <v>0</v>
      </c>
      <c r="K124" s="183">
        <v>0</v>
      </c>
    </row>
    <row r="125" spans="1:11" s="167" customFormat="1">
      <c r="A125" s="163" t="s">
        <v>198</v>
      </c>
      <c r="B125" s="163" t="s">
        <v>195</v>
      </c>
      <c r="C125" s="501">
        <f>'[38]Sch C'!D126</f>
        <v>0</v>
      </c>
      <c r="D125" s="501">
        <f>'[38]Sch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'[38]Sch C'!D127</f>
        <v>0</v>
      </c>
      <c r="D126" s="501">
        <f>'[38]Sch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'[38]Sch C'!D128</f>
        <v>0</v>
      </c>
      <c r="D127" s="501">
        <f>'[38]Sch C'!F128</f>
        <v>0</v>
      </c>
      <c r="E127" s="171">
        <f t="shared" si="26"/>
        <v>0</v>
      </c>
      <c r="F127" s="171"/>
      <c r="G127" s="171">
        <f>E127+F127</f>
        <v>0</v>
      </c>
      <c r="H127" s="172">
        <f>IF($G$208=0,0,G127/$G$208)</f>
        <v>0</v>
      </c>
      <c r="I127" s="473"/>
      <c r="J127" s="183">
        <v>0</v>
      </c>
      <c r="K127" s="183">
        <v>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'[38]Sch C'!D130</f>
        <v>0</v>
      </c>
      <c r="D129" s="501">
        <f>'[38]Sch C'!F130</f>
        <v>16566</v>
      </c>
      <c r="E129" s="171">
        <f t="shared" ref="E129:E133" si="27">C129+D129</f>
        <v>16566</v>
      </c>
      <c r="F129" s="171"/>
      <c r="G129" s="171">
        <f>E129+F129</f>
        <v>16566</v>
      </c>
      <c r="H129" s="172">
        <f>IF($G$208=0,0,G129/$G$208)</f>
        <v>3.9392275585183123E-3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'[38]Sch C'!D131</f>
        <v>0</v>
      </c>
      <c r="D130" s="501">
        <f>'[38]Sch C'!F131</f>
        <v>0</v>
      </c>
      <c r="E130" s="171">
        <f t="shared" si="27"/>
        <v>0</v>
      </c>
      <c r="F130" s="171"/>
      <c r="G130" s="171">
        <f>E130+F130</f>
        <v>0</v>
      </c>
      <c r="H130" s="172">
        <f>IF($G$208=0,0,G130/$G$208)</f>
        <v>0</v>
      </c>
      <c r="I130" s="473"/>
      <c r="J130" s="204"/>
      <c r="K130" s="204"/>
    </row>
    <row r="131" spans="1:11" s="167" customFormat="1">
      <c r="B131" s="163" t="s">
        <v>195</v>
      </c>
      <c r="C131" s="501">
        <f>'[38]Sch C'!D132</f>
        <v>0</v>
      </c>
      <c r="D131" s="501">
        <f>'[38]Sch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'[38]Sch C'!D133</f>
        <v>0</v>
      </c>
      <c r="D132" s="501">
        <f>'[38]Sch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'[38]Sch C'!D134</f>
        <v>0</v>
      </c>
      <c r="D133" s="501">
        <f>'[38]Sch C'!F134</f>
        <v>0</v>
      </c>
      <c r="E133" s="171">
        <f t="shared" si="27"/>
        <v>0</v>
      </c>
      <c r="F133" s="17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'[38]Sch C'!D136</f>
        <v>357253</v>
      </c>
      <c r="D135" s="501">
        <f>'[38]Sch C'!F136</f>
        <v>-21992</v>
      </c>
      <c r="E135" s="171">
        <f t="shared" ref="E135:E138" si="28">C135+D135</f>
        <v>335261</v>
      </c>
      <c r="F135" s="171"/>
      <c r="G135" s="171">
        <f>E135+F135</f>
        <v>335261</v>
      </c>
      <c r="H135" s="172">
        <f>IF($G$208=0,0,G135/$G$208)</f>
        <v>7.9721681184136653E-2</v>
      </c>
      <c r="I135" s="473"/>
      <c r="J135" s="183">
        <v>13431.1</v>
      </c>
      <c r="K135" s="183">
        <v>13629.41</v>
      </c>
    </row>
    <row r="136" spans="1:11" s="167" customFormat="1">
      <c r="A136" s="169"/>
      <c r="B136" s="163" t="s">
        <v>195</v>
      </c>
      <c r="C136" s="501">
        <f>'[38]Sch C'!D137</f>
        <v>159757</v>
      </c>
      <c r="D136" s="501">
        <f>'[38]Sch C'!F137</f>
        <v>12505</v>
      </c>
      <c r="E136" s="171">
        <f t="shared" si="28"/>
        <v>172262</v>
      </c>
      <c r="F136" s="171"/>
      <c r="G136" s="171">
        <f>E136+F136</f>
        <v>172262</v>
      </c>
      <c r="H136" s="172">
        <f>IF($G$208=0,0,G136/$G$208)</f>
        <v>4.0962164534919805E-2</v>
      </c>
      <c r="I136" s="473"/>
      <c r="J136" s="183">
        <v>6275.06</v>
      </c>
      <c r="K136" s="183">
        <v>6382.5</v>
      </c>
    </row>
    <row r="137" spans="1:11" s="167" customFormat="1">
      <c r="A137" s="169"/>
      <c r="B137" s="163" t="s">
        <v>196</v>
      </c>
      <c r="C137" s="501">
        <f>'[38]Sch C'!D138</f>
        <v>463230</v>
      </c>
      <c r="D137" s="501">
        <f>'[38]Sch C'!F138</f>
        <v>0</v>
      </c>
      <c r="E137" s="171">
        <f t="shared" si="28"/>
        <v>463230</v>
      </c>
      <c r="F137" s="171"/>
      <c r="G137" s="171">
        <f>E137+F137</f>
        <v>463230</v>
      </c>
      <c r="H137" s="172">
        <f>IF($G$208=0,0,G137/$G$208)</f>
        <v>0.11015141747751042</v>
      </c>
      <c r="I137" s="473"/>
      <c r="J137" s="183">
        <v>35838.75</v>
      </c>
      <c r="K137" s="183">
        <v>36762.93</v>
      </c>
    </row>
    <row r="138" spans="1:11" s="167" customFormat="1">
      <c r="A138" s="169"/>
      <c r="B138" s="163" t="s">
        <v>197</v>
      </c>
      <c r="C138" s="501">
        <f>'[38]Sch C'!D139</f>
        <v>100776</v>
      </c>
      <c r="D138" s="501">
        <f>'[38]Sch C'!F139</f>
        <v>7888</v>
      </c>
      <c r="E138" s="171">
        <f t="shared" si="28"/>
        <v>108664</v>
      </c>
      <c r="F138" s="171"/>
      <c r="G138" s="171">
        <f>E138+F138</f>
        <v>108664</v>
      </c>
      <c r="H138" s="172">
        <f>IF($G$208=0,0,G138/$G$208)</f>
        <v>2.5839202186335498E-2</v>
      </c>
      <c r="I138" s="473"/>
      <c r="J138" s="183">
        <v>2215.8200000000002</v>
      </c>
      <c r="K138" s="183">
        <v>2307.73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'[38]Sch C'!D141</f>
        <v>58518</v>
      </c>
      <c r="D140" s="501">
        <f>'[38]Sch C'!F141</f>
        <v>-6731</v>
      </c>
      <c r="E140" s="171">
        <f t="shared" ref="E140:E143" si="29">C140+D140</f>
        <v>51787</v>
      </c>
      <c r="F140" s="171"/>
      <c r="G140" s="171">
        <f>E140+F140</f>
        <v>51787</v>
      </c>
      <c r="H140" s="172">
        <f>IF($G$208=0,0,G140/$G$208)</f>
        <v>1.2314425786127479E-2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'[38]Sch C'!D142</f>
        <v>0</v>
      </c>
      <c r="D141" s="501">
        <f>'[38]Sch C'!F142</f>
        <v>26609</v>
      </c>
      <c r="E141" s="171">
        <f t="shared" si="29"/>
        <v>26609</v>
      </c>
      <c r="F141" s="171"/>
      <c r="G141" s="171">
        <f>E141+F141</f>
        <v>26609</v>
      </c>
      <c r="H141" s="172">
        <f>IF($G$208=0,0,G141/$G$208)</f>
        <v>6.3273515697581653E-3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'[38]Sch C'!D143</f>
        <v>37570</v>
      </c>
      <c r="D142" s="501">
        <f>'[38]Sch C'!F143</f>
        <v>35191</v>
      </c>
      <c r="E142" s="171">
        <f t="shared" si="29"/>
        <v>72761</v>
      </c>
      <c r="F142" s="171"/>
      <c r="G142" s="171">
        <f>E142+F142</f>
        <v>72761</v>
      </c>
      <c r="H142" s="172">
        <f>IF($G$208=0,0,G142/$G$208)</f>
        <v>1.7301831243833811E-2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'[38]Sch C'!D144</f>
        <v>0</v>
      </c>
      <c r="D143" s="501">
        <f>'[38]Sch C'!F144</f>
        <v>16785</v>
      </c>
      <c r="E143" s="171">
        <f t="shared" si="29"/>
        <v>16785</v>
      </c>
      <c r="F143" s="171"/>
      <c r="G143" s="171">
        <f>E143+F143</f>
        <v>16785</v>
      </c>
      <c r="H143" s="172">
        <f>IF($G$208=0,0,G143/$G$208)</f>
        <v>3.991303547611365E-3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'[38]Sch C'!D146</f>
        <v>18000</v>
      </c>
      <c r="D145" s="501">
        <f>'[38]Sch C'!F146</f>
        <v>0</v>
      </c>
      <c r="E145" s="171">
        <f t="shared" ref="E145:E153" si="30">C145+D145</f>
        <v>18000</v>
      </c>
      <c r="F145" s="171"/>
      <c r="G145" s="171">
        <f t="shared" ref="G145:G153" si="31">E145+F145</f>
        <v>18000</v>
      </c>
      <c r="H145" s="172">
        <f t="shared" ref="H145:H153" si="32">IF($G$208=0,0,G145/$G$208)</f>
        <v>4.2802182816207663E-3</v>
      </c>
      <c r="I145" s="473"/>
      <c r="J145" s="183">
        <v>208</v>
      </c>
      <c r="K145" s="183">
        <v>208</v>
      </c>
    </row>
    <row r="146" spans="1:11" s="167" customFormat="1">
      <c r="A146" s="169"/>
      <c r="B146" s="163" t="s">
        <v>194</v>
      </c>
      <c r="C146" s="501">
        <f>'[38]Sch C'!D147</f>
        <v>0</v>
      </c>
      <c r="D146" s="501">
        <f>'[38]Sch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'[38]Sch C'!D148</f>
        <v>0</v>
      </c>
      <c r="D147" s="501">
        <f>'[38]Sch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'[38]Sch C'!D149</f>
        <v>0</v>
      </c>
      <c r="D148" s="501">
        <f>'[38]Sch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'[38]Sch C'!D150</f>
        <v>11369</v>
      </c>
      <c r="D149" s="501">
        <f>'[38]Sch C'!F150</f>
        <v>0</v>
      </c>
      <c r="E149" s="171">
        <f t="shared" si="30"/>
        <v>11369</v>
      </c>
      <c r="F149" s="171"/>
      <c r="G149" s="171">
        <f t="shared" si="31"/>
        <v>11369</v>
      </c>
      <c r="H149" s="172">
        <f t="shared" si="32"/>
        <v>2.7034334246525829E-3</v>
      </c>
      <c r="I149" s="473"/>
      <c r="J149" s="183">
        <v>112</v>
      </c>
      <c r="K149" s="183">
        <v>112</v>
      </c>
    </row>
    <row r="150" spans="1:11" s="167" customFormat="1">
      <c r="A150" s="169">
        <v>110</v>
      </c>
      <c r="B150" s="167" t="s">
        <v>65</v>
      </c>
      <c r="C150" s="501">
        <f>'[38]Sch C'!D151</f>
        <v>72487</v>
      </c>
      <c r="D150" s="501">
        <f>'[38]Sch C'!F151</f>
        <v>0</v>
      </c>
      <c r="E150" s="171">
        <f t="shared" si="30"/>
        <v>72487</v>
      </c>
      <c r="F150" s="171"/>
      <c r="G150" s="171">
        <f t="shared" si="31"/>
        <v>72487</v>
      </c>
      <c r="H150" s="172">
        <f t="shared" si="32"/>
        <v>1.7236676809991362E-2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'[38]Sch C'!D152</f>
        <v>17680</v>
      </c>
      <c r="D151" s="501">
        <f>'[38]Sch C'!F152</f>
        <v>0</v>
      </c>
      <c r="E151" s="171">
        <f t="shared" si="30"/>
        <v>17680</v>
      </c>
      <c r="F151" s="171"/>
      <c r="G151" s="171">
        <f t="shared" si="31"/>
        <v>17680</v>
      </c>
      <c r="H151" s="172">
        <f t="shared" si="32"/>
        <v>4.2041255121697306E-3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'[38]Sch C'!D153</f>
        <v>0</v>
      </c>
      <c r="D152" s="501">
        <f>'[38]Sch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'[38]Sch C'!D154</f>
        <v>0</v>
      </c>
      <c r="D153" s="501">
        <f>'[38]Sch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'[38]Sch C'!D156</f>
        <v>0</v>
      </c>
      <c r="D155" s="501">
        <f>'[38]Sch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'[38]Sch C'!D157</f>
        <v>0</v>
      </c>
      <c r="D156" s="501">
        <f>'[38]Sch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'[38]Sch C'!D158</f>
        <v>0</v>
      </c>
      <c r="D157" s="501">
        <f>'[38]Sch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'[38]Sch C'!D159</f>
        <v>0</v>
      </c>
      <c r="D158" s="501">
        <f>'[38]Sch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'[38]Sch C'!D160</f>
        <v>0</v>
      </c>
      <c r="D159" s="501">
        <f>'[38]Sch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'[38]Sch C'!D161</f>
        <v>0</v>
      </c>
      <c r="D160" s="501">
        <f>'[38]Sch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1403887</v>
      </c>
      <c r="D161" s="501">
        <f>SUM(D123:D160)</f>
        <v>86821</v>
      </c>
      <c r="E161" s="171">
        <f t="shared" ref="E161:F161" si="36">SUM(E123:E160)</f>
        <v>1490708</v>
      </c>
      <c r="F161" s="171">
        <f t="shared" si="36"/>
        <v>0</v>
      </c>
      <c r="G161" s="171">
        <f>SUM(G123:G160)</f>
        <v>1490708</v>
      </c>
      <c r="H161" s="172">
        <f t="shared" si="35"/>
        <v>0.35447531300879609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'[38]Sch C'!D175</f>
        <v>0</v>
      </c>
      <c r="D164" s="501">
        <f>'[38]Sch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'[38]Sch C'!D176</f>
        <v>0</v>
      </c>
      <c r="D165" s="501">
        <f>'[38]Sch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'[38]Sch C'!D177</f>
        <v>0</v>
      </c>
      <c r="D166" s="501">
        <f>'[38]Sch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'[38]Sch C'!D178</f>
        <v>0</v>
      </c>
      <c r="D167" s="501">
        <f>'[38]Sch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'[38]Sch C'!D179</f>
        <v>0</v>
      </c>
      <c r="D168" s="501">
        <f>'[38]Sch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'[38]Sch C'!D180</f>
        <v>0</v>
      </c>
      <c r="D169" s="501">
        <f>'[38]Sch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'[38]Sch C'!D181</f>
        <v>0</v>
      </c>
      <c r="D170" s="501">
        <f>'[38]Sch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'[38]Sch C'!D182</f>
        <v>0</v>
      </c>
      <c r="D171" s="501">
        <f>'[38]Sch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'[38]Sch C'!D183</f>
        <v>0</v>
      </c>
      <c r="D172" s="501">
        <f>'[38]Sch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'[38]Sch C'!D184</f>
        <v>0</v>
      </c>
      <c r="D173" s="501">
        <f>'[38]Sch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'[38]Sch C'!D185</f>
        <v>0</v>
      </c>
      <c r="D174" s="501">
        <f>'[38]Sch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'[38]Sch C'!D186</f>
        <v>0</v>
      </c>
      <c r="D175" s="501">
        <f>'[38]Sch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'[38]Sch C'!D187</f>
        <v>0</v>
      </c>
      <c r="D176" s="501">
        <f>'[38]Sch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'[38]Sch C'!D188</f>
        <v>0</v>
      </c>
      <c r="D177" s="501">
        <f>'[38]Sch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'[38]Sch C'!D189</f>
        <v>0</v>
      </c>
      <c r="D178" s="501">
        <f>'[38]Sch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'[38]Sch C'!D190</f>
        <v>0</v>
      </c>
      <c r="D179" s="501">
        <f>'[38]Sch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'[38]Sch C'!D191</f>
        <v>0</v>
      </c>
      <c r="D180" s="501">
        <f>'[38]Sch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'[38]Sch C'!D192</f>
        <v>0</v>
      </c>
      <c r="D181" s="501">
        <f>'[38]Sch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'[38]Sch C'!D193</f>
        <v>0</v>
      </c>
      <c r="D182" s="501">
        <f>'[38]Sch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'[38]Sch C'!D194</f>
        <v>121429</v>
      </c>
      <c r="D183" s="501">
        <f>'[38]Sch C'!F194</f>
        <v>0</v>
      </c>
      <c r="E183" s="171">
        <f t="shared" si="37"/>
        <v>121429</v>
      </c>
      <c r="F183" s="216"/>
      <c r="G183" s="171">
        <f t="shared" si="38"/>
        <v>121429</v>
      </c>
      <c r="H183" s="172">
        <f t="shared" si="39"/>
        <v>2.8874590317718225E-2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'[38]Sch C'!D195</f>
        <v>55500</v>
      </c>
      <c r="D184" s="501">
        <f>'[38]Sch C'!F195</f>
        <v>0</v>
      </c>
      <c r="E184" s="171">
        <f t="shared" si="37"/>
        <v>55500</v>
      </c>
      <c r="F184" s="216"/>
      <c r="G184" s="171">
        <f t="shared" si="38"/>
        <v>55500</v>
      </c>
      <c r="H184" s="172">
        <f t="shared" si="39"/>
        <v>1.319733970166403E-2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'[38]Sch C'!D196</f>
        <v>0</v>
      </c>
      <c r="D185" s="501">
        <f>'[38]Sch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'[38]Sch C'!D197</f>
        <v>101871</v>
      </c>
      <c r="D186" s="501">
        <f>'[38]Sch C'!F197</f>
        <v>0</v>
      </c>
      <c r="E186" s="171">
        <f t="shared" si="37"/>
        <v>101871</v>
      </c>
      <c r="F186" s="216"/>
      <c r="G186" s="171">
        <f t="shared" si="38"/>
        <v>101871</v>
      </c>
      <c r="H186" s="172">
        <f t="shared" si="39"/>
        <v>2.4223895364832729E-2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'[38]Sch C'!D198</f>
        <v>11504</v>
      </c>
      <c r="D187" s="501">
        <f>'[38]Sch C'!F198</f>
        <v>0</v>
      </c>
      <c r="E187" s="171">
        <f t="shared" si="37"/>
        <v>11504</v>
      </c>
      <c r="F187" s="216"/>
      <c r="G187" s="171">
        <f t="shared" si="38"/>
        <v>11504</v>
      </c>
      <c r="H187" s="172">
        <f t="shared" si="39"/>
        <v>2.7355350617647386E-3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'[38]Sch C'!D199</f>
        <v>0</v>
      </c>
      <c r="D188" s="501">
        <f>'[38]Sch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'[38]Sch C'!D200</f>
        <v>0</v>
      </c>
      <c r="D189" s="501">
        <f>'[38]Sch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'[38]Sch C'!D201</f>
        <v>0</v>
      </c>
      <c r="D190" s="501">
        <f>'[38]Sch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'[38]Sch C'!D202</f>
        <v>0</v>
      </c>
      <c r="D191" s="501">
        <f>'[38]Sch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'[38]Sch C'!D203</f>
        <v>0</v>
      </c>
      <c r="D192" s="501">
        <f>'[38]Sch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'[38]Sch C'!D204</f>
        <v>0</v>
      </c>
      <c r="D193" s="501">
        <f>'[38]Sch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'[38]Sch C'!D205</f>
        <v>110673</v>
      </c>
      <c r="D194" s="501">
        <f>'[38]Sch C'!F205</f>
        <v>0</v>
      </c>
      <c r="E194" s="171">
        <f t="shared" si="37"/>
        <v>110673</v>
      </c>
      <c r="F194" s="216"/>
      <c r="G194" s="171">
        <f t="shared" si="38"/>
        <v>110673</v>
      </c>
      <c r="H194" s="172">
        <f t="shared" si="39"/>
        <v>2.6316922104545282E-2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'[38]Sch C'!D206</f>
        <v>0</v>
      </c>
      <c r="D195" s="501">
        <f>'[38]Sch C'!F206</f>
        <v>0</v>
      </c>
      <c r="E195" s="171">
        <f t="shared" si="37"/>
        <v>0</v>
      </c>
      <c r="F195" s="216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'[38]Sch C'!D207</f>
        <v>0</v>
      </c>
      <c r="D196" s="501">
        <f>'[38]Sch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400977</v>
      </c>
      <c r="D197" s="501">
        <f>SUM(D164:D196)</f>
        <v>0</v>
      </c>
      <c r="E197" s="171">
        <f t="shared" ref="E197:F197" si="40">SUM(E164:E196)</f>
        <v>400977</v>
      </c>
      <c r="F197" s="171">
        <f t="shared" si="40"/>
        <v>0</v>
      </c>
      <c r="G197" s="171">
        <f>SUM(G164:G196)</f>
        <v>400977</v>
      </c>
      <c r="H197" s="172">
        <f>IF($G$208=0,0,G197/$G$208)</f>
        <v>9.5348282550525007E-2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'[38]Sch C'!D211</f>
        <v>79847</v>
      </c>
      <c r="D200" s="501">
        <f>'[38]Sch C'!F211</f>
        <v>0</v>
      </c>
      <c r="E200" s="171">
        <f t="shared" ref="E200:E205" si="41">C200+D200</f>
        <v>79847</v>
      </c>
      <c r="F200" s="171"/>
      <c r="G200" s="171">
        <f t="shared" ref="G200:G205" si="42">E200+F200</f>
        <v>79847</v>
      </c>
      <c r="H200" s="172">
        <f t="shared" ref="H200:H206" si="43">IF($G$208=0,0,G200/$G$208)</f>
        <v>1.8986810507365184E-2</v>
      </c>
      <c r="I200" s="473"/>
      <c r="J200" s="183">
        <v>5681.22</v>
      </c>
      <c r="K200" s="183">
        <v>5844.22</v>
      </c>
    </row>
    <row r="201" spans="1:14" s="167" customFormat="1">
      <c r="A201" s="169" t="s">
        <v>86</v>
      </c>
      <c r="B201" s="170" t="s">
        <v>45</v>
      </c>
      <c r="C201" s="501">
        <f>'[38]Sch C'!D212</f>
        <v>6263</v>
      </c>
      <c r="D201" s="501">
        <f>'[38]Sch C'!F212</f>
        <v>6066</v>
      </c>
      <c r="E201" s="171">
        <f t="shared" si="41"/>
        <v>12329</v>
      </c>
      <c r="F201" s="171"/>
      <c r="G201" s="171">
        <f t="shared" si="42"/>
        <v>12329</v>
      </c>
      <c r="H201" s="172">
        <f t="shared" si="43"/>
        <v>2.9317117330056905E-3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'[38]Sch C'!D213</f>
        <v>13748</v>
      </c>
      <c r="D202" s="501">
        <f>'[38]Sch C'!F213</f>
        <v>0</v>
      </c>
      <c r="E202" s="171">
        <f t="shared" si="41"/>
        <v>13748</v>
      </c>
      <c r="F202" s="171"/>
      <c r="G202" s="171">
        <f t="shared" si="42"/>
        <v>13748</v>
      </c>
      <c r="H202" s="172">
        <f t="shared" si="43"/>
        <v>3.2691356075401279E-3</v>
      </c>
      <c r="I202" s="473"/>
    </row>
    <row r="203" spans="1:14" s="167" customFormat="1">
      <c r="A203" s="169" t="s">
        <v>141</v>
      </c>
      <c r="B203" s="170" t="s">
        <v>70</v>
      </c>
      <c r="C203" s="501">
        <f>'[38]Sch C'!D214</f>
        <v>0</v>
      </c>
      <c r="D203" s="501">
        <f>'[38]Sch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'[38]Sch C'!D215</f>
        <v>0</v>
      </c>
      <c r="D204" s="501">
        <f>'[38]Sch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'[38]Sch C'!D216</f>
        <v>4613</v>
      </c>
      <c r="D205" s="501">
        <f>'[38]Sch C'!F216</f>
        <v>0</v>
      </c>
      <c r="E205" s="171">
        <f t="shared" si="41"/>
        <v>4613</v>
      </c>
      <c r="F205" s="171"/>
      <c r="G205" s="171">
        <f t="shared" si="42"/>
        <v>4613</v>
      </c>
      <c r="H205" s="172">
        <f t="shared" si="43"/>
        <v>1.0969248296175886E-3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104471</v>
      </c>
      <c r="D206" s="501">
        <f>SUM(D200:D205)</f>
        <v>6066</v>
      </c>
      <c r="E206" s="171">
        <f t="shared" ref="E206:F206" si="44">SUM(E200:E205)</f>
        <v>110537</v>
      </c>
      <c r="F206" s="171">
        <f t="shared" si="44"/>
        <v>0</v>
      </c>
      <c r="G206" s="171">
        <f>SUM(G200:G205)</f>
        <v>110537</v>
      </c>
      <c r="H206" s="172">
        <f t="shared" si="43"/>
        <v>2.6284582677528593E-2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5388353</v>
      </c>
      <c r="D208" s="501">
        <f>SUM(D25:D206)/2</f>
        <v>-1168084</v>
      </c>
      <c r="E208" s="171">
        <f t="shared" ref="E208:F208" si="45">SUM(E25:E206)/2</f>
        <v>4220269</v>
      </c>
      <c r="F208" s="171">
        <f t="shared" si="45"/>
        <v>-14876</v>
      </c>
      <c r="G208" s="171">
        <f>SUM(G25:G206)/2</f>
        <v>4205393</v>
      </c>
      <c r="H208" s="172">
        <f>IF($G$208=0,0,G208/$G$208)</f>
        <v>1</v>
      </c>
      <c r="I208" s="473"/>
      <c r="J208" s="183">
        <f>SUM(J25:J200)</f>
        <v>94647.790000000008</v>
      </c>
      <c r="K208" s="183">
        <f>SUM(K25:K200)</f>
        <v>96951.62999999999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'[38]Sch C'!D221</f>
        <v>5388353</v>
      </c>
      <c r="D211" s="196"/>
      <c r="E211" s="165"/>
      <c r="F211" s="409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09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363719</v>
      </c>
      <c r="D215" s="501">
        <f>D21-D208</f>
        <v>1168084</v>
      </c>
      <c r="E215" s="171">
        <f t="shared" ref="E215:F215" si="46">E21-E208</f>
        <v>1531803</v>
      </c>
      <c r="F215" s="171">
        <f t="shared" si="46"/>
        <v>1031127</v>
      </c>
      <c r="G215" s="171">
        <f>G21-G208</f>
        <v>2562930.0000000019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'[38]Sch D'!C9</f>
        <v>13810</v>
      </c>
      <c r="D219" s="530"/>
      <c r="E219" s="234">
        <f t="shared" ref="E219:G227" si="47">C219+D219</f>
        <v>13810</v>
      </c>
      <c r="F219" s="233"/>
      <c r="G219" s="234">
        <f t="shared" si="47"/>
        <v>13810</v>
      </c>
      <c r="H219" s="172">
        <f t="shared" ref="H219:H228" si="48">IF($G$228=0,0,G219/$G$228)</f>
        <v>0.66592728324814354</v>
      </c>
      <c r="I219" s="473"/>
      <c r="J219" s="168"/>
      <c r="K219" s="168"/>
    </row>
    <row r="220" spans="1:11">
      <c r="A220" s="163"/>
      <c r="B220" s="170" t="s">
        <v>217</v>
      </c>
      <c r="C220" s="530">
        <f>'[38]Sch D'!D9</f>
        <v>4343</v>
      </c>
      <c r="D220" s="530"/>
      <c r="E220" s="234">
        <f t="shared" ref="E220:E227" si="49">C220+D220</f>
        <v>4343</v>
      </c>
      <c r="F220" s="233"/>
      <c r="G220" s="234">
        <f t="shared" si="47"/>
        <v>4343</v>
      </c>
      <c r="H220" s="172">
        <f t="shared" si="48"/>
        <v>0.20942231652039733</v>
      </c>
      <c r="I220" s="473"/>
      <c r="J220" s="168"/>
      <c r="K220" s="168"/>
    </row>
    <row r="221" spans="1:11">
      <c r="A221" s="163"/>
      <c r="B221" s="170" t="s">
        <v>72</v>
      </c>
      <c r="C221" s="530">
        <f>'[38]Sch D'!E9</f>
        <v>1791</v>
      </c>
      <c r="D221" s="530"/>
      <c r="E221" s="234">
        <f t="shared" si="49"/>
        <v>1791</v>
      </c>
      <c r="F221" s="233"/>
      <c r="G221" s="234">
        <f t="shared" si="47"/>
        <v>1791</v>
      </c>
      <c r="H221" s="172">
        <f t="shared" si="48"/>
        <v>8.6363197994020632E-2</v>
      </c>
      <c r="I221" s="473"/>
      <c r="J221" s="168"/>
      <c r="K221" s="168"/>
    </row>
    <row r="222" spans="1:11">
      <c r="A222" s="163"/>
      <c r="B222" s="202" t="s">
        <v>334</v>
      </c>
      <c r="C222" s="530">
        <f>'[38]Sch D'!F9</f>
        <v>53</v>
      </c>
      <c r="D222" s="530"/>
      <c r="E222" s="234">
        <f>C222+D222</f>
        <v>53</v>
      </c>
      <c r="F222" s="233"/>
      <c r="G222" s="234">
        <f>E222+F222</f>
        <v>53</v>
      </c>
      <c r="H222" s="172">
        <f t="shared" si="48"/>
        <v>2.555694859677886E-3</v>
      </c>
      <c r="I222" s="473"/>
      <c r="J222" s="168"/>
      <c r="K222" s="168"/>
    </row>
    <row r="223" spans="1:11">
      <c r="A223" s="163"/>
      <c r="B223" s="170" t="s">
        <v>73</v>
      </c>
      <c r="C223" s="530">
        <f>'[38]Sch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'[38]Sch D'!H9</f>
        <v>313</v>
      </c>
      <c r="D224" s="530"/>
      <c r="E224" s="234">
        <f t="shared" si="49"/>
        <v>313</v>
      </c>
      <c r="F224" s="233"/>
      <c r="G224" s="234">
        <f t="shared" si="47"/>
        <v>313</v>
      </c>
      <c r="H224" s="172">
        <f t="shared" si="48"/>
        <v>1.5093065869418458E-2</v>
      </c>
      <c r="I224" s="473"/>
      <c r="J224" s="168"/>
      <c r="K224" s="168"/>
    </row>
    <row r="225" spans="1:11">
      <c r="A225" s="163"/>
      <c r="B225" s="170" t="s">
        <v>236</v>
      </c>
      <c r="C225" s="530">
        <f>'[38]Sch D'!I9</f>
        <v>428</v>
      </c>
      <c r="D225" s="530"/>
      <c r="E225" s="234">
        <f t="shared" si="49"/>
        <v>428</v>
      </c>
      <c r="F225" s="233"/>
      <c r="G225" s="234">
        <f t="shared" si="47"/>
        <v>428</v>
      </c>
      <c r="H225" s="172">
        <f t="shared" si="48"/>
        <v>2.0638441508342174E-2</v>
      </c>
      <c r="I225" s="473"/>
      <c r="J225" s="168"/>
      <c r="K225" s="168"/>
    </row>
    <row r="226" spans="1:11">
      <c r="A226" s="163"/>
      <c r="B226" s="170" t="s">
        <v>235</v>
      </c>
      <c r="C226" s="530">
        <f>'[38]Sch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'[38]Sch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20738</v>
      </c>
      <c r="D228" s="530">
        <f>SUM(D219:D227)</f>
        <v>0</v>
      </c>
      <c r="E228" s="236">
        <f>SUM(E219:E227)</f>
        <v>20738</v>
      </c>
      <c r="F228" s="236">
        <f>SUM(F219:F227)</f>
        <v>0</v>
      </c>
      <c r="G228" s="236">
        <f>SUM(G219:G227)</f>
        <v>20738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455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'[38]Sch D'!N22</f>
        <v>61</v>
      </c>
      <c r="D231" s="502"/>
      <c r="E231" s="234">
        <f>C231+D231</f>
        <v>61</v>
      </c>
      <c r="F231" s="234"/>
      <c r="G231" s="234">
        <f>E231+F231</f>
        <v>61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'[38]Sch D'!N24</f>
        <v>61</v>
      </c>
      <c r="D232" s="502"/>
      <c r="E232" s="234">
        <f>C232+D232</f>
        <v>61</v>
      </c>
      <c r="F232" s="456"/>
      <c r="G232" s="234">
        <f>E232+F232</f>
        <v>61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'[38]Sch D'!N28</f>
        <v>22265</v>
      </c>
      <c r="D235" s="438"/>
      <c r="E235" s="233">
        <f>E231*E233</f>
        <v>22265</v>
      </c>
      <c r="F235" s="238"/>
      <c r="G235" s="233">
        <f>G231*G233</f>
        <v>22265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'[38]Sch D'!N30</f>
        <v>0.93141702223220302</v>
      </c>
      <c r="D236" s="238"/>
      <c r="E236" s="242">
        <f>E228/E235</f>
        <v>0.93141702223220302</v>
      </c>
      <c r="F236" s="243"/>
      <c r="G236" s="242">
        <f>G228/G235</f>
        <v>0.93141702223220302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'[38]Sch D'!N32</f>
        <v>0.81531551762856502</v>
      </c>
      <c r="D237" s="238"/>
      <c r="E237" s="242">
        <f>(E219+E220)/E235</f>
        <v>0.81531551762856502</v>
      </c>
      <c r="F237" s="243"/>
      <c r="G237" s="242">
        <f>(G219+G220)/G235</f>
        <v>0.81531551762856502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'[38]Sch D'!N34</f>
        <v>0.87534959976854088</v>
      </c>
      <c r="D238" s="238"/>
      <c r="E238" s="242">
        <f>(E237/E236)</f>
        <v>0.87534959976854088</v>
      </c>
      <c r="F238" s="243"/>
      <c r="G238" s="242">
        <f>(G237/G236)</f>
        <v>0.87534959976854088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'[38]Sch B'!C85</f>
        <v>865.5</v>
      </c>
      <c r="I241" s="475"/>
    </row>
    <row r="242" spans="2:9">
      <c r="F242" s="142" t="s">
        <v>341</v>
      </c>
      <c r="G242" s="501">
        <f>'[38]Sch B'!E85</f>
        <v>121.47826086956522</v>
      </c>
      <c r="I242" s="475"/>
    </row>
    <row r="243" spans="2:9">
      <c r="F243" s="142" t="s">
        <v>342</v>
      </c>
      <c r="G243" s="501">
        <f>'[38]Sch B'!G85</f>
        <v>186.79411764705881</v>
      </c>
      <c r="I243" s="475"/>
    </row>
    <row r="244" spans="2:9">
      <c r="F244" s="142" t="s">
        <v>343</v>
      </c>
      <c r="G244" s="501">
        <f>'[38]Sch B'!I85</f>
        <v>182.95604395604394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84">
    <tabColor rgb="FFE28CAB"/>
  </sheetPr>
  <dimension ref="A1:O246"/>
  <sheetViews>
    <sheetView showGridLines="0" topLeftCell="A151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377"/>
      <c r="D1" s="429"/>
      <c r="E1" s="400" t="s">
        <v>491</v>
      </c>
      <c r="F1" s="429"/>
      <c r="G1" s="429"/>
      <c r="H1" s="429"/>
      <c r="I1" s="430"/>
    </row>
    <row r="2" spans="1:11" ht="23">
      <c r="B2" s="143" t="s">
        <v>189</v>
      </c>
      <c r="C2" s="244" t="s">
        <v>548</v>
      </c>
      <c r="D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 t="s">
        <v>702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'[39]Sch B'!E10</f>
        <v>1084880.67</v>
      </c>
      <c r="D11" s="501">
        <f>'[39]Sch B'!G10</f>
        <v>0</v>
      </c>
      <c r="E11" s="171">
        <f>C11+D11</f>
        <v>1084880.67</v>
      </c>
      <c r="F11" s="171">
        <v>128312</v>
      </c>
      <c r="G11" s="171">
        <f t="shared" ref="G11:G20" si="0">E11+F11</f>
        <v>1213192.67</v>
      </c>
      <c r="H11" s="172">
        <f t="shared" ref="H11:H21" si="1">IF($G$21=0,0,G11/$G$21)</f>
        <v>0.4275894677860565</v>
      </c>
      <c r="I11" s="473" t="s">
        <v>697</v>
      </c>
      <c r="J11" s="336" t="s">
        <v>344</v>
      </c>
      <c r="K11" s="337">
        <f>G21</f>
        <v>2837283.8</v>
      </c>
    </row>
    <row r="12" spans="1:11" s="167" customFormat="1">
      <c r="A12" s="169" t="s">
        <v>15</v>
      </c>
      <c r="B12" s="170" t="s">
        <v>212</v>
      </c>
      <c r="C12" s="501">
        <f>'[39]Sch B'!E15</f>
        <v>0</v>
      </c>
      <c r="D12" s="501">
        <f>'[39]Sch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2266360.66</v>
      </c>
    </row>
    <row r="13" spans="1:11" s="167" customFormat="1">
      <c r="A13" s="169" t="s">
        <v>16</v>
      </c>
      <c r="B13" s="170" t="s">
        <v>170</v>
      </c>
      <c r="C13" s="501">
        <f>'[39]Sch B'!E21</f>
        <v>603554.97999999986</v>
      </c>
      <c r="D13" s="501">
        <f>'[39]Sch B'!G21</f>
        <v>0</v>
      </c>
      <c r="E13" s="171">
        <f t="shared" si="2"/>
        <v>603554.97999999986</v>
      </c>
      <c r="F13" s="171"/>
      <c r="G13" s="171">
        <f t="shared" si="0"/>
        <v>603554.97999999986</v>
      </c>
      <c r="H13" s="172">
        <f t="shared" si="1"/>
        <v>0.21272280904715979</v>
      </c>
      <c r="I13" s="473"/>
      <c r="J13" s="338" t="s">
        <v>346</v>
      </c>
      <c r="K13" s="339">
        <f>G228</f>
        <v>9808</v>
      </c>
    </row>
    <row r="14" spans="1:11" s="167" customFormat="1">
      <c r="A14" s="173" t="s">
        <v>18</v>
      </c>
      <c r="B14" s="174" t="s">
        <v>306</v>
      </c>
      <c r="C14" s="501">
        <f>'[39]Sch B'!E27</f>
        <v>301687.22000000003</v>
      </c>
      <c r="D14" s="501">
        <f>'[39]Sch B'!G27</f>
        <v>0</v>
      </c>
      <c r="E14" s="171">
        <f t="shared" si="2"/>
        <v>301687.22000000003</v>
      </c>
      <c r="F14" s="175"/>
      <c r="G14" s="175">
        <f>E14+F14</f>
        <v>301687.22000000003</v>
      </c>
      <c r="H14" s="176">
        <f t="shared" si="1"/>
        <v>0.10632958888356535</v>
      </c>
      <c r="I14" s="479"/>
      <c r="J14" s="338" t="s">
        <v>347</v>
      </c>
      <c r="K14" s="339">
        <f>G231</f>
        <v>38</v>
      </c>
    </row>
    <row r="15" spans="1:11" s="167" customFormat="1">
      <c r="A15" s="169" t="s">
        <v>19</v>
      </c>
      <c r="B15" s="170" t="s">
        <v>171</v>
      </c>
      <c r="C15" s="501">
        <f>'[39]Sch B'!E32</f>
        <v>0</v>
      </c>
      <c r="D15" s="501">
        <f>'[39]Sch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13870</v>
      </c>
    </row>
    <row r="16" spans="1:11" s="167" customFormat="1">
      <c r="A16" s="169" t="s">
        <v>21</v>
      </c>
      <c r="B16" s="170" t="s">
        <v>172</v>
      </c>
      <c r="C16" s="501">
        <f>'[39]Sch B'!E37</f>
        <v>494232.23</v>
      </c>
      <c r="D16" s="501">
        <f>'[39]Sch B'!G37</f>
        <v>0</v>
      </c>
      <c r="E16" s="171">
        <f t="shared" si="2"/>
        <v>494232.23</v>
      </c>
      <c r="F16" s="171"/>
      <c r="G16" s="171">
        <f t="shared" si="0"/>
        <v>494232.23</v>
      </c>
      <c r="H16" s="172">
        <f t="shared" si="1"/>
        <v>0.174192031829879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'[39]Sch B'!E42</f>
        <v>199600.36</v>
      </c>
      <c r="D17" s="501">
        <f>'[39]Sch B'!G42</f>
        <v>0</v>
      </c>
      <c r="E17" s="171">
        <f t="shared" si="2"/>
        <v>199600.36</v>
      </c>
      <c r="F17" s="171"/>
      <c r="G17" s="171">
        <f>E17+F17</f>
        <v>199600.36</v>
      </c>
      <c r="H17" s="172">
        <f t="shared" si="1"/>
        <v>7.0349099374549695E-2</v>
      </c>
      <c r="I17" s="473"/>
      <c r="J17" s="338" t="s">
        <v>156</v>
      </c>
      <c r="K17" s="339">
        <f>J208</f>
        <v>64674.529999999984</v>
      </c>
    </row>
    <row r="18" spans="1:11" s="167" customFormat="1" ht="13.5" thickBot="1">
      <c r="A18" s="169" t="s">
        <v>216</v>
      </c>
      <c r="B18" s="170" t="s">
        <v>229</v>
      </c>
      <c r="C18" s="501">
        <f>'[39]Sch B'!E47</f>
        <v>0</v>
      </c>
      <c r="D18" s="501">
        <f>'[39]Sch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67758.900000000009</v>
      </c>
    </row>
    <row r="19" spans="1:11" s="167" customFormat="1">
      <c r="A19" s="169" t="s">
        <v>227</v>
      </c>
      <c r="B19" s="177" t="s">
        <v>173</v>
      </c>
      <c r="C19" s="501">
        <f>'[39]Sch B'!E52</f>
        <v>0</v>
      </c>
      <c r="D19" s="501">
        <f>'[39]Sch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'[39]Sch B'!E67</f>
        <v>29545.68</v>
      </c>
      <c r="D20" s="501">
        <f>'[39]Sch B'!G67</f>
        <v>-4529.34</v>
      </c>
      <c r="E20" s="171">
        <f t="shared" si="2"/>
        <v>25016.34</v>
      </c>
      <c r="F20" s="171"/>
      <c r="G20" s="171">
        <f t="shared" si="0"/>
        <v>25016.34</v>
      </c>
      <c r="H20" s="172">
        <f t="shared" si="1"/>
        <v>8.8170030787896522E-3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2713501.1399999997</v>
      </c>
      <c r="D21" s="501">
        <f>SUM(D11:D20)</f>
        <v>-4529.34</v>
      </c>
      <c r="E21" s="171">
        <f>SUM(E11:E20)</f>
        <v>2708971.7999999993</v>
      </c>
      <c r="F21" s="171">
        <f>SUM(F11:F20)</f>
        <v>128312</v>
      </c>
      <c r="G21" s="171">
        <f>SUM(G11:G20)</f>
        <v>2837283.8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'[39]Sch C'!D10</f>
        <v>79409.86</v>
      </c>
      <c r="D25" s="501">
        <f>'[39]Sch C'!F10</f>
        <v>0</v>
      </c>
      <c r="E25" s="171">
        <f t="shared" ref="E25:E60" si="3">C25+D25</f>
        <v>79409.86</v>
      </c>
      <c r="F25" s="171"/>
      <c r="G25" s="182">
        <f>E25+F25</f>
        <v>79409.86</v>
      </c>
      <c r="H25" s="172">
        <f>IF($G$208=0,0,G25/$G$208)</f>
        <v>3.5038492064188936E-2</v>
      </c>
      <c r="I25" s="473"/>
      <c r="J25" s="183">
        <v>2054.08</v>
      </c>
      <c r="K25" s="183">
        <v>2194.1799999999998</v>
      </c>
    </row>
    <row r="26" spans="1:11" s="167" customFormat="1">
      <c r="A26" s="169" t="s">
        <v>84</v>
      </c>
      <c r="B26" s="170" t="s">
        <v>176</v>
      </c>
      <c r="C26" s="501">
        <f>'[39]Sch C'!D11</f>
        <v>0</v>
      </c>
      <c r="D26" s="501">
        <f>'[39]Sch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'[39]Sch C'!D12</f>
        <v>38993.160000000003</v>
      </c>
      <c r="D27" s="501">
        <f>'[39]Sch C'!F12</f>
        <v>0</v>
      </c>
      <c r="E27" s="171">
        <f t="shared" si="3"/>
        <v>38993.160000000003</v>
      </c>
      <c r="F27" s="171"/>
      <c r="G27" s="171">
        <f t="shared" si="4"/>
        <v>38993.160000000003</v>
      </c>
      <c r="H27" s="172">
        <f t="shared" si="5"/>
        <v>1.7205187456792514E-2</v>
      </c>
      <c r="I27" s="473"/>
      <c r="J27" s="183">
        <v>2070.15</v>
      </c>
      <c r="K27" s="183">
        <v>2264.15</v>
      </c>
    </row>
    <row r="28" spans="1:11" s="167" customFormat="1">
      <c r="A28" s="169" t="s">
        <v>86</v>
      </c>
      <c r="B28" s="170" t="s">
        <v>45</v>
      </c>
      <c r="C28" s="501">
        <f>'[39]Sch C'!D13</f>
        <v>195209.60000000001</v>
      </c>
      <c r="D28" s="501">
        <f>'[39]Sch C'!F13</f>
        <v>-170890.8</v>
      </c>
      <c r="E28" s="171">
        <f t="shared" si="3"/>
        <v>24318.800000000017</v>
      </c>
      <c r="F28" s="171"/>
      <c r="G28" s="171">
        <f t="shared" si="4"/>
        <v>24318.800000000017</v>
      </c>
      <c r="H28" s="172">
        <f t="shared" si="5"/>
        <v>1.073033097918317E-2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'[39]Sch C'!D14</f>
        <v>0</v>
      </c>
      <c r="D29" s="501">
        <f>'[39]Sch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'[39]Sch C'!D15</f>
        <v>320438.26</v>
      </c>
      <c r="D30" s="501">
        <f>'[39]Sch C'!F15</f>
        <v>-145902</v>
      </c>
      <c r="E30" s="171">
        <f t="shared" si="3"/>
        <v>174536.26</v>
      </c>
      <c r="F30" s="171"/>
      <c r="G30" s="171">
        <f t="shared" si="4"/>
        <v>174536.26</v>
      </c>
      <c r="H30" s="172">
        <f t="shared" si="5"/>
        <v>7.7011687980852964E-2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'[39]Sch C'!D16</f>
        <v>0</v>
      </c>
      <c r="D31" s="501">
        <f>'[39]Sch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'[39]Sch C'!D17</f>
        <v>0</v>
      </c>
      <c r="D32" s="501">
        <f>'[39]Sch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'[39]Sch C'!D18</f>
        <v>17503.38</v>
      </c>
      <c r="D33" s="501">
        <f>'[39]Sch C'!F18</f>
        <v>0</v>
      </c>
      <c r="E33" s="171">
        <f t="shared" si="3"/>
        <v>17503.38</v>
      </c>
      <c r="F33" s="171"/>
      <c r="G33" s="171">
        <f t="shared" si="4"/>
        <v>17503.38</v>
      </c>
      <c r="H33" s="172">
        <f t="shared" si="5"/>
        <v>7.7231220559573245E-3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'[39]Sch C'!D19</f>
        <v>7278.55</v>
      </c>
      <c r="D34" s="501">
        <f>'[39]Sch C'!F19</f>
        <v>0</v>
      </c>
      <c r="E34" s="171">
        <f t="shared" si="3"/>
        <v>7278.55</v>
      </c>
      <c r="F34" s="171"/>
      <c r="G34" s="171">
        <f t="shared" si="4"/>
        <v>7278.55</v>
      </c>
      <c r="H34" s="172">
        <f t="shared" si="5"/>
        <v>3.2115585698526904E-3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'[39]Sch C'!D20</f>
        <v>3341.5699999999997</v>
      </c>
      <c r="D35" s="501">
        <f>'[39]Sch C'!F20</f>
        <v>0</v>
      </c>
      <c r="E35" s="171">
        <f t="shared" si="3"/>
        <v>3341.5699999999997</v>
      </c>
      <c r="F35" s="171"/>
      <c r="G35" s="171">
        <f t="shared" si="4"/>
        <v>3341.5699999999997</v>
      </c>
      <c r="H35" s="172">
        <f t="shared" si="5"/>
        <v>1.4744211100099131E-3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'[39]Sch C'!D21</f>
        <v>792.5</v>
      </c>
      <c r="D36" s="501">
        <f>'[39]Sch C'!F21</f>
        <v>0</v>
      </c>
      <c r="E36" s="171">
        <f t="shared" si="3"/>
        <v>792.5</v>
      </c>
      <c r="F36" s="171"/>
      <c r="G36" s="171">
        <f t="shared" si="4"/>
        <v>792.5</v>
      </c>
      <c r="H36" s="172">
        <f t="shared" si="5"/>
        <v>3.4967956071034164E-4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'[39]Sch C'!D22</f>
        <v>0</v>
      </c>
      <c r="D37" s="501">
        <f>'[39]Sch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'[39]Sch C'!D23</f>
        <v>6981.21</v>
      </c>
      <c r="D38" s="501">
        <f>'[39]Sch C'!F23</f>
        <v>0</v>
      </c>
      <c r="E38" s="171">
        <f t="shared" si="3"/>
        <v>6981.21</v>
      </c>
      <c r="F38" s="171">
        <v>875</v>
      </c>
      <c r="G38" s="171">
        <f t="shared" si="4"/>
        <v>7856.21</v>
      </c>
      <c r="H38" s="172">
        <f t="shared" si="5"/>
        <v>3.4664429799977198E-3</v>
      </c>
      <c r="I38" s="473" t="s">
        <v>693</v>
      </c>
      <c r="J38" s="168"/>
      <c r="K38" s="168"/>
    </row>
    <row r="39" spans="1:11" s="167" customFormat="1">
      <c r="A39" s="163">
        <v>150</v>
      </c>
      <c r="B39" s="170" t="s">
        <v>29</v>
      </c>
      <c r="C39" s="501">
        <f>'[39]Sch C'!D24</f>
        <v>0</v>
      </c>
      <c r="D39" s="501">
        <f>'[39]Sch C'!F24</f>
        <v>0</v>
      </c>
      <c r="E39" s="171">
        <f t="shared" si="3"/>
        <v>0</v>
      </c>
      <c r="F39" s="171">
        <v>684</v>
      </c>
      <c r="G39" s="171">
        <f t="shared" si="4"/>
        <v>684</v>
      </c>
      <c r="H39" s="172">
        <f t="shared" si="5"/>
        <v>3.0180545050583429E-4</v>
      </c>
      <c r="I39" s="473" t="s">
        <v>693</v>
      </c>
      <c r="J39" s="168"/>
      <c r="K39" s="168"/>
    </row>
    <row r="40" spans="1:11" s="167" customFormat="1">
      <c r="A40" s="163">
        <v>160</v>
      </c>
      <c r="B40" s="170" t="s">
        <v>30</v>
      </c>
      <c r="C40" s="501">
        <f>'[39]Sch C'!D25</f>
        <v>0</v>
      </c>
      <c r="D40" s="501">
        <f>'[39]Sch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'[39]Sch C'!D26</f>
        <v>147165.22</v>
      </c>
      <c r="D41" s="501">
        <f>'[39]Sch C'!F26</f>
        <v>0</v>
      </c>
      <c r="E41" s="171">
        <f t="shared" si="3"/>
        <v>147165.22</v>
      </c>
      <c r="F41" s="171"/>
      <c r="G41" s="171">
        <f t="shared" si="4"/>
        <v>147165.22</v>
      </c>
      <c r="H41" s="172">
        <f t="shared" si="5"/>
        <v>6.4934598714751782E-2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'[39]Sch C'!D27</f>
        <v>0</v>
      </c>
      <c r="D42" s="501">
        <f>'[39]Sch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'[39]Sch C'!D28</f>
        <v>0</v>
      </c>
      <c r="D43" s="501">
        <f>'[39]Sch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'[39]Sch C'!D29</f>
        <v>63446.7</v>
      </c>
      <c r="D44" s="501">
        <f>'[39]Sch C'!F29</f>
        <v>-63446.7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'[39]Sch C'!D30</f>
        <v>25</v>
      </c>
      <c r="D45" s="501">
        <f>'[39]Sch C'!F30</f>
        <v>-25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'[39]Sch C'!D31</f>
        <v>32767</v>
      </c>
      <c r="D46" s="501">
        <f>'[39]Sch C'!F31</f>
        <v>0</v>
      </c>
      <c r="E46" s="171">
        <f t="shared" si="3"/>
        <v>32767</v>
      </c>
      <c r="F46" s="171"/>
      <c r="G46" s="171">
        <f t="shared" si="4"/>
        <v>32767</v>
      </c>
      <c r="H46" s="172">
        <f t="shared" si="5"/>
        <v>1.4457981281761217E-2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'[39]Sch C'!D32</f>
        <v>13122.09</v>
      </c>
      <c r="D47" s="501">
        <f>'[39]Sch C'!F32</f>
        <v>0</v>
      </c>
      <c r="E47" s="171">
        <f t="shared" si="3"/>
        <v>13122.09</v>
      </c>
      <c r="F47" s="171">
        <v>503</v>
      </c>
      <c r="G47" s="171">
        <f t="shared" si="4"/>
        <v>13625.09</v>
      </c>
      <c r="H47" s="172">
        <f t="shared" si="5"/>
        <v>6.0118807392288568E-3</v>
      </c>
      <c r="I47" s="473" t="s">
        <v>693</v>
      </c>
      <c r="J47" s="168"/>
      <c r="K47" s="168"/>
    </row>
    <row r="48" spans="1:11" s="167" customFormat="1">
      <c r="A48" s="163">
        <v>240</v>
      </c>
      <c r="B48" s="170" t="s">
        <v>201</v>
      </c>
      <c r="C48" s="501">
        <f>'[39]Sch C'!D33</f>
        <v>0</v>
      </c>
      <c r="D48" s="501">
        <f>'[39]Sch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'[39]Sch C'!D34</f>
        <v>0</v>
      </c>
      <c r="D49" s="501">
        <f>'[39]Sch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'[39]Sch C'!D35</f>
        <v>0</v>
      </c>
      <c r="D50" s="501">
        <f>'[39]Sch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'[39]Sch C'!D36</f>
        <v>0</v>
      </c>
      <c r="D51" s="501">
        <f>'[39]Sch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'[39]Sch C'!D37</f>
        <v>0</v>
      </c>
      <c r="D52" s="501">
        <f>'[39]Sch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'[39]Sch C'!D38</f>
        <v>0</v>
      </c>
      <c r="D53" s="501">
        <f>'[39]Sch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'[39]Sch C'!D39</f>
        <v>1944.4</v>
      </c>
      <c r="D54" s="501">
        <f>'[39]Sch C'!F39</f>
        <v>0</v>
      </c>
      <c r="E54" s="171">
        <f t="shared" si="3"/>
        <v>1944.4</v>
      </c>
      <c r="F54" s="171"/>
      <c r="G54" s="171">
        <f t="shared" si="4"/>
        <v>1944.4</v>
      </c>
      <c r="H54" s="172">
        <f t="shared" si="5"/>
        <v>8.5793935374787165E-4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'[39]Sch C'!D40</f>
        <v>16147.08</v>
      </c>
      <c r="D55" s="501">
        <f>'[39]Sch C'!F40</f>
        <v>-16147</v>
      </c>
      <c r="E55" s="171">
        <f t="shared" si="3"/>
        <v>7.999999999992724E-2</v>
      </c>
      <c r="F55" s="171"/>
      <c r="G55" s="171">
        <f t="shared" si="4"/>
        <v>7.999999999992724E-2</v>
      </c>
      <c r="H55" s="172">
        <f t="shared" si="5"/>
        <v>3.5298883100065478E-8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'[39]Sch C'!D41</f>
        <v>0</v>
      </c>
      <c r="D56" s="501">
        <f>'[39]Sch C'!F41</f>
        <v>0</v>
      </c>
      <c r="E56" s="171">
        <f t="shared" si="3"/>
        <v>0</v>
      </c>
      <c r="F56" s="171"/>
      <c r="G56" s="171">
        <f t="shared" si="4"/>
        <v>0</v>
      </c>
      <c r="H56" s="172">
        <f t="shared" si="5"/>
        <v>0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'[39]Sch C'!D42</f>
        <v>3033.84</v>
      </c>
      <c r="D57" s="501">
        <f>'[39]Sch C'!F42</f>
        <v>0</v>
      </c>
      <c r="E57" s="171">
        <f t="shared" si="3"/>
        <v>3033.84</v>
      </c>
      <c r="F57" s="171"/>
      <c r="G57" s="171">
        <f t="shared" si="4"/>
        <v>3033.84</v>
      </c>
      <c r="H57" s="172">
        <f t="shared" si="5"/>
        <v>1.3386395438050006E-3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'[39]Sch C'!D43</f>
        <v>7381.26</v>
      </c>
      <c r="D58" s="501">
        <f>'[39]Sch C'!F43</f>
        <v>0</v>
      </c>
      <c r="E58" s="171">
        <f t="shared" si="3"/>
        <v>7381.26</v>
      </c>
      <c r="F58" s="171"/>
      <c r="G58" s="171">
        <f t="shared" si="4"/>
        <v>7381.26</v>
      </c>
      <c r="H58" s="172">
        <f t="shared" si="5"/>
        <v>3.2568779233928284E-3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'[39]Sch C'!D44</f>
        <v>0</v>
      </c>
      <c r="D59" s="501">
        <f>'[39]Sch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'[39]Sch C'!D45</f>
        <v>29740.89</v>
      </c>
      <c r="D60" s="501">
        <f>'[39]Sch C'!F45</f>
        <v>-3071.34</v>
      </c>
      <c r="E60" s="171">
        <f t="shared" si="3"/>
        <v>26669.55</v>
      </c>
      <c r="F60" s="171">
        <f>-684-503-1065-1457-875</f>
        <v>-4584</v>
      </c>
      <c r="G60" s="171">
        <f t="shared" si="4"/>
        <v>22085.55</v>
      </c>
      <c r="H60" s="172">
        <f t="shared" si="5"/>
        <v>9.7449405956420015E-3</v>
      </c>
      <c r="I60" s="473" t="s">
        <v>696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984721.56999999983</v>
      </c>
      <c r="D61" s="501">
        <f>SUM(D25:D60)</f>
        <v>-399482.84</v>
      </c>
      <c r="E61" s="171">
        <f t="shared" ref="E61:F61" si="6">SUM(E25:E60)</f>
        <v>585238.73</v>
      </c>
      <c r="F61" s="171">
        <f t="shared" si="6"/>
        <v>-2522</v>
      </c>
      <c r="G61" s="171">
        <f>SUM(G25:G60)</f>
        <v>582716.73</v>
      </c>
      <c r="H61" s="186">
        <f t="shared" si="5"/>
        <v>0.25711562165926405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'[39]Sch C'!D57</f>
        <v>232080</v>
      </c>
      <c r="D64" s="501">
        <f>'[39]Sch C'!F57</f>
        <v>-232080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'[39]Sch C'!D58</f>
        <v>0</v>
      </c>
      <c r="D65" s="501">
        <f>'[39]Sch C'!F58</f>
        <v>91708</v>
      </c>
      <c r="E65" s="171">
        <f t="shared" si="7"/>
        <v>91708</v>
      </c>
      <c r="F65" s="171"/>
      <c r="G65" s="171">
        <f t="shared" si="8"/>
        <v>91708</v>
      </c>
      <c r="H65" s="172">
        <f t="shared" si="9"/>
        <v>4.0464874641796857E-2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'[39]Sch C'!D59</f>
        <v>0</v>
      </c>
      <c r="D66" s="501">
        <f>'[39]Sch C'!F59</f>
        <v>28714.959999999999</v>
      </c>
      <c r="E66" s="171">
        <f t="shared" si="7"/>
        <v>28714.959999999999</v>
      </c>
      <c r="F66" s="171"/>
      <c r="G66" s="171">
        <f t="shared" si="8"/>
        <v>28714.959999999999</v>
      </c>
      <c r="H66" s="172">
        <f t="shared" si="9"/>
        <v>1.2670075203299724E-2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'[39]Sch C'!D60</f>
        <v>0</v>
      </c>
      <c r="D67" s="501">
        <f>'[39]Sch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'[39]Sch C'!D61</f>
        <v>4990.03</v>
      </c>
      <c r="D68" s="501">
        <f>'[39]Sch C'!F61</f>
        <v>0</v>
      </c>
      <c r="E68" s="171">
        <f t="shared" si="7"/>
        <v>4990.03</v>
      </c>
      <c r="F68" s="171"/>
      <c r="G68" s="171">
        <f t="shared" si="8"/>
        <v>4990.03</v>
      </c>
      <c r="H68" s="172">
        <f t="shared" si="9"/>
        <v>2.2017810704497488E-3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'[39]Sch C'!D62</f>
        <v>0</v>
      </c>
      <c r="D69" s="501">
        <f>'[39]Sch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'[39]Sch C'!D63</f>
        <v>0</v>
      </c>
      <c r="D70" s="501">
        <f>'[39]Sch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'[39]Sch C'!D64</f>
        <v>0</v>
      </c>
      <c r="D71" s="501">
        <f>'[39]Sch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'[39]Sch C'!D65</f>
        <v>4413.12</v>
      </c>
      <c r="D72" s="501">
        <f>'[39]Sch C'!F65</f>
        <v>0</v>
      </c>
      <c r="E72" s="171">
        <f t="shared" si="7"/>
        <v>4413.12</v>
      </c>
      <c r="F72" s="171"/>
      <c r="G72" s="171">
        <f t="shared" si="8"/>
        <v>4413.12</v>
      </c>
      <c r="H72" s="172">
        <f t="shared" si="9"/>
        <v>1.9472275873337829E-3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'[39]Sch C'!D66</f>
        <v>0</v>
      </c>
      <c r="D73" s="501">
        <f>'[39]Sch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'[39]Sch C'!D67</f>
        <v>474.81</v>
      </c>
      <c r="D74" s="501">
        <f>'[39]Sch C'!F67</f>
        <v>0</v>
      </c>
      <c r="E74" s="171">
        <f t="shared" si="7"/>
        <v>474.81</v>
      </c>
      <c r="F74" s="171">
        <v>30</v>
      </c>
      <c r="G74" s="171">
        <f t="shared" si="8"/>
        <v>504.81</v>
      </c>
      <c r="H74" s="172">
        <f t="shared" si="9"/>
        <v>2.2274036472200325E-4</v>
      </c>
      <c r="I74" s="473" t="s">
        <v>693</v>
      </c>
      <c r="J74" s="195"/>
      <c r="K74" s="168"/>
    </row>
    <row r="75" spans="1:11" s="167" customFormat="1">
      <c r="A75" s="142">
        <v>340</v>
      </c>
      <c r="B75" s="194" t="s">
        <v>264</v>
      </c>
      <c r="C75" s="501">
        <f>'[39]Sch C'!D68</f>
        <v>0</v>
      </c>
      <c r="D75" s="501">
        <f>'[39]Sch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'[39]Sch C'!D69</f>
        <v>0</v>
      </c>
      <c r="D76" s="501">
        <f>'[39]Sch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'[39]Sch C'!D70</f>
        <v>0</v>
      </c>
      <c r="D77" s="501">
        <f>'[39]Sch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'[39]Sch C'!D71</f>
        <v>0</v>
      </c>
      <c r="D78" s="501">
        <f>'[39]Sch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241957.96</v>
      </c>
      <c r="D79" s="501">
        <f>SUM(D64:D78)</f>
        <v>-111657.04000000001</v>
      </c>
      <c r="E79" s="171">
        <f t="shared" ref="E79:F79" si="10">SUM(E64:E78)</f>
        <v>130300.91999999998</v>
      </c>
      <c r="F79" s="171">
        <f t="shared" si="10"/>
        <v>30</v>
      </c>
      <c r="G79" s="171">
        <f>SUM(G64:G78)</f>
        <v>130330.91999999998</v>
      </c>
      <c r="H79" s="172">
        <f t="shared" si="9"/>
        <v>5.750669886760211E-2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'[39]Sch C'!D75</f>
        <v>30313.79</v>
      </c>
      <c r="D82" s="501">
        <f>'[39]Sch C'!F75</f>
        <v>6226.3</v>
      </c>
      <c r="E82" s="171">
        <f t="shared" ref="E82:E92" si="11">C82+D82</f>
        <v>36540.090000000004</v>
      </c>
      <c r="F82" s="171"/>
      <c r="G82" s="171">
        <f t="shared" ref="G82:G92" si="12">E82+F82</f>
        <v>36540.090000000004</v>
      </c>
      <c r="H82" s="172">
        <f t="shared" ref="H82:H93" si="13">IF($G$208=0,0,G82/$G$208)</f>
        <v>1.6122804567213059E-2</v>
      </c>
      <c r="I82" s="473"/>
      <c r="J82" s="183">
        <v>1510.6</v>
      </c>
      <c r="K82" s="183">
        <v>1734.6</v>
      </c>
    </row>
    <row r="83" spans="1:11" s="167" customFormat="1">
      <c r="A83" s="169" t="s">
        <v>86</v>
      </c>
      <c r="B83" s="199" t="s">
        <v>45</v>
      </c>
      <c r="C83" s="501">
        <f>'[39]Sch C'!D76</f>
        <v>0</v>
      </c>
      <c r="D83" s="501">
        <f>'[39]Sch C'!F76</f>
        <v>0</v>
      </c>
      <c r="E83" s="171">
        <f t="shared" si="11"/>
        <v>0</v>
      </c>
      <c r="F83" s="171"/>
      <c r="G83" s="171">
        <f t="shared" si="12"/>
        <v>0</v>
      </c>
      <c r="H83" s="172">
        <f t="shared" si="13"/>
        <v>0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'[39]Sch C'!D77</f>
        <v>17335.099999999999</v>
      </c>
      <c r="D84" s="501">
        <f>'[39]Sch C'!F77</f>
        <v>0</v>
      </c>
      <c r="E84" s="171">
        <f t="shared" si="11"/>
        <v>17335.099999999999</v>
      </c>
      <c r="F84" s="171"/>
      <c r="G84" s="171">
        <f t="shared" si="12"/>
        <v>17335.099999999999</v>
      </c>
      <c r="H84" s="172">
        <f t="shared" si="13"/>
        <v>7.6488708553562688E-3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'[39]Sch C'!D78</f>
        <v>2375.25</v>
      </c>
      <c r="D85" s="501">
        <f>'[39]Sch C'!F78</f>
        <v>0</v>
      </c>
      <c r="E85" s="171">
        <f t="shared" si="11"/>
        <v>2375.25</v>
      </c>
      <c r="F85" s="171"/>
      <c r="G85" s="171">
        <f t="shared" si="12"/>
        <v>2375.25</v>
      </c>
      <c r="H85" s="172">
        <f t="shared" si="13"/>
        <v>1.0480459010438346E-3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'[39]Sch C'!D79</f>
        <v>0</v>
      </c>
      <c r="D86" s="501">
        <f>'[39]Sch C'!F79</f>
        <v>0</v>
      </c>
      <c r="E86" s="171">
        <f t="shared" si="11"/>
        <v>0</v>
      </c>
      <c r="F86" s="171"/>
      <c r="G86" s="171">
        <f>E86+F86</f>
        <v>0</v>
      </c>
      <c r="H86" s="172">
        <f t="shared" si="13"/>
        <v>0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'[39]Sch C'!D80</f>
        <v>27638.83</v>
      </c>
      <c r="D87" s="501">
        <f>'[39]Sch C'!F80</f>
        <v>0</v>
      </c>
      <c r="E87" s="171">
        <f t="shared" si="11"/>
        <v>27638.83</v>
      </c>
      <c r="F87" s="171"/>
      <c r="G87" s="171">
        <f t="shared" si="12"/>
        <v>27638.83</v>
      </c>
      <c r="H87" s="172">
        <f t="shared" si="13"/>
        <v>1.2195247864918376E-2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'[39]Sch C'!D81</f>
        <v>0</v>
      </c>
      <c r="D88" s="501">
        <f>'[39]Sch C'!F81</f>
        <v>0</v>
      </c>
      <c r="E88" s="171">
        <f t="shared" si="11"/>
        <v>0</v>
      </c>
      <c r="F88" s="171"/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'[39]Sch C'!D82</f>
        <v>0</v>
      </c>
      <c r="D89" s="501">
        <f>'[39]Sch C'!F82</f>
        <v>0</v>
      </c>
      <c r="E89" s="171">
        <f t="shared" si="11"/>
        <v>0</v>
      </c>
      <c r="F89" s="171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'[39]Sch C'!D83</f>
        <v>0</v>
      </c>
      <c r="D90" s="501">
        <f>'[39]Sch C'!F83</f>
        <v>0</v>
      </c>
      <c r="E90" s="171">
        <f t="shared" si="11"/>
        <v>0</v>
      </c>
      <c r="F90" s="171">
        <v>1457</v>
      </c>
      <c r="G90" s="171">
        <f t="shared" si="12"/>
        <v>1457</v>
      </c>
      <c r="H90" s="172">
        <f t="shared" si="13"/>
        <v>6.4288090846052715E-4</v>
      </c>
      <c r="I90" s="473" t="s">
        <v>693</v>
      </c>
      <c r="J90" s="168"/>
      <c r="K90" s="168"/>
    </row>
    <row r="91" spans="1:11" s="167" customFormat="1">
      <c r="A91" s="163">
        <v>350</v>
      </c>
      <c r="B91" s="199" t="s">
        <v>49</v>
      </c>
      <c r="C91" s="501">
        <f>'[39]Sch C'!D84</f>
        <v>65131.909999999996</v>
      </c>
      <c r="D91" s="501">
        <f>'[39]Sch C'!F84</f>
        <v>0</v>
      </c>
      <c r="E91" s="171">
        <f t="shared" si="11"/>
        <v>65131.909999999996</v>
      </c>
      <c r="F91" s="171"/>
      <c r="G91" s="171">
        <f t="shared" si="12"/>
        <v>65131.909999999996</v>
      </c>
      <c r="H91" s="172">
        <f t="shared" si="13"/>
        <v>2.8738545964700955E-2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'[39]Sch C'!D85</f>
        <v>0</v>
      </c>
      <c r="D92" s="501">
        <f>'[39]Sch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142794.88</v>
      </c>
      <c r="D93" s="501">
        <f>SUM(D82:D92)</f>
        <v>6226.3</v>
      </c>
      <c r="E93" s="171">
        <f t="shared" ref="E93:F93" si="14">SUM(E82:E92)</f>
        <v>149021.18</v>
      </c>
      <c r="F93" s="171">
        <f t="shared" si="14"/>
        <v>1457</v>
      </c>
      <c r="G93" s="171">
        <f>SUM(G82:G92)</f>
        <v>150478.18</v>
      </c>
      <c r="H93" s="172">
        <f t="shared" si="13"/>
        <v>6.6396396061693022E-2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'[39]Sch C'!D89</f>
        <v>94396.23</v>
      </c>
      <c r="D96" s="501">
        <f>'[39]Sch C'!F89</f>
        <v>19388.32</v>
      </c>
      <c r="E96" s="171">
        <f t="shared" ref="E96:E101" si="15">C96+D96</f>
        <v>113784.54999999999</v>
      </c>
      <c r="F96" s="171"/>
      <c r="G96" s="171">
        <f t="shared" ref="G96:G101" si="16">E96+F96</f>
        <v>113784.54999999999</v>
      </c>
      <c r="H96" s="172">
        <f t="shared" ref="H96:H102" si="17">IF($G$208=0,0,G96/$G$208)</f>
        <v>5.0205844113090092E-2</v>
      </c>
      <c r="I96" s="473"/>
      <c r="J96" s="183">
        <v>9876.4599999999991</v>
      </c>
      <c r="K96" s="183">
        <v>10336.869999999999</v>
      </c>
    </row>
    <row r="97" spans="1:11" s="167" customFormat="1">
      <c r="A97" s="169" t="s">
        <v>86</v>
      </c>
      <c r="B97" s="170" t="s">
        <v>45</v>
      </c>
      <c r="C97" s="501">
        <f>'[39]Sch C'!D90</f>
        <v>0</v>
      </c>
      <c r="D97" s="501">
        <f>'[39]Sch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'[39]Sch C'!D91</f>
        <v>0</v>
      </c>
      <c r="D98" s="501">
        <f>'[39]Sch C'!F91</f>
        <v>0</v>
      </c>
      <c r="E98" s="171">
        <f t="shared" si="15"/>
        <v>0</v>
      </c>
      <c r="F98" s="171"/>
      <c r="G98" s="171">
        <f t="shared" si="16"/>
        <v>0</v>
      </c>
      <c r="H98" s="172">
        <f t="shared" si="17"/>
        <v>0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'[39]Sch C'!D92</f>
        <v>59894.48</v>
      </c>
      <c r="D99" s="501">
        <f>'[39]Sch C'!F92</f>
        <v>-186</v>
      </c>
      <c r="E99" s="171">
        <f t="shared" si="15"/>
        <v>59708.480000000003</v>
      </c>
      <c r="F99" s="171"/>
      <c r="G99" s="171">
        <f t="shared" si="16"/>
        <v>59708.480000000003</v>
      </c>
      <c r="H99" s="172">
        <f t="shared" si="17"/>
        <v>2.634553319505643E-2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'[39]Sch C'!D93</f>
        <v>7401.31</v>
      </c>
      <c r="D100" s="501">
        <f>'[39]Sch C'!F93</f>
        <v>0</v>
      </c>
      <c r="E100" s="171">
        <f t="shared" si="15"/>
        <v>7401.31</v>
      </c>
      <c r="F100" s="171"/>
      <c r="G100" s="171">
        <f t="shared" si="16"/>
        <v>7401.31</v>
      </c>
      <c r="H100" s="172">
        <f t="shared" si="17"/>
        <v>3.2657247059697902E-3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'[39]Sch C'!D94</f>
        <v>0</v>
      </c>
      <c r="D101" s="501">
        <f>'[39]Sch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161692.01999999999</v>
      </c>
      <c r="D102" s="501">
        <f>SUM(D96:D101)</f>
        <v>19202.32</v>
      </c>
      <c r="E102" s="171">
        <f t="shared" ref="E102:F102" si="18">SUM(E96:E101)</f>
        <v>180894.34</v>
      </c>
      <c r="F102" s="171">
        <f t="shared" si="18"/>
        <v>0</v>
      </c>
      <c r="G102" s="171">
        <f>SUM(G96:G101)</f>
        <v>180894.34</v>
      </c>
      <c r="H102" s="172">
        <f t="shared" si="17"/>
        <v>7.981710201411632E-2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'[39]Sch C'!D98</f>
        <v>28203.59</v>
      </c>
      <c r="D105" s="501">
        <f>'[39]Sch C'!F98</f>
        <v>5792.92</v>
      </c>
      <c r="E105" s="171">
        <f t="shared" ref="E105:E110" si="19">C105+D105</f>
        <v>33996.51</v>
      </c>
      <c r="F105" s="171"/>
      <c r="G105" s="171">
        <f t="shared" ref="G105:G110" si="20">E105+F105</f>
        <v>33996.51</v>
      </c>
      <c r="H105" s="172">
        <f t="shared" ref="H105:H111" si="21">IF($G$208=0,0,G105/$G$208)</f>
        <v>1.500048540376623E-2</v>
      </c>
      <c r="I105" s="473"/>
      <c r="J105" s="183">
        <v>2538.6999999999998</v>
      </c>
      <c r="K105" s="183">
        <v>2726.7</v>
      </c>
    </row>
    <row r="106" spans="1:11" s="167" customFormat="1">
      <c r="A106" s="169" t="s">
        <v>86</v>
      </c>
      <c r="B106" s="170" t="s">
        <v>45</v>
      </c>
      <c r="C106" s="501">
        <f>'[39]Sch C'!D99</f>
        <v>0</v>
      </c>
      <c r="D106" s="501">
        <f>'[39]Sch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'[39]Sch C'!D100</f>
        <v>2688.33</v>
      </c>
      <c r="D107" s="501">
        <f>'[39]Sch C'!F100</f>
        <v>0</v>
      </c>
      <c r="E107" s="171">
        <f t="shared" si="19"/>
        <v>2688.33</v>
      </c>
      <c r="F107" s="171"/>
      <c r="G107" s="171">
        <f t="shared" si="20"/>
        <v>2688.33</v>
      </c>
      <c r="H107" s="172">
        <f t="shared" si="21"/>
        <v>1.1861880800560665E-3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'[39]Sch C'!D101</f>
        <v>0</v>
      </c>
      <c r="D108" s="501">
        <f>'[39]Sch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'[39]Sch C'!D102</f>
        <v>1444.09</v>
      </c>
      <c r="D109" s="501">
        <f>'[39]Sch C'!F102</f>
        <v>0</v>
      </c>
      <c r="E109" s="171">
        <f t="shared" si="19"/>
        <v>1444.09</v>
      </c>
      <c r="F109" s="171"/>
      <c r="G109" s="171">
        <f t="shared" si="20"/>
        <v>1444.09</v>
      </c>
      <c r="H109" s="172">
        <f t="shared" si="21"/>
        <v>6.3718455120024891E-4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'[39]Sch C'!D103</f>
        <v>0</v>
      </c>
      <c r="D110" s="501">
        <f>'[39]Sch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32336.01</v>
      </c>
      <c r="D111" s="501">
        <f>SUM(D105:D110)</f>
        <v>5792.92</v>
      </c>
      <c r="E111" s="171">
        <f t="shared" ref="E111:F111" si="22">SUM(E105:E110)</f>
        <v>38128.93</v>
      </c>
      <c r="F111" s="171">
        <f t="shared" si="22"/>
        <v>0</v>
      </c>
      <c r="G111" s="171">
        <f>SUM(G105:G110)</f>
        <v>38128.93</v>
      </c>
      <c r="H111" s="172">
        <f t="shared" si="21"/>
        <v>1.6823858035022544E-2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'[39]Sch C'!D115</f>
        <v>18028.43</v>
      </c>
      <c r="D114" s="501">
        <f>'[39]Sch C'!F115</f>
        <v>3702.83</v>
      </c>
      <c r="E114" s="171">
        <f t="shared" ref="E114:E118" si="23">C114+D114</f>
        <v>21731.260000000002</v>
      </c>
      <c r="F114" s="171"/>
      <c r="G114" s="171">
        <f>E114+F114</f>
        <v>21731.260000000002</v>
      </c>
      <c r="H114" s="172">
        <f t="shared" ref="H114:H119" si="24">IF($G$208=0,0,G114/$G$208)</f>
        <v>9.5886150794728328E-3</v>
      </c>
      <c r="I114" s="473"/>
      <c r="J114" s="183">
        <v>2169.2999999999997</v>
      </c>
      <c r="K114" s="183">
        <v>2193.2999999999997</v>
      </c>
    </row>
    <row r="115" spans="1:11" s="167" customFormat="1">
      <c r="A115" s="169" t="s">
        <v>86</v>
      </c>
      <c r="B115" s="170" t="s">
        <v>151</v>
      </c>
      <c r="C115" s="501">
        <f>'[39]Sch C'!D116</f>
        <v>0</v>
      </c>
      <c r="D115" s="501">
        <f>'[39]Sch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'[39]Sch C'!D117</f>
        <v>8733.2199999999993</v>
      </c>
      <c r="D116" s="501">
        <f>'[39]Sch C'!F117</f>
        <v>0</v>
      </c>
      <c r="E116" s="171">
        <f t="shared" si="23"/>
        <v>8733.2199999999993</v>
      </c>
      <c r="F116" s="171"/>
      <c r="G116" s="171">
        <f>E116+F116</f>
        <v>8733.2199999999993</v>
      </c>
      <c r="H116" s="172">
        <f t="shared" si="24"/>
        <v>3.8534113983429269E-3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'[39]Sch C'!D118</f>
        <v>0</v>
      </c>
      <c r="D117" s="501">
        <f>'[39]Sch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'[39]Sch C'!D119</f>
        <v>0</v>
      </c>
      <c r="D118" s="501">
        <f>'[39]Sch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26761.65</v>
      </c>
      <c r="D119" s="501">
        <f>SUM(D114:D118)</f>
        <v>3702.83</v>
      </c>
      <c r="E119" s="171">
        <f t="shared" ref="E119:F119" si="25">SUM(E114:E118)</f>
        <v>30464.480000000003</v>
      </c>
      <c r="F119" s="171">
        <f t="shared" si="25"/>
        <v>0</v>
      </c>
      <c r="G119" s="171">
        <f>SUM(G114:G118)</f>
        <v>30464.480000000003</v>
      </c>
      <c r="H119" s="172">
        <f t="shared" si="24"/>
        <v>1.344202647781576E-2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'[39]Sch C'!D124</f>
        <v>0</v>
      </c>
      <c r="D123" s="501">
        <f>'[39]Sch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'[39]Sch C'!D125</f>
        <v>110153.75</v>
      </c>
      <c r="D124" s="501">
        <f>'[39]Sch C'!F125</f>
        <v>22624.91</v>
      </c>
      <c r="E124" s="171">
        <f t="shared" si="26"/>
        <v>132778.66</v>
      </c>
      <c r="F124" s="171"/>
      <c r="G124" s="171">
        <f>E124+F124</f>
        <v>132778.66</v>
      </c>
      <c r="H124" s="172">
        <f>IF($G$208=0,0,G124/$G$208)</f>
        <v>5.8586729969095031E-2</v>
      </c>
      <c r="I124" s="473"/>
      <c r="J124" s="183">
        <v>3705.23</v>
      </c>
      <c r="K124" s="183">
        <v>4110.03</v>
      </c>
    </row>
    <row r="125" spans="1:11" s="167" customFormat="1">
      <c r="A125" s="163" t="s">
        <v>198</v>
      </c>
      <c r="B125" s="163" t="s">
        <v>195</v>
      </c>
      <c r="C125" s="501">
        <f>'[39]Sch C'!D126</f>
        <v>0</v>
      </c>
      <c r="D125" s="501">
        <f>'[39]Sch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'[39]Sch C'!D127</f>
        <v>0</v>
      </c>
      <c r="D126" s="501">
        <f>'[39]Sch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'[39]Sch C'!D128</f>
        <v>5727.16</v>
      </c>
      <c r="D127" s="501">
        <f>'[39]Sch C'!F128</f>
        <v>1176.29</v>
      </c>
      <c r="E127" s="171">
        <f t="shared" si="26"/>
        <v>6903.45</v>
      </c>
      <c r="F127" s="171"/>
      <c r="G127" s="171">
        <f>E127+F127</f>
        <v>6903.45</v>
      </c>
      <c r="H127" s="172">
        <f>IF($G$208=0,0,G127/$G$208)</f>
        <v>3.0460509317171078E-3</v>
      </c>
      <c r="I127" s="473"/>
      <c r="J127" s="183">
        <v>0</v>
      </c>
      <c r="K127" s="183">
        <v>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'[39]Sch C'!D130</f>
        <v>0</v>
      </c>
      <c r="D129" s="501">
        <f>'[39]Sch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'[39]Sch C'!D131</f>
        <v>0</v>
      </c>
      <c r="D130" s="501">
        <f>'[39]Sch C'!F131</f>
        <v>16886.419999999998</v>
      </c>
      <c r="E130" s="171">
        <f t="shared" si="27"/>
        <v>16886.419999999998</v>
      </c>
      <c r="F130" s="171"/>
      <c r="G130" s="171">
        <f>E130+F130</f>
        <v>16886.419999999998</v>
      </c>
      <c r="H130" s="172">
        <f>IF($G$208=0,0,G130/$G$208)</f>
        <v>7.4508970694893715E-3</v>
      </c>
      <c r="I130" s="473"/>
      <c r="J130" s="204"/>
      <c r="K130" s="204"/>
    </row>
    <row r="131" spans="1:11" s="167" customFormat="1">
      <c r="B131" s="163" t="s">
        <v>195</v>
      </c>
      <c r="C131" s="501">
        <f>'[39]Sch C'!D132</f>
        <v>0</v>
      </c>
      <c r="D131" s="501">
        <f>'[39]Sch C'!F132</f>
        <v>28075.43</v>
      </c>
      <c r="E131" s="171">
        <f t="shared" si="27"/>
        <v>28075.43</v>
      </c>
      <c r="F131" s="171"/>
      <c r="G131" s="171">
        <f>E131+F131</f>
        <v>28075.43</v>
      </c>
      <c r="H131" s="172">
        <f>IF($G$208=0,0,G131/$G$208)</f>
        <v>1.2387891519437158E-2</v>
      </c>
      <c r="I131" s="473"/>
      <c r="J131" s="168"/>
      <c r="K131" s="168"/>
    </row>
    <row r="132" spans="1:11" s="167" customFormat="1">
      <c r="B132" s="163" t="s">
        <v>196</v>
      </c>
      <c r="C132" s="501">
        <f>'[39]Sch C'!D133</f>
        <v>0</v>
      </c>
      <c r="D132" s="501">
        <f>'[39]Sch C'!F133</f>
        <v>57196.93</v>
      </c>
      <c r="E132" s="171">
        <f t="shared" si="27"/>
        <v>57196.93</v>
      </c>
      <c r="F132" s="171"/>
      <c r="G132" s="171">
        <f>E132+F132</f>
        <v>57196.93</v>
      </c>
      <c r="H132" s="172">
        <f>IF($G$208=0,0,G132/$G$208)</f>
        <v>2.5237346821930802E-2</v>
      </c>
      <c r="I132" s="473"/>
      <c r="J132" s="168"/>
      <c r="K132" s="168"/>
    </row>
    <row r="133" spans="1:11" s="167" customFormat="1">
      <c r="B133" s="163" t="s">
        <v>197</v>
      </c>
      <c r="C133" s="501">
        <f>'[39]Sch C'!D134</f>
        <v>0</v>
      </c>
      <c r="D133" s="501">
        <f>'[39]Sch C'!F134</f>
        <v>0</v>
      </c>
      <c r="E133" s="171">
        <f t="shared" si="27"/>
        <v>0</v>
      </c>
      <c r="F133" s="17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'[39]Sch C'!D136</f>
        <v>82215</v>
      </c>
      <c r="D135" s="501">
        <f>'[39]Sch C'!F136</f>
        <v>0</v>
      </c>
      <c r="E135" s="171">
        <f t="shared" ref="E135:E138" si="28">C135+D135</f>
        <v>82215</v>
      </c>
      <c r="F135" s="171"/>
      <c r="G135" s="171">
        <f>E135+F135</f>
        <v>82215</v>
      </c>
      <c r="H135" s="172">
        <f>IF($G$208=0,0,G135/$G$208)</f>
        <v>3.6276220925931531E-2</v>
      </c>
      <c r="I135" s="473"/>
      <c r="J135" s="183">
        <v>3462.2</v>
      </c>
      <c r="K135" s="183">
        <v>3603.2</v>
      </c>
    </row>
    <row r="136" spans="1:11" s="167" customFormat="1">
      <c r="A136" s="169"/>
      <c r="B136" s="163" t="s">
        <v>195</v>
      </c>
      <c r="C136" s="501">
        <f>'[39]Sch C'!D137</f>
        <v>136691</v>
      </c>
      <c r="D136" s="501">
        <f>'[39]Sch C'!F137</f>
        <v>0</v>
      </c>
      <c r="E136" s="171">
        <f t="shared" si="28"/>
        <v>136691</v>
      </c>
      <c r="F136" s="171"/>
      <c r="G136" s="171">
        <f>E136+F136</f>
        <v>136691</v>
      </c>
      <c r="H136" s="172">
        <f>IF($G$208=0,0,G136/$G$208)</f>
        <v>6.0312995372942976E-2</v>
      </c>
      <c r="I136" s="473"/>
      <c r="J136" s="183">
        <v>7069.8</v>
      </c>
      <c r="K136" s="183">
        <v>7301.16</v>
      </c>
    </row>
    <row r="137" spans="1:11" s="167" customFormat="1">
      <c r="A137" s="169"/>
      <c r="B137" s="163" t="s">
        <v>196</v>
      </c>
      <c r="C137" s="501">
        <f>'[39]Sch C'!D138</f>
        <v>278475</v>
      </c>
      <c r="D137" s="501">
        <f>'[39]Sch C'!F138</f>
        <v>0</v>
      </c>
      <c r="E137" s="171">
        <f t="shared" si="28"/>
        <v>278475</v>
      </c>
      <c r="F137" s="171"/>
      <c r="G137" s="171">
        <f>E137+F137</f>
        <v>278475</v>
      </c>
      <c r="H137" s="172">
        <f>IF($G$208=0,0,G137/$G$208)</f>
        <v>0.12287320589124591</v>
      </c>
      <c r="I137" s="473"/>
      <c r="J137" s="183">
        <v>26440.119999999992</v>
      </c>
      <c r="K137" s="183">
        <v>27306.82</v>
      </c>
    </row>
    <row r="138" spans="1:11" s="167" customFormat="1">
      <c r="A138" s="169"/>
      <c r="B138" s="163" t="s">
        <v>197</v>
      </c>
      <c r="C138" s="501">
        <f>'[39]Sch C'!D139</f>
        <v>0</v>
      </c>
      <c r="D138" s="501">
        <f>'[39]Sch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'[39]Sch C'!D141</f>
        <v>0</v>
      </c>
      <c r="D140" s="501">
        <f>'[39]Sch C'!F141</f>
        <v>0</v>
      </c>
      <c r="E140" s="171">
        <f t="shared" ref="E140:E143" si="29">C140+D140</f>
        <v>0</v>
      </c>
      <c r="F140" s="171"/>
      <c r="G140" s="171">
        <f>E140+F140</f>
        <v>0</v>
      </c>
      <c r="H140" s="172">
        <f>IF($G$208=0,0,G140/$G$208)</f>
        <v>0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'[39]Sch C'!D142</f>
        <v>0</v>
      </c>
      <c r="D141" s="501">
        <f>'[39]Sch C'!F142</f>
        <v>0</v>
      </c>
      <c r="E141" s="171">
        <f t="shared" si="29"/>
        <v>0</v>
      </c>
      <c r="F141" s="171"/>
      <c r="G141" s="171">
        <f>E141+F141</f>
        <v>0</v>
      </c>
      <c r="H141" s="172">
        <f>IF($G$208=0,0,G141/$G$208)</f>
        <v>0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'[39]Sch C'!D143</f>
        <v>0</v>
      </c>
      <c r="D142" s="501">
        <f>'[39]Sch C'!F143</f>
        <v>0</v>
      </c>
      <c r="E142" s="171">
        <f t="shared" si="29"/>
        <v>0</v>
      </c>
      <c r="F142" s="171"/>
      <c r="G142" s="171">
        <f>E142+F142</f>
        <v>0</v>
      </c>
      <c r="H142" s="172">
        <f>IF($G$208=0,0,G142/$G$208)</f>
        <v>0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'[39]Sch C'!D144</f>
        <v>0</v>
      </c>
      <c r="D143" s="501">
        <f>'[39]Sch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'[39]Sch C'!D146</f>
        <v>8400</v>
      </c>
      <c r="D145" s="501">
        <f>'[39]Sch C'!F146</f>
        <v>0</v>
      </c>
      <c r="E145" s="171">
        <f t="shared" ref="E145:E153" si="30">C145+D145</f>
        <v>8400</v>
      </c>
      <c r="F145" s="171"/>
      <c r="G145" s="171">
        <f t="shared" ref="G145:G153" si="31">E145+F145</f>
        <v>8400</v>
      </c>
      <c r="H145" s="172">
        <f t="shared" ref="H145:H153" si="32">IF($G$208=0,0,G145/$G$208)</f>
        <v>3.7063827255102459E-3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'[39]Sch C'!D147</f>
        <v>0</v>
      </c>
      <c r="D146" s="501">
        <f>'[39]Sch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'[39]Sch C'!D148</f>
        <v>0</v>
      </c>
      <c r="D147" s="501">
        <f>'[39]Sch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'[39]Sch C'!D149</f>
        <v>0</v>
      </c>
      <c r="D148" s="501">
        <f>'[39]Sch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'[39]Sch C'!D150</f>
        <v>3266</v>
      </c>
      <c r="D149" s="501">
        <f>'[39]Sch C'!F150</f>
        <v>0</v>
      </c>
      <c r="E149" s="171">
        <f t="shared" si="30"/>
        <v>3266</v>
      </c>
      <c r="F149" s="171"/>
      <c r="G149" s="171">
        <f t="shared" si="31"/>
        <v>3266</v>
      </c>
      <c r="H149" s="172">
        <f t="shared" si="32"/>
        <v>1.4410769025614836E-3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'[39]Sch C'!D151</f>
        <v>59892.37</v>
      </c>
      <c r="D150" s="501">
        <f>'[39]Sch C'!F151</f>
        <v>0</v>
      </c>
      <c r="E150" s="171">
        <f t="shared" si="30"/>
        <v>59892.37</v>
      </c>
      <c r="F150" s="171">
        <f>-800-1282</f>
        <v>-2082</v>
      </c>
      <c r="G150" s="171">
        <f t="shared" si="31"/>
        <v>57810.37</v>
      </c>
      <c r="H150" s="172">
        <f t="shared" si="32"/>
        <v>2.5508018657542351E-2</v>
      </c>
      <c r="I150" s="473" t="s">
        <v>696</v>
      </c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'[39]Sch C'!D152</f>
        <v>0</v>
      </c>
      <c r="D151" s="501">
        <f>'[39]Sch C'!F152</f>
        <v>0</v>
      </c>
      <c r="E151" s="171">
        <f t="shared" si="30"/>
        <v>0</v>
      </c>
      <c r="F151" s="171"/>
      <c r="G151" s="171">
        <f t="shared" si="31"/>
        <v>0</v>
      </c>
      <c r="H151" s="172">
        <f t="shared" si="32"/>
        <v>0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'[39]Sch C'!D153</f>
        <v>0</v>
      </c>
      <c r="D152" s="501">
        <f>'[39]Sch C'!F153</f>
        <v>0</v>
      </c>
      <c r="E152" s="171">
        <f t="shared" si="30"/>
        <v>0</v>
      </c>
      <c r="F152" s="171">
        <v>800</v>
      </c>
      <c r="G152" s="171">
        <f t="shared" si="31"/>
        <v>800</v>
      </c>
      <c r="H152" s="172">
        <f t="shared" si="32"/>
        <v>3.5298883100097581E-4</v>
      </c>
      <c r="I152" s="473" t="s">
        <v>693</v>
      </c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'[39]Sch C'!D154</f>
        <v>0</v>
      </c>
      <c r="D153" s="501">
        <f>'[39]Sch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'[39]Sch C'!D156</f>
        <v>0</v>
      </c>
      <c r="D155" s="501">
        <f>'[39]Sch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'[39]Sch C'!D157</f>
        <v>0</v>
      </c>
      <c r="D156" s="501">
        <f>'[39]Sch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'[39]Sch C'!D158</f>
        <v>0</v>
      </c>
      <c r="D157" s="501">
        <f>'[39]Sch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'[39]Sch C'!D159</f>
        <v>0</v>
      </c>
      <c r="D158" s="501">
        <f>'[39]Sch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'[39]Sch C'!D160</f>
        <v>0</v>
      </c>
      <c r="D159" s="501">
        <f>'[39]Sch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'[39]Sch C'!D161</f>
        <v>1885.34</v>
      </c>
      <c r="D160" s="501">
        <f>'[39]Sch C'!F161</f>
        <v>0</v>
      </c>
      <c r="E160" s="171">
        <f t="shared" si="33"/>
        <v>1885.34</v>
      </c>
      <c r="F160" s="171"/>
      <c r="G160" s="171">
        <f t="shared" si="34"/>
        <v>1885.34</v>
      </c>
      <c r="H160" s="172">
        <f t="shared" si="35"/>
        <v>8.318799532992246E-4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686705.62</v>
      </c>
      <c r="D161" s="501">
        <f>SUM(D123:D160)</f>
        <v>125959.97999999998</v>
      </c>
      <c r="E161" s="171">
        <f t="shared" ref="E161:F161" si="36">SUM(E123:E160)</f>
        <v>812665.6</v>
      </c>
      <c r="F161" s="171">
        <f t="shared" si="36"/>
        <v>-1282</v>
      </c>
      <c r="G161" s="171">
        <f>SUM(G123:G160)</f>
        <v>811383.6</v>
      </c>
      <c r="H161" s="172">
        <f t="shared" si="35"/>
        <v>0.35801168557170415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'[39]Sch C'!D175</f>
        <v>0</v>
      </c>
      <c r="D164" s="501">
        <f>'[39]Sch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'[39]Sch C'!D176</f>
        <v>0</v>
      </c>
      <c r="D165" s="501">
        <f>'[39]Sch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'[39]Sch C'!D177</f>
        <v>0</v>
      </c>
      <c r="D166" s="501">
        <f>'[39]Sch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'[39]Sch C'!D178</f>
        <v>0</v>
      </c>
      <c r="D167" s="501">
        <f>'[39]Sch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'[39]Sch C'!D179</f>
        <v>0</v>
      </c>
      <c r="D168" s="501">
        <f>'[39]Sch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'[39]Sch C'!D180</f>
        <v>0</v>
      </c>
      <c r="D169" s="501">
        <f>'[39]Sch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'[39]Sch C'!D181</f>
        <v>0</v>
      </c>
      <c r="D170" s="501">
        <f>'[39]Sch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'[39]Sch C'!D182</f>
        <v>0</v>
      </c>
      <c r="D171" s="501">
        <f>'[39]Sch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'[39]Sch C'!D183</f>
        <v>0</v>
      </c>
      <c r="D172" s="501">
        <f>'[39]Sch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'[39]Sch C'!D184</f>
        <v>0</v>
      </c>
      <c r="D173" s="501">
        <f>'[39]Sch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'[39]Sch C'!D185</f>
        <v>0</v>
      </c>
      <c r="D174" s="501">
        <f>'[39]Sch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'[39]Sch C'!D186</f>
        <v>0</v>
      </c>
      <c r="D175" s="501">
        <f>'[39]Sch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'[39]Sch C'!D187</f>
        <v>0</v>
      </c>
      <c r="D176" s="501">
        <f>'[39]Sch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'[39]Sch C'!D188</f>
        <v>0</v>
      </c>
      <c r="D177" s="501">
        <f>'[39]Sch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'[39]Sch C'!D189</f>
        <v>0</v>
      </c>
      <c r="D178" s="501">
        <f>'[39]Sch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'[39]Sch C'!D190</f>
        <v>0</v>
      </c>
      <c r="D179" s="501">
        <f>'[39]Sch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'[39]Sch C'!D191</f>
        <v>0</v>
      </c>
      <c r="D180" s="501">
        <f>'[39]Sch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'[39]Sch C'!D192</f>
        <v>0</v>
      </c>
      <c r="D181" s="501">
        <f>'[39]Sch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'[39]Sch C'!D193</f>
        <v>0</v>
      </c>
      <c r="D182" s="501">
        <f>'[39]Sch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'[39]Sch C'!D194</f>
        <v>119502.52</v>
      </c>
      <c r="D183" s="501">
        <f>'[39]Sch C'!F194</f>
        <v>0</v>
      </c>
      <c r="E183" s="171">
        <f t="shared" si="37"/>
        <v>119502.52</v>
      </c>
      <c r="F183" s="216"/>
      <c r="G183" s="171">
        <f t="shared" si="38"/>
        <v>119502.52</v>
      </c>
      <c r="H183" s="172">
        <f t="shared" si="39"/>
        <v>5.2728818545588411E-2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'[39]Sch C'!D195</f>
        <v>0</v>
      </c>
      <c r="D184" s="501">
        <f>'[39]Sch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'[39]Sch C'!D196</f>
        <v>17689.54</v>
      </c>
      <c r="D185" s="501">
        <f>'[39]Sch C'!F196</f>
        <v>0</v>
      </c>
      <c r="E185" s="171">
        <f t="shared" si="37"/>
        <v>17689.54</v>
      </c>
      <c r="F185" s="216"/>
      <c r="G185" s="171">
        <f t="shared" si="38"/>
        <v>17689.54</v>
      </c>
      <c r="H185" s="172">
        <f t="shared" si="39"/>
        <v>7.8052625569312523E-3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'[39]Sch C'!D197</f>
        <v>68046.44</v>
      </c>
      <c r="D186" s="501">
        <f>'[39]Sch C'!F197</f>
        <v>0</v>
      </c>
      <c r="E186" s="171">
        <f t="shared" si="37"/>
        <v>68046.44</v>
      </c>
      <c r="F186" s="216"/>
      <c r="G186" s="171">
        <f t="shared" si="38"/>
        <v>68046.44</v>
      </c>
      <c r="H186" s="172">
        <f t="shared" si="39"/>
        <v>3.0024541636722548E-2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'[39]Sch C'!D198</f>
        <v>6104.13</v>
      </c>
      <c r="D187" s="501">
        <f>'[39]Sch C'!F198</f>
        <v>0</v>
      </c>
      <c r="E187" s="171">
        <f t="shared" si="37"/>
        <v>6104.13</v>
      </c>
      <c r="F187" s="216"/>
      <c r="G187" s="171">
        <f t="shared" si="38"/>
        <v>6104.13</v>
      </c>
      <c r="H187" s="172">
        <f t="shared" si="39"/>
        <v>2.6933621412224829E-3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'[39]Sch C'!D199</f>
        <v>0</v>
      </c>
      <c r="D188" s="501">
        <f>'[39]Sch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'[39]Sch C'!D200</f>
        <v>0</v>
      </c>
      <c r="D189" s="501">
        <f>'[39]Sch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'[39]Sch C'!D201</f>
        <v>0</v>
      </c>
      <c r="D190" s="501">
        <f>'[39]Sch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'[39]Sch C'!D202</f>
        <v>0</v>
      </c>
      <c r="D191" s="501">
        <f>'[39]Sch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'[39]Sch C'!D203</f>
        <v>0</v>
      </c>
      <c r="D192" s="501">
        <f>'[39]Sch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'[39]Sch C'!D204</f>
        <v>0</v>
      </c>
      <c r="D193" s="501">
        <f>'[39]Sch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'[39]Sch C'!D205</f>
        <v>65240.709999999992</v>
      </c>
      <c r="D194" s="501">
        <f>'[39]Sch C'!F205</f>
        <v>0</v>
      </c>
      <c r="E194" s="171">
        <f t="shared" si="37"/>
        <v>65240.709999999992</v>
      </c>
      <c r="F194" s="216">
        <v>1282</v>
      </c>
      <c r="G194" s="171">
        <f t="shared" si="38"/>
        <v>66522.709999999992</v>
      </c>
      <c r="H194" s="172">
        <f t="shared" si="39"/>
        <v>2.9352217047396149E-2</v>
      </c>
      <c r="I194" s="473" t="s">
        <v>693</v>
      </c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'[39]Sch C'!D206</f>
        <v>3500.26</v>
      </c>
      <c r="D195" s="501">
        <f>'[39]Sch C'!F206</f>
        <v>0</v>
      </c>
      <c r="E195" s="171">
        <f t="shared" si="37"/>
        <v>3500.26</v>
      </c>
      <c r="F195" s="216"/>
      <c r="G195" s="171">
        <f t="shared" si="38"/>
        <v>3500.26</v>
      </c>
      <c r="H195" s="172">
        <f t="shared" si="39"/>
        <v>1.5444408569993445E-3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'[39]Sch C'!D207</f>
        <v>0</v>
      </c>
      <c r="D196" s="501">
        <f>'[39]Sch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280083.59999999998</v>
      </c>
      <c r="D197" s="501">
        <f>SUM(D164:D196)</f>
        <v>0</v>
      </c>
      <c r="E197" s="171">
        <f t="shared" ref="E197:F197" si="40">SUM(E164:E196)</f>
        <v>280083.59999999998</v>
      </c>
      <c r="F197" s="171">
        <f t="shared" si="40"/>
        <v>1282</v>
      </c>
      <c r="G197" s="171">
        <f>SUM(G164:G196)</f>
        <v>281365.59999999998</v>
      </c>
      <c r="H197" s="172">
        <f>IF($G$208=0,0,G197/$G$208)</f>
        <v>0.12414864278486018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'[39]Sch C'!D211</f>
        <v>47811.32</v>
      </c>
      <c r="D200" s="501">
        <f>'[39]Sch C'!F211</f>
        <v>9820.06</v>
      </c>
      <c r="E200" s="171">
        <f t="shared" ref="E200:E205" si="41">C200+D200</f>
        <v>57631.38</v>
      </c>
      <c r="F200" s="171"/>
      <c r="G200" s="171">
        <f t="shared" ref="G200:G205" si="42">E200+F200</f>
        <v>57631.38</v>
      </c>
      <c r="H200" s="172">
        <f t="shared" ref="H200:H206" si="43">IF($G$208=0,0,G200/$G$208)</f>
        <v>2.5429041818966269E-2</v>
      </c>
      <c r="I200" s="473"/>
      <c r="J200" s="183">
        <v>3777.8900000000003</v>
      </c>
      <c r="K200" s="183">
        <v>3987.8900000000003</v>
      </c>
    </row>
    <row r="201" spans="1:14" s="167" customFormat="1">
      <c r="A201" s="169" t="s">
        <v>86</v>
      </c>
      <c r="B201" s="170" t="s">
        <v>45</v>
      </c>
      <c r="C201" s="501">
        <f>'[39]Sch C'!D212</f>
        <v>0</v>
      </c>
      <c r="D201" s="501">
        <f>'[39]Sch C'!F212</f>
        <v>0</v>
      </c>
      <c r="E201" s="171">
        <f t="shared" si="41"/>
        <v>0</v>
      </c>
      <c r="F201" s="171"/>
      <c r="G201" s="171">
        <f t="shared" si="42"/>
        <v>0</v>
      </c>
      <c r="H201" s="172">
        <f t="shared" si="43"/>
        <v>0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'[39]Sch C'!D213</f>
        <v>1908.82</v>
      </c>
      <c r="D202" s="501">
        <f>'[39]Sch C'!F213</f>
        <v>0</v>
      </c>
      <c r="E202" s="171">
        <f t="shared" si="41"/>
        <v>1908.82</v>
      </c>
      <c r="F202" s="171"/>
      <c r="G202" s="171">
        <f t="shared" si="42"/>
        <v>1908.82</v>
      </c>
      <c r="H202" s="172">
        <f t="shared" si="43"/>
        <v>8.4224017548910324E-4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'[39]Sch C'!D214</f>
        <v>0</v>
      </c>
      <c r="D203" s="501">
        <f>'[39]Sch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'[39]Sch C'!D215</f>
        <v>0</v>
      </c>
      <c r="D204" s="501">
        <f>'[39]Sch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'[39]Sch C'!D216</f>
        <v>1057.68</v>
      </c>
      <c r="D205" s="501">
        <f>'[39]Sch C'!F216</f>
        <v>0</v>
      </c>
      <c r="E205" s="171">
        <f t="shared" si="41"/>
        <v>1057.68</v>
      </c>
      <c r="F205" s="171"/>
      <c r="G205" s="171">
        <f t="shared" si="42"/>
        <v>1057.68</v>
      </c>
      <c r="H205" s="172">
        <f t="shared" si="43"/>
        <v>4.6668653346639011E-4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50777.82</v>
      </c>
      <c r="D206" s="501">
        <f>SUM(D200:D205)</f>
        <v>9820.06</v>
      </c>
      <c r="E206" s="171">
        <f t="shared" ref="E206:F206" si="44">SUM(E200:E205)</f>
        <v>60597.88</v>
      </c>
      <c r="F206" s="171">
        <f t="shared" si="44"/>
        <v>0</v>
      </c>
      <c r="G206" s="171">
        <f>SUM(G200:G205)</f>
        <v>60597.88</v>
      </c>
      <c r="H206" s="172">
        <f t="shared" si="43"/>
        <v>2.6737968527921763E-2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2607831.13</v>
      </c>
      <c r="D208" s="501">
        <f>SUM(D25:D206)/2</f>
        <v>-340435.46999999991</v>
      </c>
      <c r="E208" s="171">
        <f t="shared" ref="E208:F208" si="45">SUM(E25:E206)/2</f>
        <v>2267395.66</v>
      </c>
      <c r="F208" s="171">
        <f t="shared" si="45"/>
        <v>-1035</v>
      </c>
      <c r="G208" s="171">
        <f>SUM(G25:G206)/2</f>
        <v>2266360.66</v>
      </c>
      <c r="H208" s="172">
        <f>IF($G$208=0,0,G208/$G$208)</f>
        <v>1</v>
      </c>
      <c r="I208" s="473"/>
      <c r="J208" s="183">
        <f>SUM(J25:J200)</f>
        <v>64674.529999999984</v>
      </c>
      <c r="K208" s="183">
        <f>SUM(K25:K200)</f>
        <v>67758.900000000009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'[39]Sch C'!D221</f>
        <v>2607830.92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0.2099999999627471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105670.00999999978</v>
      </c>
      <c r="D215" s="501">
        <f>D21-D208</f>
        <v>335906.12999999989</v>
      </c>
      <c r="E215" s="171">
        <f t="shared" ref="E215:F215" si="46">E21-E208</f>
        <v>441576.1399999992</v>
      </c>
      <c r="F215" s="171">
        <f t="shared" si="46"/>
        <v>129347</v>
      </c>
      <c r="G215" s="171">
        <f>G21-G208</f>
        <v>570923.13999999966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'[39]Sch D'!C9</f>
        <v>3886</v>
      </c>
      <c r="D219" s="530"/>
      <c r="E219" s="234">
        <f t="shared" ref="E219:G227" si="47">C219+D219</f>
        <v>3886</v>
      </c>
      <c r="F219" s="233"/>
      <c r="G219" s="234">
        <f t="shared" si="47"/>
        <v>3886</v>
      </c>
      <c r="H219" s="172">
        <f t="shared" ref="H219:H228" si="48">IF($G$228=0,0,G219/$G$228)</f>
        <v>0.39620717781402937</v>
      </c>
      <c r="I219" s="473"/>
      <c r="J219" s="168"/>
      <c r="K219" s="168"/>
    </row>
    <row r="220" spans="1:11">
      <c r="A220" s="163"/>
      <c r="B220" s="170" t="s">
        <v>217</v>
      </c>
      <c r="C220" s="530">
        <f>'[39]Sch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'[39]Sch D'!E9</f>
        <v>1250</v>
      </c>
      <c r="D221" s="530"/>
      <c r="E221" s="234">
        <f t="shared" si="49"/>
        <v>1250</v>
      </c>
      <c r="F221" s="233"/>
      <c r="G221" s="234">
        <f t="shared" si="47"/>
        <v>1250</v>
      </c>
      <c r="H221" s="172">
        <f t="shared" si="48"/>
        <v>0.12744698205546492</v>
      </c>
      <c r="I221" s="473"/>
      <c r="J221" s="168"/>
      <c r="K221" s="168"/>
    </row>
    <row r="222" spans="1:11">
      <c r="A222" s="163"/>
      <c r="B222" s="202" t="s">
        <v>334</v>
      </c>
      <c r="C222" s="530">
        <f>'[39]Sch D'!F9</f>
        <v>755</v>
      </c>
      <c r="D222" s="530"/>
      <c r="E222" s="234">
        <f>C222+D222</f>
        <v>755</v>
      </c>
      <c r="F222" s="233"/>
      <c r="G222" s="234">
        <f>E222+F222</f>
        <v>755</v>
      </c>
      <c r="H222" s="172">
        <f t="shared" si="48"/>
        <v>7.6977977161500816E-2</v>
      </c>
      <c r="I222" s="473"/>
      <c r="J222" s="168"/>
      <c r="K222" s="168"/>
    </row>
    <row r="223" spans="1:11">
      <c r="A223" s="163"/>
      <c r="B223" s="170" t="s">
        <v>73</v>
      </c>
      <c r="C223" s="530">
        <f>'[39]Sch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'[39]Sch D'!H9</f>
        <v>2750</v>
      </c>
      <c r="D224" s="530"/>
      <c r="E224" s="234">
        <f t="shared" si="49"/>
        <v>2750</v>
      </c>
      <c r="F224" s="233"/>
      <c r="G224" s="234">
        <f t="shared" si="47"/>
        <v>2750</v>
      </c>
      <c r="H224" s="172">
        <f t="shared" si="48"/>
        <v>0.28038336052202284</v>
      </c>
      <c r="I224" s="473"/>
      <c r="J224" s="168"/>
      <c r="K224" s="168"/>
    </row>
    <row r="225" spans="1:11">
      <c r="A225" s="163"/>
      <c r="B225" s="170" t="s">
        <v>236</v>
      </c>
      <c r="C225" s="530">
        <f>'[39]Sch D'!I9</f>
        <v>1167</v>
      </c>
      <c r="D225" s="530"/>
      <c r="E225" s="234">
        <f t="shared" si="49"/>
        <v>1167</v>
      </c>
      <c r="F225" s="233"/>
      <c r="G225" s="234">
        <f t="shared" si="47"/>
        <v>1167</v>
      </c>
      <c r="H225" s="172">
        <f t="shared" si="48"/>
        <v>0.11898450244698205</v>
      </c>
      <c r="I225" s="473"/>
      <c r="J225" s="168"/>
      <c r="K225" s="168"/>
    </row>
    <row r="226" spans="1:11">
      <c r="A226" s="163"/>
      <c r="B226" s="170" t="s">
        <v>235</v>
      </c>
      <c r="C226" s="530">
        <f>'[39]Sch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'[39]Sch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9808</v>
      </c>
      <c r="D228" s="530">
        <f>SUM(D219:D227)</f>
        <v>0</v>
      </c>
      <c r="E228" s="236">
        <f>SUM(E219:E227)</f>
        <v>9808</v>
      </c>
      <c r="F228" s="236">
        <f>SUM(F219:F227)</f>
        <v>0</v>
      </c>
      <c r="G228" s="236">
        <f>SUM(G219:G227)</f>
        <v>9808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'[39]Sch D'!N22</f>
        <v>38</v>
      </c>
      <c r="D231" s="502"/>
      <c r="E231" s="234">
        <f>C231+D231</f>
        <v>38</v>
      </c>
      <c r="F231" s="234"/>
      <c r="G231" s="234">
        <f>E231+F231</f>
        <v>38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'[39]Sch D'!N24</f>
        <v>38</v>
      </c>
      <c r="D232" s="502"/>
      <c r="E232" s="234">
        <f>C232+D232</f>
        <v>38</v>
      </c>
      <c r="F232" s="234"/>
      <c r="G232" s="234">
        <f>E232+F232</f>
        <v>38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'[39]Sch D'!N28</f>
        <v>13870</v>
      </c>
      <c r="D235" s="438"/>
      <c r="E235" s="233">
        <f>E231*E233</f>
        <v>13870</v>
      </c>
      <c r="F235" s="238"/>
      <c r="G235" s="233">
        <f>G231*G233</f>
        <v>13870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'[39]Sch D'!N30</f>
        <v>0.70713770728190339</v>
      </c>
      <c r="D236" s="238"/>
      <c r="E236" s="242">
        <f>E228/E235</f>
        <v>0.70713770728190339</v>
      </c>
      <c r="F236" s="243"/>
      <c r="G236" s="242">
        <f>G228/G235</f>
        <v>0.70713770728190339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'[39]Sch D'!N32</f>
        <v>0.28017303532804616</v>
      </c>
      <c r="D237" s="238"/>
      <c r="E237" s="242">
        <f>(E219+E220)/E235</f>
        <v>0.28017303532804616</v>
      </c>
      <c r="F237" s="243"/>
      <c r="G237" s="242">
        <f>(G219+G220)/G235</f>
        <v>0.28017303532804616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'[39]Sch D'!N34</f>
        <v>0.39620717781402937</v>
      </c>
      <c r="D238" s="238"/>
      <c r="E238" s="242">
        <f>(E237/E236)</f>
        <v>0.39620717781402937</v>
      </c>
      <c r="F238" s="243"/>
      <c r="G238" s="242">
        <f>(G237/G236)</f>
        <v>0.39620717781402937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'[39]Sch B'!C85</f>
        <v>164.86651053864168</v>
      </c>
      <c r="I241" s="475"/>
    </row>
    <row r="242" spans="2:9">
      <c r="F242" s="142" t="s">
        <v>341</v>
      </c>
      <c r="G242" s="501">
        <f>'[39]Sch B'!E85</f>
        <v>183.16863905325442</v>
      </c>
      <c r="I242" s="475"/>
    </row>
    <row r="243" spans="2:9">
      <c r="F243" s="142" t="s">
        <v>342</v>
      </c>
      <c r="G243" s="501">
        <f>'[39]Sch B'!G85</f>
        <v>186.71590909090909</v>
      </c>
      <c r="I243" s="475"/>
    </row>
    <row r="244" spans="2:9">
      <c r="F244" s="142" t="s">
        <v>343</v>
      </c>
      <c r="G244" s="501">
        <f>'[39]Sch B'!I85</f>
        <v>189.73013245033113</v>
      </c>
      <c r="I244" s="475"/>
    </row>
    <row r="245" spans="2:9">
      <c r="F245" s="142"/>
      <c r="I245" s="475"/>
    </row>
    <row r="246" spans="2:9">
      <c r="I246" s="475"/>
    </row>
  </sheetData>
  <phoneticPr fontId="16" type="noConversion"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E28CAB"/>
  </sheetPr>
  <dimension ref="A1:X246"/>
  <sheetViews>
    <sheetView showGridLines="0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20" width="8.6640625" style="140"/>
    <col min="21" max="22" width="8.6640625" style="496"/>
    <col min="23" max="16384" width="8.6640625" style="140"/>
  </cols>
  <sheetData>
    <row r="1" spans="1:22" ht="36.75" customHeight="1">
      <c r="A1" s="138" t="str">
        <f>'ALPINE MEADOW'!A1</f>
        <v>schedules revised 7/2017</v>
      </c>
      <c r="B1" s="139" t="s">
        <v>304</v>
      </c>
      <c r="C1" s="458"/>
      <c r="D1" s="429"/>
      <c r="E1" s="429"/>
      <c r="F1" s="504"/>
      <c r="G1" s="429"/>
      <c r="H1" s="429"/>
      <c r="I1" s="430"/>
    </row>
    <row r="2" spans="1:22" ht="23">
      <c r="B2" s="143" t="s">
        <v>189</v>
      </c>
      <c r="C2" s="244" t="s">
        <v>547</v>
      </c>
      <c r="D2" s="244"/>
      <c r="E2" s="144"/>
    </row>
    <row r="3" spans="1:22">
      <c r="A3" s="145"/>
      <c r="B3" s="140" t="s">
        <v>79</v>
      </c>
      <c r="C3" s="146">
        <v>42552</v>
      </c>
      <c r="D3" s="345"/>
      <c r="E3" s="147"/>
      <c r="F3" s="459"/>
    </row>
    <row r="4" spans="1:22" ht="15.5">
      <c r="A4" s="145"/>
      <c r="B4" s="148" t="s">
        <v>80</v>
      </c>
      <c r="C4" s="146">
        <v>42916</v>
      </c>
      <c r="D4"/>
      <c r="E4" s="149"/>
      <c r="F4" s="494"/>
    </row>
    <row r="5" spans="1:22" ht="15.5">
      <c r="A5" s="145"/>
      <c r="B5" s="148"/>
      <c r="C5" s="151"/>
      <c r="D5"/>
      <c r="F5" s="495"/>
    </row>
    <row r="6" spans="1:22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22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22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22">
      <c r="A9" s="145"/>
      <c r="C9" s="151"/>
      <c r="D9" s="144"/>
      <c r="F9" s="651" t="s">
        <v>708</v>
      </c>
      <c r="G9" s="144"/>
      <c r="I9" s="475"/>
    </row>
    <row r="10" spans="1:22" s="167" customFormat="1" ht="16" thickBot="1">
      <c r="A10" s="163" t="s">
        <v>245</v>
      </c>
      <c r="B10" s="164" t="s">
        <v>246</v>
      </c>
      <c r="C10" s="518"/>
      <c r="D10" s="165"/>
      <c r="E10" s="165"/>
      <c r="F10" t="s">
        <v>669</v>
      </c>
      <c r="G10" s="165"/>
      <c r="H10" s="166"/>
      <c r="I10" s="478"/>
      <c r="J10" s="168"/>
      <c r="K10" s="168"/>
      <c r="U10" s="461"/>
      <c r="V10" s="461"/>
    </row>
    <row r="11" spans="1:22" s="167" customFormat="1">
      <c r="A11" s="169" t="s">
        <v>13</v>
      </c>
      <c r="B11" s="170" t="s">
        <v>213</v>
      </c>
      <c r="C11" s="501">
        <f>'[40]Sch B'!E10</f>
        <v>1885952.9499999997</v>
      </c>
      <c r="D11" s="501">
        <f>'[40]Sch B'!G10</f>
        <v>0</v>
      </c>
      <c r="E11" s="171">
        <f>C11+D11</f>
        <v>1885952.9499999997</v>
      </c>
      <c r="F11" s="171">
        <f>77.55+274304</f>
        <v>274381.55</v>
      </c>
      <c r="G11" s="171">
        <f t="shared" ref="G11:G20" si="0">E11+F11</f>
        <v>2160334.4999999995</v>
      </c>
      <c r="H11" s="172">
        <f t="shared" ref="H11:H21" si="1">IF($G$21=0,0,G11/$G$21)</f>
        <v>0.63312664030973897</v>
      </c>
      <c r="I11" s="473" t="s">
        <v>668</v>
      </c>
      <c r="J11" s="336" t="s">
        <v>344</v>
      </c>
      <c r="K11" s="337">
        <f>G21</f>
        <v>3412168.0599999996</v>
      </c>
      <c r="U11" s="461"/>
      <c r="V11" s="461"/>
    </row>
    <row r="12" spans="1:22" s="167" customFormat="1">
      <c r="A12" s="169" t="s">
        <v>15</v>
      </c>
      <c r="B12" s="170" t="s">
        <v>212</v>
      </c>
      <c r="C12" s="501">
        <f>'[40]Sch B'!E15</f>
        <v>0</v>
      </c>
      <c r="D12" s="501">
        <f>'[40]Sch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2437482.0300000003</v>
      </c>
      <c r="U12" s="461"/>
      <c r="V12" s="461"/>
    </row>
    <row r="13" spans="1:22" s="167" customFormat="1">
      <c r="A13" s="169" t="s">
        <v>16</v>
      </c>
      <c r="B13" s="170" t="s">
        <v>170</v>
      </c>
      <c r="C13" s="501">
        <f>'[40]Sch B'!E21</f>
        <v>340513.39</v>
      </c>
      <c r="D13" s="501">
        <f>'[40]Sch B'!G21</f>
        <v>0</v>
      </c>
      <c r="E13" s="171">
        <f t="shared" si="2"/>
        <v>340513.39</v>
      </c>
      <c r="F13" s="171">
        <v>-77.55</v>
      </c>
      <c r="G13" s="171">
        <f t="shared" si="0"/>
        <v>340435.84</v>
      </c>
      <c r="H13" s="172">
        <f t="shared" si="1"/>
        <v>9.977112323125141E-2</v>
      </c>
      <c r="I13" s="479" t="s">
        <v>668</v>
      </c>
      <c r="J13" s="338" t="s">
        <v>346</v>
      </c>
      <c r="K13" s="339">
        <f>G228</f>
        <v>13663</v>
      </c>
      <c r="U13" s="461"/>
      <c r="V13" s="461"/>
    </row>
    <row r="14" spans="1:22" s="167" customFormat="1">
      <c r="A14" s="173" t="s">
        <v>18</v>
      </c>
      <c r="B14" s="174" t="s">
        <v>306</v>
      </c>
      <c r="C14" s="501">
        <f>'[40]Sch B'!E27</f>
        <v>30875</v>
      </c>
      <c r="D14" s="501">
        <f>'[40]Sch B'!G27</f>
        <v>0</v>
      </c>
      <c r="E14" s="171">
        <f t="shared" si="2"/>
        <v>30875</v>
      </c>
      <c r="F14" s="171"/>
      <c r="G14" s="175">
        <f>E14+F14</f>
        <v>30875</v>
      </c>
      <c r="H14" s="176">
        <f t="shared" si="1"/>
        <v>9.0484992113782359E-3</v>
      </c>
      <c r="J14" s="338" t="s">
        <v>347</v>
      </c>
      <c r="K14" s="339">
        <f>G231</f>
        <v>46</v>
      </c>
      <c r="U14" s="461"/>
      <c r="V14" s="461"/>
    </row>
    <row r="15" spans="1:22" s="167" customFormat="1">
      <c r="A15" s="169" t="s">
        <v>19</v>
      </c>
      <c r="B15" s="170" t="s">
        <v>171</v>
      </c>
      <c r="C15" s="501">
        <f>'[40]Sch B'!E32</f>
        <v>0</v>
      </c>
      <c r="D15" s="501">
        <f>'[40]Sch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16790</v>
      </c>
      <c r="U15" s="461"/>
      <c r="V15" s="461"/>
    </row>
    <row r="16" spans="1:22" s="167" customFormat="1">
      <c r="A16" s="169" t="s">
        <v>21</v>
      </c>
      <c r="B16" s="170" t="s">
        <v>172</v>
      </c>
      <c r="C16" s="501">
        <f>'[40]Sch B'!E37</f>
        <v>502371.04</v>
      </c>
      <c r="D16" s="501">
        <f>'[40]Sch B'!G37</f>
        <v>0</v>
      </c>
      <c r="E16" s="171">
        <f t="shared" si="2"/>
        <v>502371.04</v>
      </c>
      <c r="F16" s="171"/>
      <c r="G16" s="171">
        <f t="shared" si="0"/>
        <v>502371.04</v>
      </c>
      <c r="H16" s="172">
        <f t="shared" si="1"/>
        <v>0.1472292780326887</v>
      </c>
      <c r="I16" s="473"/>
      <c r="J16" s="340"/>
      <c r="K16" s="339"/>
      <c r="U16" s="461"/>
      <c r="V16" s="461"/>
    </row>
    <row r="17" spans="1:24" s="167" customFormat="1">
      <c r="A17" s="169" t="s">
        <v>215</v>
      </c>
      <c r="B17" s="170" t="s">
        <v>228</v>
      </c>
      <c r="C17" s="501">
        <f>'[40]Sch B'!E42</f>
        <v>263396.92</v>
      </c>
      <c r="D17" s="501">
        <f>'[40]Sch B'!G42</f>
        <v>0</v>
      </c>
      <c r="E17" s="171">
        <f t="shared" si="2"/>
        <v>263396.92</v>
      </c>
      <c r="F17" s="171"/>
      <c r="G17" s="171">
        <f>E17+F17</f>
        <v>263396.92</v>
      </c>
      <c r="H17" s="172">
        <f t="shared" si="1"/>
        <v>7.7193419365164564E-2</v>
      </c>
      <c r="I17" s="473"/>
      <c r="J17" s="338" t="s">
        <v>156</v>
      </c>
      <c r="K17" s="339">
        <f>J208</f>
        <v>91039.829999999987</v>
      </c>
      <c r="U17" s="461"/>
      <c r="V17" s="461"/>
    </row>
    <row r="18" spans="1:24" s="167" customFormat="1" ht="13.5" thickBot="1">
      <c r="A18" s="169" t="s">
        <v>216</v>
      </c>
      <c r="B18" s="170" t="s">
        <v>229</v>
      </c>
      <c r="C18" s="501">
        <f>'[40]Sch B'!E47</f>
        <v>0</v>
      </c>
      <c r="D18" s="501">
        <f>'[40]Sch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96893.430000000008</v>
      </c>
      <c r="U18" s="461"/>
      <c r="V18" s="461"/>
    </row>
    <row r="19" spans="1:24" s="167" customFormat="1">
      <c r="A19" s="169" t="s">
        <v>227</v>
      </c>
      <c r="B19" s="177" t="s">
        <v>173</v>
      </c>
      <c r="C19" s="501">
        <f>'[40]Sch B'!E52</f>
        <v>0</v>
      </c>
      <c r="D19" s="501">
        <f>'[40]Sch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  <c r="U19" s="461"/>
      <c r="V19" s="461"/>
    </row>
    <row r="20" spans="1:24" s="167" customFormat="1">
      <c r="A20" s="169" t="s">
        <v>183</v>
      </c>
      <c r="B20" s="23" t="s">
        <v>180</v>
      </c>
      <c r="C20" s="501">
        <f>'[40]Sch B'!E67</f>
        <v>553506.76</v>
      </c>
      <c r="D20" s="501">
        <f>'[40]Sch B'!G67</f>
        <v>-438752</v>
      </c>
      <c r="E20" s="171">
        <f t="shared" si="2"/>
        <v>114754.76000000001</v>
      </c>
      <c r="F20" s="171"/>
      <c r="G20" s="171">
        <f t="shared" si="0"/>
        <v>114754.76000000001</v>
      </c>
      <c r="H20" s="172">
        <f t="shared" si="1"/>
        <v>3.3631039849778097E-2</v>
      </c>
      <c r="I20" s="473"/>
      <c r="J20" s="168"/>
      <c r="K20" s="168"/>
      <c r="U20" s="461"/>
      <c r="V20" s="461"/>
    </row>
    <row r="21" spans="1:24" s="167" customFormat="1">
      <c r="A21" s="169"/>
      <c r="B21" s="178" t="s">
        <v>77</v>
      </c>
      <c r="C21" s="501">
        <f>SUM(C11:C20)</f>
        <v>3576616.0599999996</v>
      </c>
      <c r="D21" s="501">
        <f>SUM(D11:D20)</f>
        <v>-438752</v>
      </c>
      <c r="E21" s="171">
        <f>SUM(E11:E20)</f>
        <v>3137864.0599999996</v>
      </c>
      <c r="F21" s="171">
        <f>SUM(F11:F20)</f>
        <v>274304</v>
      </c>
      <c r="G21" s="171">
        <f>SUM(G11:G20)</f>
        <v>3412168.0599999996</v>
      </c>
      <c r="H21" s="172">
        <f t="shared" si="1"/>
        <v>1</v>
      </c>
      <c r="I21" s="473"/>
      <c r="J21" s="168"/>
      <c r="K21" s="168"/>
      <c r="U21" s="461"/>
      <c r="V21" s="461"/>
    </row>
    <row r="22" spans="1:24" ht="12" customHeight="1">
      <c r="A22" s="145"/>
      <c r="B22" s="179"/>
      <c r="C22" s="151"/>
      <c r="D22" s="144"/>
      <c r="F22" s="144"/>
      <c r="G22" s="144"/>
      <c r="I22" s="475"/>
      <c r="J22"/>
      <c r="K22"/>
    </row>
    <row r="23" spans="1:24" ht="26.5">
      <c r="A23" s="180" t="s">
        <v>231</v>
      </c>
      <c r="B23" s="179" t="s">
        <v>222</v>
      </c>
      <c r="C23" s="151"/>
      <c r="D23" s="144"/>
      <c r="F23" s="144"/>
      <c r="G23" s="144"/>
      <c r="I23" s="475"/>
      <c r="J23"/>
      <c r="K23"/>
      <c r="W23" s="140" t="s">
        <v>382</v>
      </c>
    </row>
    <row r="24" spans="1:24" ht="15.5">
      <c r="A24" s="181" t="s">
        <v>161</v>
      </c>
      <c r="B24" s="148" t="s">
        <v>12</v>
      </c>
      <c r="F24"/>
      <c r="I24" s="475"/>
      <c r="J24"/>
      <c r="K24"/>
      <c r="W24" s="140" t="s">
        <v>406</v>
      </c>
      <c r="X24" s="140" t="s">
        <v>407</v>
      </c>
    </row>
    <row r="25" spans="1:24" s="167" customFormat="1">
      <c r="A25" s="169" t="s">
        <v>83</v>
      </c>
      <c r="B25" s="170" t="s">
        <v>14</v>
      </c>
      <c r="C25" s="501">
        <f>'[40]Sch C'!D10</f>
        <v>85774.3</v>
      </c>
      <c r="D25" s="501">
        <f>'[40]Sch C'!F10</f>
        <v>0</v>
      </c>
      <c r="E25" s="171">
        <f t="shared" ref="E25:E60" si="3">C25+D25</f>
        <v>85774.3</v>
      </c>
      <c r="F25" s="171"/>
      <c r="G25" s="182">
        <f>E25+F25</f>
        <v>85774.3</v>
      </c>
      <c r="H25" s="172">
        <f>IF($G$208=0,0,G25/$G$208)</f>
        <v>3.5189715839669185E-2</v>
      </c>
      <c r="I25" s="473"/>
      <c r="J25" s="183">
        <v>1898.08</v>
      </c>
      <c r="K25" s="183">
        <v>2080</v>
      </c>
      <c r="U25" s="497">
        <v>425.35</v>
      </c>
      <c r="V25" s="497">
        <v>433.35</v>
      </c>
      <c r="W25" s="437">
        <v>1647</v>
      </c>
      <c r="X25" s="437">
        <v>1647</v>
      </c>
    </row>
    <row r="26" spans="1:24" s="167" customFormat="1">
      <c r="A26" s="169" t="s">
        <v>84</v>
      </c>
      <c r="B26" s="170" t="s">
        <v>176</v>
      </c>
      <c r="C26" s="501">
        <f>'[40]Sch C'!D11</f>
        <v>0</v>
      </c>
      <c r="D26" s="501">
        <f>'[40]Sch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  <c r="U26" s="497">
        <v>0</v>
      </c>
      <c r="V26" s="497">
        <v>0</v>
      </c>
      <c r="W26" s="437">
        <v>1647</v>
      </c>
      <c r="X26" s="437">
        <v>1647</v>
      </c>
    </row>
    <row r="27" spans="1:24" s="167" customFormat="1">
      <c r="A27" s="169" t="s">
        <v>85</v>
      </c>
      <c r="B27" s="170" t="s">
        <v>17</v>
      </c>
      <c r="C27" s="501">
        <f>'[40]Sch C'!D12</f>
        <v>38635.490000000005</v>
      </c>
      <c r="D27" s="501">
        <f>'[40]Sch C'!F12</f>
        <v>-8670.02</v>
      </c>
      <c r="E27" s="171">
        <f t="shared" si="3"/>
        <v>29965.470000000005</v>
      </c>
      <c r="F27" s="171"/>
      <c r="G27" s="171">
        <f t="shared" si="4"/>
        <v>29965.470000000005</v>
      </c>
      <c r="H27" s="172">
        <f t="shared" si="5"/>
        <v>1.2293616786171753E-2</v>
      </c>
      <c r="I27" s="473"/>
      <c r="J27" s="183">
        <v>1899.6</v>
      </c>
      <c r="K27" s="183">
        <v>2139.36</v>
      </c>
      <c r="U27" s="497">
        <v>538.7299999999999</v>
      </c>
      <c r="V27" s="497">
        <v>554.73</v>
      </c>
      <c r="W27" s="437">
        <v>1647</v>
      </c>
      <c r="X27" s="437">
        <v>1647</v>
      </c>
    </row>
    <row r="28" spans="1:24" s="167" customFormat="1" ht="15.5">
      <c r="A28" s="169" t="s">
        <v>86</v>
      </c>
      <c r="B28" s="170" t="s">
        <v>45</v>
      </c>
      <c r="C28" s="501">
        <f>'[40]Sch C'!D13</f>
        <v>366341.16</v>
      </c>
      <c r="D28" s="501">
        <f>'[40]Sch C'!F13</f>
        <v>-335915.12</v>
      </c>
      <c r="E28" s="171">
        <f t="shared" si="3"/>
        <v>30426.039999999979</v>
      </c>
      <c r="F28" s="171"/>
      <c r="G28" s="171">
        <f t="shared" si="4"/>
        <v>30426.039999999979</v>
      </c>
      <c r="H28" s="172">
        <f t="shared" si="5"/>
        <v>1.2482569974064578E-2</v>
      </c>
      <c r="I28" s="473"/>
      <c r="J28" s="168"/>
      <c r="K28" s="168"/>
      <c r="U28" s="492"/>
      <c r="V28" s="492"/>
      <c r="W28" s="461"/>
      <c r="X28" s="461"/>
    </row>
    <row r="29" spans="1:24" s="167" customFormat="1" ht="15.5">
      <c r="A29" s="169" t="s">
        <v>175</v>
      </c>
      <c r="B29" s="170" t="s">
        <v>20</v>
      </c>
      <c r="C29" s="501">
        <f>'[40]Sch C'!D14</f>
        <v>0</v>
      </c>
      <c r="D29" s="501">
        <f>'[40]Sch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  <c r="U29" s="492"/>
      <c r="V29" s="492"/>
      <c r="W29" s="461"/>
      <c r="X29" s="461"/>
    </row>
    <row r="30" spans="1:24" s="167" customFormat="1" ht="15.5">
      <c r="A30" s="169" t="s">
        <v>88</v>
      </c>
      <c r="B30" s="170" t="s">
        <v>22</v>
      </c>
      <c r="C30" s="501">
        <f>'[40]Sch C'!D15</f>
        <v>0</v>
      </c>
      <c r="D30" s="501">
        <f>'[40]Sch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  <c r="U30" s="492"/>
      <c r="V30" s="492"/>
      <c r="W30" s="461"/>
      <c r="X30" s="461"/>
    </row>
    <row r="31" spans="1:24" s="167" customFormat="1" ht="15.5">
      <c r="A31" s="169" t="s">
        <v>89</v>
      </c>
      <c r="B31" s="170" t="s">
        <v>148</v>
      </c>
      <c r="C31" s="501">
        <f>'[40]Sch C'!D16</f>
        <v>322718</v>
      </c>
      <c r="D31" s="501">
        <f>'[40]Sch C'!F16</f>
        <v>-75974.92</v>
      </c>
      <c r="E31" s="171">
        <f t="shared" si="3"/>
        <v>246743.08000000002</v>
      </c>
      <c r="F31" s="171"/>
      <c r="G31" s="171">
        <f t="shared" si="4"/>
        <v>246743.08000000002</v>
      </c>
      <c r="H31" s="172">
        <f t="shared" si="5"/>
        <v>0.10122867654536102</v>
      </c>
      <c r="I31" s="473"/>
      <c r="J31" s="168"/>
      <c r="K31" s="168"/>
      <c r="U31" s="492"/>
      <c r="V31" s="492"/>
      <c r="W31" s="461"/>
      <c r="X31" s="461"/>
    </row>
    <row r="32" spans="1:24" s="167" customFormat="1" ht="15.5">
      <c r="A32" s="169" t="s">
        <v>90</v>
      </c>
      <c r="B32" s="170" t="s">
        <v>23</v>
      </c>
      <c r="C32" s="501">
        <f>'[40]Sch C'!D17</f>
        <v>0</v>
      </c>
      <c r="D32" s="501">
        <f>'[40]Sch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  <c r="U32" s="492"/>
      <c r="V32" s="492"/>
      <c r="W32" s="461"/>
      <c r="X32" s="461"/>
    </row>
    <row r="33" spans="1:24" s="167" customFormat="1" ht="15.5">
      <c r="A33" s="169" t="s">
        <v>91</v>
      </c>
      <c r="B33" s="170" t="s">
        <v>24</v>
      </c>
      <c r="C33" s="501">
        <f>'[40]Sch C'!D18</f>
        <v>18899.509999999998</v>
      </c>
      <c r="D33" s="501">
        <f>'[40]Sch C'!F18</f>
        <v>0</v>
      </c>
      <c r="E33" s="171">
        <f t="shared" si="3"/>
        <v>18899.509999999998</v>
      </c>
      <c r="F33" s="171"/>
      <c r="G33" s="171">
        <f t="shared" si="4"/>
        <v>18899.509999999998</v>
      </c>
      <c r="H33" s="172">
        <f t="shared" si="5"/>
        <v>7.7537022908841695E-3</v>
      </c>
      <c r="I33" s="473"/>
      <c r="J33" s="168"/>
      <c r="K33" s="168"/>
      <c r="U33" s="492"/>
      <c r="V33" s="492"/>
      <c r="W33" s="461"/>
      <c r="X33" s="461"/>
    </row>
    <row r="34" spans="1:24" s="167" customFormat="1" ht="15.5">
      <c r="A34" s="169" t="s">
        <v>92</v>
      </c>
      <c r="B34" s="170" t="s">
        <v>25</v>
      </c>
      <c r="C34" s="501">
        <f>'[40]Sch C'!D19</f>
        <v>12293.41</v>
      </c>
      <c r="D34" s="501">
        <f>'[40]Sch C'!F19</f>
        <v>0</v>
      </c>
      <c r="E34" s="171">
        <f t="shared" si="3"/>
        <v>12293.41</v>
      </c>
      <c r="F34" s="171"/>
      <c r="G34" s="171">
        <f t="shared" si="4"/>
        <v>12293.41</v>
      </c>
      <c r="H34" s="172">
        <f t="shared" si="5"/>
        <v>5.0434874385514947E-3</v>
      </c>
      <c r="I34" s="473"/>
      <c r="J34" s="168"/>
      <c r="K34" s="168"/>
      <c r="U34" s="492"/>
      <c r="V34" s="492"/>
      <c r="W34" s="461"/>
      <c r="X34" s="461"/>
    </row>
    <row r="35" spans="1:24" s="167" customFormat="1" ht="15.5">
      <c r="A35" s="169" t="s">
        <v>93</v>
      </c>
      <c r="B35" s="170" t="s">
        <v>26</v>
      </c>
      <c r="C35" s="501">
        <f>'[40]Sch C'!D20</f>
        <v>6874.92</v>
      </c>
      <c r="D35" s="501">
        <f>'[40]Sch C'!F20</f>
        <v>0</v>
      </c>
      <c r="E35" s="171">
        <f t="shared" si="3"/>
        <v>6874.92</v>
      </c>
      <c r="F35" s="171"/>
      <c r="G35" s="171">
        <f t="shared" si="4"/>
        <v>6874.92</v>
      </c>
      <c r="H35" s="172">
        <f t="shared" si="5"/>
        <v>2.8205007935996965E-3</v>
      </c>
      <c r="I35" s="473"/>
      <c r="J35" s="168"/>
      <c r="K35" s="168"/>
      <c r="U35" s="492"/>
      <c r="V35" s="492"/>
      <c r="W35" s="461"/>
      <c r="X35" s="461"/>
    </row>
    <row r="36" spans="1:24" s="167" customFormat="1" ht="15.5">
      <c r="A36" s="169" t="s">
        <v>94</v>
      </c>
      <c r="B36" s="170" t="s">
        <v>27</v>
      </c>
      <c r="C36" s="501">
        <f>'[40]Sch C'!D21</f>
        <v>2714</v>
      </c>
      <c r="D36" s="501">
        <f>'[40]Sch C'!F21</f>
        <v>0</v>
      </c>
      <c r="E36" s="171">
        <f t="shared" si="3"/>
        <v>2714</v>
      </c>
      <c r="F36" s="171"/>
      <c r="G36" s="171">
        <f t="shared" si="4"/>
        <v>2714</v>
      </c>
      <c r="H36" s="172">
        <f t="shared" si="5"/>
        <v>1.1134441060884456E-3</v>
      </c>
      <c r="I36" s="473"/>
      <c r="J36" s="168"/>
      <c r="K36" s="168"/>
      <c r="U36" s="492"/>
      <c r="V36" s="492"/>
      <c r="W36" s="461"/>
      <c r="X36" s="461"/>
    </row>
    <row r="37" spans="1:24" s="167" customFormat="1" ht="15.5">
      <c r="A37" s="163">
        <v>130</v>
      </c>
      <c r="B37" s="170" t="s">
        <v>28</v>
      </c>
      <c r="C37" s="501">
        <f>'[40]Sch C'!D22</f>
        <v>0</v>
      </c>
      <c r="D37" s="501">
        <f>'[40]Sch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  <c r="U37" s="492"/>
      <c r="V37" s="492"/>
      <c r="W37" s="461"/>
      <c r="X37" s="461"/>
    </row>
    <row r="38" spans="1:24" s="167" customFormat="1" ht="15.5">
      <c r="A38" s="163">
        <v>140</v>
      </c>
      <c r="B38" s="170" t="s">
        <v>149</v>
      </c>
      <c r="C38" s="501">
        <f>'[40]Sch C'!D23</f>
        <v>3002.58</v>
      </c>
      <c r="D38" s="501">
        <f>'[40]Sch C'!F23</f>
        <v>0</v>
      </c>
      <c r="E38" s="171">
        <f t="shared" si="3"/>
        <v>3002.58</v>
      </c>
      <c r="F38" s="171"/>
      <c r="G38" s="171">
        <f t="shared" si="4"/>
        <v>3002.58</v>
      </c>
      <c r="H38" s="172">
        <f t="shared" si="5"/>
        <v>1.2318367737874153E-3</v>
      </c>
      <c r="I38" s="473"/>
      <c r="J38" s="168"/>
      <c r="K38" s="168"/>
      <c r="U38" s="492"/>
      <c r="V38" s="492"/>
      <c r="W38" s="461"/>
      <c r="X38" s="461"/>
    </row>
    <row r="39" spans="1:24" s="167" customFormat="1" ht="15.5">
      <c r="A39" s="163">
        <v>150</v>
      </c>
      <c r="B39" s="170" t="s">
        <v>29</v>
      </c>
      <c r="C39" s="501">
        <f>'[40]Sch C'!D24</f>
        <v>0</v>
      </c>
      <c r="D39" s="501">
        <f>'[40]Sch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  <c r="U39" s="492"/>
      <c r="V39" s="492"/>
      <c r="W39" s="461"/>
      <c r="X39" s="461"/>
    </row>
    <row r="40" spans="1:24" s="167" customFormat="1" ht="15.5">
      <c r="A40" s="163">
        <v>160</v>
      </c>
      <c r="B40" s="170" t="s">
        <v>30</v>
      </c>
      <c r="C40" s="501">
        <f>'[40]Sch C'!D25</f>
        <v>0</v>
      </c>
      <c r="D40" s="501">
        <f>'[40]Sch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  <c r="U40" s="492"/>
      <c r="V40" s="492"/>
      <c r="W40" s="461"/>
      <c r="X40" s="461"/>
    </row>
    <row r="41" spans="1:24" s="167" customFormat="1" ht="15.5">
      <c r="A41" s="163">
        <v>170</v>
      </c>
      <c r="B41" s="170" t="s">
        <v>31</v>
      </c>
      <c r="C41" s="501">
        <f>'[40]Sch C'!D26</f>
        <v>239609.64</v>
      </c>
      <c r="D41" s="501">
        <f>'[40]Sch C'!F26</f>
        <v>0</v>
      </c>
      <c r="E41" s="171">
        <f t="shared" si="3"/>
        <v>239609.64</v>
      </c>
      <c r="F41" s="171"/>
      <c r="G41" s="171">
        <f t="shared" si="4"/>
        <v>239609.64</v>
      </c>
      <c r="H41" s="172">
        <f t="shared" si="5"/>
        <v>9.8302115482672911E-2</v>
      </c>
      <c r="I41" s="473"/>
      <c r="J41" s="168"/>
      <c r="K41" s="168"/>
      <c r="U41" s="492"/>
      <c r="V41" s="492"/>
      <c r="W41" s="461"/>
      <c r="X41" s="461"/>
    </row>
    <row r="42" spans="1:24" s="167" customFormat="1" ht="15.5">
      <c r="A42" s="163">
        <v>180</v>
      </c>
      <c r="B42" s="170" t="s">
        <v>32</v>
      </c>
      <c r="C42" s="501">
        <f>'[40]Sch C'!D27</f>
        <v>0</v>
      </c>
      <c r="D42" s="501">
        <f>'[40]Sch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2"/>
      <c r="J42" s="168"/>
      <c r="K42" s="168"/>
      <c r="U42" s="492"/>
      <c r="V42" s="492"/>
      <c r="W42" s="461"/>
      <c r="X42" s="461"/>
    </row>
    <row r="43" spans="1:24" s="167" customFormat="1" ht="15.5">
      <c r="A43" s="163">
        <v>190</v>
      </c>
      <c r="B43" s="170" t="s">
        <v>33</v>
      </c>
      <c r="C43" s="501">
        <f>'[40]Sch C'!D28</f>
        <v>0</v>
      </c>
      <c r="D43" s="501">
        <f>'[40]Sch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  <c r="U43" s="492"/>
      <c r="V43" s="492"/>
      <c r="W43" s="461"/>
      <c r="X43" s="461"/>
    </row>
    <row r="44" spans="1:24" s="167" customFormat="1" ht="15.5">
      <c r="A44" s="163">
        <v>200</v>
      </c>
      <c r="B44" s="170" t="s">
        <v>34</v>
      </c>
      <c r="C44" s="501">
        <f>'[40]Sch C'!D29</f>
        <v>64103.47</v>
      </c>
      <c r="D44" s="501">
        <f>'[40]Sch C'!F29</f>
        <v>-64103.47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  <c r="U44" s="492"/>
      <c r="V44" s="492"/>
      <c r="W44" s="461"/>
      <c r="X44" s="461"/>
    </row>
    <row r="45" spans="1:24" s="167" customFormat="1" ht="15.5">
      <c r="A45" s="163">
        <v>210</v>
      </c>
      <c r="B45" s="170" t="s">
        <v>35</v>
      </c>
      <c r="C45" s="501">
        <f>'[40]Sch C'!D30</f>
        <v>0</v>
      </c>
      <c r="D45" s="501">
        <f>'[40]Sch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  <c r="U45" s="492"/>
      <c r="V45" s="492"/>
      <c r="W45" s="461"/>
      <c r="X45" s="461"/>
    </row>
    <row r="46" spans="1:24" s="167" customFormat="1" ht="15.5">
      <c r="A46" s="163">
        <v>220</v>
      </c>
      <c r="B46" s="170" t="s">
        <v>190</v>
      </c>
      <c r="C46" s="501">
        <f>'[40]Sch C'!D31</f>
        <v>0</v>
      </c>
      <c r="D46" s="501">
        <f>'[40]Sch C'!F31</f>
        <v>44567</v>
      </c>
      <c r="E46" s="171">
        <f t="shared" si="3"/>
        <v>44567</v>
      </c>
      <c r="F46" s="171"/>
      <c r="G46" s="171">
        <f t="shared" si="4"/>
        <v>44567</v>
      </c>
      <c r="H46" s="172">
        <f t="shared" si="5"/>
        <v>1.8284032231408901E-2</v>
      </c>
      <c r="I46" s="473"/>
      <c r="J46" s="168"/>
      <c r="K46" s="168"/>
      <c r="U46" s="492"/>
      <c r="V46" s="492"/>
      <c r="W46" s="461"/>
      <c r="X46" s="461"/>
    </row>
    <row r="47" spans="1:24" s="167" customFormat="1" ht="15.5">
      <c r="A47" s="163">
        <v>230</v>
      </c>
      <c r="B47" s="170" t="s">
        <v>191</v>
      </c>
      <c r="C47" s="501">
        <f>'[40]Sch C'!D32</f>
        <v>18474.79</v>
      </c>
      <c r="D47" s="501">
        <f>'[40]Sch C'!F32</f>
        <v>0</v>
      </c>
      <c r="E47" s="171">
        <f t="shared" si="3"/>
        <v>18474.79</v>
      </c>
      <c r="F47" s="171"/>
      <c r="G47" s="171">
        <f t="shared" si="4"/>
        <v>18474.79</v>
      </c>
      <c r="H47" s="172">
        <f t="shared" si="5"/>
        <v>7.5794569037294602E-3</v>
      </c>
      <c r="I47" s="473"/>
      <c r="J47" s="168"/>
      <c r="K47" s="168"/>
      <c r="U47" s="492"/>
      <c r="V47" s="492"/>
      <c r="W47" s="461"/>
      <c r="X47" s="461"/>
    </row>
    <row r="48" spans="1:24" s="167" customFormat="1" ht="15.5">
      <c r="A48" s="163">
        <v>240</v>
      </c>
      <c r="B48" s="170" t="s">
        <v>201</v>
      </c>
      <c r="C48" s="501">
        <f>'[40]Sch C'!D33</f>
        <v>0</v>
      </c>
      <c r="D48" s="501">
        <f>'[40]Sch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  <c r="U48" s="492"/>
      <c r="V48" s="492"/>
      <c r="W48" s="461"/>
      <c r="X48" s="461"/>
    </row>
    <row r="49" spans="1:24" s="167" customFormat="1" ht="15.5">
      <c r="A49" s="163">
        <v>250</v>
      </c>
      <c r="B49" s="170" t="s">
        <v>202</v>
      </c>
      <c r="C49" s="501">
        <f>'[40]Sch C'!D34</f>
        <v>0</v>
      </c>
      <c r="D49" s="501">
        <f>'[40]Sch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  <c r="U49" s="492"/>
      <c r="V49" s="492"/>
      <c r="W49" s="461"/>
      <c r="X49" s="461"/>
    </row>
    <row r="50" spans="1:24" s="167" customFormat="1" ht="15.5">
      <c r="A50" s="163">
        <v>270</v>
      </c>
      <c r="B50" s="170" t="s">
        <v>203</v>
      </c>
      <c r="C50" s="501">
        <f>'[40]Sch C'!D35</f>
        <v>0</v>
      </c>
      <c r="D50" s="501">
        <f>'[40]Sch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  <c r="U50" s="492"/>
      <c r="V50" s="492"/>
      <c r="W50" s="461"/>
      <c r="X50" s="461"/>
    </row>
    <row r="51" spans="1:24" s="167" customFormat="1">
      <c r="A51" s="163">
        <v>280</v>
      </c>
      <c r="B51" s="170" t="s">
        <v>204</v>
      </c>
      <c r="C51" s="501">
        <f>'[40]Sch C'!D36</f>
        <v>9064</v>
      </c>
      <c r="D51" s="501">
        <f>'[40]Sch C'!F36</f>
        <v>0</v>
      </c>
      <c r="E51" s="171">
        <f t="shared" si="3"/>
        <v>9064</v>
      </c>
      <c r="F51" s="171"/>
      <c r="G51" s="171">
        <f t="shared" si="4"/>
        <v>9064</v>
      </c>
      <c r="H51" s="172">
        <f t="shared" si="5"/>
        <v>3.7185915171649487E-3</v>
      </c>
      <c r="I51" s="473"/>
      <c r="J51" s="183">
        <v>892</v>
      </c>
      <c r="K51" s="183">
        <v>900</v>
      </c>
      <c r="U51" s="497">
        <v>161.69999999999999</v>
      </c>
      <c r="V51" s="497">
        <v>161.69999999999999</v>
      </c>
      <c r="W51" s="437">
        <v>0</v>
      </c>
      <c r="X51" s="437">
        <v>0</v>
      </c>
    </row>
    <row r="52" spans="1:24" s="167" customFormat="1" ht="15.5">
      <c r="A52" s="163">
        <v>290</v>
      </c>
      <c r="B52" s="170" t="s">
        <v>205</v>
      </c>
      <c r="C52" s="501">
        <f>'[40]Sch C'!D37</f>
        <v>0</v>
      </c>
      <c r="D52" s="501">
        <f>'[40]Sch C'!F37</f>
        <v>2221.91</v>
      </c>
      <c r="E52" s="171">
        <f t="shared" si="3"/>
        <v>2221.91</v>
      </c>
      <c r="F52" s="171"/>
      <c r="G52" s="171">
        <f t="shared" si="4"/>
        <v>2221.91</v>
      </c>
      <c r="H52" s="172">
        <f t="shared" si="5"/>
        <v>9.1155954081023507E-4</v>
      </c>
      <c r="I52" s="473"/>
      <c r="J52" s="168"/>
      <c r="K52" s="168"/>
      <c r="U52" s="492"/>
      <c r="V52" s="492"/>
      <c r="W52" s="461"/>
      <c r="X52" s="461"/>
    </row>
    <row r="53" spans="1:24" s="167" customFormat="1" ht="15.5">
      <c r="A53" s="163">
        <v>300</v>
      </c>
      <c r="B53" s="170" t="s">
        <v>206</v>
      </c>
      <c r="C53" s="501">
        <f>'[40]Sch C'!D38</f>
        <v>0</v>
      </c>
      <c r="D53" s="501">
        <f>'[40]Sch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  <c r="U53" s="492"/>
      <c r="V53" s="492"/>
      <c r="W53" s="461"/>
      <c r="X53" s="461"/>
    </row>
    <row r="54" spans="1:24" s="167" customFormat="1" ht="15.5">
      <c r="A54" s="163">
        <v>310</v>
      </c>
      <c r="B54" s="170" t="s">
        <v>207</v>
      </c>
      <c r="C54" s="501">
        <f>'[40]Sch C'!D39</f>
        <v>2936.14</v>
      </c>
      <c r="D54" s="501">
        <f>'[40]Sch C'!F39</f>
        <v>0</v>
      </c>
      <c r="E54" s="171">
        <f t="shared" si="3"/>
        <v>2936.14</v>
      </c>
      <c r="F54" s="171"/>
      <c r="G54" s="171">
        <f t="shared" si="4"/>
        <v>2936.14</v>
      </c>
      <c r="H54" s="172">
        <f t="shared" si="5"/>
        <v>1.2045791369382935E-3</v>
      </c>
      <c r="I54" s="473"/>
      <c r="J54" s="168"/>
      <c r="K54" s="168"/>
      <c r="U54" s="492"/>
      <c r="V54" s="492"/>
      <c r="W54" s="461"/>
      <c r="X54" s="461"/>
    </row>
    <row r="55" spans="1:24" s="167" customFormat="1" ht="15.5">
      <c r="A55" s="163">
        <v>320</v>
      </c>
      <c r="B55" s="170" t="s">
        <v>208</v>
      </c>
      <c r="C55" s="501">
        <f>'[40]Sch C'!D40</f>
        <v>17466.900000000001</v>
      </c>
      <c r="D55" s="501">
        <f>'[40]Sch C'!F40</f>
        <v>-17467</v>
      </c>
      <c r="E55" s="171">
        <f t="shared" si="3"/>
        <v>-9.9999999998544808E-2</v>
      </c>
      <c r="F55" s="171"/>
      <c r="G55" s="171">
        <f t="shared" si="4"/>
        <v>-9.9999999998544808E-2</v>
      </c>
      <c r="H55" s="172">
        <f t="shared" si="5"/>
        <v>-4.1025943480922727E-8</v>
      </c>
      <c r="I55" s="473"/>
      <c r="J55" s="168"/>
      <c r="K55" s="168"/>
      <c r="U55" s="492"/>
      <c r="V55" s="492"/>
      <c r="W55" s="461"/>
      <c r="X55" s="461"/>
    </row>
    <row r="56" spans="1:24" s="167" customFormat="1" ht="15.5">
      <c r="A56" s="163">
        <v>330</v>
      </c>
      <c r="B56" s="170" t="s">
        <v>48</v>
      </c>
      <c r="C56" s="501">
        <f>'[40]Sch C'!D41</f>
        <v>2950.66</v>
      </c>
      <c r="D56" s="501">
        <f>'[40]Sch C'!F41</f>
        <v>0</v>
      </c>
      <c r="E56" s="171">
        <f t="shared" si="3"/>
        <v>2950.66</v>
      </c>
      <c r="F56" s="171"/>
      <c r="G56" s="171">
        <f t="shared" si="4"/>
        <v>2950.66</v>
      </c>
      <c r="H56" s="172">
        <f t="shared" si="5"/>
        <v>1.2105361039318101E-3</v>
      </c>
      <c r="I56" s="473"/>
      <c r="J56" s="168"/>
      <c r="K56" s="168"/>
      <c r="U56" s="492"/>
      <c r="V56" s="492"/>
      <c r="W56" s="461"/>
      <c r="X56" s="461"/>
    </row>
    <row r="57" spans="1:24" s="167" customFormat="1" ht="15.5">
      <c r="A57" s="163">
        <v>340</v>
      </c>
      <c r="B57" s="170" t="s">
        <v>209</v>
      </c>
      <c r="C57" s="501">
        <f>'[40]Sch C'!D42</f>
        <v>7276.42</v>
      </c>
      <c r="D57" s="501">
        <f>'[40]Sch C'!F42</f>
        <v>0</v>
      </c>
      <c r="E57" s="171">
        <f t="shared" si="3"/>
        <v>7276.42</v>
      </c>
      <c r="F57" s="171"/>
      <c r="G57" s="171">
        <f t="shared" si="4"/>
        <v>7276.42</v>
      </c>
      <c r="H57" s="172">
        <f t="shared" si="5"/>
        <v>2.9852199566779984E-3</v>
      </c>
      <c r="I57" s="473"/>
      <c r="J57" s="168"/>
      <c r="K57" s="168"/>
      <c r="U57" s="492"/>
      <c r="V57" s="492"/>
      <c r="W57" s="461"/>
      <c r="X57" s="461"/>
    </row>
    <row r="58" spans="1:24" s="167" customFormat="1" ht="15.5">
      <c r="A58" s="163">
        <v>350</v>
      </c>
      <c r="B58" s="170" t="s">
        <v>210</v>
      </c>
      <c r="C58" s="501">
        <f>'[40]Sch C'!D43</f>
        <v>10576.07</v>
      </c>
      <c r="D58" s="501">
        <f>'[40]Sch C'!F43</f>
        <v>0</v>
      </c>
      <c r="E58" s="171">
        <f t="shared" si="3"/>
        <v>10576.07</v>
      </c>
      <c r="F58" s="171"/>
      <c r="G58" s="171">
        <f t="shared" si="4"/>
        <v>10576.07</v>
      </c>
      <c r="H58" s="172">
        <f t="shared" si="5"/>
        <v>4.3389325007659636E-3</v>
      </c>
      <c r="I58" s="473"/>
      <c r="J58" s="168"/>
      <c r="K58" s="168"/>
      <c r="U58" s="492"/>
      <c r="V58" s="492"/>
      <c r="W58" s="461"/>
      <c r="X58" s="461"/>
    </row>
    <row r="59" spans="1:24" s="167" customFormat="1" ht="15.5">
      <c r="A59" s="163">
        <v>360</v>
      </c>
      <c r="B59" s="170" t="s">
        <v>211</v>
      </c>
      <c r="C59" s="501">
        <f>'[40]Sch C'!D44</f>
        <v>0</v>
      </c>
      <c r="D59" s="501">
        <f>'[40]Sch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  <c r="U59" s="492"/>
      <c r="V59" s="492"/>
      <c r="W59" s="461"/>
      <c r="X59" s="461"/>
    </row>
    <row r="60" spans="1:24" s="167" customFormat="1" ht="15.5">
      <c r="A60" s="163">
        <v>490</v>
      </c>
      <c r="B60" s="170" t="s">
        <v>36</v>
      </c>
      <c r="C60" s="501">
        <f>'[40]Sch C'!D45</f>
        <v>124207.97</v>
      </c>
      <c r="D60" s="501">
        <f>'[40]Sch C'!F45</f>
        <v>-169762</v>
      </c>
      <c r="E60" s="171">
        <f t="shared" si="3"/>
        <v>-45554.03</v>
      </c>
      <c r="F60" s="171"/>
      <c r="G60" s="171">
        <f t="shared" si="4"/>
        <v>-45554.03</v>
      </c>
      <c r="H60" s="172">
        <f t="shared" si="5"/>
        <v>-1.8688970601354545E-2</v>
      </c>
      <c r="I60" s="473"/>
      <c r="J60" s="168"/>
      <c r="K60" s="168"/>
      <c r="U60" s="492"/>
      <c r="V60" s="492"/>
      <c r="W60" s="461"/>
      <c r="X60" s="461"/>
    </row>
    <row r="61" spans="1:24" s="167" customFormat="1" ht="15.5">
      <c r="A61" s="163"/>
      <c r="B61" s="170" t="s">
        <v>177</v>
      </c>
      <c r="C61" s="501">
        <f>SUM(C25:C60)</f>
        <v>1353919.4299999997</v>
      </c>
      <c r="D61" s="501">
        <f>SUM(D25:D60)</f>
        <v>-625103.62000000011</v>
      </c>
      <c r="E61" s="171">
        <f t="shared" ref="E61:F61" si="6">SUM(E25:E60)</f>
        <v>728815.81</v>
      </c>
      <c r="F61" s="171">
        <f t="shared" si="6"/>
        <v>0</v>
      </c>
      <c r="G61" s="171">
        <f>SUM(G25:G60)</f>
        <v>728815.81</v>
      </c>
      <c r="H61" s="186">
        <f t="shared" si="5"/>
        <v>0.29900356229498026</v>
      </c>
      <c r="I61" s="480"/>
      <c r="J61" s="168"/>
      <c r="K61" s="168"/>
      <c r="U61" s="492"/>
      <c r="V61" s="492"/>
      <c r="W61" s="461"/>
      <c r="X61" s="461"/>
    </row>
    <row r="62" spans="1:24" s="167" customFormat="1" ht="15.5">
      <c r="A62" s="163"/>
      <c r="C62" s="165"/>
      <c r="D62" s="165"/>
      <c r="E62" s="165"/>
      <c r="F62" s="165"/>
      <c r="G62" s="165"/>
      <c r="H62" s="187"/>
      <c r="I62" s="481"/>
      <c r="J62" s="168"/>
      <c r="K62" s="168"/>
      <c r="U62" s="492"/>
      <c r="V62" s="492"/>
      <c r="W62" s="461"/>
      <c r="X62" s="461"/>
    </row>
    <row r="63" spans="1:24" s="167" customFormat="1" ht="15.5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  <c r="U63" s="492"/>
      <c r="V63" s="492"/>
      <c r="W63" s="461"/>
      <c r="X63" s="461"/>
    </row>
    <row r="64" spans="1:24" s="167" customFormat="1" ht="15.5">
      <c r="A64" s="188">
        <v>230</v>
      </c>
      <c r="B64" s="189" t="s">
        <v>253</v>
      </c>
      <c r="C64" s="501">
        <f>'[40]Sch C'!D57</f>
        <v>347852.32</v>
      </c>
      <c r="D64" s="501">
        <f>'[40]Sch C'!F57</f>
        <v>-347852</v>
      </c>
      <c r="E64" s="171">
        <f t="shared" ref="E64:E78" si="7">C64+D64</f>
        <v>0.32000000000698492</v>
      </c>
      <c r="F64" s="171"/>
      <c r="G64" s="171">
        <f t="shared" ref="G64:G78" si="8">E64+F64</f>
        <v>0.32000000000698492</v>
      </c>
      <c r="H64" s="172">
        <f t="shared" ref="H64:H79" si="9">IF($G$208=0,0,G64/$G$208)</f>
        <v>1.3128301914372877E-7</v>
      </c>
      <c r="I64" s="472"/>
      <c r="J64" s="190"/>
      <c r="K64" s="168"/>
      <c r="U64" s="492"/>
      <c r="V64" s="492"/>
      <c r="W64" s="462"/>
      <c r="X64" s="461"/>
    </row>
    <row r="65" spans="1:24" s="167" customFormat="1" ht="15.5">
      <c r="A65" s="191">
        <v>240</v>
      </c>
      <c r="B65" s="189" t="s">
        <v>254</v>
      </c>
      <c r="C65" s="501">
        <f>'[40]Sch C'!D58</f>
        <v>0</v>
      </c>
      <c r="D65" s="501">
        <f>'[40]Sch C'!F58</f>
        <v>122039.85</v>
      </c>
      <c r="E65" s="171">
        <f t="shared" si="7"/>
        <v>122039.85</v>
      </c>
      <c r="F65" s="171"/>
      <c r="G65" s="171">
        <f t="shared" si="8"/>
        <v>122039.85</v>
      </c>
      <c r="H65" s="172">
        <f t="shared" si="9"/>
        <v>5.0067999885931462E-2</v>
      </c>
      <c r="I65" s="473"/>
      <c r="J65" s="190"/>
      <c r="K65" s="168"/>
      <c r="U65" s="492"/>
      <c r="V65" s="492"/>
      <c r="W65" s="462"/>
      <c r="X65" s="461"/>
    </row>
    <row r="66" spans="1:24" s="167" customFormat="1" ht="15.5">
      <c r="A66" s="142">
        <v>250</v>
      </c>
      <c r="B66" s="189" t="s">
        <v>307</v>
      </c>
      <c r="C66" s="501">
        <f>'[40]Sch C'!D59</f>
        <v>0</v>
      </c>
      <c r="D66" s="501">
        <f>'[40]Sch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  <c r="U66" s="492"/>
      <c r="V66" s="492"/>
      <c r="W66" s="462"/>
      <c r="X66" s="461"/>
    </row>
    <row r="67" spans="1:24" s="167" customFormat="1" ht="15.5">
      <c r="A67" s="142">
        <v>260</v>
      </c>
      <c r="B67" s="192" t="s">
        <v>308</v>
      </c>
      <c r="C67" s="501">
        <f>'[40]Sch C'!D60</f>
        <v>0</v>
      </c>
      <c r="D67" s="501">
        <f>'[40]Sch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2"/>
      <c r="J67" s="193"/>
      <c r="K67" s="168"/>
      <c r="U67" s="492"/>
      <c r="V67" s="492"/>
      <c r="W67" s="463"/>
      <c r="X67" s="461"/>
    </row>
    <row r="68" spans="1:24" s="167" customFormat="1" ht="15.5">
      <c r="A68" s="142">
        <v>270</v>
      </c>
      <c r="B68" s="192" t="s">
        <v>309</v>
      </c>
      <c r="C68" s="501">
        <f>'[40]Sch C'!D61</f>
        <v>2360.17</v>
      </c>
      <c r="D68" s="501">
        <f>'[40]Sch C'!F61</f>
        <v>0</v>
      </c>
      <c r="E68" s="171">
        <f t="shared" si="7"/>
        <v>2360.17</v>
      </c>
      <c r="F68" s="171"/>
      <c r="G68" s="171">
        <f t="shared" si="8"/>
        <v>2360.17</v>
      </c>
      <c r="H68" s="172">
        <f t="shared" si="9"/>
        <v>9.6828201026778434E-4</v>
      </c>
      <c r="I68" s="473"/>
      <c r="J68" s="193"/>
      <c r="K68" s="168"/>
      <c r="U68" s="492"/>
      <c r="V68" s="492"/>
      <c r="W68" s="463"/>
      <c r="X68" s="461"/>
    </row>
    <row r="69" spans="1:24" s="167" customFormat="1" ht="15.5">
      <c r="A69" s="142">
        <v>280</v>
      </c>
      <c r="B69" s="194" t="s">
        <v>258</v>
      </c>
      <c r="C69" s="501">
        <f>'[40]Sch C'!D62</f>
        <v>0</v>
      </c>
      <c r="D69" s="501">
        <f>'[40]Sch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  <c r="U69" s="492"/>
      <c r="V69" s="492"/>
      <c r="W69" s="464"/>
      <c r="X69" s="461"/>
    </row>
    <row r="70" spans="1:24" s="167" customFormat="1" ht="15.5">
      <c r="A70" s="142">
        <v>290</v>
      </c>
      <c r="B70" s="194" t="s">
        <v>259</v>
      </c>
      <c r="C70" s="501">
        <f>'[40]Sch C'!D63</f>
        <v>0</v>
      </c>
      <c r="D70" s="501">
        <f>'[40]Sch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  <c r="U70" s="492"/>
      <c r="V70" s="492"/>
      <c r="W70" s="464"/>
      <c r="X70" s="461"/>
    </row>
    <row r="71" spans="1:24" s="167" customFormat="1" ht="15.5">
      <c r="A71" s="142">
        <v>300</v>
      </c>
      <c r="B71" s="194" t="s">
        <v>260</v>
      </c>
      <c r="C71" s="501">
        <f>'[40]Sch C'!D64</f>
        <v>0</v>
      </c>
      <c r="D71" s="501">
        <f>'[40]Sch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  <c r="U71" s="492"/>
      <c r="V71" s="492"/>
      <c r="W71" s="464"/>
      <c r="X71" s="461"/>
    </row>
    <row r="72" spans="1:24" s="167" customFormat="1" ht="15.5">
      <c r="A72" s="142">
        <v>310</v>
      </c>
      <c r="B72" s="194" t="s">
        <v>310</v>
      </c>
      <c r="C72" s="501">
        <f>'[40]Sch C'!D65</f>
        <v>2736.41</v>
      </c>
      <c r="D72" s="501">
        <f>'[40]Sch C'!F65</f>
        <v>0</v>
      </c>
      <c r="E72" s="171">
        <f t="shared" si="7"/>
        <v>2736.41</v>
      </c>
      <c r="F72" s="171"/>
      <c r="G72" s="171">
        <f t="shared" si="8"/>
        <v>2736.41</v>
      </c>
      <c r="H72" s="172">
        <f t="shared" si="9"/>
        <v>1.1226380200226541E-3</v>
      </c>
      <c r="I72" s="473"/>
      <c r="J72" s="195"/>
      <c r="K72" s="168"/>
      <c r="U72" s="492"/>
      <c r="V72" s="492"/>
      <c r="W72" s="464"/>
      <c r="X72" s="461"/>
    </row>
    <row r="73" spans="1:24" s="167" customFormat="1" ht="15.5">
      <c r="A73" s="142">
        <v>320</v>
      </c>
      <c r="B73" s="194" t="s">
        <v>262</v>
      </c>
      <c r="C73" s="501">
        <f>'[40]Sch C'!D66</f>
        <v>0</v>
      </c>
      <c r="D73" s="501">
        <f>'[40]Sch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  <c r="U73" s="492"/>
      <c r="V73" s="492"/>
      <c r="W73" s="464"/>
      <c r="X73" s="461"/>
    </row>
    <row r="74" spans="1:24" s="167" customFormat="1" ht="15.5">
      <c r="A74" s="142">
        <v>330</v>
      </c>
      <c r="B74" s="194" t="s">
        <v>263</v>
      </c>
      <c r="C74" s="501">
        <f>'[40]Sch C'!D67</f>
        <v>6317.93</v>
      </c>
      <c r="D74" s="501">
        <f>'[40]Sch C'!F67</f>
        <v>0</v>
      </c>
      <c r="E74" s="171">
        <f t="shared" si="7"/>
        <v>6317.93</v>
      </c>
      <c r="F74" s="171"/>
      <c r="G74" s="171">
        <f t="shared" si="8"/>
        <v>6317.93</v>
      </c>
      <c r="H74" s="172">
        <f t="shared" si="9"/>
        <v>2.5919903910019797E-3</v>
      </c>
      <c r="I74" s="473"/>
      <c r="J74" s="195"/>
      <c r="K74" s="168"/>
      <c r="U74" s="492"/>
      <c r="V74" s="492"/>
      <c r="W74" s="464"/>
      <c r="X74" s="461"/>
    </row>
    <row r="75" spans="1:24" s="167" customFormat="1" ht="15.5">
      <c r="A75" s="142">
        <v>340</v>
      </c>
      <c r="B75" s="194" t="s">
        <v>264</v>
      </c>
      <c r="C75" s="501">
        <f>'[40]Sch C'!D68</f>
        <v>0</v>
      </c>
      <c r="D75" s="501">
        <f>'[40]Sch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  <c r="U75" s="492"/>
      <c r="V75" s="492"/>
      <c r="W75" s="464"/>
      <c r="X75" s="461"/>
    </row>
    <row r="76" spans="1:24" s="167" customFormat="1" ht="15.5">
      <c r="A76" s="167">
        <v>350</v>
      </c>
      <c r="B76" s="194" t="s">
        <v>311</v>
      </c>
      <c r="C76" s="501">
        <f>'[40]Sch C'!D69</f>
        <v>0</v>
      </c>
      <c r="D76" s="501">
        <f>'[40]Sch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  <c r="U76" s="492"/>
      <c r="V76" s="492"/>
      <c r="W76" s="464"/>
      <c r="X76" s="461"/>
    </row>
    <row r="77" spans="1:24" s="167" customFormat="1" ht="15.5">
      <c r="A77" s="142">
        <v>360</v>
      </c>
      <c r="B77" s="194" t="s">
        <v>192</v>
      </c>
      <c r="C77" s="501">
        <f>'[40]Sch C'!D70</f>
        <v>0</v>
      </c>
      <c r="D77" s="501">
        <f>'[40]Sch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  <c r="U77" s="492"/>
      <c r="V77" s="492"/>
      <c r="W77" s="464"/>
      <c r="X77" s="461"/>
    </row>
    <row r="78" spans="1:24" s="167" customFormat="1" ht="15.5">
      <c r="A78" s="142">
        <v>490</v>
      </c>
      <c r="B78" s="194" t="s">
        <v>312</v>
      </c>
      <c r="C78" s="501">
        <f>'[40]Sch C'!D71</f>
        <v>0</v>
      </c>
      <c r="D78" s="501">
        <f>'[40]Sch C'!F71</f>
        <v>-37074.589999999997</v>
      </c>
      <c r="E78" s="171">
        <f t="shared" si="7"/>
        <v>-37074.589999999997</v>
      </c>
      <c r="F78" s="171"/>
      <c r="G78" s="171">
        <f t="shared" si="8"/>
        <v>-37074.589999999997</v>
      </c>
      <c r="H78" s="172">
        <f t="shared" si="9"/>
        <v>-1.5210200339405166E-2</v>
      </c>
      <c r="I78" s="472"/>
      <c r="J78" s="195"/>
      <c r="K78" s="168"/>
      <c r="U78" s="492"/>
      <c r="V78" s="492"/>
      <c r="W78" s="464"/>
      <c r="X78" s="461"/>
    </row>
    <row r="79" spans="1:24" s="167" customFormat="1" ht="15.5">
      <c r="A79" s="163"/>
      <c r="B79" s="170" t="s">
        <v>150</v>
      </c>
      <c r="C79" s="501">
        <f>SUM(C64:C78)</f>
        <v>359266.82999999996</v>
      </c>
      <c r="D79" s="501">
        <f>SUM(D64:D78)</f>
        <v>-262886.74</v>
      </c>
      <c r="E79" s="171">
        <f t="shared" ref="E79:F79" si="10">SUM(E64:E78)</f>
        <v>96380.090000000026</v>
      </c>
      <c r="F79" s="171">
        <f t="shared" si="10"/>
        <v>0</v>
      </c>
      <c r="G79" s="171">
        <f>SUM(G64:G78)</f>
        <v>96380.090000000026</v>
      </c>
      <c r="H79" s="172">
        <f t="shared" si="9"/>
        <v>3.9540841250837865E-2</v>
      </c>
      <c r="I79" s="473"/>
      <c r="J79" s="195"/>
      <c r="K79" s="168"/>
      <c r="U79" s="492"/>
      <c r="V79" s="492"/>
      <c r="W79" s="464"/>
      <c r="X79" s="461"/>
    </row>
    <row r="80" spans="1:24" s="167" customFormat="1" ht="15.5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  <c r="U80" s="492"/>
      <c r="V80" s="492"/>
      <c r="W80" s="461"/>
      <c r="X80" s="461"/>
    </row>
    <row r="81" spans="1:24" s="167" customFormat="1" ht="15.5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  <c r="U81" s="492"/>
      <c r="V81" s="492"/>
      <c r="W81" s="461"/>
      <c r="X81" s="461"/>
    </row>
    <row r="82" spans="1:24" s="167" customFormat="1">
      <c r="A82" s="169" t="s">
        <v>85</v>
      </c>
      <c r="B82" s="148" t="s">
        <v>44</v>
      </c>
      <c r="C82" s="501">
        <f>'[40]Sch C'!D75</f>
        <v>39285.86</v>
      </c>
      <c r="D82" s="501">
        <f>'[40]Sch C'!F75</f>
        <v>0</v>
      </c>
      <c r="E82" s="171">
        <f t="shared" ref="E82:E92" si="11">C82+D82</f>
        <v>39285.86</v>
      </c>
      <c r="F82" s="171"/>
      <c r="G82" s="171">
        <f t="shared" ref="G82:G92" si="12">E82+F82</f>
        <v>39285.86</v>
      </c>
      <c r="H82" s="172">
        <f t="shared" ref="H82:H93" si="13">IF($G$208=0,0,G82/$G$208)</f>
        <v>1.6117394719828967E-2</v>
      </c>
      <c r="I82" s="473"/>
      <c r="J82" s="183">
        <v>1868.3999999999999</v>
      </c>
      <c r="K82" s="183">
        <v>2091.46</v>
      </c>
      <c r="U82" s="497">
        <v>365.84</v>
      </c>
      <c r="V82" s="497">
        <v>374</v>
      </c>
      <c r="W82" s="437">
        <v>1844</v>
      </c>
      <c r="X82" s="437">
        <v>1844</v>
      </c>
    </row>
    <row r="83" spans="1:24" s="167" customFormat="1" ht="15.5">
      <c r="A83" s="169" t="s">
        <v>86</v>
      </c>
      <c r="B83" s="199" t="s">
        <v>45</v>
      </c>
      <c r="C83" s="501">
        <f>'[40]Sch C'!D76</f>
        <v>0</v>
      </c>
      <c r="D83" s="501">
        <f>'[40]Sch C'!F76</f>
        <v>9630.35</v>
      </c>
      <c r="E83" s="171">
        <f t="shared" si="11"/>
        <v>9630.35</v>
      </c>
      <c r="F83" s="171"/>
      <c r="G83" s="171">
        <f t="shared" si="12"/>
        <v>9630.35</v>
      </c>
      <c r="H83" s="172">
        <f t="shared" si="13"/>
        <v>3.9509419480725358E-3</v>
      </c>
      <c r="I83" s="473"/>
      <c r="J83" s="168"/>
      <c r="K83" s="168"/>
      <c r="U83" s="492"/>
      <c r="V83" s="492"/>
      <c r="W83" s="461"/>
      <c r="X83" s="461"/>
    </row>
    <row r="84" spans="1:24" s="167" customFormat="1" ht="15.5">
      <c r="A84" s="169" t="s">
        <v>93</v>
      </c>
      <c r="B84" s="199" t="s">
        <v>47</v>
      </c>
      <c r="C84" s="501">
        <f>'[40]Sch C'!D77</f>
        <v>6374.46</v>
      </c>
      <c r="D84" s="501">
        <f>'[40]Sch C'!F77</f>
        <v>0</v>
      </c>
      <c r="E84" s="171">
        <f t="shared" si="11"/>
        <v>6374.46</v>
      </c>
      <c r="F84" s="171"/>
      <c r="G84" s="171">
        <f t="shared" si="12"/>
        <v>6374.46</v>
      </c>
      <c r="H84" s="172">
        <f t="shared" si="13"/>
        <v>2.6151823568520828E-3</v>
      </c>
      <c r="I84" s="473"/>
      <c r="J84" s="168"/>
      <c r="K84" s="168"/>
      <c r="U84" s="492"/>
      <c r="V84" s="492"/>
      <c r="W84" s="461"/>
      <c r="X84" s="461"/>
    </row>
    <row r="85" spans="1:24" s="167" customFormat="1" ht="15.5">
      <c r="A85" s="169">
        <v>230</v>
      </c>
      <c r="B85" s="199" t="s">
        <v>46</v>
      </c>
      <c r="C85" s="501">
        <f>'[40]Sch C'!D78</f>
        <v>0</v>
      </c>
      <c r="D85" s="501">
        <f>'[40]Sch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  <c r="U85" s="492"/>
      <c r="V85" s="492"/>
      <c r="W85" s="461"/>
      <c r="X85" s="461"/>
    </row>
    <row r="86" spans="1:24" s="167" customFormat="1" ht="15.5">
      <c r="A86" s="169">
        <v>240</v>
      </c>
      <c r="B86" s="200" t="s">
        <v>267</v>
      </c>
      <c r="C86" s="501">
        <f>'[40]Sch C'!D79</f>
        <v>4179.5</v>
      </c>
      <c r="D86" s="501">
        <f>'[40]Sch C'!F79</f>
        <v>0</v>
      </c>
      <c r="E86" s="171">
        <f t="shared" si="11"/>
        <v>4179.5</v>
      </c>
      <c r="F86" s="171"/>
      <c r="G86" s="171">
        <f>E86+F86</f>
        <v>4179.5</v>
      </c>
      <c r="H86" s="172">
        <f t="shared" si="13"/>
        <v>1.7146793078101172E-3</v>
      </c>
      <c r="I86" s="473"/>
      <c r="J86" s="168"/>
      <c r="K86" s="168"/>
      <c r="U86" s="492"/>
      <c r="V86" s="492"/>
      <c r="W86" s="461"/>
      <c r="X86" s="461"/>
    </row>
    <row r="87" spans="1:24" s="167" customFormat="1" ht="15.5">
      <c r="A87" s="169">
        <v>310</v>
      </c>
      <c r="B87" s="199" t="s">
        <v>54</v>
      </c>
      <c r="C87" s="501">
        <f>'[40]Sch C'!D80</f>
        <v>28276.57</v>
      </c>
      <c r="D87" s="501">
        <f>'[40]Sch C'!F80</f>
        <v>0</v>
      </c>
      <c r="E87" s="171">
        <f t="shared" si="11"/>
        <v>28276.57</v>
      </c>
      <c r="F87" s="171"/>
      <c r="G87" s="171">
        <f t="shared" si="12"/>
        <v>28276.57</v>
      </c>
      <c r="H87" s="172">
        <f t="shared" si="13"/>
        <v>1.1600729626712365E-2</v>
      </c>
      <c r="I87" s="473"/>
      <c r="J87" s="168"/>
      <c r="K87" s="168"/>
      <c r="U87" s="492"/>
      <c r="V87" s="492"/>
      <c r="W87" s="461"/>
      <c r="X87" s="461"/>
    </row>
    <row r="88" spans="1:24" s="167" customFormat="1" ht="15.5">
      <c r="A88" s="169">
        <v>320</v>
      </c>
      <c r="B88" s="201" t="s">
        <v>313</v>
      </c>
      <c r="C88" s="501">
        <f>'[40]Sch C'!D81</f>
        <v>0</v>
      </c>
      <c r="D88" s="501">
        <f>'[40]Sch C'!F81</f>
        <v>0</v>
      </c>
      <c r="E88" s="171">
        <f t="shared" si="11"/>
        <v>0</v>
      </c>
      <c r="F88" s="171"/>
      <c r="G88" s="171">
        <f t="shared" si="12"/>
        <v>0</v>
      </c>
      <c r="H88" s="172">
        <f t="shared" si="13"/>
        <v>0</v>
      </c>
      <c r="I88" s="473"/>
      <c r="J88" s="168"/>
      <c r="K88" s="168"/>
      <c r="U88" s="492"/>
      <c r="V88" s="492"/>
      <c r="W88" s="461"/>
      <c r="X88" s="461"/>
    </row>
    <row r="89" spans="1:24" s="167" customFormat="1" ht="15.5">
      <c r="A89" s="169">
        <v>330</v>
      </c>
      <c r="B89" s="201" t="s">
        <v>314</v>
      </c>
      <c r="C89" s="501">
        <f>'[40]Sch C'!D82</f>
        <v>579.34</v>
      </c>
      <c r="D89" s="501">
        <f>'[40]Sch C'!F82</f>
        <v>0</v>
      </c>
      <c r="E89" s="171">
        <f t="shared" si="11"/>
        <v>579.34</v>
      </c>
      <c r="F89" s="171"/>
      <c r="G89" s="171">
        <f t="shared" si="12"/>
        <v>579.34</v>
      </c>
      <c r="H89" s="172">
        <f t="shared" si="13"/>
        <v>2.3767970096583645E-4</v>
      </c>
      <c r="I89" s="473"/>
      <c r="J89" s="168"/>
      <c r="K89" s="168"/>
      <c r="U89" s="492"/>
      <c r="V89" s="492"/>
      <c r="W89" s="461"/>
      <c r="X89" s="461"/>
    </row>
    <row r="90" spans="1:24" s="167" customFormat="1" ht="15.5">
      <c r="A90" s="163">
        <v>340</v>
      </c>
      <c r="B90" s="201" t="s">
        <v>300</v>
      </c>
      <c r="C90" s="501">
        <f>'[40]Sch C'!D83</f>
        <v>0</v>
      </c>
      <c r="D90" s="501">
        <f>'[40]Sch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  <c r="U90" s="492"/>
      <c r="V90" s="492"/>
      <c r="W90" s="461"/>
      <c r="X90" s="461"/>
    </row>
    <row r="91" spans="1:24" s="167" customFormat="1" ht="15.5">
      <c r="A91" s="163">
        <v>350</v>
      </c>
      <c r="B91" s="199" t="s">
        <v>49</v>
      </c>
      <c r="C91" s="501">
        <f>'[40]Sch C'!D84</f>
        <v>54157.51</v>
      </c>
      <c r="D91" s="501">
        <f>'[40]Sch C'!F84</f>
        <v>0</v>
      </c>
      <c r="E91" s="171">
        <f t="shared" si="11"/>
        <v>54157.51</v>
      </c>
      <c r="F91" s="171"/>
      <c r="G91" s="171">
        <f t="shared" si="12"/>
        <v>54157.51</v>
      </c>
      <c r="H91" s="172">
        <f t="shared" si="13"/>
        <v>2.2218629443598398E-2</v>
      </c>
      <c r="I91" s="473"/>
      <c r="J91" s="168"/>
      <c r="K91" s="168"/>
      <c r="U91" s="492"/>
      <c r="V91" s="492"/>
      <c r="W91" s="461"/>
      <c r="X91" s="461"/>
    </row>
    <row r="92" spans="1:24" s="167" customFormat="1" ht="15.5">
      <c r="A92" s="163">
        <v>490</v>
      </c>
      <c r="B92" s="148" t="s">
        <v>312</v>
      </c>
      <c r="C92" s="501">
        <f>'[40]Sch C'!D85</f>
        <v>0</v>
      </c>
      <c r="D92" s="501">
        <f>'[40]Sch C'!F85</f>
        <v>-40694</v>
      </c>
      <c r="E92" s="171">
        <f t="shared" si="11"/>
        <v>-40694</v>
      </c>
      <c r="F92" s="171"/>
      <c r="G92" s="171">
        <f t="shared" si="12"/>
        <v>-40694</v>
      </c>
      <c r="H92" s="172">
        <f t="shared" si="13"/>
        <v>-1.6695097440369639E-2</v>
      </c>
      <c r="I92" s="473"/>
      <c r="J92" s="168"/>
      <c r="K92" s="168"/>
      <c r="U92" s="492"/>
      <c r="V92" s="492"/>
      <c r="W92" s="461"/>
      <c r="X92" s="461"/>
    </row>
    <row r="93" spans="1:24" s="167" customFormat="1" ht="15.5">
      <c r="A93" s="163"/>
      <c r="B93" s="170" t="s">
        <v>50</v>
      </c>
      <c r="C93" s="501">
        <f>SUM(C82:C92)</f>
        <v>132853.24</v>
      </c>
      <c r="D93" s="501">
        <f>SUM(D82:D92)</f>
        <v>-31063.65</v>
      </c>
      <c r="E93" s="171">
        <f t="shared" ref="E93:F93" si="14">SUM(E82:E92)</f>
        <v>101789.59</v>
      </c>
      <c r="F93" s="171">
        <f t="shared" si="14"/>
        <v>0</v>
      </c>
      <c r="G93" s="171">
        <f>SUM(G82:G92)</f>
        <v>101789.59</v>
      </c>
      <c r="H93" s="172">
        <f t="shared" si="13"/>
        <v>4.1760139663470662E-2</v>
      </c>
      <c r="I93" s="473"/>
      <c r="J93" s="168"/>
      <c r="K93" s="168"/>
      <c r="U93" s="492"/>
      <c r="V93" s="492"/>
      <c r="W93" s="461"/>
      <c r="X93" s="461"/>
    </row>
    <row r="94" spans="1:24" s="167" customFormat="1" ht="15.5">
      <c r="A94" s="163"/>
      <c r="C94" s="165"/>
      <c r="D94" s="165"/>
      <c r="E94" s="165"/>
      <c r="F94" s="165"/>
      <c r="G94" s="165"/>
      <c r="H94" s="198"/>
      <c r="I94" s="475"/>
      <c r="J94" s="168"/>
      <c r="K94" s="168"/>
      <c r="U94" s="492"/>
      <c r="V94" s="492"/>
      <c r="W94" s="461"/>
      <c r="X94" s="461"/>
    </row>
    <row r="95" spans="1:24" s="167" customFormat="1" ht="15.5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  <c r="U95" s="492"/>
      <c r="V95" s="492"/>
      <c r="W95" s="461"/>
      <c r="X95" s="461"/>
    </row>
    <row r="96" spans="1:24" s="167" customFormat="1">
      <c r="A96" s="169" t="s">
        <v>85</v>
      </c>
      <c r="B96" s="170" t="s">
        <v>44</v>
      </c>
      <c r="C96" s="501">
        <f>'[40]Sch C'!D89</f>
        <v>136033.41</v>
      </c>
      <c r="D96" s="501">
        <f>'[40]Sch C'!F89</f>
        <v>0</v>
      </c>
      <c r="E96" s="171">
        <f t="shared" ref="E96:E101" si="15">C96+D96</f>
        <v>136033.41</v>
      </c>
      <c r="F96" s="171"/>
      <c r="G96" s="171">
        <f t="shared" ref="G96:G101" si="16">E96+F96</f>
        <v>136033.41</v>
      </c>
      <c r="H96" s="172">
        <f t="shared" ref="H96:H102" si="17">IF($G$208=0,0,G96/$G$208)</f>
        <v>5.5808989902584018E-2</v>
      </c>
      <c r="I96" s="473"/>
      <c r="J96" s="183">
        <v>12783.550000000001</v>
      </c>
      <c r="K96" s="183">
        <v>13470.58</v>
      </c>
      <c r="U96" s="497">
        <v>2478.17</v>
      </c>
      <c r="V96" s="497">
        <v>2518.17</v>
      </c>
      <c r="W96" s="437">
        <v>12954</v>
      </c>
      <c r="X96" s="437">
        <v>12954</v>
      </c>
    </row>
    <row r="97" spans="1:24" s="167" customFormat="1" ht="15.5">
      <c r="A97" s="169" t="s">
        <v>86</v>
      </c>
      <c r="B97" s="170" t="s">
        <v>45</v>
      </c>
      <c r="C97" s="501">
        <f>'[40]Sch C'!D90</f>
        <v>0</v>
      </c>
      <c r="D97" s="501">
        <f>'[40]Sch C'!F90</f>
        <v>33346.6</v>
      </c>
      <c r="E97" s="171">
        <f t="shared" si="15"/>
        <v>33346.6</v>
      </c>
      <c r="F97" s="171"/>
      <c r="G97" s="171">
        <f t="shared" si="16"/>
        <v>33346.6</v>
      </c>
      <c r="H97" s="172">
        <f t="shared" si="17"/>
        <v>1.368075726900846E-2</v>
      </c>
      <c r="I97" s="473"/>
      <c r="J97" s="168"/>
      <c r="K97" s="168"/>
      <c r="U97" s="492"/>
      <c r="V97" s="492"/>
      <c r="W97" s="461"/>
      <c r="X97" s="461"/>
    </row>
    <row r="98" spans="1:24" s="167" customFormat="1" ht="15.5">
      <c r="A98" s="169">
        <v>310</v>
      </c>
      <c r="B98" s="170" t="s">
        <v>54</v>
      </c>
      <c r="C98" s="501">
        <f>'[40]Sch C'!D91</f>
        <v>0</v>
      </c>
      <c r="D98" s="501">
        <f>'[40]Sch C'!F91</f>
        <v>0</v>
      </c>
      <c r="E98" s="171">
        <f t="shared" si="15"/>
        <v>0</v>
      </c>
      <c r="F98" s="171"/>
      <c r="G98" s="171">
        <f t="shared" si="16"/>
        <v>0</v>
      </c>
      <c r="H98" s="172">
        <f t="shared" si="17"/>
        <v>0</v>
      </c>
      <c r="I98" s="473"/>
      <c r="J98" s="168"/>
      <c r="K98" s="168"/>
      <c r="U98" s="492"/>
      <c r="V98" s="492"/>
      <c r="W98" s="461"/>
      <c r="X98" s="461"/>
    </row>
    <row r="99" spans="1:24" s="167" customFormat="1" ht="15.5">
      <c r="A99" s="169">
        <v>380</v>
      </c>
      <c r="B99" s="170" t="s">
        <v>52</v>
      </c>
      <c r="C99" s="501">
        <f>'[40]Sch C'!D92</f>
        <v>109024.14</v>
      </c>
      <c r="D99" s="501">
        <f>'[40]Sch C'!F92</f>
        <v>-1055</v>
      </c>
      <c r="E99" s="171">
        <f t="shared" si="15"/>
        <v>107969.14</v>
      </c>
      <c r="F99" s="171"/>
      <c r="G99" s="171">
        <f t="shared" si="16"/>
        <v>107969.14</v>
      </c>
      <c r="H99" s="172">
        <f t="shared" si="17"/>
        <v>4.4295358353882916E-2</v>
      </c>
      <c r="I99" s="473"/>
      <c r="J99" s="168"/>
      <c r="K99" s="168"/>
      <c r="U99" s="492"/>
      <c r="V99" s="492"/>
      <c r="W99" s="461"/>
      <c r="X99" s="461"/>
    </row>
    <row r="100" spans="1:24" s="167" customFormat="1" ht="15.5">
      <c r="A100" s="169">
        <v>390</v>
      </c>
      <c r="B100" s="170" t="s">
        <v>53</v>
      </c>
      <c r="C100" s="501">
        <f>'[40]Sch C'!D93</f>
        <v>14613.140000000001</v>
      </c>
      <c r="D100" s="501">
        <f>'[40]Sch C'!F93</f>
        <v>0</v>
      </c>
      <c r="E100" s="171">
        <f t="shared" si="15"/>
        <v>14613.140000000001</v>
      </c>
      <c r="F100" s="171"/>
      <c r="G100" s="171">
        <f t="shared" si="16"/>
        <v>14613.140000000001</v>
      </c>
      <c r="H100" s="172">
        <f t="shared" si="17"/>
        <v>5.9951785572753538E-3</v>
      </c>
      <c r="I100" s="473"/>
      <c r="J100" s="168"/>
      <c r="K100" s="168"/>
      <c r="U100" s="492"/>
      <c r="V100" s="492"/>
      <c r="W100" s="461"/>
      <c r="X100" s="461"/>
    </row>
    <row r="101" spans="1:24" s="167" customFormat="1" ht="15.5">
      <c r="A101" s="169">
        <v>490</v>
      </c>
      <c r="B101" s="202" t="s">
        <v>312</v>
      </c>
      <c r="C101" s="501">
        <f>'[40]Sch C'!D94</f>
        <v>0</v>
      </c>
      <c r="D101" s="501">
        <f>'[40]Sch C'!F94</f>
        <v>-75472</v>
      </c>
      <c r="E101" s="171">
        <f t="shared" si="15"/>
        <v>-75472</v>
      </c>
      <c r="F101" s="171"/>
      <c r="G101" s="171">
        <f t="shared" si="16"/>
        <v>-75472</v>
      </c>
      <c r="H101" s="172">
        <f t="shared" si="17"/>
        <v>-3.0963100064372574E-2</v>
      </c>
      <c r="I101" s="473"/>
      <c r="J101" s="168"/>
      <c r="K101" s="168"/>
      <c r="U101" s="492"/>
      <c r="V101" s="492"/>
      <c r="W101" s="461"/>
      <c r="X101" s="461"/>
    </row>
    <row r="102" spans="1:24" s="167" customFormat="1" ht="15.5">
      <c r="A102" s="169"/>
      <c r="B102" s="170" t="s">
        <v>55</v>
      </c>
      <c r="C102" s="501">
        <f>SUM(C96:C101)</f>
        <v>259670.69</v>
      </c>
      <c r="D102" s="501">
        <f>SUM(D96:D101)</f>
        <v>-43180.4</v>
      </c>
      <c r="E102" s="171">
        <f t="shared" ref="E102:F102" si="18">SUM(E96:E101)</f>
        <v>216490.29000000004</v>
      </c>
      <c r="F102" s="171">
        <f t="shared" si="18"/>
        <v>0</v>
      </c>
      <c r="G102" s="171">
        <f>SUM(G96:G101)</f>
        <v>216490.29000000004</v>
      </c>
      <c r="H102" s="172">
        <f t="shared" si="17"/>
        <v>8.8817184018378181E-2</v>
      </c>
      <c r="I102" s="473"/>
      <c r="J102" s="168"/>
      <c r="K102" s="168"/>
      <c r="U102" s="492"/>
      <c r="V102" s="492"/>
      <c r="W102" s="461"/>
      <c r="X102" s="461"/>
    </row>
    <row r="103" spans="1:24" s="167" customFormat="1" ht="15.5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  <c r="U103" s="492"/>
      <c r="V103" s="492"/>
      <c r="W103" s="461"/>
      <c r="X103" s="461"/>
    </row>
    <row r="104" spans="1:24" s="167" customFormat="1" ht="15.5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  <c r="U104" s="492"/>
      <c r="V104" s="492"/>
      <c r="W104" s="461"/>
      <c r="X104" s="461"/>
    </row>
    <row r="105" spans="1:24" s="167" customFormat="1">
      <c r="A105" s="169" t="s">
        <v>85</v>
      </c>
      <c r="B105" s="170" t="s">
        <v>44</v>
      </c>
      <c r="C105" s="501">
        <f>'[40]Sch C'!D98</f>
        <v>26686.880000000001</v>
      </c>
      <c r="D105" s="501">
        <f>'[40]Sch C'!F98</f>
        <v>0</v>
      </c>
      <c r="E105" s="171">
        <f t="shared" ref="E105:E110" si="19">C105+D105</f>
        <v>26686.880000000001</v>
      </c>
      <c r="F105" s="171"/>
      <c r="G105" s="171">
        <f t="shared" ref="G105:G110" si="20">E105+F105</f>
        <v>26686.880000000001</v>
      </c>
      <c r="H105" s="172">
        <f t="shared" ref="H105:H111" si="21">IF($G$208=0,0,G105/$G$208)</f>
        <v>1.0948544305780994E-2</v>
      </c>
      <c r="I105" s="473"/>
      <c r="J105" s="183">
        <v>2403.8900000000003</v>
      </c>
      <c r="K105" s="183">
        <v>2541.89</v>
      </c>
      <c r="U105" s="497"/>
      <c r="V105" s="497">
        <v>465</v>
      </c>
      <c r="W105" s="437">
        <v>2993</v>
      </c>
      <c r="X105" s="437">
        <v>2993</v>
      </c>
    </row>
    <row r="106" spans="1:24" s="167" customFormat="1" ht="15.5">
      <c r="A106" s="169" t="s">
        <v>86</v>
      </c>
      <c r="B106" s="170" t="s">
        <v>45</v>
      </c>
      <c r="C106" s="501">
        <f>'[40]Sch C'!D99</f>
        <v>0</v>
      </c>
      <c r="D106" s="501">
        <f>'[40]Sch C'!F99</f>
        <v>6541.89</v>
      </c>
      <c r="E106" s="171">
        <f t="shared" si="19"/>
        <v>6541.89</v>
      </c>
      <c r="F106" s="171"/>
      <c r="G106" s="171">
        <f t="shared" si="20"/>
        <v>6541.89</v>
      </c>
      <c r="H106" s="172">
        <f t="shared" si="21"/>
        <v>2.6838720940231915E-3</v>
      </c>
      <c r="I106" s="473"/>
      <c r="J106" s="168"/>
      <c r="K106" s="168"/>
      <c r="U106"/>
      <c r="V106"/>
      <c r="W106" s="461"/>
      <c r="X106" s="461"/>
    </row>
    <row r="107" spans="1:24" s="167" customFormat="1" ht="15.5">
      <c r="A107" s="169">
        <v>110</v>
      </c>
      <c r="B107" s="170" t="s">
        <v>47</v>
      </c>
      <c r="C107" s="501">
        <f>'[40]Sch C'!D100</f>
        <v>2531.86</v>
      </c>
      <c r="D107" s="501">
        <f>'[40]Sch C'!F100</f>
        <v>0</v>
      </c>
      <c r="E107" s="171">
        <f t="shared" si="19"/>
        <v>2531.86</v>
      </c>
      <c r="F107" s="171"/>
      <c r="G107" s="171">
        <f t="shared" si="20"/>
        <v>2531.86</v>
      </c>
      <c r="H107" s="172">
        <f t="shared" si="21"/>
        <v>1.0387194526312055E-3</v>
      </c>
      <c r="I107" s="473"/>
      <c r="J107" s="168"/>
      <c r="K107" s="168"/>
      <c r="U107"/>
      <c r="V107"/>
      <c r="W107" s="461"/>
      <c r="X107" s="461"/>
    </row>
    <row r="108" spans="1:24" s="167" customFormat="1" ht="15.5">
      <c r="A108" s="169">
        <v>310</v>
      </c>
      <c r="B108" s="170" t="s">
        <v>54</v>
      </c>
      <c r="C108" s="501">
        <f>'[40]Sch C'!D101</f>
        <v>0</v>
      </c>
      <c r="D108" s="501">
        <f>'[40]Sch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  <c r="U108"/>
      <c r="V108"/>
      <c r="W108" s="461"/>
      <c r="X108" s="461"/>
    </row>
    <row r="109" spans="1:24" s="167" customFormat="1" ht="15.5">
      <c r="A109" s="169">
        <v>410</v>
      </c>
      <c r="B109" s="170" t="s">
        <v>57</v>
      </c>
      <c r="C109" s="501">
        <f>'[40]Sch C'!D102</f>
        <v>1543.1</v>
      </c>
      <c r="D109" s="501">
        <f>'[40]Sch C'!F102</f>
        <v>0</v>
      </c>
      <c r="E109" s="171">
        <f t="shared" si="19"/>
        <v>1543.1</v>
      </c>
      <c r="F109" s="171"/>
      <c r="G109" s="171">
        <f t="shared" si="20"/>
        <v>1543.1</v>
      </c>
      <c r="H109" s="172">
        <f t="shared" si="21"/>
        <v>6.3307133386333099E-4</v>
      </c>
      <c r="I109" s="473"/>
      <c r="J109" s="168"/>
      <c r="K109" s="168"/>
      <c r="U109"/>
      <c r="V109"/>
      <c r="W109" s="461"/>
      <c r="X109" s="461"/>
    </row>
    <row r="110" spans="1:24" s="167" customFormat="1" ht="15.5">
      <c r="A110" s="169">
        <v>490</v>
      </c>
      <c r="B110" s="202" t="s">
        <v>312</v>
      </c>
      <c r="C110" s="501">
        <f>'[40]Sch C'!D103</f>
        <v>0</v>
      </c>
      <c r="D110" s="501">
        <f>'[40]Sch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  <c r="U110"/>
      <c r="V110"/>
      <c r="W110" s="461"/>
      <c r="X110" s="461"/>
    </row>
    <row r="111" spans="1:24" s="167" customFormat="1" ht="15.5">
      <c r="A111" s="163"/>
      <c r="B111" s="170" t="s">
        <v>58</v>
      </c>
      <c r="C111" s="501">
        <f>SUM(C105:C110)</f>
        <v>30761.84</v>
      </c>
      <c r="D111" s="501">
        <f>SUM(D105:D110)</f>
        <v>6541.89</v>
      </c>
      <c r="E111" s="171">
        <f t="shared" ref="E111:F111" si="22">SUM(E105:E110)</f>
        <v>37303.730000000003</v>
      </c>
      <c r="F111" s="171">
        <f t="shared" si="22"/>
        <v>0</v>
      </c>
      <c r="G111" s="171">
        <f>SUM(G105:G110)</f>
        <v>37303.730000000003</v>
      </c>
      <c r="H111" s="172">
        <f t="shared" si="21"/>
        <v>1.5304207186298723E-2</v>
      </c>
      <c r="I111" s="473"/>
      <c r="J111" s="168"/>
      <c r="K111" s="168"/>
      <c r="U111"/>
      <c r="V111"/>
      <c r="W111" s="461"/>
      <c r="X111" s="461"/>
    </row>
    <row r="112" spans="1:24" s="167" customFormat="1" ht="15.5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  <c r="U112"/>
      <c r="V112"/>
      <c r="W112" s="461"/>
      <c r="X112" s="461"/>
    </row>
    <row r="113" spans="1:24" s="167" customFormat="1" ht="15.5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  <c r="U113"/>
      <c r="V113"/>
      <c r="W113" s="461"/>
      <c r="X113" s="461"/>
    </row>
    <row r="114" spans="1:24" s="167" customFormat="1">
      <c r="A114" s="169" t="s">
        <v>85</v>
      </c>
      <c r="B114" s="170" t="s">
        <v>44</v>
      </c>
      <c r="C114" s="501">
        <f>'[40]Sch C'!D115</f>
        <v>29934.98</v>
      </c>
      <c r="D114" s="501">
        <f>'[40]Sch C'!F115</f>
        <v>0</v>
      </c>
      <c r="E114" s="171">
        <f t="shared" ref="E114:E118" si="23">C114+D114</f>
        <v>29934.98</v>
      </c>
      <c r="F114" s="171"/>
      <c r="G114" s="171">
        <f>E114+F114</f>
        <v>29934.98</v>
      </c>
      <c r="H114" s="172">
        <f t="shared" ref="H114:H119" si="24">IF($G$208=0,0,G114/$G$208)</f>
        <v>1.2281107976004235E-2</v>
      </c>
      <c r="I114" s="473"/>
      <c r="J114" s="183">
        <v>3341.22</v>
      </c>
      <c r="K114" s="183">
        <v>3466.27</v>
      </c>
      <c r="U114" s="497">
        <v>620</v>
      </c>
      <c r="V114" s="497">
        <v>628</v>
      </c>
      <c r="W114" s="437">
        <v>2516</v>
      </c>
      <c r="X114" s="437">
        <v>2516</v>
      </c>
    </row>
    <row r="115" spans="1:24" s="167" customFormat="1" ht="15.5">
      <c r="A115" s="169" t="s">
        <v>86</v>
      </c>
      <c r="B115" s="170" t="s">
        <v>151</v>
      </c>
      <c r="C115" s="501">
        <f>'[40]Sch C'!D116</f>
        <v>0</v>
      </c>
      <c r="D115" s="501">
        <f>'[40]Sch C'!F116</f>
        <v>7338.12</v>
      </c>
      <c r="E115" s="171">
        <f t="shared" si="23"/>
        <v>7338.12</v>
      </c>
      <c r="F115" s="171"/>
      <c r="G115" s="171">
        <f>E115+F115</f>
        <v>7338.12</v>
      </c>
      <c r="H115" s="172">
        <f t="shared" si="24"/>
        <v>3.0105329638060959E-3</v>
      </c>
      <c r="I115" s="473"/>
      <c r="J115" s="168"/>
      <c r="K115" s="168"/>
      <c r="U115"/>
      <c r="V115"/>
      <c r="W115" s="461"/>
      <c r="X115" s="461"/>
    </row>
    <row r="116" spans="1:24" s="167" customFormat="1" ht="15.5">
      <c r="A116" s="169" t="s">
        <v>93</v>
      </c>
      <c r="B116" s="170" t="s">
        <v>47</v>
      </c>
      <c r="C116" s="501">
        <f>'[40]Sch C'!D117</f>
        <v>11836.15</v>
      </c>
      <c r="D116" s="501">
        <f>'[40]Sch C'!F117</f>
        <v>0</v>
      </c>
      <c r="E116" s="171">
        <f t="shared" si="23"/>
        <v>11836.15</v>
      </c>
      <c r="F116" s="171"/>
      <c r="G116" s="171">
        <f>E116+F116</f>
        <v>11836.15</v>
      </c>
      <c r="H116" s="172">
        <f t="shared" si="24"/>
        <v>4.8558922093878982E-3</v>
      </c>
      <c r="I116" s="473"/>
      <c r="J116" s="168"/>
      <c r="K116" s="168"/>
      <c r="U116"/>
      <c r="V116"/>
      <c r="W116" s="461"/>
      <c r="X116" s="461"/>
    </row>
    <row r="117" spans="1:24" s="167" customFormat="1" ht="15.5">
      <c r="A117" s="169">
        <v>310</v>
      </c>
      <c r="B117" s="170" t="s">
        <v>60</v>
      </c>
      <c r="C117" s="501">
        <f>'[40]Sch C'!D118</f>
        <v>-28.25</v>
      </c>
      <c r="D117" s="501">
        <f>'[40]Sch C'!F118</f>
        <v>0</v>
      </c>
      <c r="E117" s="171">
        <f t="shared" si="23"/>
        <v>-28.25</v>
      </c>
      <c r="F117" s="171"/>
      <c r="G117" s="171">
        <f>E117+F117</f>
        <v>-28.25</v>
      </c>
      <c r="H117" s="172">
        <f t="shared" si="24"/>
        <v>-1.1589829033529325E-5</v>
      </c>
      <c r="I117" s="473"/>
      <c r="J117" s="168"/>
      <c r="K117" s="168"/>
      <c r="U117"/>
      <c r="V117"/>
      <c r="W117" s="461"/>
      <c r="X117" s="461"/>
    </row>
    <row r="118" spans="1:24" s="167" customFormat="1" ht="15.5">
      <c r="A118" s="169">
        <v>490</v>
      </c>
      <c r="B118" s="202" t="s">
        <v>312</v>
      </c>
      <c r="C118" s="501">
        <f>'[40]Sch C'!D119</f>
        <v>0</v>
      </c>
      <c r="D118" s="501">
        <f>'[40]Sch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  <c r="U118"/>
      <c r="V118"/>
      <c r="W118" s="461"/>
      <c r="X118" s="461"/>
    </row>
    <row r="119" spans="1:24" s="167" customFormat="1" ht="15.5">
      <c r="A119" s="163"/>
      <c r="B119" s="170" t="s">
        <v>61</v>
      </c>
      <c r="C119" s="501">
        <f>SUM(C114:C118)</f>
        <v>41742.879999999997</v>
      </c>
      <c r="D119" s="501">
        <f>SUM(D114:D118)</f>
        <v>7338.12</v>
      </c>
      <c r="E119" s="171">
        <f t="shared" ref="E119:F119" si="25">SUM(E114:E118)</f>
        <v>49081</v>
      </c>
      <c r="F119" s="171">
        <f t="shared" si="25"/>
        <v>0</v>
      </c>
      <c r="G119" s="171">
        <f>SUM(G114:G118)</f>
        <v>49081</v>
      </c>
      <c r="H119" s="172">
        <f t="shared" si="24"/>
        <v>2.01359433201647E-2</v>
      </c>
      <c r="I119" s="473"/>
      <c r="J119" s="168"/>
      <c r="K119" s="168"/>
      <c r="U119"/>
      <c r="V119"/>
      <c r="W119" s="461"/>
      <c r="X119" s="461"/>
    </row>
    <row r="120" spans="1:24" s="167" customFormat="1" ht="15.5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  <c r="U120"/>
      <c r="V120"/>
      <c r="W120" s="203"/>
      <c r="X120" s="203"/>
    </row>
    <row r="121" spans="1:24" s="167" customFormat="1" ht="15.5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  <c r="U121"/>
      <c r="V121"/>
      <c r="W121" s="438"/>
      <c r="X121" s="438"/>
    </row>
    <row r="122" spans="1:24" s="167" customFormat="1" ht="15.5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  <c r="U122"/>
      <c r="V122"/>
      <c r="W122" s="438"/>
      <c r="X122" s="438"/>
    </row>
    <row r="123" spans="1:24" s="167" customFormat="1">
      <c r="B123" s="163" t="s">
        <v>232</v>
      </c>
      <c r="C123" s="501">
        <f>'[40]Sch C'!D124</f>
        <v>0</v>
      </c>
      <c r="D123" s="501">
        <f>'[40]Sch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  <c r="U123" s="497">
        <v>0</v>
      </c>
      <c r="V123" s="497">
        <v>0</v>
      </c>
      <c r="W123" s="437">
        <v>0</v>
      </c>
      <c r="X123" s="437">
        <v>0</v>
      </c>
    </row>
    <row r="124" spans="1:24" s="167" customFormat="1">
      <c r="B124" s="163" t="s">
        <v>194</v>
      </c>
      <c r="C124" s="501">
        <f>'[40]Sch C'!D125</f>
        <v>105957.26</v>
      </c>
      <c r="D124" s="501">
        <f>'[40]Sch C'!F125</f>
        <v>0</v>
      </c>
      <c r="E124" s="171">
        <f t="shared" si="26"/>
        <v>105957.26</v>
      </c>
      <c r="F124" s="171"/>
      <c r="G124" s="171">
        <f>E124+F124</f>
        <v>105957.26</v>
      </c>
      <c r="H124" s="172">
        <f>IF($G$208=0,0,G124/$G$208)</f>
        <v>4.3469965602166913E-2</v>
      </c>
      <c r="I124" s="473"/>
      <c r="J124" s="183">
        <v>3626.4100000000003</v>
      </c>
      <c r="K124" s="183">
        <v>3952.5099999999998</v>
      </c>
      <c r="U124" s="497">
        <v>541.36</v>
      </c>
      <c r="V124" s="497">
        <v>553.80999999999995</v>
      </c>
      <c r="W124" s="437">
        <v>3716</v>
      </c>
      <c r="X124" s="437">
        <v>3716</v>
      </c>
    </row>
    <row r="125" spans="1:24" s="167" customFormat="1">
      <c r="A125" s="163" t="s">
        <v>198</v>
      </c>
      <c r="B125" s="163" t="s">
        <v>195</v>
      </c>
      <c r="C125" s="501">
        <f>'[40]Sch C'!D126</f>
        <v>0</v>
      </c>
      <c r="D125" s="501">
        <f>'[40]Sch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  <c r="U125" s="497">
        <v>0</v>
      </c>
      <c r="V125" s="497">
        <v>0</v>
      </c>
      <c r="W125" s="437">
        <v>0</v>
      </c>
      <c r="X125" s="437">
        <v>0</v>
      </c>
    </row>
    <row r="126" spans="1:24" s="167" customFormat="1">
      <c r="A126" s="169"/>
      <c r="B126" s="163" t="s">
        <v>196</v>
      </c>
      <c r="C126" s="501">
        <f>'[40]Sch C'!D127</f>
        <v>0</v>
      </c>
      <c r="D126" s="501">
        <f>'[40]Sch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  <c r="U126" s="497">
        <v>0</v>
      </c>
      <c r="V126" s="497">
        <v>0</v>
      </c>
      <c r="W126" s="437">
        <v>0</v>
      </c>
      <c r="X126" s="437">
        <v>0</v>
      </c>
    </row>
    <row r="127" spans="1:24" s="167" customFormat="1">
      <c r="A127" s="169"/>
      <c r="B127" s="163" t="s">
        <v>197</v>
      </c>
      <c r="C127" s="501">
        <f>'[40]Sch C'!D128</f>
        <v>15658.7</v>
      </c>
      <c r="D127" s="501">
        <f>'[40]Sch C'!F128</f>
        <v>0</v>
      </c>
      <c r="E127" s="171">
        <f t="shared" si="26"/>
        <v>15658.7</v>
      </c>
      <c r="F127" s="171"/>
      <c r="G127" s="171">
        <f>E127+F127</f>
        <v>15658.7</v>
      </c>
      <c r="H127" s="172">
        <f>IF($G$208=0,0,G127/$G$208)</f>
        <v>6.4241294119407313E-3</v>
      </c>
      <c r="I127" s="473"/>
      <c r="J127" s="183">
        <v>1453.42</v>
      </c>
      <c r="K127" s="183">
        <v>1465.42</v>
      </c>
      <c r="U127" s="497">
        <v>160.4</v>
      </c>
      <c r="V127" s="497">
        <v>160.4</v>
      </c>
      <c r="W127" s="437">
        <v>1349</v>
      </c>
      <c r="X127" s="437">
        <v>1349</v>
      </c>
    </row>
    <row r="128" spans="1:24" s="167" customFormat="1" ht="14" customHeight="1">
      <c r="A128" s="169" t="s">
        <v>95</v>
      </c>
      <c r="B128" s="170" t="s">
        <v>152</v>
      </c>
      <c r="C128" s="505"/>
      <c r="D128" s="505"/>
      <c r="E128" s="205"/>
      <c r="F128" s="493"/>
      <c r="G128" s="205"/>
      <c r="H128" s="206"/>
      <c r="I128" s="482"/>
      <c r="J128" s="207"/>
      <c r="K128" s="207"/>
      <c r="U128"/>
      <c r="V128"/>
      <c r="W128" s="465"/>
      <c r="X128" s="465"/>
    </row>
    <row r="129" spans="1:24" s="167" customFormat="1" ht="15.5">
      <c r="A129" s="169"/>
      <c r="B129" s="163" t="s">
        <v>232</v>
      </c>
      <c r="C129" s="501">
        <f>'[40]Sch C'!D130</f>
        <v>0</v>
      </c>
      <c r="D129" s="501">
        <f>'[40]Sch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  <c r="U129"/>
      <c r="V129"/>
      <c r="W129" s="438"/>
      <c r="X129" s="438"/>
    </row>
    <row r="130" spans="1:24" s="167" customFormat="1" ht="15.5">
      <c r="A130" s="169"/>
      <c r="B130" s="163" t="s">
        <v>194</v>
      </c>
      <c r="C130" s="501">
        <f>'[40]Sch C'!D131</f>
        <v>0</v>
      </c>
      <c r="D130" s="501">
        <f>'[40]Sch C'!F131</f>
        <v>25973.87</v>
      </c>
      <c r="E130" s="171">
        <f t="shared" si="27"/>
        <v>25973.87</v>
      </c>
      <c r="F130" s="171"/>
      <c r="G130" s="171">
        <f>E130+F130</f>
        <v>25973.87</v>
      </c>
      <c r="H130" s="172">
        <f>IF($G$208=0,0,G130/$G$208)</f>
        <v>1.0656025226163409E-2</v>
      </c>
      <c r="I130" s="473"/>
      <c r="J130" s="204"/>
      <c r="K130" s="204"/>
      <c r="U130"/>
      <c r="V130"/>
      <c r="W130" s="438"/>
      <c r="X130" s="438"/>
    </row>
    <row r="131" spans="1:24" s="167" customFormat="1" ht="15.5">
      <c r="B131" s="163" t="s">
        <v>195</v>
      </c>
      <c r="C131" s="501">
        <f>'[40]Sch C'!D132</f>
        <v>0</v>
      </c>
      <c r="D131" s="501">
        <f>'[40]Sch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  <c r="U131"/>
      <c r="V131"/>
      <c r="W131" s="461"/>
      <c r="X131" s="461"/>
    </row>
    <row r="132" spans="1:24" s="167" customFormat="1" ht="15.5">
      <c r="B132" s="163" t="s">
        <v>196</v>
      </c>
      <c r="C132" s="501">
        <f>'[40]Sch C'!D133</f>
        <v>0</v>
      </c>
      <c r="D132" s="501">
        <f>'[40]Sch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  <c r="U132"/>
      <c r="V132"/>
      <c r="W132" s="461"/>
      <c r="X132" s="461"/>
    </row>
    <row r="133" spans="1:24" s="167" customFormat="1" ht="15.5">
      <c r="B133" s="163" t="s">
        <v>197</v>
      </c>
      <c r="C133" s="501">
        <f>'[40]Sch C'!D134</f>
        <v>0</v>
      </c>
      <c r="D133" s="501">
        <f>'[40]Sch C'!F134</f>
        <v>3838.5</v>
      </c>
      <c r="E133" s="171">
        <f t="shared" si="27"/>
        <v>3838.5</v>
      </c>
      <c r="F133" s="171"/>
      <c r="G133" s="171">
        <f>E133+F133</f>
        <v>3838.5</v>
      </c>
      <c r="H133" s="172">
        <f>IF($G$208=0,0,G133/$G$208)</f>
        <v>1.574780840538135E-3</v>
      </c>
      <c r="I133" s="473"/>
      <c r="J133" s="168"/>
      <c r="K133" s="168"/>
      <c r="U133"/>
      <c r="V133"/>
      <c r="W133" s="461"/>
      <c r="X133" s="461"/>
    </row>
    <row r="134" spans="1:24" s="167" customFormat="1" ht="15.5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  <c r="U134"/>
      <c r="V134"/>
      <c r="W134" s="438"/>
      <c r="X134" s="438"/>
    </row>
    <row r="135" spans="1:24" s="167" customFormat="1">
      <c r="A135" s="169"/>
      <c r="B135" s="163" t="s">
        <v>194</v>
      </c>
      <c r="C135" s="501">
        <f>'[40]Sch C'!D136</f>
        <v>94286.53</v>
      </c>
      <c r="D135" s="501">
        <f>'[40]Sch C'!F136</f>
        <v>0</v>
      </c>
      <c r="E135" s="171">
        <f t="shared" ref="E135:E138" si="28">C135+D135</f>
        <v>94286.53</v>
      </c>
      <c r="F135" s="171"/>
      <c r="G135" s="171">
        <f>E135+F135</f>
        <v>94286.53</v>
      </c>
      <c r="H135" s="172">
        <f>IF($G$208=0,0,G135/$G$208)</f>
        <v>3.8681938508486148E-2</v>
      </c>
      <c r="I135" s="473"/>
      <c r="J135" s="183">
        <v>3506.7</v>
      </c>
      <c r="K135" s="183">
        <v>4160.41</v>
      </c>
      <c r="U135" s="497">
        <v>919.46</v>
      </c>
      <c r="V135" s="497">
        <v>951.46</v>
      </c>
      <c r="W135" s="437">
        <v>3900</v>
      </c>
      <c r="X135" s="437">
        <v>3900</v>
      </c>
    </row>
    <row r="136" spans="1:24" s="167" customFormat="1">
      <c r="A136" s="169"/>
      <c r="B136" s="163" t="s">
        <v>195</v>
      </c>
      <c r="C136" s="501">
        <f>'[40]Sch C'!D137</f>
        <v>175446.43</v>
      </c>
      <c r="D136" s="501">
        <f>'[40]Sch C'!F137</f>
        <v>0</v>
      </c>
      <c r="E136" s="171">
        <f t="shared" si="28"/>
        <v>175446.43</v>
      </c>
      <c r="F136" s="171"/>
      <c r="G136" s="171">
        <f>E136+F136</f>
        <v>175446.43</v>
      </c>
      <c r="H136" s="172">
        <f>IF($G$208=0,0,G136/$G$208)</f>
        <v>7.1978553212144081E-2</v>
      </c>
      <c r="I136" s="473"/>
      <c r="J136" s="183">
        <v>8614.1</v>
      </c>
      <c r="K136" s="183">
        <v>9261.58</v>
      </c>
      <c r="U136" s="497">
        <v>1745.82</v>
      </c>
      <c r="V136" s="497">
        <v>1785.82</v>
      </c>
      <c r="W136" s="437">
        <v>8625</v>
      </c>
      <c r="X136" s="437">
        <v>8625</v>
      </c>
    </row>
    <row r="137" spans="1:24" s="167" customFormat="1">
      <c r="A137" s="169"/>
      <c r="B137" s="163" t="s">
        <v>196</v>
      </c>
      <c r="C137" s="501">
        <f>'[40]Sch C'!D138</f>
        <v>332583.06</v>
      </c>
      <c r="D137" s="501">
        <f>'[40]Sch C'!F138</f>
        <v>0</v>
      </c>
      <c r="E137" s="171">
        <f t="shared" si="28"/>
        <v>332583.06</v>
      </c>
      <c r="F137" s="171"/>
      <c r="G137" s="171">
        <f>E137+F137</f>
        <v>332583.06</v>
      </c>
      <c r="H137" s="172">
        <f>IF($G$208=0,0,G137/$G$208)</f>
        <v>0.13644533822470886</v>
      </c>
      <c r="I137" s="473"/>
      <c r="J137" s="183">
        <v>45328.49</v>
      </c>
      <c r="K137" s="183">
        <v>47576.87</v>
      </c>
      <c r="U137" s="497">
        <v>7695.99</v>
      </c>
      <c r="V137" s="497">
        <v>7783.99</v>
      </c>
      <c r="W137" s="437">
        <v>36420</v>
      </c>
      <c r="X137" s="437">
        <v>36420</v>
      </c>
    </row>
    <row r="138" spans="1:24" s="167" customFormat="1">
      <c r="A138" s="169"/>
      <c r="B138" s="163" t="s">
        <v>197</v>
      </c>
      <c r="C138" s="501">
        <f>'[40]Sch C'!D139</f>
        <v>12174.43</v>
      </c>
      <c r="D138" s="501">
        <f>'[40]Sch C'!F139</f>
        <v>0</v>
      </c>
      <c r="E138" s="171">
        <f t="shared" si="28"/>
        <v>12174.43</v>
      </c>
      <c r="F138" s="171"/>
      <c r="G138" s="171">
        <f>E138+F138</f>
        <v>12174.43</v>
      </c>
      <c r="H138" s="172">
        <f>IF($G$208=0,0,G138/$G$208)</f>
        <v>4.9946747709971829E-3</v>
      </c>
      <c r="I138" s="473"/>
      <c r="J138" s="183">
        <v>0</v>
      </c>
      <c r="K138" s="183">
        <v>0</v>
      </c>
      <c r="U138" s="497">
        <v>0</v>
      </c>
      <c r="V138" s="497">
        <v>0</v>
      </c>
      <c r="W138" s="437">
        <v>0</v>
      </c>
      <c r="X138" s="437">
        <v>0</v>
      </c>
    </row>
    <row r="139" spans="1:24" s="167" customFormat="1" ht="15.5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  <c r="U139"/>
      <c r="V139"/>
      <c r="W139" s="466"/>
      <c r="X139" s="466"/>
    </row>
    <row r="140" spans="1:24" s="167" customFormat="1" ht="15.5">
      <c r="A140" s="169"/>
      <c r="B140" s="163" t="s">
        <v>194</v>
      </c>
      <c r="C140" s="501">
        <f>'[40]Sch C'!D141</f>
        <v>0</v>
      </c>
      <c r="D140" s="501">
        <f>'[40]Sch C'!F141</f>
        <v>23112.97</v>
      </c>
      <c r="E140" s="171">
        <f t="shared" ref="E140:E143" si="29">C140+D140</f>
        <v>23112.97</v>
      </c>
      <c r="F140" s="171"/>
      <c r="G140" s="171">
        <f>E140+F140</f>
        <v>23112.97</v>
      </c>
      <c r="H140" s="172">
        <f>IF($G$208=0,0,G140/$G$208)</f>
        <v>9.482314009100613E-3</v>
      </c>
      <c r="I140" s="473"/>
      <c r="J140" s="168"/>
      <c r="K140" s="168"/>
      <c r="U140"/>
      <c r="V140"/>
      <c r="W140" s="461"/>
      <c r="X140" s="461"/>
    </row>
    <row r="141" spans="1:24" s="167" customFormat="1" ht="15.5">
      <c r="A141" s="169"/>
      <c r="B141" s="163" t="s">
        <v>195</v>
      </c>
      <c r="C141" s="501">
        <f>'[40]Sch C'!D142</f>
        <v>0</v>
      </c>
      <c r="D141" s="501">
        <f>'[40]Sch C'!F142</f>
        <v>43008.13</v>
      </c>
      <c r="E141" s="171">
        <f t="shared" si="29"/>
        <v>43008.13</v>
      </c>
      <c r="F141" s="171"/>
      <c r="G141" s="171">
        <f>E141+F141</f>
        <v>43008.13</v>
      </c>
      <c r="H141" s="172">
        <f>IF($G$208=0,0,G141/$G$208)</f>
        <v>1.7644491106258531E-2</v>
      </c>
      <c r="I141" s="473"/>
      <c r="J141" s="168"/>
      <c r="K141" s="168"/>
      <c r="U141"/>
      <c r="V141"/>
      <c r="W141" s="461"/>
      <c r="X141" s="461"/>
    </row>
    <row r="142" spans="1:24" s="167" customFormat="1" ht="15.5">
      <c r="A142" s="169"/>
      <c r="B142" s="163" t="s">
        <v>196</v>
      </c>
      <c r="C142" s="501">
        <f>'[40]Sch C'!D143</f>
        <v>0</v>
      </c>
      <c r="D142" s="501">
        <f>'[40]Sch C'!F143</f>
        <v>81527.88</v>
      </c>
      <c r="E142" s="171">
        <f t="shared" si="29"/>
        <v>81527.88</v>
      </c>
      <c r="F142" s="171"/>
      <c r="G142" s="171">
        <f>E142+F142</f>
        <v>81527.88</v>
      </c>
      <c r="H142" s="172">
        <f>IF($G$208=0,0,G142/$G$208)</f>
        <v>3.3447581970481234E-2</v>
      </c>
      <c r="I142" s="473"/>
      <c r="J142" s="168"/>
      <c r="K142" s="168"/>
      <c r="U142"/>
      <c r="V142"/>
      <c r="W142" s="461"/>
      <c r="X142" s="461"/>
    </row>
    <row r="143" spans="1:24" s="167" customFormat="1" ht="15.5">
      <c r="A143" s="169"/>
      <c r="B143" s="163" t="s">
        <v>197</v>
      </c>
      <c r="C143" s="501">
        <f>'[40]Sch C'!D144</f>
        <v>0</v>
      </c>
      <c r="D143" s="501">
        <f>'[40]Sch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  <c r="U143"/>
      <c r="V143"/>
      <c r="W143" s="461"/>
      <c r="X143" s="461"/>
    </row>
    <row r="144" spans="1:24" s="167" customFormat="1" ht="15.5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  <c r="U144"/>
      <c r="V144"/>
      <c r="W144" s="438"/>
      <c r="X144" s="438"/>
    </row>
    <row r="145" spans="1:24" s="167" customFormat="1">
      <c r="A145" s="169"/>
      <c r="B145" s="163" t="s">
        <v>232</v>
      </c>
      <c r="C145" s="501">
        <f>'[40]Sch C'!D146</f>
        <v>18000</v>
      </c>
      <c r="D145" s="501">
        <f>'[40]Sch C'!F146</f>
        <v>0</v>
      </c>
      <c r="E145" s="171">
        <f t="shared" ref="E145:E153" si="30">C145+D145</f>
        <v>18000</v>
      </c>
      <c r="F145" s="171"/>
      <c r="G145" s="171">
        <f t="shared" ref="G145:G153" si="31">E145+F145</f>
        <v>18000</v>
      </c>
      <c r="H145" s="172">
        <f t="shared" ref="H145:H153" si="32">IF($G$208=0,0,G145/$G$208)</f>
        <v>7.3846698266735525E-3</v>
      </c>
      <c r="I145" s="473"/>
      <c r="J145" s="183">
        <v>0</v>
      </c>
      <c r="K145" s="183">
        <v>0</v>
      </c>
      <c r="U145" s="497">
        <v>0</v>
      </c>
      <c r="V145" s="497">
        <v>0</v>
      </c>
      <c r="W145" s="437">
        <v>0</v>
      </c>
      <c r="X145" s="437">
        <v>0</v>
      </c>
    </row>
    <row r="146" spans="1:24" s="167" customFormat="1">
      <c r="A146" s="169"/>
      <c r="B146" s="163" t="s">
        <v>194</v>
      </c>
      <c r="C146" s="501">
        <f>'[40]Sch C'!D147</f>
        <v>0</v>
      </c>
      <c r="D146" s="501">
        <f>'[40]Sch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  <c r="U146" s="497">
        <v>0</v>
      </c>
      <c r="V146" s="497">
        <v>0</v>
      </c>
      <c r="W146" s="437">
        <v>0</v>
      </c>
      <c r="X146" s="437">
        <v>0</v>
      </c>
    </row>
    <row r="147" spans="1:24" s="167" customFormat="1">
      <c r="A147" s="169"/>
      <c r="B147" s="163" t="s">
        <v>195</v>
      </c>
      <c r="C147" s="501">
        <f>'[40]Sch C'!D148</f>
        <v>0</v>
      </c>
      <c r="D147" s="501">
        <f>'[40]Sch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  <c r="U147" s="497">
        <v>0</v>
      </c>
      <c r="V147" s="497">
        <v>0</v>
      </c>
      <c r="W147" s="437">
        <v>0</v>
      </c>
      <c r="X147" s="437">
        <v>0</v>
      </c>
    </row>
    <row r="148" spans="1:24" s="167" customFormat="1">
      <c r="A148" s="169"/>
      <c r="B148" s="163" t="s">
        <v>196</v>
      </c>
      <c r="C148" s="501">
        <f>'[40]Sch C'!D149</f>
        <v>0</v>
      </c>
      <c r="D148" s="501">
        <f>'[40]Sch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  <c r="U148" s="497">
        <v>0</v>
      </c>
      <c r="V148" s="497">
        <v>0</v>
      </c>
      <c r="W148" s="437">
        <v>0</v>
      </c>
      <c r="X148" s="437">
        <v>0</v>
      </c>
    </row>
    <row r="149" spans="1:24" s="167" customFormat="1">
      <c r="A149" s="169"/>
      <c r="B149" s="163" t="s">
        <v>197</v>
      </c>
      <c r="C149" s="501">
        <f>'[40]Sch C'!D150</f>
        <v>593.33000000000004</v>
      </c>
      <c r="D149" s="501">
        <f>'[40]Sch C'!F150</f>
        <v>0</v>
      </c>
      <c r="E149" s="171">
        <f t="shared" si="30"/>
        <v>593.33000000000004</v>
      </c>
      <c r="F149" s="171"/>
      <c r="G149" s="171">
        <f t="shared" si="31"/>
        <v>593.33000000000004</v>
      </c>
      <c r="H149" s="172">
        <f t="shared" si="32"/>
        <v>2.4341923045890105E-4</v>
      </c>
      <c r="I149" s="473"/>
      <c r="J149" s="183">
        <v>0</v>
      </c>
      <c r="K149" s="183">
        <v>0</v>
      </c>
      <c r="U149" s="497">
        <v>0</v>
      </c>
      <c r="V149" s="497">
        <v>0</v>
      </c>
      <c r="W149" s="437">
        <v>0</v>
      </c>
      <c r="X149" s="437">
        <v>0</v>
      </c>
    </row>
    <row r="150" spans="1:24" s="167" customFormat="1" ht="15.5">
      <c r="A150" s="169">
        <v>110</v>
      </c>
      <c r="B150" s="167" t="s">
        <v>65</v>
      </c>
      <c r="C150" s="501">
        <f>'[40]Sch C'!D151</f>
        <v>73051.62</v>
      </c>
      <c r="D150" s="501">
        <f>'[40]Sch C'!F151</f>
        <v>0</v>
      </c>
      <c r="E150" s="171">
        <f t="shared" si="30"/>
        <v>73051.62</v>
      </c>
      <c r="F150" s="171"/>
      <c r="G150" s="171">
        <f t="shared" si="31"/>
        <v>73051.62</v>
      </c>
      <c r="H150" s="172">
        <f t="shared" si="32"/>
        <v>2.9970116333534566E-2</v>
      </c>
      <c r="I150" s="473"/>
      <c r="J150" s="168"/>
      <c r="K150" s="168"/>
      <c r="U150"/>
      <c r="V150"/>
      <c r="W150" s="461"/>
      <c r="X150" s="461"/>
    </row>
    <row r="151" spans="1:24" s="167" customFormat="1" ht="15.5">
      <c r="A151" s="169">
        <v>111</v>
      </c>
      <c r="B151" s="170" t="s">
        <v>97</v>
      </c>
      <c r="C151" s="501">
        <f>'[40]Sch C'!D152</f>
        <v>0</v>
      </c>
      <c r="D151" s="501">
        <f>'[40]Sch C'!F152</f>
        <v>0</v>
      </c>
      <c r="E151" s="171">
        <f t="shared" si="30"/>
        <v>0</v>
      </c>
      <c r="F151" s="171"/>
      <c r="G151" s="171">
        <f t="shared" si="31"/>
        <v>0</v>
      </c>
      <c r="H151" s="172">
        <f t="shared" si="32"/>
        <v>0</v>
      </c>
      <c r="I151" s="473"/>
      <c r="J151" s="168"/>
      <c r="K151" s="168"/>
      <c r="U151"/>
      <c r="V151"/>
      <c r="W151" s="461"/>
      <c r="X151" s="461"/>
    </row>
    <row r="152" spans="1:24" s="167" customFormat="1" ht="15.5">
      <c r="A152" s="169">
        <v>230</v>
      </c>
      <c r="B152" s="170" t="s">
        <v>66</v>
      </c>
      <c r="C152" s="501">
        <f>'[40]Sch C'!D153</f>
        <v>0</v>
      </c>
      <c r="D152" s="501">
        <f>'[40]Sch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  <c r="U152"/>
      <c r="V152"/>
      <c r="W152" s="461"/>
      <c r="X152" s="461"/>
    </row>
    <row r="153" spans="1:24" s="167" customFormat="1" ht="15.5">
      <c r="A153" s="169">
        <v>430</v>
      </c>
      <c r="B153" s="170" t="s">
        <v>99</v>
      </c>
      <c r="C153" s="501">
        <f>'[40]Sch C'!D154</f>
        <v>0</v>
      </c>
      <c r="D153" s="501">
        <f>'[40]Sch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  <c r="U153"/>
      <c r="V153"/>
      <c r="W153" s="461"/>
      <c r="X153" s="461"/>
    </row>
    <row r="154" spans="1:24" s="167" customFormat="1" ht="15.5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  <c r="U154"/>
      <c r="V154"/>
      <c r="W154" s="461"/>
      <c r="X154" s="461"/>
    </row>
    <row r="155" spans="1:24" s="167" customFormat="1" ht="15.5">
      <c r="A155" s="169">
        <v>440.1</v>
      </c>
      <c r="B155" s="163" t="s">
        <v>223</v>
      </c>
      <c r="C155" s="501">
        <f>'[40]Sch C'!D156</f>
        <v>0</v>
      </c>
      <c r="D155" s="501">
        <f>'[40]Sch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  <c r="U155"/>
      <c r="V155"/>
      <c r="W155" s="461"/>
      <c r="X155" s="461"/>
    </row>
    <row r="156" spans="1:24" s="167" customFormat="1" ht="15.5">
      <c r="A156" s="169">
        <v>440.2</v>
      </c>
      <c r="B156" s="163" t="s">
        <v>224</v>
      </c>
      <c r="C156" s="501">
        <f>'[40]Sch C'!D157</f>
        <v>0</v>
      </c>
      <c r="D156" s="501">
        <f>'[40]Sch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  <c r="U156"/>
      <c r="V156"/>
      <c r="W156" s="461"/>
      <c r="X156" s="461"/>
    </row>
    <row r="157" spans="1:24" s="167" customFormat="1" ht="15.5">
      <c r="A157" s="169">
        <v>440.3</v>
      </c>
      <c r="B157" s="163" t="s">
        <v>225</v>
      </c>
      <c r="C157" s="501">
        <f>'[40]Sch C'!D158</f>
        <v>0</v>
      </c>
      <c r="D157" s="501">
        <f>'[40]Sch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  <c r="U157"/>
      <c r="V157"/>
      <c r="W157" s="461"/>
      <c r="X157" s="461"/>
    </row>
    <row r="158" spans="1:24" s="167" customFormat="1" ht="15.5">
      <c r="A158" s="169">
        <v>440.4</v>
      </c>
      <c r="B158" s="163" t="s">
        <v>226</v>
      </c>
      <c r="C158" s="501">
        <f>'[40]Sch C'!D159</f>
        <v>0</v>
      </c>
      <c r="D158" s="501">
        <f>'[40]Sch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  <c r="U158"/>
      <c r="V158"/>
      <c r="W158" s="461"/>
      <c r="X158" s="461"/>
    </row>
    <row r="159" spans="1:24" s="167" customFormat="1" ht="15.5">
      <c r="A159" s="169">
        <v>440.5</v>
      </c>
      <c r="B159" s="163" t="s">
        <v>301</v>
      </c>
      <c r="C159" s="501">
        <f>'[40]Sch C'!D160</f>
        <v>0</v>
      </c>
      <c r="D159" s="501">
        <f>'[40]Sch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  <c r="U159"/>
      <c r="V159"/>
      <c r="W159" s="461"/>
      <c r="X159" s="461"/>
    </row>
    <row r="160" spans="1:24" s="167" customFormat="1" ht="15.5">
      <c r="A160" s="169">
        <v>490</v>
      </c>
      <c r="B160" s="202" t="s">
        <v>315</v>
      </c>
      <c r="C160" s="501">
        <f>'[40]Sch C'!D161</f>
        <v>1790.88</v>
      </c>
      <c r="D160" s="501">
        <f>'[40]Sch C'!F161</f>
        <v>-2356</v>
      </c>
      <c r="E160" s="171">
        <f t="shared" si="33"/>
        <v>-565.11999999999989</v>
      </c>
      <c r="F160" s="171"/>
      <c r="G160" s="171">
        <f t="shared" si="34"/>
        <v>-565.11999999999989</v>
      </c>
      <c r="H160" s="172">
        <f t="shared" si="35"/>
        <v>-2.3184581180276428E-4</v>
      </c>
      <c r="I160" s="473"/>
      <c r="J160" s="168"/>
      <c r="K160" s="168"/>
      <c r="U160"/>
      <c r="V160"/>
      <c r="W160" s="461"/>
      <c r="X160" s="461"/>
    </row>
    <row r="161" spans="1:24" s="167" customFormat="1" ht="15.5">
      <c r="A161" s="169"/>
      <c r="B161" s="170" t="s">
        <v>233</v>
      </c>
      <c r="C161" s="501">
        <f>SUM(C123:C160)</f>
        <v>829542.24</v>
      </c>
      <c r="D161" s="501">
        <f>SUM(D123:D160)</f>
        <v>175105.35</v>
      </c>
      <c r="E161" s="171">
        <f t="shared" ref="E161:F161" si="36">SUM(E123:E160)</f>
        <v>1004647.59</v>
      </c>
      <c r="F161" s="171">
        <f t="shared" si="36"/>
        <v>0</v>
      </c>
      <c r="G161" s="171">
        <f>SUM(G123:G160)</f>
        <v>1004647.59</v>
      </c>
      <c r="H161" s="172">
        <f t="shared" si="35"/>
        <v>0.41216615246185007</v>
      </c>
      <c r="I161" s="473"/>
      <c r="J161" s="168"/>
      <c r="K161" s="168"/>
      <c r="U161"/>
      <c r="V161"/>
      <c r="W161" s="461"/>
      <c r="X161" s="461"/>
    </row>
    <row r="162" spans="1:24" s="167" customFormat="1" ht="15.5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  <c r="U162"/>
      <c r="V162"/>
      <c r="W162" s="461"/>
      <c r="X162" s="461"/>
    </row>
    <row r="163" spans="1:24" s="167" customFormat="1" ht="15.5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  <c r="U163"/>
      <c r="V163"/>
      <c r="W163" s="461"/>
      <c r="X163" s="461"/>
    </row>
    <row r="164" spans="1:24" s="221" customFormat="1">
      <c r="A164" s="215" t="s">
        <v>95</v>
      </c>
      <c r="B164" s="148" t="s">
        <v>102</v>
      </c>
      <c r="C164" s="501">
        <f>'[40]Sch C'!D175</f>
        <v>0</v>
      </c>
      <c r="D164" s="501">
        <f>'[40]Sch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  <c r="U164" s="498">
        <v>0</v>
      </c>
      <c r="V164" s="498">
        <v>0</v>
      </c>
      <c r="W164" s="437">
        <v>0</v>
      </c>
      <c r="X164" s="437">
        <v>0</v>
      </c>
    </row>
    <row r="165" spans="1:24" s="221" customFormat="1" ht="15.5">
      <c r="A165" s="215" t="s">
        <v>123</v>
      </c>
      <c r="B165" s="148" t="s">
        <v>103</v>
      </c>
      <c r="C165" s="501">
        <f>'[40]Sch C'!D176</f>
        <v>0</v>
      </c>
      <c r="D165" s="501">
        <f>'[40]Sch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  <c r="U165"/>
      <c r="V165"/>
      <c r="W165" s="467"/>
      <c r="X165" s="467"/>
    </row>
    <row r="166" spans="1:24" s="221" customFormat="1">
      <c r="A166" s="215" t="s">
        <v>124</v>
      </c>
      <c r="B166" s="148" t="s">
        <v>104</v>
      </c>
      <c r="C166" s="501">
        <f>'[40]Sch C'!D177</f>
        <v>0</v>
      </c>
      <c r="D166" s="501">
        <f>'[40]Sch C'!F177</f>
        <v>0</v>
      </c>
      <c r="E166" s="171">
        <f t="shared" si="37"/>
        <v>0</v>
      </c>
      <c r="F166" s="171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  <c r="U166" s="498">
        <v>0</v>
      </c>
      <c r="V166" s="498">
        <v>0</v>
      </c>
      <c r="W166" s="437">
        <v>0</v>
      </c>
      <c r="X166" s="437">
        <v>0</v>
      </c>
    </row>
    <row r="167" spans="1:24" s="221" customFormat="1" ht="15.5">
      <c r="A167" s="215" t="s">
        <v>157</v>
      </c>
      <c r="B167" s="148" t="s">
        <v>105</v>
      </c>
      <c r="C167" s="501">
        <f>'[40]Sch C'!D178</f>
        <v>0</v>
      </c>
      <c r="D167" s="501">
        <f>'[40]Sch C'!F178</f>
        <v>0</v>
      </c>
      <c r="E167" s="171">
        <f t="shared" si="37"/>
        <v>0</v>
      </c>
      <c r="F167" s="171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  <c r="U167"/>
      <c r="V167"/>
      <c r="W167" s="467"/>
      <c r="X167" s="467"/>
    </row>
    <row r="168" spans="1:24" s="221" customFormat="1">
      <c r="A168" s="215" t="s">
        <v>158</v>
      </c>
      <c r="B168" s="148" t="s">
        <v>316</v>
      </c>
      <c r="C168" s="501">
        <f>'[40]Sch C'!D179</f>
        <v>0</v>
      </c>
      <c r="D168" s="501">
        <f>'[40]Sch C'!F179</f>
        <v>0</v>
      </c>
      <c r="E168" s="171">
        <f t="shared" si="37"/>
        <v>0</v>
      </c>
      <c r="F168" s="171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  <c r="U168" s="498">
        <v>0</v>
      </c>
      <c r="V168" s="498">
        <v>0</v>
      </c>
      <c r="W168" s="437">
        <v>0</v>
      </c>
      <c r="X168" s="437">
        <v>0</v>
      </c>
    </row>
    <row r="169" spans="1:24" s="221" customFormat="1" ht="15.5">
      <c r="A169" s="215" t="s">
        <v>86</v>
      </c>
      <c r="B169" s="148" t="s">
        <v>317</v>
      </c>
      <c r="C169" s="501">
        <f>'[40]Sch C'!D180</f>
        <v>0</v>
      </c>
      <c r="D169" s="501">
        <f>'[40]Sch C'!F180</f>
        <v>0</v>
      </c>
      <c r="E169" s="171">
        <f t="shared" si="37"/>
        <v>0</v>
      </c>
      <c r="F169" s="171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  <c r="U169"/>
      <c r="V169"/>
      <c r="W169" s="467"/>
      <c r="X169" s="467"/>
    </row>
    <row r="170" spans="1:24" s="221" customFormat="1">
      <c r="A170" s="215" t="s">
        <v>96</v>
      </c>
      <c r="B170" s="148" t="s">
        <v>318</v>
      </c>
      <c r="C170" s="501">
        <f>'[40]Sch C'!D181</f>
        <v>0</v>
      </c>
      <c r="D170" s="501">
        <f>'[40]Sch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  <c r="U170" s="498">
        <v>0</v>
      </c>
      <c r="V170" s="498">
        <v>0</v>
      </c>
      <c r="W170" s="437">
        <v>0</v>
      </c>
      <c r="X170" s="437">
        <v>0</v>
      </c>
    </row>
    <row r="171" spans="1:24" s="221" customFormat="1" ht="15.5">
      <c r="A171" s="215" t="s">
        <v>125</v>
      </c>
      <c r="B171" s="148" t="s">
        <v>109</v>
      </c>
      <c r="C171" s="501">
        <f>'[40]Sch C'!D182</f>
        <v>0</v>
      </c>
      <c r="D171" s="501">
        <f>'[40]Sch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  <c r="U171"/>
      <c r="V171"/>
      <c r="W171" s="467"/>
      <c r="X171" s="467"/>
    </row>
    <row r="172" spans="1:24" s="221" customFormat="1">
      <c r="A172" s="215" t="s">
        <v>126</v>
      </c>
      <c r="B172" s="148" t="s">
        <v>319</v>
      </c>
      <c r="C172" s="501">
        <f>'[40]Sch C'!D183</f>
        <v>0</v>
      </c>
      <c r="D172" s="501">
        <f>'[40]Sch C'!F183</f>
        <v>0</v>
      </c>
      <c r="E172" s="171">
        <f t="shared" si="37"/>
        <v>0</v>
      </c>
      <c r="F172" s="171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  <c r="U172" s="498">
        <v>0</v>
      </c>
      <c r="V172" s="498">
        <v>0</v>
      </c>
      <c r="W172" s="437">
        <v>0</v>
      </c>
      <c r="X172" s="437">
        <v>0</v>
      </c>
    </row>
    <row r="173" spans="1:24" s="221" customFormat="1" ht="15.5">
      <c r="A173" s="215" t="s">
        <v>127</v>
      </c>
      <c r="B173" s="148" t="s">
        <v>111</v>
      </c>
      <c r="C173" s="501">
        <f>'[40]Sch C'!D184</f>
        <v>0</v>
      </c>
      <c r="D173" s="501">
        <f>'[40]Sch C'!F184</f>
        <v>0</v>
      </c>
      <c r="E173" s="171">
        <f t="shared" si="37"/>
        <v>0</v>
      </c>
      <c r="F173" s="171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  <c r="U173"/>
      <c r="V173"/>
      <c r="W173" s="467"/>
      <c r="X173" s="467"/>
    </row>
    <row r="174" spans="1:24" s="221" customFormat="1">
      <c r="A174" s="215" t="s">
        <v>128</v>
      </c>
      <c r="B174" s="148" t="s">
        <v>320</v>
      </c>
      <c r="C174" s="501">
        <f>'[40]Sch C'!D185</f>
        <v>0</v>
      </c>
      <c r="D174" s="501">
        <f>'[40]Sch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  <c r="U174" s="498">
        <v>0</v>
      </c>
      <c r="V174" s="498">
        <v>0</v>
      </c>
      <c r="W174" s="437">
        <v>0</v>
      </c>
      <c r="X174" s="437">
        <v>0</v>
      </c>
    </row>
    <row r="175" spans="1:24" s="221" customFormat="1" ht="15.5">
      <c r="A175" s="215" t="s">
        <v>129</v>
      </c>
      <c r="B175" s="148" t="s">
        <v>321</v>
      </c>
      <c r="C175" s="501">
        <f>'[40]Sch C'!D186</f>
        <v>0</v>
      </c>
      <c r="D175" s="501">
        <f>'[40]Sch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  <c r="U175"/>
      <c r="V175"/>
      <c r="W175" s="468"/>
      <c r="X175" s="469"/>
    </row>
    <row r="176" spans="1:24" s="221" customFormat="1" ht="15.5">
      <c r="A176" s="224" t="s">
        <v>293</v>
      </c>
      <c r="B176" s="148" t="s">
        <v>154</v>
      </c>
      <c r="C176" s="501">
        <f>'[40]Sch C'!D187</f>
        <v>0</v>
      </c>
      <c r="D176" s="501">
        <f>'[40]Sch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  <c r="U176"/>
      <c r="V176"/>
      <c r="W176" s="468"/>
      <c r="X176" s="469"/>
    </row>
    <row r="177" spans="1:24" s="221" customFormat="1" ht="15.5">
      <c r="A177" s="224" t="s">
        <v>294</v>
      </c>
      <c r="B177" s="148" t="s">
        <v>322</v>
      </c>
      <c r="C177" s="501">
        <f>'[40]Sch C'!D188</f>
        <v>0</v>
      </c>
      <c r="D177" s="501">
        <f>'[40]Sch C'!F188</f>
        <v>0</v>
      </c>
      <c r="E177" s="171">
        <f t="shared" si="37"/>
        <v>0</v>
      </c>
      <c r="F177" s="171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  <c r="U177"/>
      <c r="V177"/>
      <c r="W177" s="468"/>
      <c r="X177" s="469"/>
    </row>
    <row r="178" spans="1:24" s="221" customFormat="1" ht="15.5">
      <c r="A178" s="224" t="s">
        <v>295</v>
      </c>
      <c r="B178" s="148" t="s">
        <v>323</v>
      </c>
      <c r="C178" s="501">
        <f>'[40]Sch C'!D189</f>
        <v>0</v>
      </c>
      <c r="D178" s="501">
        <f>'[40]Sch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  <c r="U178"/>
      <c r="V178"/>
      <c r="W178" s="468"/>
      <c r="X178" s="469"/>
    </row>
    <row r="179" spans="1:24" s="221" customFormat="1" ht="15.5">
      <c r="A179" s="224" t="s">
        <v>296</v>
      </c>
      <c r="B179" s="148" t="s">
        <v>324</v>
      </c>
      <c r="C179" s="501">
        <f>'[40]Sch C'!D190</f>
        <v>0</v>
      </c>
      <c r="D179" s="501">
        <f>'[40]Sch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  <c r="U179"/>
      <c r="V179"/>
      <c r="W179" s="468"/>
      <c r="X179" s="469"/>
    </row>
    <row r="180" spans="1:24" s="221" customFormat="1" ht="15.5">
      <c r="A180" s="224" t="s">
        <v>297</v>
      </c>
      <c r="B180" s="148" t="s">
        <v>325</v>
      </c>
      <c r="C180" s="501">
        <f>'[40]Sch C'!D191</f>
        <v>0</v>
      </c>
      <c r="D180" s="501">
        <f>'[40]Sch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  <c r="U180"/>
      <c r="V180"/>
      <c r="W180" s="468"/>
      <c r="X180" s="469"/>
    </row>
    <row r="181" spans="1:24" s="221" customFormat="1" ht="15.5">
      <c r="A181" s="224" t="s">
        <v>298</v>
      </c>
      <c r="B181" s="148" t="s">
        <v>117</v>
      </c>
      <c r="C181" s="501">
        <f>'[40]Sch C'!D192</f>
        <v>0</v>
      </c>
      <c r="D181" s="501">
        <f>'[40]Sch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  <c r="U181"/>
      <c r="V181"/>
      <c r="W181" s="468"/>
      <c r="X181" s="469"/>
    </row>
    <row r="182" spans="1:24" s="221" customFormat="1" ht="15.5">
      <c r="A182" s="224" t="s">
        <v>132</v>
      </c>
      <c r="B182" s="148" t="s">
        <v>118</v>
      </c>
      <c r="C182" s="501">
        <f>'[40]Sch C'!D193</f>
        <v>0</v>
      </c>
      <c r="D182" s="501">
        <f>'[40]Sch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  <c r="U182"/>
      <c r="V182"/>
      <c r="W182" s="468"/>
      <c r="X182" s="469"/>
    </row>
    <row r="183" spans="1:24" s="221" customFormat="1" ht="15.5">
      <c r="A183" s="224" t="s">
        <v>133</v>
      </c>
      <c r="B183" s="148" t="s">
        <v>119</v>
      </c>
      <c r="C183" s="501">
        <f>'[40]Sch C'!D194</f>
        <v>38714.800000000003</v>
      </c>
      <c r="D183" s="501">
        <f>'[40]Sch C'!F194</f>
        <v>0</v>
      </c>
      <c r="E183" s="171">
        <f t="shared" si="37"/>
        <v>38714.800000000003</v>
      </c>
      <c r="F183" s="171"/>
      <c r="G183" s="171">
        <f t="shared" si="38"/>
        <v>38714.800000000003</v>
      </c>
      <c r="H183" s="172">
        <f t="shared" si="39"/>
        <v>1.5883111966983405E-2</v>
      </c>
      <c r="I183" s="473"/>
      <c r="J183" s="223"/>
      <c r="K183" s="218"/>
      <c r="M183" s="220"/>
      <c r="N183" s="220"/>
      <c r="U183"/>
      <c r="V183"/>
      <c r="W183" s="468"/>
      <c r="X183" s="469"/>
    </row>
    <row r="184" spans="1:24" s="221" customFormat="1" ht="15.5">
      <c r="A184" s="224" t="s">
        <v>134</v>
      </c>
      <c r="B184" s="148" t="s">
        <v>326</v>
      </c>
      <c r="C184" s="501">
        <f>'[40]Sch C'!D195</f>
        <v>0</v>
      </c>
      <c r="D184" s="501">
        <f>'[40]Sch C'!F195</f>
        <v>0</v>
      </c>
      <c r="E184" s="171">
        <f t="shared" si="37"/>
        <v>0</v>
      </c>
      <c r="F184" s="171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  <c r="U184"/>
      <c r="V184"/>
      <c r="W184" s="468"/>
      <c r="X184" s="469"/>
    </row>
    <row r="185" spans="1:24" s="221" customFormat="1" ht="15.5">
      <c r="A185" s="224" t="s">
        <v>135</v>
      </c>
      <c r="B185" s="148" t="s">
        <v>327</v>
      </c>
      <c r="C185" s="501">
        <f>'[40]Sch C'!D196</f>
        <v>0</v>
      </c>
      <c r="D185" s="501">
        <f>'[40]Sch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  <c r="U185"/>
      <c r="V185"/>
      <c r="W185" s="468"/>
      <c r="X185" s="469"/>
    </row>
    <row r="186" spans="1:24" s="221" customFormat="1" ht="15.5">
      <c r="A186" s="224" t="s">
        <v>136</v>
      </c>
      <c r="B186" s="148" t="s">
        <v>328</v>
      </c>
      <c r="C186" s="501">
        <f>'[40]Sch C'!D197</f>
        <v>37628</v>
      </c>
      <c r="D186" s="501">
        <f>'[40]Sch C'!F197</f>
        <v>0</v>
      </c>
      <c r="E186" s="171">
        <f t="shared" si="37"/>
        <v>37628</v>
      </c>
      <c r="F186" s="171"/>
      <c r="G186" s="171">
        <f t="shared" si="38"/>
        <v>37628</v>
      </c>
      <c r="H186" s="172">
        <f t="shared" si="39"/>
        <v>1.5437242013226245E-2</v>
      </c>
      <c r="I186" s="473"/>
      <c r="J186" s="223"/>
      <c r="K186" s="218"/>
      <c r="M186" s="220"/>
      <c r="N186" s="220"/>
      <c r="U186"/>
      <c r="V186"/>
      <c r="W186" s="468"/>
      <c r="X186" s="469"/>
    </row>
    <row r="187" spans="1:24" s="221" customFormat="1" ht="15.5">
      <c r="A187" s="224" t="s">
        <v>137</v>
      </c>
      <c r="B187" s="148" t="s">
        <v>122</v>
      </c>
      <c r="C187" s="501">
        <f>'[40]Sch C'!D198</f>
        <v>30255.040000000001</v>
      </c>
      <c r="D187" s="501">
        <f>'[40]Sch C'!F198</f>
        <v>-18869.5</v>
      </c>
      <c r="E187" s="171">
        <f t="shared" si="37"/>
        <v>11385.54</v>
      </c>
      <c r="F187" s="171"/>
      <c r="G187" s="171">
        <f t="shared" si="38"/>
        <v>11385.54</v>
      </c>
      <c r="H187" s="172">
        <f t="shared" si="39"/>
        <v>4.671025205465822E-3</v>
      </c>
      <c r="I187" s="473"/>
      <c r="J187" s="223"/>
      <c r="K187" s="218"/>
      <c r="M187" s="220"/>
      <c r="N187" s="220"/>
      <c r="U187"/>
      <c r="V187"/>
      <c r="W187" s="468"/>
      <c r="X187" s="469"/>
    </row>
    <row r="188" spans="1:24" s="221" customFormat="1" ht="15.5">
      <c r="A188" s="224" t="s">
        <v>275</v>
      </c>
      <c r="B188" s="148" t="s">
        <v>329</v>
      </c>
      <c r="C188" s="501">
        <f>'[40]Sch C'!D199</f>
        <v>0</v>
      </c>
      <c r="D188" s="501">
        <f>'[40]Sch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  <c r="U188"/>
      <c r="V188"/>
      <c r="W188" s="468"/>
      <c r="X188" s="469"/>
    </row>
    <row r="189" spans="1:24" s="221" customFormat="1" ht="15.5">
      <c r="A189" s="224" t="s">
        <v>277</v>
      </c>
      <c r="B189" s="148" t="s">
        <v>278</v>
      </c>
      <c r="C189" s="501">
        <f>'[40]Sch C'!D200</f>
        <v>0</v>
      </c>
      <c r="D189" s="501">
        <f>'[40]Sch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  <c r="U189"/>
      <c r="V189"/>
      <c r="W189" s="468"/>
      <c r="X189" s="469"/>
    </row>
    <row r="190" spans="1:24" s="221" customFormat="1" ht="15.5">
      <c r="A190" s="225" t="s">
        <v>279</v>
      </c>
      <c r="B190" s="226" t="s">
        <v>280</v>
      </c>
      <c r="C190" s="501">
        <f>'[40]Sch C'!D201</f>
        <v>1298</v>
      </c>
      <c r="D190" s="501">
        <f>'[40]Sch C'!F201</f>
        <v>0</v>
      </c>
      <c r="E190" s="171">
        <f t="shared" si="37"/>
        <v>1298</v>
      </c>
      <c r="F190" s="171"/>
      <c r="G190" s="171">
        <f t="shared" si="38"/>
        <v>1298</v>
      </c>
      <c r="H190" s="172">
        <f t="shared" si="39"/>
        <v>5.3251674639012616E-4</v>
      </c>
      <c r="I190" s="473"/>
      <c r="J190" s="223"/>
      <c r="K190" s="218"/>
      <c r="M190" s="220"/>
      <c r="N190" s="220"/>
      <c r="U190"/>
      <c r="V190"/>
      <c r="W190" s="468"/>
      <c r="X190" s="469"/>
    </row>
    <row r="191" spans="1:24" s="221" customFormat="1" ht="15.5">
      <c r="A191" s="225" t="s">
        <v>281</v>
      </c>
      <c r="B191" s="226" t="s">
        <v>282</v>
      </c>
      <c r="C191" s="501">
        <f>'[40]Sch C'!D202</f>
        <v>0</v>
      </c>
      <c r="D191" s="501">
        <f>'[40]Sch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  <c r="U191"/>
      <c r="V191"/>
      <c r="W191" s="468"/>
      <c r="X191" s="469"/>
    </row>
    <row r="192" spans="1:24" s="221" customFormat="1" ht="15.5">
      <c r="A192" s="225" t="s">
        <v>283</v>
      </c>
      <c r="B192" s="226" t="s">
        <v>330</v>
      </c>
      <c r="C192" s="501">
        <f>'[40]Sch C'!D203</f>
        <v>0</v>
      </c>
      <c r="D192" s="501">
        <f>'[40]Sch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  <c r="U192"/>
      <c r="V192"/>
      <c r="W192" s="468"/>
      <c r="X192" s="469"/>
    </row>
    <row r="193" spans="1:24" s="221" customFormat="1" ht="15.5">
      <c r="A193" s="225" t="s">
        <v>285</v>
      </c>
      <c r="B193" s="226" t="s">
        <v>331</v>
      </c>
      <c r="C193" s="501">
        <f>'[40]Sch C'!D204</f>
        <v>0</v>
      </c>
      <c r="D193" s="501">
        <f>'[40]Sch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  <c r="U193"/>
      <c r="V193"/>
      <c r="W193" s="468"/>
      <c r="X193" s="469"/>
    </row>
    <row r="194" spans="1:24" s="221" customFormat="1" ht="15.5">
      <c r="A194" s="224" t="s">
        <v>138</v>
      </c>
      <c r="B194" s="148" t="s">
        <v>332</v>
      </c>
      <c r="C194" s="501">
        <f>'[40]Sch C'!D205</f>
        <v>36196.81</v>
      </c>
      <c r="D194" s="501">
        <f>'[40]Sch C'!F205</f>
        <v>0</v>
      </c>
      <c r="E194" s="171">
        <f t="shared" si="37"/>
        <v>36196.81</v>
      </c>
      <c r="F194" s="171"/>
      <c r="G194" s="171">
        <f t="shared" si="38"/>
        <v>36196.81</v>
      </c>
      <c r="H194" s="172">
        <f t="shared" si="39"/>
        <v>1.4850082812713083E-2</v>
      </c>
      <c r="I194" s="473"/>
      <c r="J194" s="223"/>
      <c r="K194" s="218"/>
      <c r="M194" s="220"/>
      <c r="N194" s="220"/>
      <c r="U194"/>
      <c r="V194"/>
      <c r="W194" s="468"/>
      <c r="X194" s="469"/>
    </row>
    <row r="195" spans="1:24" s="221" customFormat="1" ht="15.5">
      <c r="A195" s="224" t="s">
        <v>139</v>
      </c>
      <c r="B195" s="148" t="s">
        <v>67</v>
      </c>
      <c r="C195" s="501">
        <f>'[40]Sch C'!D206</f>
        <v>4021.69</v>
      </c>
      <c r="D195" s="501">
        <f>'[40]Sch C'!F206</f>
        <v>0</v>
      </c>
      <c r="E195" s="171">
        <f t="shared" si="37"/>
        <v>4021.69</v>
      </c>
      <c r="F195" s="171"/>
      <c r="G195" s="171">
        <f t="shared" si="38"/>
        <v>4021.69</v>
      </c>
      <c r="H195" s="172">
        <f t="shared" si="39"/>
        <v>1.649936266401931E-3</v>
      </c>
      <c r="I195" s="473"/>
      <c r="J195" s="223"/>
      <c r="K195" s="218"/>
      <c r="M195" s="220"/>
      <c r="N195" s="220"/>
      <c r="U195"/>
      <c r="V195"/>
      <c r="W195" s="468"/>
      <c r="X195" s="469"/>
    </row>
    <row r="196" spans="1:24" s="221" customFormat="1" ht="15.5">
      <c r="A196" s="225" t="s">
        <v>143</v>
      </c>
      <c r="B196" s="194" t="s">
        <v>333</v>
      </c>
      <c r="C196" s="501">
        <f>'[40]Sch C'!D207</f>
        <v>176622.61</v>
      </c>
      <c r="D196" s="501">
        <f>'[40]Sch C'!F207</f>
        <v>-176622.86</v>
      </c>
      <c r="E196" s="171">
        <f t="shared" si="37"/>
        <v>-0.25</v>
      </c>
      <c r="F196" s="171"/>
      <c r="G196" s="171">
        <f t="shared" si="38"/>
        <v>-0.25</v>
      </c>
      <c r="H196" s="172">
        <f t="shared" si="39"/>
        <v>-1.0256485870379934E-7</v>
      </c>
      <c r="I196" s="473"/>
      <c r="J196" s="223"/>
      <c r="K196" s="218"/>
      <c r="M196" s="220"/>
      <c r="N196" s="220"/>
      <c r="U196"/>
      <c r="V196"/>
      <c r="W196" s="468"/>
      <c r="X196" s="469"/>
    </row>
    <row r="197" spans="1:24" s="167" customFormat="1" ht="15.5">
      <c r="A197" s="163"/>
      <c r="B197" s="212" t="s">
        <v>130</v>
      </c>
      <c r="C197" s="501">
        <f>SUM(C164:C196)</f>
        <v>324736.94999999995</v>
      </c>
      <c r="D197" s="501">
        <f>SUM(D164:D196)</f>
        <v>-195492.36</v>
      </c>
      <c r="E197" s="171">
        <f t="shared" ref="E197:F197" si="40">SUM(E164:E196)</f>
        <v>129244.59</v>
      </c>
      <c r="F197" s="171">
        <f t="shared" si="40"/>
        <v>0</v>
      </c>
      <c r="G197" s="171">
        <f>SUM(G164:G196)</f>
        <v>129244.59</v>
      </c>
      <c r="H197" s="172">
        <f>IF($G$208=0,0,G197/$G$208)</f>
        <v>5.3023812446321907E-2</v>
      </c>
      <c r="I197" s="473"/>
      <c r="J197" s="168"/>
      <c r="K197" s="168"/>
      <c r="U197"/>
      <c r="V197"/>
      <c r="W197" s="461"/>
      <c r="X197" s="461"/>
    </row>
    <row r="198" spans="1:24" s="167" customFormat="1" ht="15.5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  <c r="U198"/>
      <c r="V198"/>
      <c r="W198" s="461"/>
      <c r="X198" s="461"/>
    </row>
    <row r="199" spans="1:24" s="167" customFormat="1" ht="15.5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  <c r="U199"/>
      <c r="V199"/>
      <c r="W199" s="461"/>
      <c r="X199" s="461"/>
    </row>
    <row r="200" spans="1:24" s="167" customFormat="1">
      <c r="A200" s="169" t="s">
        <v>85</v>
      </c>
      <c r="B200" s="170" t="s">
        <v>69</v>
      </c>
      <c r="C200" s="501">
        <f>'[40]Sch C'!D211</f>
        <v>47564.53</v>
      </c>
      <c r="D200" s="501">
        <f>'[40]Sch C'!F211</f>
        <v>0</v>
      </c>
      <c r="E200" s="171">
        <f t="shared" ref="E200:E205" si="41">C200+D200</f>
        <v>47564.53</v>
      </c>
      <c r="F200" s="171"/>
      <c r="G200" s="171">
        <f t="shared" ref="G200:G205" si="42">E200+F200</f>
        <v>47564.53</v>
      </c>
      <c r="H200" s="172">
        <f t="shared" ref="H200:H206" si="43">IF($G$208=0,0,G200/$G$208)</f>
        <v>1.9513797195050499E-2</v>
      </c>
      <c r="I200" s="473"/>
      <c r="J200" s="183">
        <v>3423.97</v>
      </c>
      <c r="K200" s="183">
        <v>3787.08</v>
      </c>
      <c r="U200" s="497">
        <v>702.37</v>
      </c>
      <c r="V200" s="497">
        <v>718.37</v>
      </c>
      <c r="W200" s="437">
        <v>4985</v>
      </c>
      <c r="X200" s="437">
        <v>4985</v>
      </c>
    </row>
    <row r="201" spans="1:24" s="167" customFormat="1" ht="15.5">
      <c r="A201" s="169" t="s">
        <v>86</v>
      </c>
      <c r="B201" s="170" t="s">
        <v>45</v>
      </c>
      <c r="C201" s="501">
        <f>'[40]Sch C'!D212</f>
        <v>0</v>
      </c>
      <c r="D201" s="501">
        <f>'[40]Sch C'!F212</f>
        <v>11659.75</v>
      </c>
      <c r="E201" s="171">
        <f t="shared" si="41"/>
        <v>11659.75</v>
      </c>
      <c r="F201" s="171"/>
      <c r="G201" s="171">
        <f t="shared" si="42"/>
        <v>11659.75</v>
      </c>
      <c r="H201" s="172">
        <f t="shared" si="43"/>
        <v>4.7835224450864973E-3</v>
      </c>
      <c r="I201" s="473"/>
      <c r="J201" s="168"/>
      <c r="K201" s="168"/>
      <c r="U201"/>
      <c r="V201"/>
      <c r="W201" s="461"/>
      <c r="X201" s="461"/>
    </row>
    <row r="202" spans="1:24" s="167" customFormat="1" ht="15.5">
      <c r="A202" s="169" t="s">
        <v>140</v>
      </c>
      <c r="B202" s="170" t="s">
        <v>54</v>
      </c>
      <c r="C202" s="501">
        <f>'[40]Sch C'!D213</f>
        <v>12809.43</v>
      </c>
      <c r="D202" s="501">
        <f>'[40]Sch C'!F213</f>
        <v>0</v>
      </c>
      <c r="E202" s="171">
        <f t="shared" si="41"/>
        <v>12809.43</v>
      </c>
      <c r="F202" s="171"/>
      <c r="G202" s="171">
        <f t="shared" si="42"/>
        <v>12809.43</v>
      </c>
      <c r="H202" s="172">
        <f t="shared" si="43"/>
        <v>5.2551895121048338E-3</v>
      </c>
      <c r="I202" s="473"/>
      <c r="J202" s="168"/>
      <c r="K202" s="168"/>
      <c r="U202"/>
      <c r="V202"/>
      <c r="W202" s="461"/>
      <c r="X202" s="461"/>
    </row>
    <row r="203" spans="1:24" s="167" customFormat="1" ht="15.5">
      <c r="A203" s="169" t="s">
        <v>141</v>
      </c>
      <c r="B203" s="170" t="s">
        <v>70</v>
      </c>
      <c r="C203" s="501">
        <f>'[40]Sch C'!D214</f>
        <v>0</v>
      </c>
      <c r="D203" s="501">
        <f>'[40]Sch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  <c r="U203"/>
      <c r="V203"/>
      <c r="W203" s="461"/>
      <c r="X203" s="461"/>
    </row>
    <row r="204" spans="1:24" s="167" customFormat="1" ht="15.5">
      <c r="A204" s="169" t="s">
        <v>142</v>
      </c>
      <c r="B204" s="202" t="s">
        <v>71</v>
      </c>
      <c r="C204" s="501">
        <f>'[40]Sch C'!D215</f>
        <v>0</v>
      </c>
      <c r="D204" s="501">
        <f>'[40]Sch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  <c r="U204"/>
      <c r="V204"/>
      <c r="W204" s="461"/>
      <c r="X204" s="461"/>
    </row>
    <row r="205" spans="1:24" s="167" customFormat="1" ht="15.5">
      <c r="A205" s="169" t="s">
        <v>143</v>
      </c>
      <c r="B205" s="170" t="s">
        <v>312</v>
      </c>
      <c r="C205" s="501">
        <f>'[40]Sch C'!D216</f>
        <v>1695.63</v>
      </c>
      <c r="D205" s="501">
        <f>'[40]Sch C'!F216</f>
        <v>0</v>
      </c>
      <c r="E205" s="171">
        <f t="shared" si="41"/>
        <v>1695.63</v>
      </c>
      <c r="F205" s="171"/>
      <c r="G205" s="171">
        <f t="shared" si="42"/>
        <v>1695.63</v>
      </c>
      <c r="H205" s="172">
        <f t="shared" si="43"/>
        <v>6.9564820545569314E-4</v>
      </c>
      <c r="I205" s="473"/>
      <c r="J205" s="168"/>
      <c r="K205" s="168"/>
      <c r="U205"/>
      <c r="V205"/>
      <c r="W205" s="461"/>
      <c r="X205" s="461"/>
    </row>
    <row r="206" spans="1:24" s="167" customFormat="1" ht="15.5">
      <c r="A206" s="163"/>
      <c r="B206" s="170" t="s">
        <v>144</v>
      </c>
      <c r="C206" s="501">
        <f>SUM(C200:C205)</f>
        <v>62069.59</v>
      </c>
      <c r="D206" s="501">
        <f>SUM(D200:D205)</f>
        <v>11659.75</v>
      </c>
      <c r="E206" s="171">
        <f t="shared" ref="E206:F206" si="44">SUM(E200:E205)</f>
        <v>73729.34</v>
      </c>
      <c r="F206" s="171">
        <f t="shared" si="44"/>
        <v>0</v>
      </c>
      <c r="G206" s="171">
        <f>SUM(G200:G205)</f>
        <v>73729.34</v>
      </c>
      <c r="H206" s="172">
        <f t="shared" si="43"/>
        <v>3.0248157357697522E-2</v>
      </c>
      <c r="I206" s="473"/>
      <c r="J206" s="168"/>
      <c r="K206" s="168"/>
      <c r="U206"/>
      <c r="V206"/>
      <c r="W206" s="461"/>
      <c r="X206" s="461"/>
    </row>
    <row r="207" spans="1:2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  <c r="U207" s="461"/>
      <c r="V207" s="461"/>
    </row>
    <row r="208" spans="1:24" s="167" customFormat="1">
      <c r="A208" s="227"/>
      <c r="B208" s="228" t="s">
        <v>145</v>
      </c>
      <c r="C208" s="501">
        <f>SUM(C25:C206)/2</f>
        <v>3394563.69</v>
      </c>
      <c r="D208" s="501">
        <f>SUM(D25:D206)/2</f>
        <v>-957081.65999999968</v>
      </c>
      <c r="E208" s="171">
        <f t="shared" ref="E208:F208" si="45">SUM(E25:E206)/2</f>
        <v>2437482.0300000003</v>
      </c>
      <c r="F208" s="171">
        <f t="shared" si="45"/>
        <v>0</v>
      </c>
      <c r="G208" s="171">
        <f>SUM(G25:G206)/2</f>
        <v>2437482.0300000003</v>
      </c>
      <c r="H208" s="172">
        <f>IF($G$208=0,0,G208/$G$208)</f>
        <v>1</v>
      </c>
      <c r="I208" s="473"/>
      <c r="J208" s="183">
        <f>SUM(J25:J200)</f>
        <v>91039.829999999987</v>
      </c>
      <c r="K208" s="183">
        <f>SUM(K25:K200)</f>
        <v>96893.430000000008</v>
      </c>
      <c r="U208" s="461">
        <f t="shared" ref="U208:X208" si="46">SUM(U25:U200)</f>
        <v>16355.19</v>
      </c>
      <c r="V208" s="461">
        <f t="shared" si="46"/>
        <v>17088.8</v>
      </c>
      <c r="W208" s="461">
        <f t="shared" si="46"/>
        <v>84243</v>
      </c>
      <c r="X208" s="461">
        <f t="shared" si="46"/>
        <v>84243</v>
      </c>
    </row>
    <row r="209" spans="1:22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  <c r="U209" s="461"/>
      <c r="V209" s="461"/>
    </row>
    <row r="210" spans="1:22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  <c r="U210" s="461"/>
      <c r="V210" s="461"/>
    </row>
    <row r="211" spans="1:22" s="167" customFormat="1" ht="15.5">
      <c r="A211" s="163"/>
      <c r="B211" s="228" t="s">
        <v>181</v>
      </c>
      <c r="C211" s="501">
        <f>'[40]Sch C'!D221</f>
        <v>3394563.69</v>
      </c>
      <c r="D211" s="196"/>
      <c r="E211" s="165"/>
      <c r="F211"/>
      <c r="G211"/>
      <c r="I211" s="475"/>
      <c r="J211" s="168"/>
      <c r="K211" s="168"/>
      <c r="U211" s="461"/>
      <c r="V211" s="461"/>
    </row>
    <row r="212" spans="1:22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  <c r="U212" s="461"/>
      <c r="V212" s="461"/>
    </row>
    <row r="213" spans="1:22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  <c r="U213" s="461"/>
      <c r="V213" s="461"/>
    </row>
    <row r="214" spans="1:22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  <c r="U214" s="461"/>
      <c r="V214" s="461"/>
    </row>
    <row r="215" spans="1:22" s="167" customFormat="1">
      <c r="A215" s="163"/>
      <c r="B215" s="228" t="s">
        <v>78</v>
      </c>
      <c r="C215" s="501">
        <f>C21-C208</f>
        <v>182052.36999999965</v>
      </c>
      <c r="D215" s="501">
        <f>D21-D208</f>
        <v>518329.65999999968</v>
      </c>
      <c r="E215" s="171">
        <f t="shared" ref="E215:F215" si="47">E21-E208</f>
        <v>700382.02999999933</v>
      </c>
      <c r="F215" s="171">
        <f t="shared" si="47"/>
        <v>274304</v>
      </c>
      <c r="G215" s="171">
        <f>G21-G208</f>
        <v>974686.02999999933</v>
      </c>
      <c r="I215" s="475"/>
      <c r="J215" s="168"/>
      <c r="K215" s="168"/>
      <c r="U215" s="461"/>
      <c r="V215" s="461"/>
    </row>
    <row r="216" spans="1:22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  <c r="U216" s="461"/>
      <c r="V216" s="461"/>
    </row>
    <row r="217" spans="1:22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  <c r="U217" s="461"/>
      <c r="V217" s="461"/>
    </row>
    <row r="218" spans="1:22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22">
      <c r="A219" s="163"/>
      <c r="B219" s="170" t="s">
        <v>218</v>
      </c>
      <c r="C219" s="530">
        <f>'[40]Sch D'!C9</f>
        <v>8229</v>
      </c>
      <c r="D219" s="530"/>
      <c r="E219" s="234">
        <f t="shared" ref="E219:G227" si="48">C219+D219</f>
        <v>8229</v>
      </c>
      <c r="F219" s="234"/>
      <c r="G219" s="234">
        <f t="shared" si="48"/>
        <v>8229</v>
      </c>
      <c r="H219" s="172">
        <f t="shared" ref="H219:H228" si="49">IF($G$228=0,0,G219/$G$228)</f>
        <v>0.60228353948620361</v>
      </c>
      <c r="I219" s="473"/>
      <c r="J219" s="168"/>
      <c r="K219" s="168"/>
    </row>
    <row r="220" spans="1:22">
      <c r="A220" s="163"/>
      <c r="B220" s="170" t="s">
        <v>217</v>
      </c>
      <c r="C220" s="530">
        <f>'[40]Sch D'!D9</f>
        <v>0</v>
      </c>
      <c r="D220" s="530"/>
      <c r="E220" s="234">
        <f t="shared" ref="E220:E227" si="50">C220+D220</f>
        <v>0</v>
      </c>
      <c r="F220" s="234"/>
      <c r="G220" s="234">
        <f t="shared" si="48"/>
        <v>0</v>
      </c>
      <c r="H220" s="172">
        <f t="shared" si="49"/>
        <v>0</v>
      </c>
      <c r="I220" s="473"/>
      <c r="J220" s="168"/>
      <c r="K220" s="168"/>
    </row>
    <row r="221" spans="1:22">
      <c r="A221" s="163"/>
      <c r="B221" s="170" t="s">
        <v>72</v>
      </c>
      <c r="C221" s="530">
        <f>'[40]Sch D'!E9</f>
        <v>816</v>
      </c>
      <c r="D221" s="530"/>
      <c r="E221" s="234">
        <f t="shared" si="50"/>
        <v>816</v>
      </c>
      <c r="F221" s="234"/>
      <c r="G221" s="234">
        <f t="shared" si="48"/>
        <v>816</v>
      </c>
      <c r="H221" s="172">
        <f t="shared" si="49"/>
        <v>5.9723340408402256E-2</v>
      </c>
      <c r="I221" s="473"/>
      <c r="J221" s="168"/>
      <c r="K221" s="168"/>
    </row>
    <row r="222" spans="1:22">
      <c r="A222" s="163"/>
      <c r="B222" s="202" t="s">
        <v>334</v>
      </c>
      <c r="C222" s="530">
        <f>'[40]Sch D'!F9</f>
        <v>84</v>
      </c>
      <c r="D222" s="530"/>
      <c r="E222" s="234">
        <f>C222+D222</f>
        <v>84</v>
      </c>
      <c r="F222" s="234"/>
      <c r="G222" s="234">
        <f>E222+F222</f>
        <v>84</v>
      </c>
      <c r="H222" s="172">
        <f t="shared" si="49"/>
        <v>6.14799092439435E-3</v>
      </c>
      <c r="I222" s="473"/>
      <c r="J222" s="168"/>
      <c r="K222" s="168"/>
    </row>
    <row r="223" spans="1:22">
      <c r="A223" s="163"/>
      <c r="B223" s="170" t="s">
        <v>73</v>
      </c>
      <c r="C223" s="530">
        <f>'[40]Sch D'!G9</f>
        <v>0</v>
      </c>
      <c r="D223" s="530"/>
      <c r="E223" s="234">
        <f t="shared" si="50"/>
        <v>0</v>
      </c>
      <c r="F223" s="234"/>
      <c r="G223" s="234">
        <f t="shared" si="48"/>
        <v>0</v>
      </c>
      <c r="H223" s="172">
        <f t="shared" si="49"/>
        <v>0</v>
      </c>
      <c r="I223" s="473"/>
      <c r="J223" s="168"/>
      <c r="K223" s="168"/>
    </row>
    <row r="224" spans="1:22">
      <c r="A224" s="163"/>
      <c r="B224" s="170" t="s">
        <v>74</v>
      </c>
      <c r="C224" s="530">
        <f>'[40]Sch D'!H9</f>
        <v>2977</v>
      </c>
      <c r="D224" s="530"/>
      <c r="E224" s="234">
        <f t="shared" si="50"/>
        <v>2977</v>
      </c>
      <c r="F224" s="234"/>
      <c r="G224" s="234">
        <f t="shared" si="48"/>
        <v>2977</v>
      </c>
      <c r="H224" s="172">
        <f t="shared" si="49"/>
        <v>0.21788772597526165</v>
      </c>
      <c r="I224" s="473"/>
      <c r="J224" s="168"/>
      <c r="K224" s="168"/>
    </row>
    <row r="225" spans="1:11">
      <c r="A225" s="163"/>
      <c r="B225" s="170" t="s">
        <v>236</v>
      </c>
      <c r="C225" s="530">
        <f>'[40]Sch D'!I9</f>
        <v>1557</v>
      </c>
      <c r="D225" s="530"/>
      <c r="E225" s="234">
        <f t="shared" si="50"/>
        <v>1557</v>
      </c>
      <c r="F225" s="234"/>
      <c r="G225" s="234">
        <f t="shared" si="48"/>
        <v>1557</v>
      </c>
      <c r="H225" s="172">
        <f t="shared" si="49"/>
        <v>0.11395740320573812</v>
      </c>
      <c r="I225" s="473"/>
      <c r="J225" s="168"/>
      <c r="K225" s="168"/>
    </row>
    <row r="226" spans="1:11">
      <c r="A226" s="163"/>
      <c r="B226" s="170" t="s">
        <v>235</v>
      </c>
      <c r="C226" s="530">
        <f>'[40]Sch D'!J9</f>
        <v>0</v>
      </c>
      <c r="D226" s="530"/>
      <c r="E226" s="234">
        <f>C226+D226</f>
        <v>0</v>
      </c>
      <c r="F226" s="234"/>
      <c r="G226" s="234">
        <f>E226+F226</f>
        <v>0</v>
      </c>
      <c r="H226" s="172">
        <f t="shared" si="49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'[40]Sch D'!K9</f>
        <v>0</v>
      </c>
      <c r="D227" s="530"/>
      <c r="E227" s="234">
        <f t="shared" si="50"/>
        <v>0</v>
      </c>
      <c r="F227" s="234"/>
      <c r="G227" s="234">
        <f t="shared" si="48"/>
        <v>0</v>
      </c>
      <c r="H227" s="172">
        <f t="shared" si="49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13663</v>
      </c>
      <c r="D228" s="530">
        <f>SUM(D219:D227)</f>
        <v>0</v>
      </c>
      <c r="E228" s="236">
        <f>SUM(E219:E227)</f>
        <v>13663</v>
      </c>
      <c r="F228" s="236">
        <f>SUM(F219:F227)</f>
        <v>0</v>
      </c>
      <c r="G228" s="236">
        <f>SUM(G219:G227)</f>
        <v>13663</v>
      </c>
      <c r="H228" s="172">
        <f t="shared" si="49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'[40]Sch D'!N22</f>
        <v>46</v>
      </c>
      <c r="D231" s="502"/>
      <c r="E231" s="234">
        <f>C231+D231</f>
        <v>46</v>
      </c>
      <c r="F231" s="171"/>
      <c r="G231" s="234">
        <f>E231+F231</f>
        <v>46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'[40]Sch D'!N24</f>
        <v>46</v>
      </c>
      <c r="D232" s="502"/>
      <c r="E232" s="234">
        <f>C232+D232</f>
        <v>46</v>
      </c>
      <c r="F232" s="171"/>
      <c r="G232" s="234">
        <f>E232+F232</f>
        <v>46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'[40]Sch D'!N28</f>
        <v>16790</v>
      </c>
      <c r="D235" s="438"/>
      <c r="E235" s="233">
        <f>E231*E233</f>
        <v>16790</v>
      </c>
      <c r="F235" s="238"/>
      <c r="G235" s="233">
        <f>G231*G233</f>
        <v>16790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'[40]Sch D'!N30</f>
        <v>0.81375818939845146</v>
      </c>
      <c r="D236" s="238"/>
      <c r="E236" s="242">
        <f>E228/E235</f>
        <v>0.81375818939845146</v>
      </c>
      <c r="F236" s="243"/>
      <c r="G236" s="242">
        <f>G228/G235</f>
        <v>0.81375818939845146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'[40]Sch D'!N32</f>
        <v>0.49011316259678378</v>
      </c>
      <c r="D237" s="238"/>
      <c r="E237" s="242">
        <f>(E219+E220)/E235</f>
        <v>0.49011316259678378</v>
      </c>
      <c r="F237" s="243"/>
      <c r="G237" s="242">
        <f>(G219+G220)/G235</f>
        <v>0.49011316259678378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'[40]Sch D'!N34</f>
        <v>0.60228353948620361</v>
      </c>
      <c r="D238" s="238"/>
      <c r="E238" s="242">
        <f>(E237/E236)</f>
        <v>0.60228353948620361</v>
      </c>
      <c r="F238" s="243"/>
      <c r="G238" s="242">
        <f>(G237/G236)</f>
        <v>0.60228353948620361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'[40]Sch B'!C85</f>
        <v>167.521327014218</v>
      </c>
      <c r="I241" s="475"/>
    </row>
    <row r="242" spans="2:9">
      <c r="F242" s="142" t="s">
        <v>341</v>
      </c>
      <c r="G242" s="501">
        <f>'[40]Sch B'!E85</f>
        <v>168.21891191709844</v>
      </c>
      <c r="I242" s="475"/>
    </row>
    <row r="243" spans="2:9">
      <c r="F243" s="142" t="s">
        <v>342</v>
      </c>
      <c r="G243" s="501">
        <f>'[40]Sch B'!G85</f>
        <v>169</v>
      </c>
      <c r="I243" s="475"/>
    </row>
    <row r="244" spans="2:9">
      <c r="F244" s="142" t="s">
        <v>343</v>
      </c>
      <c r="G244" s="501">
        <f>'[40]Sch B'!I85</f>
        <v>169.91714614499423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7">
    <tabColor rgb="FFE28CAB"/>
  </sheetPr>
  <dimension ref="A1:O246"/>
  <sheetViews>
    <sheetView showGridLines="0" topLeftCell="A213" zoomScaleNormal="100" workbookViewId="0">
      <pane xSplit="2" topLeftCell="C1" activePane="topRight" state="frozen"/>
      <selection activeCell="K1" sqref="K1"/>
      <selection pane="topRight" activeCell="F233" sqref="F233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600" t="s">
        <v>546</v>
      </c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367</v>
      </c>
      <c r="D2" s="244"/>
      <c r="E2" s="144"/>
      <c r="F2" s="485" t="s">
        <v>551</v>
      </c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'[41]Sch B'!E10</f>
        <v>2743710.88</v>
      </c>
      <c r="D11" s="501">
        <f>'[41]Sch B'!G10</f>
        <v>0</v>
      </c>
      <c r="E11" s="171">
        <f>C11+D11</f>
        <v>2743710.88</v>
      </c>
      <c r="F11" s="171"/>
      <c r="G11" s="171">
        <f t="shared" ref="G11:G20" si="0">E11+F11</f>
        <v>2743710.88</v>
      </c>
      <c r="H11" s="172">
        <f t="shared" ref="H11:H21" si="1">IF($G$21=0,0,G11/$G$21)</f>
        <v>0.80892968981547908</v>
      </c>
      <c r="I11" s="473"/>
      <c r="J11" s="336" t="s">
        <v>344</v>
      </c>
      <c r="K11" s="337">
        <f>G21</f>
        <v>3391779.1799999997</v>
      </c>
    </row>
    <row r="12" spans="1:11" s="167" customFormat="1">
      <c r="A12" s="169" t="s">
        <v>15</v>
      </c>
      <c r="B12" s="170" t="s">
        <v>212</v>
      </c>
      <c r="C12" s="501">
        <f>'[41]Sch B'!E15</f>
        <v>0</v>
      </c>
      <c r="D12" s="501">
        <f>'[41]Sch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2656694.7199999997</v>
      </c>
    </row>
    <row r="13" spans="1:11" s="167" customFormat="1">
      <c r="A13" s="169" t="s">
        <v>16</v>
      </c>
      <c r="B13" s="170" t="s">
        <v>170</v>
      </c>
      <c r="C13" s="501">
        <f>'[41]Sch B'!E21</f>
        <v>143254.78</v>
      </c>
      <c r="D13" s="501">
        <f>'[41]Sch B'!G21</f>
        <v>0</v>
      </c>
      <c r="E13" s="171">
        <f t="shared" si="2"/>
        <v>143254.78</v>
      </c>
      <c r="F13" s="171"/>
      <c r="G13" s="171">
        <f t="shared" si="0"/>
        <v>143254.78</v>
      </c>
      <c r="H13" s="172">
        <f t="shared" si="1"/>
        <v>4.2235880462005784E-2</v>
      </c>
      <c r="I13" s="473"/>
      <c r="J13" s="338" t="s">
        <v>346</v>
      </c>
      <c r="K13" s="339">
        <f>G228</f>
        <v>19686</v>
      </c>
    </row>
    <row r="14" spans="1:11" s="167" customFormat="1">
      <c r="A14" s="173" t="s">
        <v>18</v>
      </c>
      <c r="B14" s="174" t="s">
        <v>306</v>
      </c>
      <c r="C14" s="501">
        <f>'[41]Sch B'!E27</f>
        <v>16716</v>
      </c>
      <c r="D14" s="501">
        <f>'[41]Sch B'!G27</f>
        <v>0</v>
      </c>
      <c r="E14" s="171">
        <f t="shared" si="2"/>
        <v>16716</v>
      </c>
      <c r="F14" s="175"/>
      <c r="G14" s="175">
        <f>E14+F14</f>
        <v>16716</v>
      </c>
      <c r="H14" s="176">
        <f t="shared" si="1"/>
        <v>4.92838687688389E-3</v>
      </c>
      <c r="I14" s="479"/>
      <c r="J14" s="338" t="s">
        <v>347</v>
      </c>
      <c r="K14" s="339">
        <f>G231</f>
        <v>155</v>
      </c>
    </row>
    <row r="15" spans="1:11" s="167" customFormat="1">
      <c r="A15" s="169" t="s">
        <v>19</v>
      </c>
      <c r="B15" s="170" t="s">
        <v>171</v>
      </c>
      <c r="C15" s="501">
        <f>'[41]Sch B'!E32</f>
        <v>0</v>
      </c>
      <c r="D15" s="501">
        <f>'[41]Sch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56575</v>
      </c>
    </row>
    <row r="16" spans="1:11" s="167" customFormat="1">
      <c r="A16" s="169" t="s">
        <v>21</v>
      </c>
      <c r="B16" s="170" t="s">
        <v>172</v>
      </c>
      <c r="C16" s="501">
        <f>'[41]Sch B'!E37</f>
        <v>445379</v>
      </c>
      <c r="D16" s="501">
        <f>'[41]Sch B'!G37</f>
        <v>0</v>
      </c>
      <c r="E16" s="171">
        <f t="shared" si="2"/>
        <v>445379</v>
      </c>
      <c r="F16" s="171"/>
      <c r="G16" s="171">
        <f t="shared" si="0"/>
        <v>445379</v>
      </c>
      <c r="H16" s="172">
        <f t="shared" si="1"/>
        <v>0.13131131962429229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'[41]Sch B'!E42</f>
        <v>40855.519999999997</v>
      </c>
      <c r="D17" s="501">
        <f>'[41]Sch B'!G42</f>
        <v>0</v>
      </c>
      <c r="E17" s="171">
        <f t="shared" si="2"/>
        <v>40855.519999999997</v>
      </c>
      <c r="F17" s="171"/>
      <c r="G17" s="171">
        <f>E17+F17</f>
        <v>40855.519999999997</v>
      </c>
      <c r="H17" s="172">
        <f t="shared" si="1"/>
        <v>1.204545397321532E-2</v>
      </c>
      <c r="I17" s="473"/>
      <c r="J17" s="338" t="s">
        <v>156</v>
      </c>
      <c r="K17" s="339">
        <f>J208</f>
        <v>87756</v>
      </c>
    </row>
    <row r="18" spans="1:11" s="167" customFormat="1" ht="13.5" thickBot="1">
      <c r="A18" s="169" t="s">
        <v>216</v>
      </c>
      <c r="B18" s="170" t="s">
        <v>229</v>
      </c>
      <c r="C18" s="501">
        <f>'[41]Sch B'!E47</f>
        <v>0</v>
      </c>
      <c r="D18" s="501">
        <f>'[41]Sch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89286.59</v>
      </c>
    </row>
    <row r="19" spans="1:11" s="167" customFormat="1">
      <c r="A19" s="169" t="s">
        <v>227</v>
      </c>
      <c r="B19" s="177" t="s">
        <v>173</v>
      </c>
      <c r="C19" s="501">
        <f>'[41]Sch B'!E52</f>
        <v>0</v>
      </c>
      <c r="D19" s="501">
        <f>'[41]Sch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'[41]Sch B'!E67</f>
        <v>1863</v>
      </c>
      <c r="D20" s="501">
        <f>'[41]Sch B'!G67</f>
        <v>0</v>
      </c>
      <c r="E20" s="171">
        <f t="shared" si="2"/>
        <v>1863</v>
      </c>
      <c r="F20" s="171"/>
      <c r="G20" s="171">
        <f t="shared" si="0"/>
        <v>1863</v>
      </c>
      <c r="H20" s="172">
        <f t="shared" si="1"/>
        <v>5.4926924812363526E-4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3391779.1799999997</v>
      </c>
      <c r="D21" s="501">
        <f>SUM(D11:D20)</f>
        <v>0</v>
      </c>
      <c r="E21" s="171">
        <f>SUM(E11:E20)</f>
        <v>3391779.1799999997</v>
      </c>
      <c r="F21" s="171">
        <f>SUM(F11:F20)</f>
        <v>0</v>
      </c>
      <c r="G21" s="171">
        <f>SUM(G11:G20)</f>
        <v>3391779.1799999997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'[41]Sch C'!D10</f>
        <v>63000</v>
      </c>
      <c r="D25" s="501">
        <f>'[41]Sch C'!F10</f>
        <v>0</v>
      </c>
      <c r="E25" s="171">
        <f t="shared" ref="E25:E60" si="3">C25+D25</f>
        <v>63000</v>
      </c>
      <c r="F25" s="171"/>
      <c r="G25" s="182">
        <f>E25+F25</f>
        <v>63000</v>
      </c>
      <c r="H25" s="172">
        <v>0.01</v>
      </c>
      <c r="I25" s="473"/>
      <c r="J25" s="183">
        <v>2080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'[41]Sch C'!D11</f>
        <v>0</v>
      </c>
      <c r="D26" s="501">
        <f>'[41]Sch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'[41]Sch C'!D12</f>
        <v>92648.86</v>
      </c>
      <c r="D27" s="501">
        <f>'[41]Sch C'!F12</f>
        <v>0</v>
      </c>
      <c r="E27" s="171">
        <f t="shared" si="3"/>
        <v>92648.86</v>
      </c>
      <c r="F27" s="171"/>
      <c r="G27" s="171">
        <f t="shared" si="4"/>
        <v>92648.86</v>
      </c>
      <c r="H27" s="172">
        <f t="shared" si="5"/>
        <v>3.487373212380232E-2</v>
      </c>
      <c r="I27" s="473"/>
      <c r="J27" s="183">
        <v>4771</v>
      </c>
      <c r="K27" s="183">
        <v>4855</v>
      </c>
    </row>
    <row r="28" spans="1:11" s="167" customFormat="1">
      <c r="A28" s="169" t="s">
        <v>86</v>
      </c>
      <c r="B28" s="170" t="s">
        <v>45</v>
      </c>
      <c r="C28" s="501">
        <f>'[41]Sch C'!D13</f>
        <v>32345</v>
      </c>
      <c r="D28" s="501">
        <f>'[41]Sch C'!F13</f>
        <v>0</v>
      </c>
      <c r="E28" s="171">
        <f t="shared" si="3"/>
        <v>32345</v>
      </c>
      <c r="F28" s="171"/>
      <c r="G28" s="171">
        <f t="shared" si="4"/>
        <v>32345</v>
      </c>
      <c r="H28" s="172">
        <f t="shared" si="5"/>
        <v>1.2174902805543274E-2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'[41]Sch C'!D14</f>
        <v>0</v>
      </c>
      <c r="D29" s="501">
        <f>'[41]Sch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'[41]Sch C'!D15</f>
        <v>0</v>
      </c>
      <c r="D30" s="501">
        <f>'[41]Sch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'[41]Sch C'!D16</f>
        <v>0</v>
      </c>
      <c r="D31" s="501">
        <f>'[41]Sch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'[41]Sch C'!D17</f>
        <v>28959</v>
      </c>
      <c r="D32" s="501">
        <f>'[41]Sch C'!F17</f>
        <v>0</v>
      </c>
      <c r="E32" s="171">
        <f t="shared" si="3"/>
        <v>28959</v>
      </c>
      <c r="F32" s="171"/>
      <c r="G32" s="171">
        <f t="shared" si="4"/>
        <v>28959</v>
      </c>
      <c r="H32" s="172">
        <f t="shared" si="5"/>
        <v>1.0900386778349905E-2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'[41]Sch C'!D18</f>
        <v>7120</v>
      </c>
      <c r="D33" s="501">
        <f>'[41]Sch C'!F18</f>
        <v>0</v>
      </c>
      <c r="E33" s="171">
        <f t="shared" si="3"/>
        <v>7120</v>
      </c>
      <c r="F33" s="171"/>
      <c r="G33" s="171">
        <f t="shared" si="4"/>
        <v>7120</v>
      </c>
      <c r="H33" s="172">
        <f t="shared" si="5"/>
        <v>2.680021888250676E-3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'[41]Sch C'!D19</f>
        <v>14915</v>
      </c>
      <c r="D34" s="501">
        <f>'[41]Sch C'!F19</f>
        <v>0</v>
      </c>
      <c r="E34" s="171">
        <f t="shared" si="3"/>
        <v>14915</v>
      </c>
      <c r="F34" s="171"/>
      <c r="G34" s="171">
        <f t="shared" si="4"/>
        <v>14915</v>
      </c>
      <c r="H34" s="172">
        <f t="shared" si="5"/>
        <v>5.6141188852891618E-3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'[41]Sch C'!D20</f>
        <v>26402</v>
      </c>
      <c r="D35" s="501">
        <f>'[41]Sch C'!F20</f>
        <v>0</v>
      </c>
      <c r="E35" s="171">
        <f t="shared" si="3"/>
        <v>26402</v>
      </c>
      <c r="F35" s="171"/>
      <c r="G35" s="171">
        <f t="shared" si="4"/>
        <v>26402</v>
      </c>
      <c r="H35" s="172">
        <f t="shared" si="5"/>
        <v>9.9379126255048234E-3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'[41]Sch C'!D21</f>
        <v>5693</v>
      </c>
      <c r="D36" s="501">
        <f>'[41]Sch C'!F21</f>
        <v>0</v>
      </c>
      <c r="E36" s="171">
        <f t="shared" si="3"/>
        <v>5693</v>
      </c>
      <c r="F36" s="171"/>
      <c r="G36" s="171">
        <f t="shared" si="4"/>
        <v>5693</v>
      </c>
      <c r="H36" s="172">
        <f t="shared" si="5"/>
        <v>2.1428882878948173E-3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'[41]Sch C'!D22</f>
        <v>0</v>
      </c>
      <c r="D37" s="501">
        <f>'[41]Sch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'[41]Sch C'!D23</f>
        <v>3087</v>
      </c>
      <c r="D38" s="501">
        <f>'[41]Sch C'!F23</f>
        <v>0</v>
      </c>
      <c r="E38" s="171">
        <f t="shared" si="3"/>
        <v>3087</v>
      </c>
      <c r="F38" s="171"/>
      <c r="G38" s="171">
        <f t="shared" si="4"/>
        <v>3087</v>
      </c>
      <c r="H38" s="172">
        <f t="shared" si="5"/>
        <v>1.1619701641895838E-3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'[41]Sch C'!D24</f>
        <v>19915</v>
      </c>
      <c r="D39" s="501">
        <f>'[41]Sch C'!F24</f>
        <v>0</v>
      </c>
      <c r="E39" s="171">
        <f t="shared" si="3"/>
        <v>19915</v>
      </c>
      <c r="F39" s="171"/>
      <c r="G39" s="171">
        <f t="shared" si="4"/>
        <v>19915</v>
      </c>
      <c r="H39" s="172">
        <f t="shared" si="5"/>
        <v>7.4961567281618272E-3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'[41]Sch C'!D25</f>
        <v>0</v>
      </c>
      <c r="D40" s="501">
        <f>'[41]Sch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'[41]Sch C'!D26</f>
        <v>367210</v>
      </c>
      <c r="D41" s="501">
        <f>'[41]Sch C'!F26</f>
        <v>0</v>
      </c>
      <c r="E41" s="171">
        <f t="shared" si="3"/>
        <v>367210</v>
      </c>
      <c r="F41" s="171"/>
      <c r="G41" s="171">
        <f t="shared" si="4"/>
        <v>367210</v>
      </c>
      <c r="H41" s="172">
        <f t="shared" si="5"/>
        <v>0.13822062325625431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'[41]Sch C'!D27</f>
        <v>0</v>
      </c>
      <c r="D42" s="501">
        <f>'[41]Sch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'[41]Sch C'!D28</f>
        <v>0</v>
      </c>
      <c r="D43" s="501">
        <f>'[41]Sch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'[41]Sch C'!D29</f>
        <v>0</v>
      </c>
      <c r="D44" s="501">
        <f>'[41]Sch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'[41]Sch C'!D30</f>
        <v>0</v>
      </c>
      <c r="D45" s="501">
        <f>'[41]Sch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'[41]Sch C'!D31</f>
        <v>21629.7</v>
      </c>
      <c r="D46" s="501">
        <f>'[41]Sch C'!F31</f>
        <v>0</v>
      </c>
      <c r="E46" s="171">
        <f t="shared" si="3"/>
        <v>21629.7</v>
      </c>
      <c r="F46" s="171"/>
      <c r="G46" s="171">
        <f t="shared" si="4"/>
        <v>21629.7</v>
      </c>
      <c r="H46" s="172">
        <f t="shared" si="5"/>
        <v>8.14158278599658E-3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'[41]Sch C'!D32</f>
        <v>33133</v>
      </c>
      <c r="D47" s="501">
        <f>'[41]Sch C'!F32</f>
        <v>0</v>
      </c>
      <c r="E47" s="171">
        <f t="shared" si="3"/>
        <v>33133</v>
      </c>
      <c r="F47" s="171"/>
      <c r="G47" s="171">
        <f t="shared" si="4"/>
        <v>33133</v>
      </c>
      <c r="H47" s="172">
        <f t="shared" si="5"/>
        <v>1.2471511969580006E-2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'[41]Sch C'!D33</f>
        <v>0</v>
      </c>
      <c r="D48" s="501">
        <f>'[41]Sch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'[41]Sch C'!D34</f>
        <v>0</v>
      </c>
      <c r="D49" s="501">
        <f>'[41]Sch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'[41]Sch C'!D35</f>
        <v>0</v>
      </c>
      <c r="D50" s="501">
        <f>'[41]Sch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'[41]Sch C'!D36</f>
        <v>0</v>
      </c>
      <c r="D51" s="501">
        <f>'[41]Sch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'[41]Sch C'!D37</f>
        <v>0</v>
      </c>
      <c r="D52" s="501">
        <f>'[41]Sch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'[41]Sch C'!D38</f>
        <v>0</v>
      </c>
      <c r="D53" s="501">
        <f>'[41]Sch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'[41]Sch C'!D39</f>
        <v>75.010000000000005</v>
      </c>
      <c r="D54" s="501">
        <f>'[41]Sch C'!F39</f>
        <v>0</v>
      </c>
      <c r="E54" s="171">
        <f t="shared" si="3"/>
        <v>75.010000000000005</v>
      </c>
      <c r="F54" s="171"/>
      <c r="G54" s="171">
        <f t="shared" si="4"/>
        <v>75.010000000000005</v>
      </c>
      <c r="H54" s="172">
        <f t="shared" si="5"/>
        <v>2.8234331718775733E-5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'[41]Sch C'!D40</f>
        <v>172</v>
      </c>
      <c r="D55" s="501">
        <f>'[41]Sch C'!F40</f>
        <v>0</v>
      </c>
      <c r="E55" s="171">
        <f t="shared" si="3"/>
        <v>172</v>
      </c>
      <c r="F55" s="171"/>
      <c r="G55" s="171">
        <f t="shared" si="4"/>
        <v>172</v>
      </c>
      <c r="H55" s="172">
        <f t="shared" si="5"/>
        <v>6.4742101794819696E-5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'[41]Sch C'!D41</f>
        <v>3191</v>
      </c>
      <c r="D56" s="501">
        <f>'[41]Sch C'!F41</f>
        <v>0</v>
      </c>
      <c r="E56" s="171">
        <f t="shared" si="3"/>
        <v>3191</v>
      </c>
      <c r="F56" s="171"/>
      <c r="G56" s="171">
        <f t="shared" si="4"/>
        <v>3191</v>
      </c>
      <c r="H56" s="172">
        <f t="shared" si="5"/>
        <v>1.2011165513213353E-3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'[41]Sch C'!D42</f>
        <v>0</v>
      </c>
      <c r="D57" s="501">
        <f>'[41]Sch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'[41]Sch C'!D43</f>
        <v>0</v>
      </c>
      <c r="D58" s="501">
        <f>'[41]Sch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'[41]Sch C'!D44</f>
        <v>0</v>
      </c>
      <c r="D59" s="501">
        <f>'[41]Sch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'[41]Sch C'!D45</f>
        <v>0</v>
      </c>
      <c r="D60" s="501">
        <f>'[41]Sch C'!F45</f>
        <v>0</v>
      </c>
      <c r="E60" s="171">
        <f t="shared" si="3"/>
        <v>0</v>
      </c>
      <c r="F60" s="171"/>
      <c r="G60" s="171">
        <f t="shared" si="4"/>
        <v>0</v>
      </c>
      <c r="H60" s="172">
        <f t="shared" si="5"/>
        <v>0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719495.57</v>
      </c>
      <c r="D61" s="501">
        <f>SUM(D25:D60)</f>
        <v>0</v>
      </c>
      <c r="E61" s="171">
        <f t="shared" ref="E61:F61" si="6">SUM(E25:E60)</f>
        <v>719495.57</v>
      </c>
      <c r="F61" s="171">
        <f t="shared" si="6"/>
        <v>0</v>
      </c>
      <c r="G61" s="171">
        <f>SUM(G25:G60)</f>
        <v>719495.57</v>
      </c>
      <c r="H61" s="186">
        <f t="shared" si="5"/>
        <v>0.27082357810384777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'[41]Sch C'!D57</f>
        <v>300000</v>
      </c>
      <c r="D64" s="501">
        <f>'[41]Sch C'!F57</f>
        <v>-300000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'[41]Sch C'!D58</f>
        <v>19144.63</v>
      </c>
      <c r="D65" s="501">
        <f>'[41]Sch C'!F58</f>
        <v>0</v>
      </c>
      <c r="E65" s="171">
        <f t="shared" si="7"/>
        <v>19144.63</v>
      </c>
      <c r="F65" s="171"/>
      <c r="G65" s="171">
        <f t="shared" si="8"/>
        <v>19144.63</v>
      </c>
      <c r="H65" s="172">
        <f t="shared" si="9"/>
        <v>7.2061836295590643E-3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'[41]Sch C'!D59</f>
        <v>0</v>
      </c>
      <c r="D66" s="501">
        <f>'[41]Sch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'[41]Sch C'!D60</f>
        <v>27505</v>
      </c>
      <c r="D67" s="501">
        <f>'[41]Sch C'!F60</f>
        <v>0</v>
      </c>
      <c r="E67" s="171">
        <f t="shared" si="7"/>
        <v>27505</v>
      </c>
      <c r="F67" s="171"/>
      <c r="G67" s="171">
        <f t="shared" si="8"/>
        <v>27505</v>
      </c>
      <c r="H67" s="172">
        <f t="shared" si="9"/>
        <v>1.0353090173642533E-2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'[41]Sch C'!D61</f>
        <v>3892</v>
      </c>
      <c r="D68" s="501">
        <f>'[41]Sch C'!F61</f>
        <v>0</v>
      </c>
      <c r="E68" s="171">
        <f t="shared" si="7"/>
        <v>3892</v>
      </c>
      <c r="F68" s="171"/>
      <c r="G68" s="171">
        <f t="shared" si="8"/>
        <v>3892</v>
      </c>
      <c r="H68" s="172">
        <f t="shared" si="9"/>
        <v>1.4649782568920829E-3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'[41]Sch C'!D62</f>
        <v>34187</v>
      </c>
      <c r="D69" s="501">
        <f>'[41]Sch C'!F62</f>
        <v>0</v>
      </c>
      <c r="E69" s="171">
        <f t="shared" si="7"/>
        <v>34187</v>
      </c>
      <c r="F69" s="171"/>
      <c r="G69" s="171">
        <f t="shared" si="8"/>
        <v>34187</v>
      </c>
      <c r="H69" s="172">
        <f t="shared" si="9"/>
        <v>1.2868245546857565E-2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'[41]Sch C'!D63</f>
        <v>0</v>
      </c>
      <c r="D70" s="501">
        <f>'[41]Sch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'[41]Sch C'!D64</f>
        <v>0</v>
      </c>
      <c r="D71" s="501">
        <f>'[41]Sch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'[41]Sch C'!D65</f>
        <v>7092</v>
      </c>
      <c r="D72" s="501">
        <f>'[41]Sch C'!F65</f>
        <v>0</v>
      </c>
      <c r="E72" s="171">
        <f t="shared" si="7"/>
        <v>7092</v>
      </c>
      <c r="F72" s="171"/>
      <c r="G72" s="171">
        <f t="shared" si="8"/>
        <v>7092</v>
      </c>
      <c r="H72" s="172">
        <f t="shared" si="9"/>
        <v>2.6694824763305891E-3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'[41]Sch C'!D66</f>
        <v>0</v>
      </c>
      <c r="D73" s="501">
        <f>'[41]Sch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'[41]Sch C'!D67</f>
        <v>55949.32</v>
      </c>
      <c r="D74" s="501">
        <f>'[41]Sch C'!F67</f>
        <v>0</v>
      </c>
      <c r="E74" s="171">
        <f t="shared" si="7"/>
        <v>55949.32</v>
      </c>
      <c r="F74" s="171"/>
      <c r="G74" s="171">
        <f t="shared" si="8"/>
        <v>55949.32</v>
      </c>
      <c r="H74" s="172">
        <f t="shared" si="9"/>
        <v>2.1059747504598499E-2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'[41]Sch C'!D68</f>
        <v>0</v>
      </c>
      <c r="D75" s="501">
        <f>'[41]Sch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'[41]Sch C'!D69</f>
        <v>0</v>
      </c>
      <c r="D76" s="501">
        <f>'[41]Sch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'[41]Sch C'!D70</f>
        <v>0</v>
      </c>
      <c r="D77" s="501">
        <f>'[41]Sch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'[41]Sch C'!D71</f>
        <v>0</v>
      </c>
      <c r="D78" s="501">
        <f>'[41]Sch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447769.95</v>
      </c>
      <c r="D79" s="501">
        <f>SUM(D64:D78)</f>
        <v>-300000</v>
      </c>
      <c r="E79" s="171">
        <f t="shared" ref="E79:F79" si="10">SUM(E64:E78)</f>
        <v>147769.95000000001</v>
      </c>
      <c r="F79" s="171">
        <f t="shared" si="10"/>
        <v>0</v>
      </c>
      <c r="G79" s="171">
        <f>SUM(G64:G78)</f>
        <v>147769.95000000001</v>
      </c>
      <c r="H79" s="172">
        <f t="shared" si="9"/>
        <v>5.5621727587880337E-2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'[41]Sch C'!D75</f>
        <v>36536</v>
      </c>
      <c r="D82" s="501">
        <f>'[41]Sch C'!F75</f>
        <v>0</v>
      </c>
      <c r="E82" s="171">
        <f t="shared" ref="E82:E92" si="11">C82+D82</f>
        <v>36536</v>
      </c>
      <c r="F82" s="171"/>
      <c r="G82" s="171">
        <f t="shared" ref="G82:G92" si="12">E82+F82</f>
        <v>36536</v>
      </c>
      <c r="H82" s="172">
        <f t="shared" ref="H82:H93" si="13">IF($G$208=0,0,G82/$G$208)</f>
        <v>1.3752426925439142E-2</v>
      </c>
      <c r="I82" s="473"/>
      <c r="J82" s="183">
        <v>3062</v>
      </c>
      <c r="K82" s="183">
        <v>3110.59</v>
      </c>
    </row>
    <row r="83" spans="1:11" s="167" customFormat="1">
      <c r="A83" s="169" t="s">
        <v>86</v>
      </c>
      <c r="B83" s="199" t="s">
        <v>45</v>
      </c>
      <c r="C83" s="501">
        <f>'[41]Sch C'!D76</f>
        <v>4716</v>
      </c>
      <c r="D83" s="501">
        <f>'[41]Sch C'!F76</f>
        <v>0</v>
      </c>
      <c r="E83" s="171">
        <f t="shared" si="11"/>
        <v>4716</v>
      </c>
      <c r="F83" s="171"/>
      <c r="G83" s="171">
        <f t="shared" si="12"/>
        <v>4716</v>
      </c>
      <c r="H83" s="172">
        <f t="shared" si="13"/>
        <v>1.7751380933974982E-3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'[41]Sch C'!D77</f>
        <v>3064</v>
      </c>
      <c r="D84" s="501">
        <f>'[41]Sch C'!F77</f>
        <v>0</v>
      </c>
      <c r="E84" s="171">
        <f t="shared" si="11"/>
        <v>3064</v>
      </c>
      <c r="F84" s="171"/>
      <c r="G84" s="171">
        <f t="shared" si="12"/>
        <v>3064</v>
      </c>
      <c r="H84" s="172">
        <f t="shared" si="13"/>
        <v>1.1533127901123695E-3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'[41]Sch C'!D78</f>
        <v>1236</v>
      </c>
      <c r="D85" s="501">
        <f>'[41]Sch C'!F78</f>
        <v>0</v>
      </c>
      <c r="E85" s="171">
        <f t="shared" si="11"/>
        <v>1236</v>
      </c>
      <c r="F85" s="171"/>
      <c r="G85" s="171">
        <f t="shared" si="12"/>
        <v>1236</v>
      </c>
      <c r="H85" s="172">
        <f t="shared" si="13"/>
        <v>4.6523975475812297E-4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'[41]Sch C'!D79</f>
        <v>0</v>
      </c>
      <c r="D86" s="501">
        <f>'[41]Sch C'!F79</f>
        <v>0</v>
      </c>
      <c r="E86" s="171">
        <f t="shared" si="11"/>
        <v>0</v>
      </c>
      <c r="F86" s="171"/>
      <c r="G86" s="171">
        <f>E86+F86</f>
        <v>0</v>
      </c>
      <c r="H86" s="172">
        <f t="shared" si="13"/>
        <v>0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'[41]Sch C'!D80</f>
        <v>21433</v>
      </c>
      <c r="D87" s="501">
        <f>'[41]Sch C'!F80</f>
        <v>0</v>
      </c>
      <c r="E87" s="171">
        <f t="shared" si="11"/>
        <v>21433</v>
      </c>
      <c r="F87" s="171"/>
      <c r="G87" s="171">
        <f t="shared" si="12"/>
        <v>21433</v>
      </c>
      <c r="H87" s="172">
        <f t="shared" si="13"/>
        <v>8.0675434172579694E-3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'[41]Sch C'!D81</f>
        <v>15842</v>
      </c>
      <c r="D88" s="501">
        <f>'[41]Sch C'!F81</f>
        <v>0</v>
      </c>
      <c r="E88" s="171">
        <f t="shared" si="11"/>
        <v>15842</v>
      </c>
      <c r="F88" s="171"/>
      <c r="G88" s="171">
        <f t="shared" si="12"/>
        <v>15842</v>
      </c>
      <c r="H88" s="172">
        <f t="shared" si="13"/>
        <v>5.9630487013577543E-3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'[41]Sch C'!D82</f>
        <v>2010</v>
      </c>
      <c r="D89" s="501">
        <f>'[41]Sch C'!F82</f>
        <v>0</v>
      </c>
      <c r="E89" s="171">
        <f t="shared" si="11"/>
        <v>2010</v>
      </c>
      <c r="F89" s="171"/>
      <c r="G89" s="171">
        <f t="shared" si="12"/>
        <v>2010</v>
      </c>
      <c r="H89" s="172">
        <f t="shared" si="13"/>
        <v>7.5657921283481158E-4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'[41]Sch C'!D83</f>
        <v>13078.63</v>
      </c>
      <c r="D90" s="501">
        <f>'[41]Sch C'!F83</f>
        <v>0</v>
      </c>
      <c r="E90" s="171">
        <f t="shared" si="11"/>
        <v>13078.63</v>
      </c>
      <c r="F90" s="171"/>
      <c r="G90" s="171">
        <f t="shared" si="12"/>
        <v>13078.63</v>
      </c>
      <c r="H90" s="172">
        <f t="shared" si="13"/>
        <v>4.9228953185859459E-3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'[41]Sch C'!D84</f>
        <v>89367</v>
      </c>
      <c r="D91" s="501">
        <f>'[41]Sch C'!F84</f>
        <v>0</v>
      </c>
      <c r="E91" s="171">
        <f t="shared" si="11"/>
        <v>89367</v>
      </c>
      <c r="F91" s="171"/>
      <c r="G91" s="171">
        <f t="shared" si="12"/>
        <v>89367</v>
      </c>
      <c r="H91" s="172">
        <f t="shared" si="13"/>
        <v>3.3638415180800303E-2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'[41]Sch C'!D85</f>
        <v>0</v>
      </c>
      <c r="D92" s="501">
        <f>'[41]Sch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187282.63</v>
      </c>
      <c r="D93" s="501">
        <f>SUM(D82:D92)</f>
        <v>0</v>
      </c>
      <c r="E93" s="171">
        <f t="shared" ref="E93:F93" si="14">SUM(E82:E92)</f>
        <v>187282.63</v>
      </c>
      <c r="F93" s="171">
        <f t="shared" si="14"/>
        <v>0</v>
      </c>
      <c r="G93" s="171">
        <f>SUM(G82:G92)</f>
        <v>187282.63</v>
      </c>
      <c r="H93" s="172">
        <f t="shared" si="13"/>
        <v>7.0494599394543916E-2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'[41]Sch C'!D89</f>
        <v>120470</v>
      </c>
      <c r="D96" s="501">
        <f>'[41]Sch C'!F89</f>
        <v>0</v>
      </c>
      <c r="E96" s="171">
        <f t="shared" ref="E96:E101" si="15">C96+D96</f>
        <v>120470</v>
      </c>
      <c r="F96" s="171"/>
      <c r="G96" s="171">
        <f t="shared" ref="G96:G101" si="16">E96+F96</f>
        <v>120470</v>
      </c>
      <c r="H96" s="172">
        <f t="shared" ref="H96:H102" si="17">IF($G$208=0,0,G96/$G$208)</f>
        <v>4.5345819786174003E-2</v>
      </c>
      <c r="I96" s="473"/>
      <c r="J96" s="183">
        <v>13248</v>
      </c>
      <c r="K96" s="183">
        <v>13643</v>
      </c>
    </row>
    <row r="97" spans="1:11" s="167" customFormat="1">
      <c r="A97" s="169" t="s">
        <v>86</v>
      </c>
      <c r="B97" s="170" t="s">
        <v>45</v>
      </c>
      <c r="C97" s="501">
        <f>'[41]Sch C'!D90</f>
        <v>13027</v>
      </c>
      <c r="D97" s="501">
        <f>'[41]Sch C'!F90</f>
        <v>0</v>
      </c>
      <c r="E97" s="171">
        <f t="shared" si="15"/>
        <v>13027</v>
      </c>
      <c r="F97" s="171"/>
      <c r="G97" s="171">
        <f t="shared" si="16"/>
        <v>13027</v>
      </c>
      <c r="H97" s="172">
        <f t="shared" si="17"/>
        <v>4.9034613958204428E-3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'[41]Sch C'!D91</f>
        <v>2712</v>
      </c>
      <c r="D98" s="501">
        <f>'[41]Sch C'!F91</f>
        <v>0</v>
      </c>
      <c r="E98" s="171">
        <f t="shared" si="15"/>
        <v>2712</v>
      </c>
      <c r="F98" s="171"/>
      <c r="G98" s="171">
        <f t="shared" si="16"/>
        <v>2712</v>
      </c>
      <c r="H98" s="172">
        <f t="shared" si="17"/>
        <v>1.0208173259741338E-3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'[41]Sch C'!D92</f>
        <v>164910</v>
      </c>
      <c r="D99" s="501">
        <f>'[41]Sch C'!F92</f>
        <v>0</v>
      </c>
      <c r="E99" s="171">
        <f t="shared" si="15"/>
        <v>164910</v>
      </c>
      <c r="F99" s="171"/>
      <c r="G99" s="171">
        <f t="shared" si="16"/>
        <v>164910</v>
      </c>
      <c r="H99" s="172">
        <f t="shared" si="17"/>
        <v>6.2073372133626258E-2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'[41]Sch C'!D93</f>
        <v>28390</v>
      </c>
      <c r="D100" s="501">
        <f>'[41]Sch C'!F93</f>
        <v>0</v>
      </c>
      <c r="E100" s="171">
        <f t="shared" si="15"/>
        <v>28390</v>
      </c>
      <c r="F100" s="171"/>
      <c r="G100" s="171">
        <f t="shared" si="16"/>
        <v>28390</v>
      </c>
      <c r="H100" s="172">
        <f t="shared" si="17"/>
        <v>1.0686210871830996E-2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'[41]Sch C'!D94</f>
        <v>0</v>
      </c>
      <c r="D101" s="501">
        <f>'[41]Sch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329509</v>
      </c>
      <c r="D102" s="501">
        <f>SUM(D96:D101)</f>
        <v>0</v>
      </c>
      <c r="E102" s="171">
        <f t="shared" ref="E102:F102" si="18">SUM(E96:E101)</f>
        <v>329509</v>
      </c>
      <c r="F102" s="171">
        <f t="shared" si="18"/>
        <v>0</v>
      </c>
      <c r="G102" s="171">
        <f>SUM(G96:G101)</f>
        <v>329509</v>
      </c>
      <c r="H102" s="172">
        <f t="shared" si="17"/>
        <v>0.12402968151342583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'[41]Sch C'!D98</f>
        <v>18556</v>
      </c>
      <c r="D105" s="501">
        <f>'[41]Sch C'!F98</f>
        <v>0</v>
      </c>
      <c r="E105" s="171">
        <f t="shared" ref="E105:E110" si="19">C105+D105</f>
        <v>18556</v>
      </c>
      <c r="F105" s="171"/>
      <c r="G105" s="171">
        <f t="shared" ref="G105:G110" si="20">E105+F105</f>
        <v>18556</v>
      </c>
      <c r="H105" s="172">
        <f t="shared" ref="H105:H111" si="21">IF($G$208=0,0,G105/$G$208)</f>
        <v>6.984618842469037E-3</v>
      </c>
      <c r="I105" s="473"/>
      <c r="J105" s="183">
        <v>2187</v>
      </c>
      <c r="K105" s="183">
        <v>2245</v>
      </c>
    </row>
    <row r="106" spans="1:11" s="167" customFormat="1">
      <c r="A106" s="169" t="s">
        <v>86</v>
      </c>
      <c r="B106" s="170" t="s">
        <v>45</v>
      </c>
      <c r="C106" s="501">
        <f>'[41]Sch C'!D99</f>
        <v>1517</v>
      </c>
      <c r="D106" s="501">
        <f>'[41]Sch C'!F99</f>
        <v>0</v>
      </c>
      <c r="E106" s="171">
        <f t="shared" si="19"/>
        <v>1517</v>
      </c>
      <c r="F106" s="171"/>
      <c r="G106" s="171">
        <f t="shared" si="20"/>
        <v>1517</v>
      </c>
      <c r="H106" s="172">
        <f t="shared" si="21"/>
        <v>5.7101028152756672E-4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'[41]Sch C'!D100</f>
        <v>6942</v>
      </c>
      <c r="D107" s="501">
        <f>'[41]Sch C'!F100</f>
        <v>0</v>
      </c>
      <c r="E107" s="171">
        <f t="shared" si="19"/>
        <v>6942</v>
      </c>
      <c r="F107" s="171"/>
      <c r="G107" s="171">
        <f t="shared" si="20"/>
        <v>6942</v>
      </c>
      <c r="H107" s="172">
        <f t="shared" si="21"/>
        <v>2.613021341044409E-3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'[41]Sch C'!D101</f>
        <v>0</v>
      </c>
      <c r="D108" s="501">
        <f>'[41]Sch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'[41]Sch C'!D102</f>
        <v>1099</v>
      </c>
      <c r="D109" s="501">
        <f>'[41]Sch C'!F102</f>
        <v>0</v>
      </c>
      <c r="E109" s="171">
        <f t="shared" si="19"/>
        <v>1099</v>
      </c>
      <c r="F109" s="171"/>
      <c r="G109" s="171">
        <f t="shared" si="20"/>
        <v>1099</v>
      </c>
      <c r="H109" s="172">
        <f t="shared" si="21"/>
        <v>4.1367191786341191E-4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'[41]Sch C'!D103</f>
        <v>0</v>
      </c>
      <c r="D110" s="501">
        <f>'[41]Sch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28114</v>
      </c>
      <c r="D111" s="501">
        <f>SUM(D105:D110)</f>
        <v>0</v>
      </c>
      <c r="E111" s="171">
        <f t="shared" ref="E111:F111" si="22">SUM(E105:E110)</f>
        <v>28114</v>
      </c>
      <c r="F111" s="171">
        <f t="shared" si="22"/>
        <v>0</v>
      </c>
      <c r="G111" s="171">
        <f>SUM(G105:G110)</f>
        <v>28114</v>
      </c>
      <c r="H111" s="172">
        <f t="shared" si="21"/>
        <v>1.0582322382904425E-2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'[41]Sch C'!D115</f>
        <v>50730</v>
      </c>
      <c r="D114" s="501">
        <f>'[41]Sch C'!F115</f>
        <v>0</v>
      </c>
      <c r="E114" s="171">
        <f t="shared" ref="E114:E118" si="23">C114+D114</f>
        <v>50730</v>
      </c>
      <c r="F114" s="171"/>
      <c r="G114" s="171">
        <f>E114+F114</f>
        <v>50730</v>
      </c>
      <c r="H114" s="172">
        <f t="shared" ref="H114:H119" si="24">IF($G$208=0,0,G114/$G$208)</f>
        <v>1.9095155953786067E-2</v>
      </c>
      <c r="I114" s="473"/>
      <c r="J114" s="183">
        <v>6280</v>
      </c>
      <c r="K114" s="183">
        <v>6439</v>
      </c>
    </row>
    <row r="115" spans="1:11" s="167" customFormat="1">
      <c r="A115" s="169" t="s">
        <v>86</v>
      </c>
      <c r="B115" s="170" t="s">
        <v>151</v>
      </c>
      <c r="C115" s="501">
        <f>'[41]Sch C'!D116</f>
        <v>4161</v>
      </c>
      <c r="D115" s="501">
        <f>'[41]Sch C'!F116</f>
        <v>0</v>
      </c>
      <c r="E115" s="171">
        <f t="shared" si="23"/>
        <v>4161</v>
      </c>
      <c r="F115" s="171"/>
      <c r="G115" s="171">
        <f>E115+F115</f>
        <v>4161</v>
      </c>
      <c r="H115" s="172">
        <f t="shared" si="24"/>
        <v>1.5662318928386324E-3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'[41]Sch C'!D117</f>
        <v>19084</v>
      </c>
      <c r="D116" s="501">
        <f>'[41]Sch C'!F117</f>
        <v>0</v>
      </c>
      <c r="E116" s="171">
        <f t="shared" si="23"/>
        <v>19084</v>
      </c>
      <c r="F116" s="171"/>
      <c r="G116" s="171">
        <f>E116+F116</f>
        <v>19084</v>
      </c>
      <c r="H116" s="172">
        <f t="shared" si="24"/>
        <v>7.1833620386763906E-3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'[41]Sch C'!D118</f>
        <v>0</v>
      </c>
      <c r="D117" s="501">
        <f>'[41]Sch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'[41]Sch C'!D119</f>
        <v>0</v>
      </c>
      <c r="D118" s="501">
        <f>'[41]Sch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73975</v>
      </c>
      <c r="D119" s="501">
        <f>SUM(D114:D118)</f>
        <v>0</v>
      </c>
      <c r="E119" s="171">
        <f t="shared" ref="E119:F119" si="25">SUM(E114:E118)</f>
        <v>73975</v>
      </c>
      <c r="F119" s="171">
        <f t="shared" si="25"/>
        <v>0</v>
      </c>
      <c r="G119" s="171">
        <f>SUM(G114:G118)</f>
        <v>73975</v>
      </c>
      <c r="H119" s="172">
        <f t="shared" si="24"/>
        <v>2.7844749885301088E-2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'[41]Sch C'!D124</f>
        <v>0</v>
      </c>
      <c r="D123" s="501">
        <f>'[41]Sch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'[41]Sch C'!D125</f>
        <v>35942</v>
      </c>
      <c r="D124" s="501">
        <f>'[41]Sch C'!F125</f>
        <v>0</v>
      </c>
      <c r="E124" s="171">
        <f t="shared" si="26"/>
        <v>35942</v>
      </c>
      <c r="F124" s="171"/>
      <c r="G124" s="171">
        <f>E124+F124</f>
        <v>35942</v>
      </c>
      <c r="H124" s="172">
        <f>IF($G$208=0,0,G124/$G$208)</f>
        <v>1.352884082970587E-2</v>
      </c>
      <c r="I124" s="473"/>
      <c r="J124" s="183">
        <v>0</v>
      </c>
      <c r="K124" s="183">
        <v>0</v>
      </c>
    </row>
    <row r="125" spans="1:11" s="167" customFormat="1">
      <c r="A125" s="163" t="s">
        <v>198</v>
      </c>
      <c r="B125" s="163" t="s">
        <v>195</v>
      </c>
      <c r="C125" s="501">
        <f>'[41]Sch C'!D126</f>
        <v>0</v>
      </c>
      <c r="D125" s="501">
        <f>'[41]Sch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 t="s">
        <v>198</v>
      </c>
      <c r="K125" s="183" t="s">
        <v>198</v>
      </c>
    </row>
    <row r="126" spans="1:11" s="167" customFormat="1">
      <c r="A126" s="169"/>
      <c r="B126" s="163" t="s">
        <v>196</v>
      </c>
      <c r="C126" s="501">
        <f>'[41]Sch C'!D127</f>
        <v>0</v>
      </c>
      <c r="D126" s="501">
        <f>'[41]Sch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 t="s">
        <v>198</v>
      </c>
      <c r="K126" s="183" t="s">
        <v>198</v>
      </c>
    </row>
    <row r="127" spans="1:11" s="167" customFormat="1">
      <c r="A127" s="169"/>
      <c r="B127" s="163" t="s">
        <v>197</v>
      </c>
      <c r="C127" s="501">
        <f>'[41]Sch C'!D128</f>
        <v>7183</v>
      </c>
      <c r="D127" s="501">
        <f>'[41]Sch C'!F128</f>
        <v>0</v>
      </c>
      <c r="E127" s="171">
        <f t="shared" si="26"/>
        <v>7183</v>
      </c>
      <c r="F127" s="171"/>
      <c r="G127" s="171">
        <f>E127+F127</f>
        <v>7183</v>
      </c>
      <c r="H127" s="172">
        <f>IF($G$208=0,0,G127/$G$208)</f>
        <v>2.7037355650708717E-3</v>
      </c>
      <c r="I127" s="473"/>
      <c r="J127" s="183">
        <v>0</v>
      </c>
      <c r="K127" s="183">
        <v>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'[41]Sch C'!D130</f>
        <v>0</v>
      </c>
      <c r="D129" s="501">
        <f>'[41]Sch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'[41]Sch C'!D131</f>
        <v>4168</v>
      </c>
      <c r="D130" s="501">
        <f>'[41]Sch C'!F131</f>
        <v>0</v>
      </c>
      <c r="E130" s="171">
        <f t="shared" si="27"/>
        <v>4168</v>
      </c>
      <c r="F130" s="171"/>
      <c r="G130" s="171">
        <f>E130+F130</f>
        <v>4168</v>
      </c>
      <c r="H130" s="172">
        <f>IF($G$208=0,0,G130/$G$208)</f>
        <v>1.5688667458186542E-3</v>
      </c>
      <c r="I130" s="473"/>
      <c r="J130" s="204"/>
      <c r="K130" s="204"/>
    </row>
    <row r="131" spans="1:11" s="167" customFormat="1">
      <c r="B131" s="163" t="s">
        <v>195</v>
      </c>
      <c r="C131" s="501">
        <f>'[41]Sch C'!D132</f>
        <v>0</v>
      </c>
      <c r="D131" s="501">
        <f>'[41]Sch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'[41]Sch C'!D133</f>
        <v>0</v>
      </c>
      <c r="D132" s="501">
        <f>'[41]Sch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'[41]Sch C'!D134</f>
        <v>0</v>
      </c>
      <c r="D133" s="501">
        <f>'[41]Sch C'!F134</f>
        <v>0</v>
      </c>
      <c r="E133" s="171">
        <f t="shared" si="27"/>
        <v>0</v>
      </c>
      <c r="F133" s="17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'[41]Sch C'!D136</f>
        <v>306328</v>
      </c>
      <c r="D135" s="501">
        <f>'[41]Sch C'!F136</f>
        <v>0</v>
      </c>
      <c r="E135" s="171">
        <f t="shared" ref="E135:E138" si="28">C135+D135</f>
        <v>306328</v>
      </c>
      <c r="F135" s="171"/>
      <c r="G135" s="171">
        <f>E135+F135</f>
        <v>306328</v>
      </c>
      <c r="H135" s="172">
        <f>IF($G$208=0,0,G135/$G$208)</f>
        <v>0.11530417766629958</v>
      </c>
      <c r="I135" s="473"/>
      <c r="J135" s="183">
        <v>11840</v>
      </c>
      <c r="K135" s="183">
        <v>12047</v>
      </c>
    </row>
    <row r="136" spans="1:11" s="167" customFormat="1">
      <c r="A136" s="169"/>
      <c r="B136" s="163" t="s">
        <v>195</v>
      </c>
      <c r="C136" s="501">
        <f>'[41]Sch C'!D137</f>
        <v>82497</v>
      </c>
      <c r="D136" s="501">
        <f>'[41]Sch C'!F137</f>
        <v>0</v>
      </c>
      <c r="E136" s="171">
        <f t="shared" si="28"/>
        <v>82497</v>
      </c>
      <c r="F136" s="171"/>
      <c r="G136" s="171">
        <f>E136+F136</f>
        <v>82497</v>
      </c>
      <c r="H136" s="172">
        <f>IF($G$208=0,0,G136/$G$208)</f>
        <v>3.105249518469326E-2</v>
      </c>
      <c r="I136" s="473"/>
      <c r="J136" s="183">
        <v>3774</v>
      </c>
      <c r="K136" s="183">
        <v>3847</v>
      </c>
    </row>
    <row r="137" spans="1:11" s="167" customFormat="1">
      <c r="A137" s="169"/>
      <c r="B137" s="163" t="s">
        <v>196</v>
      </c>
      <c r="C137" s="501">
        <f>'[41]Sch C'!D138</f>
        <v>390309</v>
      </c>
      <c r="D137" s="501">
        <f>'[41]Sch C'!F138</f>
        <v>0</v>
      </c>
      <c r="E137" s="171">
        <f t="shared" si="28"/>
        <v>390309</v>
      </c>
      <c r="F137" s="171"/>
      <c r="G137" s="171">
        <f>E137+F137</f>
        <v>390309</v>
      </c>
      <c r="H137" s="172">
        <f>IF($G$208=0,0,G137/$G$208)</f>
        <v>0.14691526168275745</v>
      </c>
      <c r="I137" s="473"/>
      <c r="J137" s="183">
        <v>37833</v>
      </c>
      <c r="K137" s="183">
        <v>38310</v>
      </c>
    </row>
    <row r="138" spans="1:11" s="167" customFormat="1">
      <c r="A138" s="169"/>
      <c r="B138" s="163" t="s">
        <v>197</v>
      </c>
      <c r="C138" s="501">
        <f>'[41]Sch C'!D139</f>
        <v>0</v>
      </c>
      <c r="D138" s="501">
        <f>'[41]Sch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'[41]Sch C'!D141</f>
        <v>24669.57</v>
      </c>
      <c r="D140" s="501">
        <f>'[41]Sch C'!F141</f>
        <v>0</v>
      </c>
      <c r="E140" s="171">
        <f t="shared" ref="E140:E143" si="29">C140+D140</f>
        <v>24669.57</v>
      </c>
      <c r="F140" s="171"/>
      <c r="G140" s="171">
        <f>E140+F140</f>
        <v>24669.57</v>
      </c>
      <c r="H140" s="172">
        <f>IF($G$208=0,0,G140/$G$208)</f>
        <v>9.2858128614792448E-3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'[41]Sch C'!D142</f>
        <v>6815</v>
      </c>
      <c r="D141" s="501">
        <f>'[41]Sch C'!F142</f>
        <v>0</v>
      </c>
      <c r="E141" s="171">
        <f t="shared" si="29"/>
        <v>6815</v>
      </c>
      <c r="F141" s="171"/>
      <c r="G141" s="171">
        <f>E141+F141</f>
        <v>6815</v>
      </c>
      <c r="H141" s="172">
        <f>IF($G$208=0,0,G141/$G$208)</f>
        <v>2.5652175798354434E-3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'[41]Sch C'!D143</f>
        <v>32667</v>
      </c>
      <c r="D142" s="501">
        <f>'[41]Sch C'!F143</f>
        <v>0</v>
      </c>
      <c r="E142" s="171">
        <f t="shared" si="29"/>
        <v>32667</v>
      </c>
      <c r="F142" s="171"/>
      <c r="G142" s="171">
        <f>E142+F142</f>
        <v>32667</v>
      </c>
      <c r="H142" s="172">
        <f>IF($G$208=0,0,G142/$G$208)</f>
        <v>1.2296106042624273E-2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'[41]Sch C'!D144</f>
        <v>0</v>
      </c>
      <c r="D143" s="501">
        <f>'[41]Sch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'[41]Sch C'!D146</f>
        <v>18000</v>
      </c>
      <c r="D145" s="501">
        <f>'[41]Sch C'!F146</f>
        <v>0</v>
      </c>
      <c r="E145" s="171">
        <f t="shared" ref="E145:E153" si="30">C145+D145</f>
        <v>18000</v>
      </c>
      <c r="F145" s="171"/>
      <c r="G145" s="171">
        <f t="shared" ref="G145:G153" si="31">E145+F145</f>
        <v>18000</v>
      </c>
      <c r="H145" s="172">
        <f t="shared" ref="H145:H153" si="32">IF($G$208=0,0,G145/$G$208)</f>
        <v>6.7753362343415963E-3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'[41]Sch C'!D147</f>
        <v>0</v>
      </c>
      <c r="D146" s="501">
        <f>'[41]Sch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'[41]Sch C'!D148</f>
        <v>0</v>
      </c>
      <c r="D147" s="501">
        <f>'[41]Sch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'[41]Sch C'!D149</f>
        <v>0</v>
      </c>
      <c r="D148" s="501">
        <f>'[41]Sch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'[41]Sch C'!D150</f>
        <v>0</v>
      </c>
      <c r="D149" s="501">
        <f>'[41]Sch C'!F150</f>
        <v>0</v>
      </c>
      <c r="E149" s="171">
        <f t="shared" si="30"/>
        <v>0</v>
      </c>
      <c r="F149" s="171"/>
      <c r="G149" s="171">
        <f t="shared" si="31"/>
        <v>0</v>
      </c>
      <c r="H149" s="172">
        <f t="shared" si="32"/>
        <v>0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'[41]Sch C'!D151</f>
        <v>49029</v>
      </c>
      <c r="D150" s="501">
        <f>'[41]Sch C'!F151</f>
        <v>0</v>
      </c>
      <c r="E150" s="171">
        <f t="shared" si="30"/>
        <v>49029</v>
      </c>
      <c r="F150" s="171"/>
      <c r="G150" s="171">
        <f t="shared" si="31"/>
        <v>49029</v>
      </c>
      <c r="H150" s="172">
        <f t="shared" si="32"/>
        <v>1.8454886679640785E-2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'[41]Sch C'!D152</f>
        <v>14017</v>
      </c>
      <c r="D151" s="501">
        <f>'[41]Sch C'!F152</f>
        <v>0</v>
      </c>
      <c r="E151" s="171">
        <f t="shared" si="30"/>
        <v>14017</v>
      </c>
      <c r="F151" s="171"/>
      <c r="G151" s="171">
        <f t="shared" si="31"/>
        <v>14017</v>
      </c>
      <c r="H151" s="172">
        <f t="shared" si="32"/>
        <v>5.2761048887092305E-3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'[41]Sch C'!D153</f>
        <v>0</v>
      </c>
      <c r="D152" s="501">
        <f>'[41]Sch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'[41]Sch C'!D154</f>
        <v>0</v>
      </c>
      <c r="D153" s="501">
        <f>'[41]Sch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'[41]Sch C'!D156</f>
        <v>0</v>
      </c>
      <c r="D155" s="501">
        <f>'[41]Sch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'[41]Sch C'!D157</f>
        <v>0</v>
      </c>
      <c r="D156" s="501">
        <f>'[41]Sch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'[41]Sch C'!D158</f>
        <v>0</v>
      </c>
      <c r="D157" s="501">
        <f>'[41]Sch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'[41]Sch C'!D159</f>
        <v>0</v>
      </c>
      <c r="D158" s="501">
        <f>'[41]Sch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'[41]Sch C'!D160</f>
        <v>0</v>
      </c>
      <c r="D159" s="501">
        <f>'[41]Sch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'[41]Sch C'!D161</f>
        <v>0</v>
      </c>
      <c r="D160" s="501">
        <f>'[41]Sch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971624.57</v>
      </c>
      <c r="D161" s="501">
        <f>SUM(D123:D160)</f>
        <v>0</v>
      </c>
      <c r="E161" s="171">
        <f t="shared" ref="E161:F161" si="36">SUM(E123:E160)</f>
        <v>971624.57</v>
      </c>
      <c r="F161" s="171">
        <f t="shared" si="36"/>
        <v>0</v>
      </c>
      <c r="G161" s="171">
        <f>SUM(G123:G160)</f>
        <v>971624.57</v>
      </c>
      <c r="H161" s="172">
        <f t="shared" si="35"/>
        <v>0.36572684196097627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'[41]Sch C'!D175</f>
        <v>0</v>
      </c>
      <c r="D164" s="501">
        <f>'[41]Sch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'[41]Sch C'!D176</f>
        <v>0</v>
      </c>
      <c r="D165" s="501">
        <f>'[41]Sch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'[41]Sch C'!D177</f>
        <v>0</v>
      </c>
      <c r="D166" s="501">
        <f>'[41]Sch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'[41]Sch C'!D178</f>
        <v>0</v>
      </c>
      <c r="D167" s="501">
        <f>'[41]Sch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'[41]Sch C'!D179</f>
        <v>0</v>
      </c>
      <c r="D168" s="501">
        <f>'[41]Sch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'[41]Sch C'!D180</f>
        <v>0</v>
      </c>
      <c r="D169" s="501">
        <f>'[41]Sch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'[41]Sch C'!D181</f>
        <v>0</v>
      </c>
      <c r="D170" s="501">
        <f>'[41]Sch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'[41]Sch C'!D182</f>
        <v>0</v>
      </c>
      <c r="D171" s="501">
        <f>'[41]Sch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'[41]Sch C'!D183</f>
        <v>0</v>
      </c>
      <c r="D172" s="501">
        <f>'[41]Sch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'[41]Sch C'!D184</f>
        <v>0</v>
      </c>
      <c r="D173" s="501">
        <f>'[41]Sch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'[41]Sch C'!D185</f>
        <v>0</v>
      </c>
      <c r="D174" s="501">
        <f>'[41]Sch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'[41]Sch C'!D186</f>
        <v>0</v>
      </c>
      <c r="D175" s="501">
        <f>'[41]Sch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'[41]Sch C'!D187</f>
        <v>0</v>
      </c>
      <c r="D176" s="501">
        <f>'[41]Sch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'[41]Sch C'!D188</f>
        <v>0</v>
      </c>
      <c r="D177" s="501">
        <f>'[41]Sch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'[41]Sch C'!D189</f>
        <v>0</v>
      </c>
      <c r="D178" s="501">
        <f>'[41]Sch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'[41]Sch C'!D190</f>
        <v>0</v>
      </c>
      <c r="D179" s="501">
        <f>'[41]Sch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'[41]Sch C'!D191</f>
        <v>0</v>
      </c>
      <c r="D180" s="501">
        <f>'[41]Sch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'[41]Sch C'!D192</f>
        <v>1628</v>
      </c>
      <c r="D181" s="501">
        <f>'[41]Sch C'!F192</f>
        <v>0</v>
      </c>
      <c r="E181" s="171">
        <f t="shared" si="37"/>
        <v>1628</v>
      </c>
      <c r="F181" s="216"/>
      <c r="G181" s="171">
        <f t="shared" si="38"/>
        <v>1628</v>
      </c>
      <c r="H181" s="172">
        <f t="shared" si="39"/>
        <v>6.1279152163933991E-4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'[41]Sch C'!D193</f>
        <v>0</v>
      </c>
      <c r="D182" s="501">
        <f>'[41]Sch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'[41]Sch C'!D194</f>
        <v>71631</v>
      </c>
      <c r="D183" s="501">
        <f>'[41]Sch C'!F194</f>
        <v>0</v>
      </c>
      <c r="E183" s="171">
        <f t="shared" si="37"/>
        <v>71631</v>
      </c>
      <c r="F183" s="216"/>
      <c r="G183" s="171">
        <f t="shared" si="38"/>
        <v>71631</v>
      </c>
      <c r="H183" s="172">
        <f t="shared" si="39"/>
        <v>2.6962450544562384E-2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'[41]Sch C'!D195</f>
        <v>12737</v>
      </c>
      <c r="D184" s="501">
        <f>'[41]Sch C'!F195</f>
        <v>0</v>
      </c>
      <c r="E184" s="171">
        <f t="shared" si="37"/>
        <v>12737</v>
      </c>
      <c r="F184" s="216"/>
      <c r="G184" s="171">
        <f t="shared" si="38"/>
        <v>12737</v>
      </c>
      <c r="H184" s="172">
        <f t="shared" si="39"/>
        <v>4.7943032009338284E-3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'[41]Sch C'!D196</f>
        <v>0</v>
      </c>
      <c r="D185" s="501">
        <f>'[41]Sch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'[41]Sch C'!D197</f>
        <v>62243</v>
      </c>
      <c r="D186" s="501">
        <f>'[41]Sch C'!F197</f>
        <v>0</v>
      </c>
      <c r="E186" s="171">
        <f t="shared" si="37"/>
        <v>62243</v>
      </c>
      <c r="F186" s="216"/>
      <c r="G186" s="171">
        <f t="shared" si="38"/>
        <v>62243</v>
      </c>
      <c r="H186" s="172">
        <f t="shared" si="39"/>
        <v>2.3428736290784666E-2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'[41]Sch C'!D198</f>
        <v>0</v>
      </c>
      <c r="D187" s="501">
        <f>'[41]Sch C'!F198</f>
        <v>0</v>
      </c>
      <c r="E187" s="171">
        <f t="shared" si="37"/>
        <v>0</v>
      </c>
      <c r="F187" s="216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'[41]Sch C'!D199</f>
        <v>0</v>
      </c>
      <c r="D188" s="501">
        <f>'[41]Sch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'[41]Sch C'!D200</f>
        <v>0</v>
      </c>
      <c r="D189" s="501">
        <f>'[41]Sch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'[41]Sch C'!D201</f>
        <v>0</v>
      </c>
      <c r="D190" s="501">
        <f>'[41]Sch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'[41]Sch C'!D202</f>
        <v>0</v>
      </c>
      <c r="D191" s="501">
        <f>'[41]Sch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'[41]Sch C'!D203</f>
        <v>0</v>
      </c>
      <c r="D192" s="501">
        <f>'[41]Sch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'[41]Sch C'!D204</f>
        <v>0</v>
      </c>
      <c r="D193" s="501">
        <f>'[41]Sch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'[41]Sch C'!D205</f>
        <v>10020</v>
      </c>
      <c r="D194" s="501">
        <f>'[41]Sch C'!F205</f>
        <v>0</v>
      </c>
      <c r="E194" s="171">
        <f t="shared" si="37"/>
        <v>10020</v>
      </c>
      <c r="F194" s="216"/>
      <c r="G194" s="171">
        <f t="shared" si="38"/>
        <v>10020</v>
      </c>
      <c r="H194" s="172">
        <f t="shared" si="39"/>
        <v>3.7716038371168221E-3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'[41]Sch C'!D206</f>
        <v>0</v>
      </c>
      <c r="D195" s="501">
        <f>'[41]Sch C'!F206</f>
        <v>0</v>
      </c>
      <c r="E195" s="171">
        <f t="shared" si="37"/>
        <v>0</v>
      </c>
      <c r="F195" s="216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'[41]Sch C'!D207</f>
        <v>0</v>
      </c>
      <c r="D196" s="501">
        <f>'[41]Sch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158259</v>
      </c>
      <c r="D197" s="501">
        <f>SUM(D164:D196)</f>
        <v>0</v>
      </c>
      <c r="E197" s="171">
        <f t="shared" ref="E197:F197" si="40">SUM(E164:E196)</f>
        <v>158259</v>
      </c>
      <c r="F197" s="171">
        <f t="shared" si="40"/>
        <v>0</v>
      </c>
      <c r="G197" s="171">
        <f>SUM(G164:G196)</f>
        <v>158259</v>
      </c>
      <c r="H197" s="172">
        <f>IF($G$208=0,0,G197/$G$208)</f>
        <v>5.9569885395037041E-2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'[41]Sch C'!D211</f>
        <v>28027</v>
      </c>
      <c r="D200" s="501">
        <f>'[41]Sch C'!F211</f>
        <v>0</v>
      </c>
      <c r="E200" s="171">
        <f t="shared" ref="E200:E205" si="41">C200+D200</f>
        <v>28027</v>
      </c>
      <c r="F200" s="171"/>
      <c r="G200" s="171">
        <f t="shared" ref="G200:G205" si="42">E200+F200</f>
        <v>28027</v>
      </c>
      <c r="H200" s="172">
        <f t="shared" ref="H200:H206" si="43">IF($G$208=0,0,G200/$G$208)</f>
        <v>1.054957492443844E-2</v>
      </c>
      <c r="I200" s="473"/>
      <c r="J200" s="183">
        <v>2681</v>
      </c>
      <c r="K200" s="183">
        <v>2710</v>
      </c>
    </row>
    <row r="201" spans="1:14" s="167" customFormat="1">
      <c r="A201" s="169" t="s">
        <v>86</v>
      </c>
      <c r="B201" s="170" t="s">
        <v>45</v>
      </c>
      <c r="C201" s="501">
        <f>'[41]Sch C'!D212</f>
        <v>2341</v>
      </c>
      <c r="D201" s="501">
        <f>'[41]Sch C'!F212</f>
        <v>0</v>
      </c>
      <c r="E201" s="171">
        <f t="shared" si="41"/>
        <v>2341</v>
      </c>
      <c r="F201" s="171"/>
      <c r="G201" s="171">
        <f t="shared" si="42"/>
        <v>2341</v>
      </c>
      <c r="H201" s="172">
        <f t="shared" si="43"/>
        <v>8.8117011803298206E-4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'[41]Sch C'!D213</f>
        <v>7720</v>
      </c>
      <c r="D202" s="501">
        <f>'[41]Sch C'!F213</f>
        <v>0</v>
      </c>
      <c r="E202" s="171">
        <f t="shared" si="41"/>
        <v>7720</v>
      </c>
      <c r="F202" s="171"/>
      <c r="G202" s="171">
        <f t="shared" si="42"/>
        <v>7720</v>
      </c>
      <c r="H202" s="172">
        <f t="shared" si="43"/>
        <v>2.905866429395396E-3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'[41]Sch C'!D214</f>
        <v>2577</v>
      </c>
      <c r="D203" s="501">
        <f>'[41]Sch C'!F214</f>
        <v>0</v>
      </c>
      <c r="E203" s="171">
        <f t="shared" si="41"/>
        <v>2577</v>
      </c>
      <c r="F203" s="171"/>
      <c r="G203" s="171">
        <f t="shared" si="42"/>
        <v>2577</v>
      </c>
      <c r="H203" s="172">
        <f t="shared" si="43"/>
        <v>9.7000230421657183E-4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'[41]Sch C'!D215</f>
        <v>0</v>
      </c>
      <c r="D204" s="501">
        <f>'[41]Sch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'[41]Sch C'!D216</f>
        <v>0</v>
      </c>
      <c r="D205" s="501">
        <f>'[41]Sch C'!F216</f>
        <v>0</v>
      </c>
      <c r="E205" s="171">
        <f t="shared" si="41"/>
        <v>0</v>
      </c>
      <c r="F205" s="171"/>
      <c r="G205" s="171">
        <f t="shared" si="42"/>
        <v>0</v>
      </c>
      <c r="H205" s="172">
        <f t="shared" si="43"/>
        <v>0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40665</v>
      </c>
      <c r="D206" s="501">
        <f>SUM(D200:D205)</f>
        <v>0</v>
      </c>
      <c r="E206" s="171">
        <f t="shared" ref="E206:F206" si="44">SUM(E200:E205)</f>
        <v>40665</v>
      </c>
      <c r="F206" s="171">
        <f t="shared" si="44"/>
        <v>0</v>
      </c>
      <c r="G206" s="171">
        <f>SUM(G200:G205)</f>
        <v>40665</v>
      </c>
      <c r="H206" s="172">
        <f t="shared" si="43"/>
        <v>1.530661377608339E-2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2956694.72</v>
      </c>
      <c r="D208" s="501">
        <f>SUM(D25:D206)/2</f>
        <v>-300000</v>
      </c>
      <c r="E208" s="171">
        <f t="shared" ref="E208:F208" si="45">SUM(E25:E206)/2</f>
        <v>2656694.7199999997</v>
      </c>
      <c r="F208" s="171">
        <f t="shared" si="45"/>
        <v>0</v>
      </c>
      <c r="G208" s="171">
        <f>SUM(G25:G206)/2</f>
        <v>2656694.7199999997</v>
      </c>
      <c r="H208" s="172">
        <f>IF($G$208=0,0,G208/$G$208)</f>
        <v>1</v>
      </c>
      <c r="I208" s="473"/>
      <c r="J208" s="183">
        <f>SUM(J25:J200)</f>
        <v>87756</v>
      </c>
      <c r="K208" s="183">
        <f>SUM(K25:K200)</f>
        <v>89286.59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'[41]Sch C'!D221</f>
        <v>2956695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-0.27999999979510903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435084.4599999995</v>
      </c>
      <c r="D215" s="501">
        <f>D21-D208</f>
        <v>300000</v>
      </c>
      <c r="E215" s="171">
        <f t="shared" ref="E215:F215" si="46">E21-E208</f>
        <v>735084.46</v>
      </c>
      <c r="F215" s="171">
        <f t="shared" si="46"/>
        <v>0</v>
      </c>
      <c r="G215" s="171">
        <f>G21-G208</f>
        <v>735084.46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'[41]Sch D'!C9</f>
        <v>16979</v>
      </c>
      <c r="D219" s="530"/>
      <c r="E219" s="234">
        <f t="shared" ref="E219:G227" si="47">C219+D219</f>
        <v>16979</v>
      </c>
      <c r="F219" s="233"/>
      <c r="G219" s="234">
        <f t="shared" si="47"/>
        <v>16979</v>
      </c>
      <c r="H219" s="172">
        <f t="shared" ref="H219:H228" si="48">IF($G$228=0,0,G219/$G$228)</f>
        <v>0.86249111043381088</v>
      </c>
      <c r="I219" s="473"/>
      <c r="J219" s="168"/>
      <c r="K219" s="168"/>
    </row>
    <row r="220" spans="1:11">
      <c r="A220" s="163"/>
      <c r="B220" s="170" t="s">
        <v>217</v>
      </c>
      <c r="C220" s="530">
        <f>'[41]Sch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'[41]Sch D'!E9</f>
        <v>63</v>
      </c>
      <c r="D221" s="530"/>
      <c r="E221" s="234">
        <f t="shared" si="49"/>
        <v>63</v>
      </c>
      <c r="F221" s="233"/>
      <c r="G221" s="234">
        <f t="shared" si="47"/>
        <v>63</v>
      </c>
      <c r="H221" s="172">
        <f t="shared" si="48"/>
        <v>3.2002438281011885E-3</v>
      </c>
      <c r="I221" s="473"/>
      <c r="J221" s="168"/>
      <c r="K221" s="168"/>
    </row>
    <row r="222" spans="1:11">
      <c r="A222" s="163"/>
      <c r="B222" s="202" t="s">
        <v>334</v>
      </c>
      <c r="C222" s="530">
        <f>'[41]Sch D'!F9</f>
        <v>46</v>
      </c>
      <c r="D222" s="530"/>
      <c r="E222" s="234">
        <f>C222+D222</f>
        <v>46</v>
      </c>
      <c r="F222" s="233"/>
      <c r="G222" s="234">
        <f>E222+F222</f>
        <v>46</v>
      </c>
      <c r="H222" s="172">
        <f t="shared" si="48"/>
        <v>2.3366859697246775E-3</v>
      </c>
      <c r="I222" s="473"/>
      <c r="J222" s="168"/>
      <c r="K222" s="168"/>
    </row>
    <row r="223" spans="1:11">
      <c r="A223" s="163"/>
      <c r="B223" s="170" t="s">
        <v>73</v>
      </c>
      <c r="C223" s="530">
        <f>'[41]Sch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'[41]Sch D'!H9</f>
        <v>2352</v>
      </c>
      <c r="D224" s="530"/>
      <c r="E224" s="234">
        <f t="shared" si="49"/>
        <v>2352</v>
      </c>
      <c r="F224" s="233"/>
      <c r="G224" s="234">
        <f t="shared" si="47"/>
        <v>2352</v>
      </c>
      <c r="H224" s="172">
        <f t="shared" si="48"/>
        <v>0.11947576958244438</v>
      </c>
      <c r="I224" s="473"/>
      <c r="J224" s="168"/>
      <c r="K224" s="168"/>
    </row>
    <row r="225" spans="1:11">
      <c r="A225" s="163"/>
      <c r="B225" s="170" t="s">
        <v>236</v>
      </c>
      <c r="C225" s="530">
        <f>'[41]Sch D'!I9</f>
        <v>246</v>
      </c>
      <c r="D225" s="530"/>
      <c r="E225" s="234">
        <f t="shared" si="49"/>
        <v>246</v>
      </c>
      <c r="F225" s="233"/>
      <c r="G225" s="234">
        <f t="shared" si="47"/>
        <v>246</v>
      </c>
      <c r="H225" s="172">
        <f t="shared" si="48"/>
        <v>1.2496190185918927E-2</v>
      </c>
      <c r="I225" s="473"/>
      <c r="J225" s="168"/>
      <c r="K225" s="168"/>
    </row>
    <row r="226" spans="1:11">
      <c r="A226" s="163"/>
      <c r="B226" s="170" t="s">
        <v>235</v>
      </c>
      <c r="C226" s="530">
        <f>'[41]Sch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'[41]Sch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19686</v>
      </c>
      <c r="D228" s="530">
        <f>SUM(D219:D227)</f>
        <v>0</v>
      </c>
      <c r="E228" s="236">
        <f>SUM(E219:E227)</f>
        <v>19686</v>
      </c>
      <c r="F228" s="236">
        <f>SUM(F219:F227)</f>
        <v>0</v>
      </c>
      <c r="G228" s="236">
        <f>SUM(G219:G227)</f>
        <v>19686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'[41]Sch D'!N22</f>
        <v>155</v>
      </c>
      <c r="D231" s="502"/>
      <c r="E231" s="234">
        <f>C231+D231</f>
        <v>155</v>
      </c>
      <c r="F231" s="234"/>
      <c r="G231" s="234">
        <f>E231+F231</f>
        <v>155</v>
      </c>
      <c r="H231" s="167"/>
      <c r="I231" s="475"/>
      <c r="J231" s="168"/>
      <c r="K231" s="168"/>
    </row>
    <row r="232" spans="1:11">
      <c r="A232" s="163"/>
      <c r="B232" s="202" t="s">
        <v>670</v>
      </c>
      <c r="C232" s="643">
        <f>'[42]Sch D'!$N$24</f>
        <v>56575</v>
      </c>
      <c r="D232" s="502"/>
      <c r="E232" s="234">
        <f>C232+D232</f>
        <v>56575</v>
      </c>
      <c r="F232" s="234">
        <v>-56420</v>
      </c>
      <c r="G232" s="234">
        <f>E232+F232</f>
        <v>155</v>
      </c>
      <c r="H232" s="644" t="s">
        <v>671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'[41]Sch D'!N28</f>
        <v>56575</v>
      </c>
      <c r="D235" s="438"/>
      <c r="E235" s="233">
        <f>E231*E233</f>
        <v>56575</v>
      </c>
      <c r="F235" s="238"/>
      <c r="G235" s="233">
        <f>G231*G233</f>
        <v>56575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'[41]Sch D'!N30</f>
        <v>0.34796288113124174</v>
      </c>
      <c r="D236" s="238"/>
      <c r="E236" s="242">
        <f>E228/E235</f>
        <v>0.34796288113124174</v>
      </c>
      <c r="F236" s="243"/>
      <c r="G236" s="242">
        <f>G228/G235</f>
        <v>0.34796288113124174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'[41]Sch D'!N32</f>
        <v>0.30011489173663281</v>
      </c>
      <c r="D237" s="238"/>
      <c r="E237" s="242">
        <f>(E219+E220)/E235</f>
        <v>0.30011489173663281</v>
      </c>
      <c r="F237" s="243"/>
      <c r="G237" s="242">
        <f>(G219+G220)/G235</f>
        <v>0.30011489173663281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'[41]Sch D'!N34</f>
        <v>0.86249111043381077</v>
      </c>
      <c r="D238" s="238"/>
      <c r="E238" s="242">
        <f>(E237/E236)</f>
        <v>0.86249111043381077</v>
      </c>
      <c r="F238" s="243"/>
      <c r="G238" s="242">
        <f>(G237/G236)</f>
        <v>0.86249111043381077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'[41]Sch B'!C85</f>
        <v>195.99429386590586</v>
      </c>
      <c r="I241" s="475"/>
    </row>
    <row r="242" spans="2:9">
      <c r="F242" s="142" t="s">
        <v>341</v>
      </c>
      <c r="G242" s="501">
        <f>'[41]Sch B'!E85</f>
        <v>191.39226519337018</v>
      </c>
      <c r="I242" s="475"/>
    </row>
    <row r="243" spans="2:9">
      <c r="F243" s="142" t="s">
        <v>342</v>
      </c>
      <c r="G243" s="501">
        <f>'[41]Sch B'!G85</f>
        <v>186.23529411764707</v>
      </c>
      <c r="I243" s="475"/>
    </row>
    <row r="244" spans="2:9">
      <c r="F244" s="142" t="s">
        <v>343</v>
      </c>
      <c r="G244" s="501">
        <f>'[41]Sch B'!I85</f>
        <v>187.54545454545453</v>
      </c>
      <c r="I244" s="475"/>
    </row>
    <row r="245" spans="2:9">
      <c r="F245" s="142"/>
      <c r="I245" s="475"/>
    </row>
    <row r="246" spans="2:9">
      <c r="I246" s="475"/>
    </row>
  </sheetData>
  <phoneticPr fontId="0" type="noConversion"/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8">
    <tabColor rgb="FFE28CAB"/>
  </sheetPr>
  <dimension ref="A1:O246"/>
  <sheetViews>
    <sheetView showGridLines="0" zoomScaleNormal="100" workbookViewId="0">
      <pane xSplit="2" ySplit="10" topLeftCell="C24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8203125" style="445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 t="s">
        <v>451</v>
      </c>
      <c r="D1" s="429"/>
      <c r="E1" s="429"/>
      <c r="F1" s="429"/>
      <c r="G1" s="429"/>
      <c r="H1" s="429"/>
      <c r="I1" s="541"/>
    </row>
    <row r="2" spans="1:11" ht="23">
      <c r="B2" s="143" t="s">
        <v>189</v>
      </c>
      <c r="C2" s="244" t="s">
        <v>492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  <c r="F3" s="409"/>
    </row>
    <row r="4" spans="1:11">
      <c r="A4" s="145"/>
      <c r="B4" s="148" t="s">
        <v>80</v>
      </c>
      <c r="C4" s="441">
        <v>42916</v>
      </c>
      <c r="D4" s="144"/>
      <c r="E4" s="149"/>
      <c r="F4" s="409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42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'[43]Sch B'!E10</f>
        <v>2495899</v>
      </c>
      <c r="D11" s="501">
        <f>'[43]Sch B'!G10</f>
        <v>0</v>
      </c>
      <c r="E11" s="171">
        <f>C11+D11</f>
        <v>2495899</v>
      </c>
      <c r="F11" s="171">
        <f>503953+57054</f>
        <v>561007</v>
      </c>
      <c r="G11" s="171">
        <f t="shared" ref="G11:G20" si="0">E11+F11</f>
        <v>3056906</v>
      </c>
      <c r="H11" s="172">
        <f t="shared" ref="H11:H21" si="1">IF($G$21=0,0,G11/$G$21)</f>
        <v>0.40416248598377719</v>
      </c>
      <c r="I11" s="473"/>
      <c r="J11" s="336" t="s">
        <v>344</v>
      </c>
      <c r="K11" s="337">
        <f>G21</f>
        <v>7563557</v>
      </c>
    </row>
    <row r="12" spans="1:11" s="167" customFormat="1">
      <c r="A12" s="169" t="s">
        <v>15</v>
      </c>
      <c r="B12" s="170" t="s">
        <v>212</v>
      </c>
      <c r="C12" s="501">
        <f>'[43]Sch B'!E15</f>
        <v>0</v>
      </c>
      <c r="D12" s="501">
        <f>'[43]Sch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5860010</v>
      </c>
    </row>
    <row r="13" spans="1:11" s="167" customFormat="1">
      <c r="A13" s="169" t="s">
        <v>16</v>
      </c>
      <c r="B13" s="170" t="s">
        <v>170</v>
      </c>
      <c r="C13" s="501">
        <f>'[43]Sch B'!E21</f>
        <v>1717477</v>
      </c>
      <c r="D13" s="501">
        <f>'[43]Sch B'!G21</f>
        <v>0</v>
      </c>
      <c r="E13" s="171">
        <f t="shared" si="2"/>
        <v>1717477</v>
      </c>
      <c r="F13" s="171"/>
      <c r="G13" s="171">
        <f t="shared" si="0"/>
        <v>1717477</v>
      </c>
      <c r="H13" s="172">
        <f t="shared" si="1"/>
        <v>0.2270726590676847</v>
      </c>
      <c r="I13" s="473"/>
      <c r="J13" s="338" t="s">
        <v>346</v>
      </c>
      <c r="K13" s="339">
        <f>G228</f>
        <v>22536</v>
      </c>
    </row>
    <row r="14" spans="1:11" s="167" customFormat="1">
      <c r="A14" s="173" t="s">
        <v>18</v>
      </c>
      <c r="B14" s="174" t="s">
        <v>306</v>
      </c>
      <c r="C14" s="501">
        <f>'[43]Sch B'!E27</f>
        <v>1621545</v>
      </c>
      <c r="D14" s="501">
        <f>'[43]Sch B'!G27</f>
        <v>0</v>
      </c>
      <c r="E14" s="171">
        <f t="shared" si="2"/>
        <v>1621545</v>
      </c>
      <c r="F14" s="175"/>
      <c r="G14" s="175">
        <f>E14+F14</f>
        <v>1621545</v>
      </c>
      <c r="H14" s="176">
        <f t="shared" si="1"/>
        <v>0.21438920867523045</v>
      </c>
      <c r="I14" s="479"/>
      <c r="J14" s="338" t="s">
        <v>347</v>
      </c>
      <c r="K14" s="339">
        <f>G231</f>
        <v>108</v>
      </c>
    </row>
    <row r="15" spans="1:11" s="167" customFormat="1">
      <c r="A15" s="169" t="s">
        <v>19</v>
      </c>
      <c r="B15" s="170" t="s">
        <v>171</v>
      </c>
      <c r="C15" s="501">
        <f>'[43]Sch B'!E32</f>
        <v>0</v>
      </c>
      <c r="D15" s="501">
        <f>'[43]Sch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39420</v>
      </c>
    </row>
    <row r="16" spans="1:11" s="167" customFormat="1">
      <c r="A16" s="169" t="s">
        <v>21</v>
      </c>
      <c r="B16" s="170" t="s">
        <v>172</v>
      </c>
      <c r="C16" s="501">
        <f>'[43]Sch B'!E37</f>
        <v>681552</v>
      </c>
      <c r="D16" s="501">
        <f>'[43]Sch B'!G37</f>
        <v>0</v>
      </c>
      <c r="E16" s="171">
        <f t="shared" si="2"/>
        <v>681552</v>
      </c>
      <c r="F16" s="171"/>
      <c r="G16" s="171">
        <f t="shared" si="0"/>
        <v>681552</v>
      </c>
      <c r="H16" s="172">
        <f t="shared" si="1"/>
        <v>9.0109983966538493E-2</v>
      </c>
      <c r="I16" s="473"/>
      <c r="J16" s="340"/>
      <c r="K16" s="339"/>
    </row>
    <row r="17" spans="1:12" s="167" customFormat="1">
      <c r="A17" s="169" t="s">
        <v>215</v>
      </c>
      <c r="B17" s="170" t="s">
        <v>228</v>
      </c>
      <c r="C17" s="501">
        <f>'[43]Sch B'!E42</f>
        <v>0</v>
      </c>
      <c r="D17" s="501">
        <f>'[43]Sch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140458</v>
      </c>
    </row>
    <row r="18" spans="1:12" s="167" customFormat="1" ht="13.5" thickBot="1">
      <c r="A18" s="169" t="s">
        <v>216</v>
      </c>
      <c r="B18" s="170" t="s">
        <v>229</v>
      </c>
      <c r="C18" s="501">
        <f>'[43]Sch B'!E47</f>
        <v>479110</v>
      </c>
      <c r="D18" s="501">
        <f>'[43]Sch B'!G47</f>
        <v>0</v>
      </c>
      <c r="E18" s="171">
        <f t="shared" si="2"/>
        <v>479110</v>
      </c>
      <c r="F18" s="171"/>
      <c r="G18" s="171">
        <f>E18+F18</f>
        <v>479110</v>
      </c>
      <c r="H18" s="172">
        <f t="shared" si="1"/>
        <v>6.3344534853112103E-2</v>
      </c>
      <c r="I18" s="473"/>
      <c r="J18" s="341" t="s">
        <v>252</v>
      </c>
      <c r="K18" s="342">
        <f>K208</f>
        <v>149581</v>
      </c>
    </row>
    <row r="19" spans="1:12" s="167" customFormat="1">
      <c r="A19" s="169" t="s">
        <v>227</v>
      </c>
      <c r="B19" s="177" t="s">
        <v>173</v>
      </c>
      <c r="C19" s="501">
        <f>'[43]Sch B'!E52</f>
        <v>0</v>
      </c>
      <c r="D19" s="501">
        <f>'[43]Sch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2" s="167" customFormat="1">
      <c r="A20" s="169" t="s">
        <v>183</v>
      </c>
      <c r="B20" s="23" t="s">
        <v>180</v>
      </c>
      <c r="C20" s="501">
        <f>'[43]Sch B'!E67</f>
        <v>96967</v>
      </c>
      <c r="D20" s="501">
        <f>'[43]Sch B'!G67</f>
        <v>0</v>
      </c>
      <c r="E20" s="171">
        <f t="shared" si="2"/>
        <v>96967</v>
      </c>
      <c r="F20" s="171">
        <v>-90000</v>
      </c>
      <c r="G20" s="171">
        <f t="shared" si="0"/>
        <v>6967</v>
      </c>
      <c r="H20" s="172">
        <f t="shared" si="1"/>
        <v>9.2112745365705581E-4</v>
      </c>
      <c r="I20" s="473"/>
      <c r="J20" s="168"/>
      <c r="K20" s="168"/>
    </row>
    <row r="21" spans="1:12" s="167" customFormat="1">
      <c r="A21" s="169"/>
      <c r="B21" s="178" t="s">
        <v>77</v>
      </c>
      <c r="C21" s="501">
        <f>SUM(C11:C20)</f>
        <v>7092550</v>
      </c>
      <c r="D21" s="501">
        <f>SUM(D11:D20)</f>
        <v>0</v>
      </c>
      <c r="E21" s="171">
        <f>SUM(E11:E20)</f>
        <v>7092550</v>
      </c>
      <c r="F21" s="171">
        <f>SUM(F11:F20)</f>
        <v>471007</v>
      </c>
      <c r="G21" s="171">
        <f>SUM(G11:G20)</f>
        <v>7563557</v>
      </c>
      <c r="H21" s="172">
        <f t="shared" si="1"/>
        <v>1</v>
      </c>
      <c r="I21" s="473"/>
      <c r="J21" s="168"/>
      <c r="K21" s="168"/>
    </row>
    <row r="22" spans="1:12" ht="12" customHeight="1">
      <c r="A22" s="145"/>
      <c r="B22" s="179"/>
      <c r="C22" s="151"/>
      <c r="D22" s="144"/>
      <c r="F22" s="144"/>
      <c r="G22" s="144"/>
      <c r="I22" s="475"/>
    </row>
    <row r="23" spans="1:12" ht="26">
      <c r="A23" s="180" t="s">
        <v>231</v>
      </c>
      <c r="B23" s="179" t="s">
        <v>222</v>
      </c>
      <c r="C23" s="151"/>
      <c r="D23" s="144"/>
      <c r="F23" s="144" t="s">
        <v>640</v>
      </c>
      <c r="G23" s="144"/>
      <c r="I23" s="475"/>
    </row>
    <row r="24" spans="1:12">
      <c r="A24" s="181" t="s">
        <v>161</v>
      </c>
      <c r="B24" s="148" t="s">
        <v>12</v>
      </c>
      <c r="I24" s="475"/>
    </row>
    <row r="25" spans="1:12" s="167" customFormat="1">
      <c r="A25" s="169" t="s">
        <v>83</v>
      </c>
      <c r="B25" s="170" t="s">
        <v>14</v>
      </c>
      <c r="C25" s="501">
        <f>'[43]Sch C'!D10</f>
        <v>243588</v>
      </c>
      <c r="D25" s="501">
        <f>'[43]Sch C'!F10</f>
        <v>15876</v>
      </c>
      <c r="E25" s="171">
        <f t="shared" ref="E25:E60" si="3">C25+D25</f>
        <v>259464</v>
      </c>
      <c r="F25" s="171"/>
      <c r="G25" s="182">
        <f>E25+F25</f>
        <v>259464</v>
      </c>
      <c r="H25" s="172">
        <f>IF($G$208=0,0,G25/$G$208)</f>
        <v>4.4277057547683366E-2</v>
      </c>
      <c r="I25" s="473"/>
      <c r="J25" s="183">
        <v>3337</v>
      </c>
      <c r="K25" s="183">
        <v>3554</v>
      </c>
      <c r="L25" s="237"/>
    </row>
    <row r="26" spans="1:12" s="167" customFormat="1">
      <c r="A26" s="169" t="s">
        <v>84</v>
      </c>
      <c r="B26" s="170" t="s">
        <v>176</v>
      </c>
      <c r="C26" s="501">
        <f>'[43]Sch C'!D11</f>
        <v>0</v>
      </c>
      <c r="D26" s="501">
        <f>'[43]Sch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  <c r="L26" s="237"/>
    </row>
    <row r="27" spans="1:12" s="167" customFormat="1">
      <c r="A27" s="169" t="s">
        <v>85</v>
      </c>
      <c r="B27" s="170" t="s">
        <v>17</v>
      </c>
      <c r="C27" s="501">
        <f>'[43]Sch C'!D12</f>
        <v>315108</v>
      </c>
      <c r="D27" s="501">
        <f>'[43]Sch C'!F12</f>
        <v>20534</v>
      </c>
      <c r="E27" s="171">
        <f t="shared" si="3"/>
        <v>335642</v>
      </c>
      <c r="F27" s="171">
        <f>-67753-39944</f>
        <v>-107697</v>
      </c>
      <c r="G27" s="171">
        <f t="shared" si="4"/>
        <v>227945</v>
      </c>
      <c r="H27" s="172">
        <f t="shared" si="5"/>
        <v>3.8898397784304123E-2</v>
      </c>
      <c r="I27" s="473"/>
      <c r="J27" s="183">
        <v>15469</v>
      </c>
      <c r="K27" s="183">
        <v>16477</v>
      </c>
      <c r="L27" s="237"/>
    </row>
    <row r="28" spans="1:12" s="167" customFormat="1">
      <c r="A28" s="169" t="s">
        <v>86</v>
      </c>
      <c r="B28" s="170" t="s">
        <v>45</v>
      </c>
      <c r="C28" s="501">
        <f>'[43]Sch C'!D13</f>
        <v>622851</v>
      </c>
      <c r="D28" s="501">
        <f>'[43]Sch C'!F13</f>
        <v>-552192</v>
      </c>
      <c r="E28" s="171">
        <f t="shared" si="3"/>
        <v>70659</v>
      </c>
      <c r="F28" s="171"/>
      <c r="G28" s="171">
        <f t="shared" si="4"/>
        <v>70659</v>
      </c>
      <c r="H28" s="172">
        <f t="shared" si="5"/>
        <v>1.2057829252851104E-2</v>
      </c>
      <c r="I28" s="473"/>
      <c r="J28" s="168"/>
      <c r="K28" s="168"/>
      <c r="L28" s="237"/>
    </row>
    <row r="29" spans="1:12" s="167" customFormat="1">
      <c r="A29" s="169" t="s">
        <v>175</v>
      </c>
      <c r="B29" s="170" t="s">
        <v>20</v>
      </c>
      <c r="C29" s="501">
        <f>'[43]Sch C'!D14</f>
        <v>0</v>
      </c>
      <c r="D29" s="501">
        <f>'[43]Sch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  <c r="L29" s="237"/>
    </row>
    <row r="30" spans="1:12" s="167" customFormat="1">
      <c r="A30" s="169" t="s">
        <v>88</v>
      </c>
      <c r="B30" s="170" t="s">
        <v>22</v>
      </c>
      <c r="C30" s="501">
        <f>'[43]Sch C'!D15</f>
        <v>0</v>
      </c>
      <c r="D30" s="501">
        <f>'[43]Sch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  <c r="L30" s="237"/>
    </row>
    <row r="31" spans="1:12" s="167" customFormat="1">
      <c r="A31" s="169" t="s">
        <v>89</v>
      </c>
      <c r="B31" s="170" t="s">
        <v>148</v>
      </c>
      <c r="C31" s="501">
        <f>'[43]Sch C'!D16</f>
        <v>328397</v>
      </c>
      <c r="D31" s="501">
        <f>'[43]Sch C'!F16</f>
        <v>147330</v>
      </c>
      <c r="E31" s="171">
        <f t="shared" si="3"/>
        <v>475727</v>
      </c>
      <c r="F31" s="171">
        <v>-40075.560040010103</v>
      </c>
      <c r="G31" s="171">
        <f t="shared" si="4"/>
        <v>435651.43995998992</v>
      </c>
      <c r="H31" s="172">
        <f t="shared" si="5"/>
        <v>7.4343122274533643E-2</v>
      </c>
      <c r="I31" s="473" t="s">
        <v>402</v>
      </c>
      <c r="J31" s="168"/>
      <c r="K31" s="168"/>
      <c r="L31" s="237"/>
    </row>
    <row r="32" spans="1:12" s="167" customFormat="1">
      <c r="A32" s="169" t="s">
        <v>90</v>
      </c>
      <c r="B32" s="170" t="s">
        <v>23</v>
      </c>
      <c r="C32" s="501">
        <f>'[43]Sch C'!D17</f>
        <v>0</v>
      </c>
      <c r="D32" s="501">
        <f>'[43]Sch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  <c r="L32" s="237"/>
    </row>
    <row r="33" spans="1:12" s="167" customFormat="1">
      <c r="A33" s="169" t="s">
        <v>91</v>
      </c>
      <c r="B33" s="170" t="s">
        <v>24</v>
      </c>
      <c r="C33" s="501">
        <f>'[43]Sch C'!D18</f>
        <v>12739</v>
      </c>
      <c r="D33" s="501">
        <f>'[43]Sch C'!F18</f>
        <v>0</v>
      </c>
      <c r="E33" s="171">
        <f t="shared" si="3"/>
        <v>12739</v>
      </c>
      <c r="F33" s="171"/>
      <c r="G33" s="171">
        <f t="shared" si="4"/>
        <v>12739</v>
      </c>
      <c r="H33" s="172">
        <f t="shared" si="5"/>
        <v>2.1738870752780284E-3</v>
      </c>
      <c r="I33" s="473"/>
      <c r="J33" s="168"/>
      <c r="K33" s="168"/>
      <c r="L33" s="237"/>
    </row>
    <row r="34" spans="1:12" s="167" customFormat="1">
      <c r="A34" s="169" t="s">
        <v>92</v>
      </c>
      <c r="B34" s="170" t="s">
        <v>25</v>
      </c>
      <c r="C34" s="501">
        <f>'[43]Sch C'!D19</f>
        <v>20448</v>
      </c>
      <c r="D34" s="501">
        <f>'[43]Sch C'!F19</f>
        <v>-1219</v>
      </c>
      <c r="E34" s="171">
        <f t="shared" si="3"/>
        <v>19229</v>
      </c>
      <c r="F34" s="171"/>
      <c r="G34" s="171">
        <f t="shared" si="4"/>
        <v>19229</v>
      </c>
      <c r="H34" s="172">
        <f t="shared" si="5"/>
        <v>3.2813937177581607E-3</v>
      </c>
      <c r="I34" s="473"/>
      <c r="J34" s="168"/>
      <c r="K34" s="168"/>
      <c r="L34" s="237"/>
    </row>
    <row r="35" spans="1:12" s="167" customFormat="1">
      <c r="A35" s="169" t="s">
        <v>93</v>
      </c>
      <c r="B35" s="170" t="s">
        <v>26</v>
      </c>
      <c r="C35" s="501">
        <f>'[43]Sch C'!D20</f>
        <v>18195</v>
      </c>
      <c r="D35" s="501">
        <f>'[43]Sch C'!F20</f>
        <v>0</v>
      </c>
      <c r="E35" s="171">
        <f t="shared" si="3"/>
        <v>18195</v>
      </c>
      <c r="F35" s="171"/>
      <c r="G35" s="171">
        <f t="shared" si="4"/>
        <v>18195</v>
      </c>
      <c r="H35" s="172">
        <f t="shared" si="5"/>
        <v>3.1049435069223433E-3</v>
      </c>
      <c r="I35" s="473"/>
      <c r="J35" s="168"/>
      <c r="K35" s="168"/>
      <c r="L35" s="237"/>
    </row>
    <row r="36" spans="1:12" s="167" customFormat="1">
      <c r="A36" s="169" t="s">
        <v>94</v>
      </c>
      <c r="B36" s="170" t="s">
        <v>27</v>
      </c>
      <c r="C36" s="501">
        <f>'[43]Sch C'!D21</f>
        <v>15110</v>
      </c>
      <c r="D36" s="501">
        <f>'[43]Sch C'!F21</f>
        <v>0</v>
      </c>
      <c r="E36" s="171">
        <f t="shared" si="3"/>
        <v>15110</v>
      </c>
      <c r="F36" s="171">
        <v>-13267</v>
      </c>
      <c r="G36" s="171">
        <f t="shared" si="4"/>
        <v>1843</v>
      </c>
      <c r="H36" s="172">
        <f t="shared" si="5"/>
        <v>3.1450458275668471E-4</v>
      </c>
      <c r="I36" s="473"/>
      <c r="J36" s="168"/>
      <c r="K36" s="168"/>
      <c r="L36" s="237"/>
    </row>
    <row r="37" spans="1:12" s="167" customFormat="1">
      <c r="A37" s="163">
        <v>130</v>
      </c>
      <c r="B37" s="170" t="s">
        <v>28</v>
      </c>
      <c r="C37" s="501">
        <f>'[43]Sch C'!D22</f>
        <v>0</v>
      </c>
      <c r="D37" s="501">
        <f>'[43]Sch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  <c r="L37" s="237"/>
    </row>
    <row r="38" spans="1:12" s="167" customFormat="1">
      <c r="A38" s="163">
        <v>140</v>
      </c>
      <c r="B38" s="170" t="s">
        <v>149</v>
      </c>
      <c r="C38" s="501">
        <f>'[43]Sch C'!D23</f>
        <v>3964</v>
      </c>
      <c r="D38" s="501">
        <f>'[43]Sch C'!F23</f>
        <v>0</v>
      </c>
      <c r="E38" s="171">
        <f t="shared" si="3"/>
        <v>3964</v>
      </c>
      <c r="F38" s="171"/>
      <c r="G38" s="171">
        <f t="shared" si="4"/>
        <v>3964</v>
      </c>
      <c r="H38" s="172">
        <f t="shared" si="5"/>
        <v>6.7644935759495286E-4</v>
      </c>
      <c r="I38" s="473"/>
      <c r="J38" s="168"/>
      <c r="K38" s="168"/>
      <c r="L38" s="237"/>
    </row>
    <row r="39" spans="1:12" s="167" customFormat="1">
      <c r="A39" s="163">
        <v>150</v>
      </c>
      <c r="B39" s="170" t="s">
        <v>29</v>
      </c>
      <c r="C39" s="501">
        <f>'[43]Sch C'!D24</f>
        <v>46088</v>
      </c>
      <c r="D39" s="501">
        <f>'[43]Sch C'!F24</f>
        <v>-12960</v>
      </c>
      <c r="E39" s="171">
        <f t="shared" si="3"/>
        <v>33128</v>
      </c>
      <c r="F39" s="171"/>
      <c r="G39" s="171">
        <f t="shared" si="4"/>
        <v>33128</v>
      </c>
      <c r="H39" s="172">
        <f t="shared" si="5"/>
        <v>5.6532326736643797E-3</v>
      </c>
      <c r="I39" s="473"/>
      <c r="J39" s="168"/>
      <c r="K39" s="168"/>
      <c r="L39" s="237"/>
    </row>
    <row r="40" spans="1:12" s="167" customFormat="1">
      <c r="A40" s="163">
        <v>160</v>
      </c>
      <c r="B40" s="170" t="s">
        <v>30</v>
      </c>
      <c r="C40" s="501">
        <f>'[43]Sch C'!D25</f>
        <v>0</v>
      </c>
      <c r="D40" s="501">
        <f>'[43]Sch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  <c r="L40" s="237"/>
    </row>
    <row r="41" spans="1:12" s="167" customFormat="1">
      <c r="A41" s="163">
        <v>170</v>
      </c>
      <c r="B41" s="170" t="s">
        <v>31</v>
      </c>
      <c r="C41" s="501">
        <f>'[43]Sch C'!D26</f>
        <v>291988</v>
      </c>
      <c r="D41" s="501">
        <f>'[43]Sch C'!F26</f>
        <v>0</v>
      </c>
      <c r="E41" s="171">
        <f t="shared" si="3"/>
        <v>291988</v>
      </c>
      <c r="F41" s="171"/>
      <c r="G41" s="171">
        <f t="shared" si="4"/>
        <v>291988</v>
      </c>
      <c r="H41" s="172">
        <f t="shared" si="5"/>
        <v>4.9827218724882723E-2</v>
      </c>
      <c r="I41" s="473"/>
      <c r="J41" s="168"/>
      <c r="K41" s="168"/>
      <c r="L41" s="237"/>
    </row>
    <row r="42" spans="1:12" s="167" customFormat="1">
      <c r="A42" s="163">
        <v>180</v>
      </c>
      <c r="B42" s="170" t="s">
        <v>32</v>
      </c>
      <c r="C42" s="501">
        <f>'[43]Sch C'!D27</f>
        <v>0</v>
      </c>
      <c r="D42" s="501">
        <f>'[43]Sch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  <c r="L42" s="237"/>
    </row>
    <row r="43" spans="1:12" s="167" customFormat="1">
      <c r="A43" s="163">
        <v>190</v>
      </c>
      <c r="B43" s="170" t="s">
        <v>33</v>
      </c>
      <c r="C43" s="501">
        <f>'[43]Sch C'!D28</f>
        <v>0</v>
      </c>
      <c r="D43" s="501">
        <f>'[43]Sch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  <c r="L43" s="237"/>
    </row>
    <row r="44" spans="1:12" s="167" customFormat="1">
      <c r="A44" s="163">
        <v>200</v>
      </c>
      <c r="B44" s="170" t="s">
        <v>34</v>
      </c>
      <c r="C44" s="501">
        <f>'[43]Sch C'!D29</f>
        <v>73366</v>
      </c>
      <c r="D44" s="501">
        <f>'[43]Sch C'!F29</f>
        <v>-73366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  <c r="L44" s="237"/>
    </row>
    <row r="45" spans="1:12" s="167" customFormat="1">
      <c r="A45" s="163">
        <v>210</v>
      </c>
      <c r="B45" s="170" t="s">
        <v>35</v>
      </c>
      <c r="C45" s="501">
        <f>'[43]Sch C'!D30</f>
        <v>0</v>
      </c>
      <c r="D45" s="501">
        <f>'[43]Sch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  <c r="L45" s="237"/>
    </row>
    <row r="46" spans="1:12" s="167" customFormat="1">
      <c r="A46" s="163">
        <v>220</v>
      </c>
      <c r="B46" s="170" t="s">
        <v>190</v>
      </c>
      <c r="C46" s="501">
        <f>'[43]Sch C'!D31</f>
        <v>51641</v>
      </c>
      <c r="D46" s="501">
        <f>'[43]Sch C'!F31</f>
        <v>0</v>
      </c>
      <c r="E46" s="171">
        <f t="shared" si="3"/>
        <v>51641</v>
      </c>
      <c r="F46" s="171"/>
      <c r="G46" s="171">
        <f t="shared" si="4"/>
        <v>51641</v>
      </c>
      <c r="H46" s="172">
        <f t="shared" si="5"/>
        <v>8.812442299586519E-3</v>
      </c>
      <c r="I46" s="473"/>
      <c r="J46" s="168"/>
      <c r="K46" s="168"/>
      <c r="L46" s="237"/>
    </row>
    <row r="47" spans="1:12" s="167" customFormat="1">
      <c r="A47" s="163">
        <v>230</v>
      </c>
      <c r="B47" s="170" t="s">
        <v>191</v>
      </c>
      <c r="C47" s="501">
        <f>'[43]Sch C'!D32</f>
        <v>97956</v>
      </c>
      <c r="D47" s="501">
        <f>'[43]Sch C'!F32</f>
        <v>-33481</v>
      </c>
      <c r="E47" s="171">
        <f t="shared" si="3"/>
        <v>64475</v>
      </c>
      <c r="F47" s="171"/>
      <c r="G47" s="171">
        <f t="shared" si="4"/>
        <v>64475</v>
      </c>
      <c r="H47" s="172">
        <f t="shared" si="5"/>
        <v>1.1002540951295305E-2</v>
      </c>
      <c r="I47" s="473"/>
      <c r="J47" s="168"/>
      <c r="K47" s="168"/>
      <c r="L47" s="237"/>
    </row>
    <row r="48" spans="1:12" s="167" customFormat="1">
      <c r="A48" s="163">
        <v>240</v>
      </c>
      <c r="B48" s="170" t="s">
        <v>201</v>
      </c>
      <c r="C48" s="501">
        <f>'[43]Sch C'!D33</f>
        <v>0</v>
      </c>
      <c r="D48" s="501">
        <f>'[43]Sch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  <c r="L48" s="237"/>
    </row>
    <row r="49" spans="1:12" s="167" customFormat="1">
      <c r="A49" s="163">
        <v>250</v>
      </c>
      <c r="B49" s="170" t="s">
        <v>202</v>
      </c>
      <c r="C49" s="501">
        <f>'[43]Sch C'!D34</f>
        <v>0</v>
      </c>
      <c r="D49" s="501">
        <f>'[43]Sch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  <c r="L49" s="237"/>
    </row>
    <row r="50" spans="1:12" s="167" customFormat="1">
      <c r="A50" s="163">
        <v>270</v>
      </c>
      <c r="B50" s="170" t="s">
        <v>203</v>
      </c>
      <c r="C50" s="501">
        <f>'[43]Sch C'!D35</f>
        <v>0</v>
      </c>
      <c r="D50" s="501">
        <f>'[43]Sch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  <c r="L50" s="237"/>
    </row>
    <row r="51" spans="1:12" s="167" customFormat="1">
      <c r="A51" s="163">
        <v>280</v>
      </c>
      <c r="B51" s="170" t="s">
        <v>204</v>
      </c>
      <c r="C51" s="501">
        <f>'[43]Sch C'!D36</f>
        <v>0</v>
      </c>
      <c r="D51" s="501">
        <f>'[43]Sch C'!F36</f>
        <v>0</v>
      </c>
      <c r="E51" s="171">
        <f t="shared" si="3"/>
        <v>0</v>
      </c>
      <c r="F51" s="171">
        <v>35950</v>
      </c>
      <c r="G51" s="171">
        <f t="shared" si="4"/>
        <v>35950</v>
      </c>
      <c r="H51" s="172">
        <f t="shared" si="5"/>
        <v>6.134801817744338E-3</v>
      </c>
      <c r="I51" s="473"/>
      <c r="J51" s="183">
        <v>0</v>
      </c>
      <c r="K51" s="183">
        <v>0</v>
      </c>
      <c r="L51" s="237"/>
    </row>
    <row r="52" spans="1:12" s="167" customFormat="1">
      <c r="A52" s="163">
        <v>290</v>
      </c>
      <c r="B52" s="170" t="s">
        <v>205</v>
      </c>
      <c r="C52" s="501">
        <f>'[43]Sch C'!D37</f>
        <v>0</v>
      </c>
      <c r="D52" s="501">
        <f>'[43]Sch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  <c r="L52" s="237"/>
    </row>
    <row r="53" spans="1:12" s="167" customFormat="1">
      <c r="A53" s="163">
        <v>300</v>
      </c>
      <c r="B53" s="170" t="s">
        <v>206</v>
      </c>
      <c r="C53" s="501">
        <f>'[43]Sch C'!D38</f>
        <v>0</v>
      </c>
      <c r="D53" s="501">
        <f>'[43]Sch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  <c r="L53" s="237"/>
    </row>
    <row r="54" spans="1:12" s="167" customFormat="1">
      <c r="A54" s="163">
        <v>310</v>
      </c>
      <c r="B54" s="170" t="s">
        <v>207</v>
      </c>
      <c r="C54" s="501">
        <f>'[43]Sch C'!D39</f>
        <v>9992</v>
      </c>
      <c r="D54" s="501">
        <f>'[43]Sch C'!F39</f>
        <v>0</v>
      </c>
      <c r="E54" s="171">
        <f t="shared" si="3"/>
        <v>9992</v>
      </c>
      <c r="F54" s="171"/>
      <c r="G54" s="171">
        <f t="shared" si="4"/>
        <v>9992</v>
      </c>
      <c r="H54" s="172">
        <f t="shared" si="5"/>
        <v>1.7051165441697199E-3</v>
      </c>
      <c r="I54" s="473"/>
      <c r="J54" s="168"/>
      <c r="K54" s="168"/>
      <c r="L54" s="237"/>
    </row>
    <row r="55" spans="1:12" s="167" customFormat="1">
      <c r="A55" s="163">
        <v>320</v>
      </c>
      <c r="B55" s="170" t="s">
        <v>208</v>
      </c>
      <c r="C55" s="501">
        <f>'[43]Sch C'!D40</f>
        <v>3814</v>
      </c>
      <c r="D55" s="501">
        <f>'[43]Sch C'!F40</f>
        <v>0</v>
      </c>
      <c r="E55" s="171">
        <f t="shared" si="3"/>
        <v>3814</v>
      </c>
      <c r="F55" s="171"/>
      <c r="G55" s="171">
        <f t="shared" si="4"/>
        <v>3814</v>
      </c>
      <c r="H55" s="172">
        <f t="shared" si="5"/>
        <v>6.5085213165165252E-4</v>
      </c>
      <c r="I55" s="473"/>
      <c r="J55" s="168"/>
      <c r="K55" s="168"/>
      <c r="L55" s="237"/>
    </row>
    <row r="56" spans="1:12" s="167" customFormat="1">
      <c r="A56" s="163">
        <v>330</v>
      </c>
      <c r="B56" s="170" t="s">
        <v>48</v>
      </c>
      <c r="C56" s="501">
        <f>'[43]Sch C'!D41</f>
        <v>17576</v>
      </c>
      <c r="D56" s="501">
        <f>'[43]Sch C'!F41</f>
        <v>0</v>
      </c>
      <c r="E56" s="171">
        <f t="shared" si="3"/>
        <v>17576</v>
      </c>
      <c r="F56" s="171"/>
      <c r="G56" s="171">
        <f t="shared" si="4"/>
        <v>17576</v>
      </c>
      <c r="H56" s="172">
        <f t="shared" si="5"/>
        <v>2.99931228786299E-3</v>
      </c>
      <c r="I56" s="473"/>
      <c r="J56" s="168"/>
      <c r="K56" s="168"/>
      <c r="L56" s="237"/>
    </row>
    <row r="57" spans="1:12" s="167" customFormat="1">
      <c r="A57" s="163">
        <v>340</v>
      </c>
      <c r="B57" s="170" t="s">
        <v>209</v>
      </c>
      <c r="C57" s="501">
        <f>'[43]Sch C'!D42</f>
        <v>4961</v>
      </c>
      <c r="D57" s="501">
        <f>'[43]Sch C'!F42</f>
        <v>0</v>
      </c>
      <c r="E57" s="171">
        <f t="shared" si="3"/>
        <v>4961</v>
      </c>
      <c r="F57" s="171">
        <v>-174</v>
      </c>
      <c r="G57" s="171">
        <f t="shared" si="4"/>
        <v>4787</v>
      </c>
      <c r="H57" s="172">
        <f t="shared" si="5"/>
        <v>8.1689280393719465E-4</v>
      </c>
      <c r="I57" s="473"/>
      <c r="J57" s="168"/>
      <c r="K57" s="168"/>
      <c r="L57" s="237"/>
    </row>
    <row r="58" spans="1:12" s="167" customFormat="1">
      <c r="A58" s="163">
        <v>350</v>
      </c>
      <c r="B58" s="170" t="s">
        <v>210</v>
      </c>
      <c r="C58" s="501">
        <f>'[43]Sch C'!D43</f>
        <v>4415</v>
      </c>
      <c r="D58" s="501">
        <f>'[43]Sch C'!F43</f>
        <v>0</v>
      </c>
      <c r="E58" s="171">
        <f t="shared" si="3"/>
        <v>4415</v>
      </c>
      <c r="F58" s="171"/>
      <c r="G58" s="171">
        <f t="shared" si="4"/>
        <v>4415</v>
      </c>
      <c r="H58" s="172">
        <f t="shared" si="5"/>
        <v>7.534116835978096E-4</v>
      </c>
      <c r="I58" s="473"/>
      <c r="J58" s="168"/>
      <c r="K58" s="168"/>
      <c r="L58" s="237"/>
    </row>
    <row r="59" spans="1:12" s="167" customFormat="1">
      <c r="A59" s="163">
        <v>360</v>
      </c>
      <c r="B59" s="170" t="s">
        <v>211</v>
      </c>
      <c r="C59" s="501">
        <f>'[43]Sch C'!D44</f>
        <v>2360</v>
      </c>
      <c r="D59" s="501">
        <f>'[43]Sch C'!F44</f>
        <v>0</v>
      </c>
      <c r="E59" s="171">
        <f t="shared" si="3"/>
        <v>2360</v>
      </c>
      <c r="F59" s="171"/>
      <c r="G59" s="171">
        <f t="shared" si="4"/>
        <v>2360</v>
      </c>
      <c r="H59" s="172">
        <f t="shared" si="5"/>
        <v>4.0272968817459354E-4</v>
      </c>
      <c r="I59" s="473"/>
      <c r="J59" s="168"/>
      <c r="K59" s="168"/>
      <c r="L59" s="237"/>
    </row>
    <row r="60" spans="1:12" s="167" customFormat="1">
      <c r="A60" s="163">
        <v>490</v>
      </c>
      <c r="B60" s="170" t="s">
        <v>36</v>
      </c>
      <c r="C60" s="501">
        <f>'[43]Sch C'!D45</f>
        <v>12842</v>
      </c>
      <c r="D60" s="501">
        <f>'[43]Sch C'!F45</f>
        <v>0</v>
      </c>
      <c r="E60" s="171">
        <f t="shared" si="3"/>
        <v>12842</v>
      </c>
      <c r="F60" s="171">
        <v>-330</v>
      </c>
      <c r="G60" s="171">
        <f t="shared" si="4"/>
        <v>12512</v>
      </c>
      <c r="H60" s="172">
        <f t="shared" si="5"/>
        <v>2.1351499400171672E-3</v>
      </c>
      <c r="I60" s="473"/>
      <c r="J60" s="168"/>
      <c r="K60" s="168"/>
      <c r="L60" s="237"/>
    </row>
    <row r="61" spans="1:12" s="167" customFormat="1">
      <c r="A61" s="163"/>
      <c r="B61" s="170" t="s">
        <v>177</v>
      </c>
      <c r="C61" s="501">
        <f>SUM(C25:C60)</f>
        <v>2197399</v>
      </c>
      <c r="D61" s="501">
        <f>SUM(D25:D60)</f>
        <v>-489478</v>
      </c>
      <c r="E61" s="171">
        <f t="shared" ref="E61:F61" si="6">SUM(E25:E60)</f>
        <v>1707921</v>
      </c>
      <c r="F61" s="171">
        <f t="shared" si="6"/>
        <v>-125593.56004001011</v>
      </c>
      <c r="G61" s="171">
        <f>SUM(G25:G60)</f>
        <v>1582327.4399599899</v>
      </c>
      <c r="H61" s="186">
        <f t="shared" si="5"/>
        <v>0.27002128664626679</v>
      </c>
      <c r="I61" s="480"/>
      <c r="J61" s="168"/>
      <c r="K61" s="168"/>
      <c r="L61" s="237"/>
    </row>
    <row r="62" spans="1:12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  <c r="L62" s="237"/>
    </row>
    <row r="63" spans="1:12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  <c r="L63" s="237"/>
    </row>
    <row r="64" spans="1:12" s="167" customFormat="1">
      <c r="A64" s="188">
        <v>230</v>
      </c>
      <c r="B64" s="189" t="s">
        <v>253</v>
      </c>
      <c r="C64" s="501">
        <f>'[43]Sch C'!D57</f>
        <v>534838</v>
      </c>
      <c r="D64" s="501">
        <f>'[43]Sch C'!F57</f>
        <v>0</v>
      </c>
      <c r="E64" s="171">
        <f t="shared" ref="E64:E78" si="7">C64+D64</f>
        <v>534838</v>
      </c>
      <c r="F64" s="171">
        <v>-534838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  <c r="L64" s="237"/>
    </row>
    <row r="65" spans="1:12" s="167" customFormat="1">
      <c r="A65" s="191">
        <v>240</v>
      </c>
      <c r="B65" s="189" t="s">
        <v>254</v>
      </c>
      <c r="C65" s="501">
        <f>'[43]Sch C'!D58</f>
        <v>49248</v>
      </c>
      <c r="D65" s="501">
        <f>'[43]Sch C'!F58</f>
        <v>0</v>
      </c>
      <c r="E65" s="171">
        <f t="shared" si="7"/>
        <v>49248</v>
      </c>
      <c r="F65" s="171">
        <v>170356</v>
      </c>
      <c r="G65" s="171">
        <f t="shared" si="8"/>
        <v>219604</v>
      </c>
      <c r="H65" s="172">
        <f t="shared" si="9"/>
        <v>3.7475021373683665E-2</v>
      </c>
      <c r="I65" s="473"/>
      <c r="J65" s="190"/>
      <c r="K65" s="168"/>
      <c r="L65" s="237"/>
    </row>
    <row r="66" spans="1:12" s="167" customFormat="1">
      <c r="A66" s="142">
        <v>250</v>
      </c>
      <c r="B66" s="189" t="s">
        <v>307</v>
      </c>
      <c r="C66" s="501">
        <f>'[43]Sch C'!D59</f>
        <v>0</v>
      </c>
      <c r="D66" s="501">
        <f>'[43]Sch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  <c r="L66" s="237"/>
    </row>
    <row r="67" spans="1:12" s="167" customFormat="1">
      <c r="A67" s="142">
        <v>260</v>
      </c>
      <c r="B67" s="192" t="s">
        <v>308</v>
      </c>
      <c r="C67" s="501">
        <f>'[43]Sch C'!D60</f>
        <v>33273</v>
      </c>
      <c r="D67" s="501">
        <f>'[43]Sch C'!F60</f>
        <v>0</v>
      </c>
      <c r="E67" s="171">
        <f t="shared" si="7"/>
        <v>33273</v>
      </c>
      <c r="F67" s="171"/>
      <c r="G67" s="171">
        <f t="shared" si="8"/>
        <v>33273</v>
      </c>
      <c r="H67" s="172">
        <f t="shared" si="9"/>
        <v>5.6779766587429035E-3</v>
      </c>
      <c r="I67" s="473"/>
      <c r="J67" s="193"/>
      <c r="K67" s="168"/>
      <c r="L67" s="237"/>
    </row>
    <row r="68" spans="1:12" s="167" customFormat="1">
      <c r="A68" s="142">
        <v>270</v>
      </c>
      <c r="B68" s="192" t="s">
        <v>309</v>
      </c>
      <c r="C68" s="501">
        <f>'[43]Sch C'!D61</f>
        <v>7839</v>
      </c>
      <c r="D68" s="501">
        <f>'[43]Sch C'!F61</f>
        <v>0</v>
      </c>
      <c r="E68" s="171">
        <f t="shared" si="7"/>
        <v>7839</v>
      </c>
      <c r="F68" s="171"/>
      <c r="G68" s="171">
        <f t="shared" si="8"/>
        <v>7839</v>
      </c>
      <c r="H68" s="172">
        <f t="shared" si="9"/>
        <v>1.3377110277968808E-3</v>
      </c>
      <c r="I68" s="473"/>
      <c r="J68" s="193"/>
      <c r="K68" s="168"/>
      <c r="L68" s="237"/>
    </row>
    <row r="69" spans="1:12" s="167" customFormat="1">
      <c r="A69" s="142">
        <v>280</v>
      </c>
      <c r="B69" s="194" t="s">
        <v>258</v>
      </c>
      <c r="C69" s="501">
        <f>'[43]Sch C'!D62</f>
        <v>469</v>
      </c>
      <c r="D69" s="501">
        <f>'[43]Sch C'!F62</f>
        <v>0</v>
      </c>
      <c r="E69" s="171">
        <f t="shared" si="7"/>
        <v>469</v>
      </c>
      <c r="F69" s="171"/>
      <c r="G69" s="171">
        <f t="shared" si="8"/>
        <v>469</v>
      </c>
      <c r="H69" s="172">
        <f t="shared" si="9"/>
        <v>8.0033993116052703E-5</v>
      </c>
      <c r="I69" s="473"/>
      <c r="J69" s="195"/>
      <c r="K69" s="168"/>
      <c r="L69" s="237"/>
    </row>
    <row r="70" spans="1:12" s="167" customFormat="1">
      <c r="A70" s="142">
        <v>290</v>
      </c>
      <c r="B70" s="194" t="s">
        <v>259</v>
      </c>
      <c r="C70" s="501">
        <f>'[43]Sch C'!D63</f>
        <v>0</v>
      </c>
      <c r="D70" s="501">
        <f>'[43]Sch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  <c r="L70" s="237"/>
    </row>
    <row r="71" spans="1:12" s="167" customFormat="1">
      <c r="A71" s="142">
        <v>300</v>
      </c>
      <c r="B71" s="194" t="s">
        <v>260</v>
      </c>
      <c r="C71" s="501">
        <f>'[43]Sch C'!D64</f>
        <v>0</v>
      </c>
      <c r="D71" s="501">
        <f>'[43]Sch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  <c r="L71" s="237"/>
    </row>
    <row r="72" spans="1:12" s="167" customFormat="1">
      <c r="A72" s="142">
        <v>310</v>
      </c>
      <c r="B72" s="194" t="s">
        <v>310</v>
      </c>
      <c r="C72" s="501">
        <f>'[43]Sch C'!D65</f>
        <v>4269</v>
      </c>
      <c r="D72" s="501">
        <f>'[43]Sch C'!F65</f>
        <v>0</v>
      </c>
      <c r="E72" s="171">
        <f t="shared" si="7"/>
        <v>4269</v>
      </c>
      <c r="F72" s="171"/>
      <c r="G72" s="171">
        <f t="shared" si="8"/>
        <v>4269</v>
      </c>
      <c r="H72" s="172">
        <f t="shared" si="9"/>
        <v>7.2849705034633045E-4</v>
      </c>
      <c r="I72" s="473"/>
      <c r="J72" s="195"/>
      <c r="K72" s="168"/>
      <c r="L72" s="237"/>
    </row>
    <row r="73" spans="1:12" s="167" customFormat="1">
      <c r="A73" s="142">
        <v>320</v>
      </c>
      <c r="B73" s="194" t="s">
        <v>262</v>
      </c>
      <c r="C73" s="501">
        <f>'[43]Sch C'!D66</f>
        <v>20990</v>
      </c>
      <c r="D73" s="501">
        <f>'[43]Sch C'!F66</f>
        <v>0</v>
      </c>
      <c r="E73" s="171">
        <f t="shared" si="7"/>
        <v>20990</v>
      </c>
      <c r="F73" s="171"/>
      <c r="G73" s="171">
        <f t="shared" si="8"/>
        <v>20990</v>
      </c>
      <c r="H73" s="172">
        <f t="shared" si="9"/>
        <v>3.581905150332508E-3</v>
      </c>
      <c r="I73" s="473"/>
      <c r="J73" s="195"/>
      <c r="K73" s="168"/>
      <c r="L73" s="237"/>
    </row>
    <row r="74" spans="1:12" s="167" customFormat="1">
      <c r="A74" s="142">
        <v>330</v>
      </c>
      <c r="B74" s="194" t="s">
        <v>263</v>
      </c>
      <c r="C74" s="501">
        <f>'[43]Sch C'!D67</f>
        <v>53528</v>
      </c>
      <c r="D74" s="501">
        <f>'[43]Sch C'!F67</f>
        <v>0</v>
      </c>
      <c r="E74" s="171">
        <f t="shared" si="7"/>
        <v>53528</v>
      </c>
      <c r="F74" s="171"/>
      <c r="G74" s="171">
        <f t="shared" si="8"/>
        <v>53528</v>
      </c>
      <c r="H74" s="172">
        <f t="shared" si="9"/>
        <v>9.1344554019532394E-3</v>
      </c>
      <c r="I74" s="473"/>
      <c r="J74" s="195"/>
      <c r="K74" s="168"/>
      <c r="L74" s="237"/>
    </row>
    <row r="75" spans="1:12" s="167" customFormat="1">
      <c r="A75" s="142">
        <v>340</v>
      </c>
      <c r="B75" s="194" t="s">
        <v>264</v>
      </c>
      <c r="C75" s="501">
        <f>'[43]Sch C'!D68</f>
        <v>0</v>
      </c>
      <c r="D75" s="501">
        <f>'[43]Sch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  <c r="L75" s="237"/>
    </row>
    <row r="76" spans="1:12" s="167" customFormat="1">
      <c r="A76" s="167">
        <v>350</v>
      </c>
      <c r="B76" s="194" t="s">
        <v>311</v>
      </c>
      <c r="C76" s="501">
        <f>'[43]Sch C'!D69</f>
        <v>5626</v>
      </c>
      <c r="D76" s="501">
        <f>'[43]Sch C'!F69</f>
        <v>0</v>
      </c>
      <c r="E76" s="171">
        <f t="shared" si="7"/>
        <v>5626</v>
      </c>
      <c r="F76" s="171"/>
      <c r="G76" s="171">
        <f t="shared" si="8"/>
        <v>5626</v>
      </c>
      <c r="H76" s="172">
        <f t="shared" si="9"/>
        <v>9.6006662104672173E-4</v>
      </c>
      <c r="I76" s="473"/>
      <c r="J76" s="195"/>
      <c r="K76" s="168"/>
      <c r="L76" s="237"/>
    </row>
    <row r="77" spans="1:12" s="167" customFormat="1">
      <c r="A77" s="142">
        <v>360</v>
      </c>
      <c r="B77" s="194" t="s">
        <v>192</v>
      </c>
      <c r="C77" s="501">
        <f>'[43]Sch C'!D70</f>
        <v>0</v>
      </c>
      <c r="D77" s="501">
        <f>'[43]Sch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  <c r="L77" s="237"/>
    </row>
    <row r="78" spans="1:12" s="167" customFormat="1">
      <c r="A78" s="142">
        <v>490</v>
      </c>
      <c r="B78" s="194" t="s">
        <v>312</v>
      </c>
      <c r="C78" s="501">
        <f>'[43]Sch C'!D71</f>
        <v>0</v>
      </c>
      <c r="D78" s="501">
        <f>'[43]Sch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  <c r="L78" s="237"/>
    </row>
    <row r="79" spans="1:12" s="167" customFormat="1">
      <c r="A79" s="163"/>
      <c r="B79" s="170" t="s">
        <v>150</v>
      </c>
      <c r="C79" s="501">
        <f>SUM(C64:C78)</f>
        <v>710080</v>
      </c>
      <c r="D79" s="501">
        <f>SUM(D64:D78)</f>
        <v>0</v>
      </c>
      <c r="E79" s="171">
        <f t="shared" ref="E79:F79" si="10">SUM(E64:E78)</f>
        <v>710080</v>
      </c>
      <c r="F79" s="171">
        <f t="shared" si="10"/>
        <v>-364482</v>
      </c>
      <c r="G79" s="171">
        <f>SUM(G64:G78)</f>
        <v>345598</v>
      </c>
      <c r="H79" s="172">
        <f t="shared" si="9"/>
        <v>5.89756672770183E-2</v>
      </c>
      <c r="I79" s="473"/>
      <c r="J79" s="195"/>
      <c r="K79" s="168"/>
      <c r="L79" s="237"/>
    </row>
    <row r="80" spans="1:12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  <c r="L80" s="237"/>
    </row>
    <row r="81" spans="1:12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  <c r="L81" s="237"/>
    </row>
    <row r="82" spans="1:12" s="167" customFormat="1">
      <c r="A82" s="169" t="s">
        <v>85</v>
      </c>
      <c r="B82" s="148" t="s">
        <v>44</v>
      </c>
      <c r="C82" s="501">
        <f>'[43]Sch C'!D75</f>
        <v>29945</v>
      </c>
      <c r="D82" s="501">
        <f>'[43]Sch C'!F75</f>
        <v>1952</v>
      </c>
      <c r="E82" s="171">
        <f t="shared" ref="E82:E92" si="11">C82+D82</f>
        <v>31897</v>
      </c>
      <c r="F82" s="171"/>
      <c r="G82" s="171">
        <f t="shared" ref="G82:G92" si="12">E82+F82</f>
        <v>31897</v>
      </c>
      <c r="H82" s="172">
        <f t="shared" ref="H82:H93" si="13">IF($G$208=0,0,G82/$G$208)</f>
        <v>5.4431647727563601E-3</v>
      </c>
      <c r="I82" s="473"/>
      <c r="J82" s="183">
        <v>1677</v>
      </c>
      <c r="K82" s="183">
        <v>1786</v>
      </c>
      <c r="L82" s="237"/>
    </row>
    <row r="83" spans="1:12" s="167" customFormat="1">
      <c r="A83" s="169" t="s">
        <v>86</v>
      </c>
      <c r="B83" s="199" t="s">
        <v>45</v>
      </c>
      <c r="C83" s="501">
        <f>'[43]Sch C'!D76</f>
        <v>0</v>
      </c>
      <c r="D83" s="501">
        <f>'[43]Sch C'!F76</f>
        <v>3647</v>
      </c>
      <c r="E83" s="171">
        <f t="shared" si="11"/>
        <v>3647</v>
      </c>
      <c r="F83" s="171"/>
      <c r="G83" s="171">
        <f t="shared" si="12"/>
        <v>3647</v>
      </c>
      <c r="H83" s="172">
        <f t="shared" si="13"/>
        <v>6.2235388676811128E-4</v>
      </c>
      <c r="I83" s="473"/>
      <c r="J83" s="168"/>
      <c r="K83" s="168"/>
      <c r="L83" s="237"/>
    </row>
    <row r="84" spans="1:12" s="167" customFormat="1">
      <c r="A84" s="169" t="s">
        <v>93</v>
      </c>
      <c r="B84" s="199" t="s">
        <v>47</v>
      </c>
      <c r="C84" s="501">
        <f>'[43]Sch C'!D77</f>
        <v>19924</v>
      </c>
      <c r="D84" s="501">
        <f>'[43]Sch C'!F77</f>
        <v>0</v>
      </c>
      <c r="E84" s="171">
        <f t="shared" si="11"/>
        <v>19924</v>
      </c>
      <c r="F84" s="171"/>
      <c r="G84" s="171">
        <f t="shared" si="12"/>
        <v>19924</v>
      </c>
      <c r="H84" s="172">
        <f t="shared" si="13"/>
        <v>3.3999941979621197E-3</v>
      </c>
      <c r="I84" s="473"/>
      <c r="J84" s="168"/>
      <c r="K84" s="168"/>
      <c r="L84" s="237"/>
    </row>
    <row r="85" spans="1:12" s="167" customFormat="1">
      <c r="A85" s="169">
        <v>230</v>
      </c>
      <c r="B85" s="199" t="s">
        <v>46</v>
      </c>
      <c r="C85" s="501">
        <f>'[43]Sch C'!D78</f>
        <v>0</v>
      </c>
      <c r="D85" s="501">
        <f>'[43]Sch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  <c r="L85" s="237"/>
    </row>
    <row r="86" spans="1:12" s="167" customFormat="1">
      <c r="A86" s="169">
        <v>240</v>
      </c>
      <c r="B86" s="200" t="s">
        <v>267</v>
      </c>
      <c r="C86" s="501">
        <f>'[43]Sch C'!D79</f>
        <v>12866</v>
      </c>
      <c r="D86" s="501">
        <f>'[43]Sch C'!F79</f>
        <v>0</v>
      </c>
      <c r="E86" s="171">
        <f t="shared" si="11"/>
        <v>12866</v>
      </c>
      <c r="F86" s="171"/>
      <c r="G86" s="171">
        <f>E86+F86</f>
        <v>12866</v>
      </c>
      <c r="H86" s="172">
        <f t="shared" si="13"/>
        <v>2.1955593932433564E-3</v>
      </c>
      <c r="I86" s="473"/>
      <c r="J86" s="168"/>
      <c r="K86" s="168"/>
      <c r="L86" s="237"/>
    </row>
    <row r="87" spans="1:12" s="167" customFormat="1">
      <c r="A87" s="169">
        <v>310</v>
      </c>
      <c r="B87" s="199" t="s">
        <v>54</v>
      </c>
      <c r="C87" s="501">
        <f>'[43]Sch C'!D80</f>
        <v>18219</v>
      </c>
      <c r="D87" s="501">
        <f>'[43]Sch C'!F80</f>
        <v>0</v>
      </c>
      <c r="E87" s="171">
        <f t="shared" si="11"/>
        <v>18219</v>
      </c>
      <c r="F87" s="171"/>
      <c r="G87" s="171">
        <f t="shared" si="12"/>
        <v>18219</v>
      </c>
      <c r="H87" s="172">
        <f t="shared" si="13"/>
        <v>3.1090390630732711E-3</v>
      </c>
      <c r="I87" s="473"/>
      <c r="J87" s="168"/>
      <c r="K87" s="168"/>
      <c r="L87" s="237"/>
    </row>
    <row r="88" spans="1:12" s="167" customFormat="1">
      <c r="A88" s="169">
        <v>320</v>
      </c>
      <c r="B88" s="201" t="s">
        <v>313</v>
      </c>
      <c r="C88" s="501">
        <f>'[43]Sch C'!D81</f>
        <v>5321</v>
      </c>
      <c r="D88" s="501">
        <f>'[43]Sch C'!F81</f>
        <v>0</v>
      </c>
      <c r="E88" s="171">
        <f t="shared" si="11"/>
        <v>5321</v>
      </c>
      <c r="F88" s="171"/>
      <c r="G88" s="171">
        <f t="shared" si="12"/>
        <v>5321</v>
      </c>
      <c r="H88" s="172">
        <f t="shared" si="13"/>
        <v>9.0801892829534426E-4</v>
      </c>
      <c r="I88" s="473"/>
      <c r="J88" s="168"/>
      <c r="K88" s="168"/>
      <c r="L88" s="237"/>
    </row>
    <row r="89" spans="1:12" s="167" customFormat="1">
      <c r="A89" s="169">
        <v>330</v>
      </c>
      <c r="B89" s="201" t="s">
        <v>314</v>
      </c>
      <c r="C89" s="501">
        <f>'[43]Sch C'!D82</f>
        <v>438</v>
      </c>
      <c r="D89" s="501">
        <f>'[43]Sch C'!F82</f>
        <v>0</v>
      </c>
      <c r="E89" s="171">
        <f t="shared" si="11"/>
        <v>438</v>
      </c>
      <c r="F89" s="171"/>
      <c r="G89" s="171">
        <f t="shared" si="12"/>
        <v>438</v>
      </c>
      <c r="H89" s="172">
        <f t="shared" si="13"/>
        <v>7.4743899754437282E-5</v>
      </c>
      <c r="I89" s="473"/>
      <c r="J89" s="168"/>
      <c r="K89" s="168"/>
      <c r="L89" s="237"/>
    </row>
    <row r="90" spans="1:12" s="167" customFormat="1">
      <c r="A90" s="163">
        <v>340</v>
      </c>
      <c r="B90" s="201" t="s">
        <v>300</v>
      </c>
      <c r="C90" s="501">
        <f>'[43]Sch C'!D83</f>
        <v>0</v>
      </c>
      <c r="D90" s="501">
        <f>'[43]Sch C'!F83</f>
        <v>0</v>
      </c>
      <c r="E90" s="171">
        <f t="shared" si="11"/>
        <v>0</v>
      </c>
      <c r="F90" s="171">
        <v>330</v>
      </c>
      <c r="G90" s="171">
        <f t="shared" si="12"/>
        <v>330</v>
      </c>
      <c r="H90" s="172">
        <f t="shared" si="13"/>
        <v>5.6313897075260966E-5</v>
      </c>
      <c r="I90" s="473"/>
      <c r="J90" s="168"/>
      <c r="K90" s="168"/>
      <c r="L90" s="237"/>
    </row>
    <row r="91" spans="1:12" s="167" customFormat="1">
      <c r="A91" s="163">
        <v>350</v>
      </c>
      <c r="B91" s="199" t="s">
        <v>49</v>
      </c>
      <c r="C91" s="501">
        <f>'[43]Sch C'!D84</f>
        <v>116154</v>
      </c>
      <c r="D91" s="501">
        <f>'[43]Sch C'!F84</f>
        <v>0</v>
      </c>
      <c r="E91" s="171">
        <f t="shared" si="11"/>
        <v>116154</v>
      </c>
      <c r="F91" s="171"/>
      <c r="G91" s="171">
        <f t="shared" si="12"/>
        <v>116154</v>
      </c>
      <c r="H91" s="172">
        <f t="shared" si="13"/>
        <v>1.9821467881454127E-2</v>
      </c>
      <c r="I91" s="473"/>
      <c r="J91" s="168"/>
      <c r="K91" s="168"/>
      <c r="L91" s="237"/>
    </row>
    <row r="92" spans="1:12" s="167" customFormat="1">
      <c r="A92" s="163">
        <v>490</v>
      </c>
      <c r="B92" s="148" t="s">
        <v>312</v>
      </c>
      <c r="C92" s="501">
        <f>'[43]Sch C'!D85</f>
        <v>0</v>
      </c>
      <c r="D92" s="501">
        <f>'[43]Sch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  <c r="L92" s="237"/>
    </row>
    <row r="93" spans="1:12" s="167" customFormat="1">
      <c r="A93" s="163"/>
      <c r="B93" s="170" t="s">
        <v>50</v>
      </c>
      <c r="C93" s="501">
        <f>SUM(C82:C92)</f>
        <v>202867</v>
      </c>
      <c r="D93" s="501">
        <f>SUM(D82:D92)</f>
        <v>5599</v>
      </c>
      <c r="E93" s="171">
        <f t="shared" ref="E93:F93" si="14">SUM(E82:E92)</f>
        <v>208466</v>
      </c>
      <c r="F93" s="171">
        <f t="shared" si="14"/>
        <v>330</v>
      </c>
      <c r="G93" s="171">
        <f>SUM(G82:G92)</f>
        <v>208796</v>
      </c>
      <c r="H93" s="172">
        <f t="shared" si="13"/>
        <v>3.5630655920382386E-2</v>
      </c>
      <c r="I93" s="473"/>
      <c r="J93" s="168"/>
      <c r="K93" s="168"/>
      <c r="L93" s="237"/>
    </row>
    <row r="94" spans="1:12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  <c r="L94" s="237"/>
    </row>
    <row r="95" spans="1:12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  <c r="L95" s="237"/>
    </row>
    <row r="96" spans="1:12" s="167" customFormat="1">
      <c r="A96" s="169" t="s">
        <v>85</v>
      </c>
      <c r="B96" s="170" t="s">
        <v>44</v>
      </c>
      <c r="C96" s="501">
        <f>'[43]Sch C'!D89</f>
        <v>147871</v>
      </c>
      <c r="D96" s="501">
        <f>'[43]Sch C'!F89</f>
        <v>9638</v>
      </c>
      <c r="E96" s="171">
        <f t="shared" ref="E96:E101" si="15">C96+D96</f>
        <v>157509</v>
      </c>
      <c r="F96" s="171"/>
      <c r="G96" s="171">
        <f t="shared" ref="G96:G101" si="16">E96+F96</f>
        <v>157509</v>
      </c>
      <c r="H96" s="172">
        <f t="shared" ref="H96:H102" si="17">IF($G$208=0,0,G96/$G$208)</f>
        <v>2.6878623074022057E-2</v>
      </c>
      <c r="I96" s="473"/>
      <c r="J96" s="183">
        <v>12312</v>
      </c>
      <c r="K96" s="183">
        <v>13114</v>
      </c>
      <c r="L96" s="237"/>
    </row>
    <row r="97" spans="1:12" s="167" customFormat="1">
      <c r="A97" s="169" t="s">
        <v>86</v>
      </c>
      <c r="B97" s="170" t="s">
        <v>45</v>
      </c>
      <c r="C97" s="501">
        <f>'[43]Sch C'!D90</f>
        <v>0</v>
      </c>
      <c r="D97" s="501">
        <f>'[43]Sch C'!F90</f>
        <v>18008</v>
      </c>
      <c r="E97" s="171">
        <f t="shared" si="15"/>
        <v>18008</v>
      </c>
      <c r="F97" s="171"/>
      <c r="G97" s="171">
        <f t="shared" si="16"/>
        <v>18008</v>
      </c>
      <c r="H97" s="172">
        <f t="shared" si="17"/>
        <v>3.0730322985796951E-3</v>
      </c>
      <c r="I97" s="473"/>
      <c r="J97" s="168"/>
      <c r="K97" s="168"/>
      <c r="L97" s="237"/>
    </row>
    <row r="98" spans="1:12" s="167" customFormat="1">
      <c r="A98" s="169">
        <v>310</v>
      </c>
      <c r="B98" s="170" t="s">
        <v>54</v>
      </c>
      <c r="C98" s="501">
        <f>'[43]Sch C'!D91</f>
        <v>20279</v>
      </c>
      <c r="D98" s="501">
        <f>'[43]Sch C'!F91</f>
        <v>0</v>
      </c>
      <c r="E98" s="171">
        <f t="shared" si="15"/>
        <v>20279</v>
      </c>
      <c r="F98" s="171"/>
      <c r="G98" s="171">
        <f t="shared" si="16"/>
        <v>20279</v>
      </c>
      <c r="H98" s="172">
        <f t="shared" si="17"/>
        <v>3.4605742993612638E-3</v>
      </c>
      <c r="I98" s="473"/>
      <c r="J98" s="168"/>
      <c r="K98" s="168"/>
      <c r="L98" s="237"/>
    </row>
    <row r="99" spans="1:12" s="167" customFormat="1">
      <c r="A99" s="169">
        <v>380</v>
      </c>
      <c r="B99" s="170" t="s">
        <v>52</v>
      </c>
      <c r="C99" s="501">
        <f>'[43]Sch C'!D92</f>
        <v>133568</v>
      </c>
      <c r="D99" s="501">
        <f>'[43]Sch C'!F92</f>
        <v>0</v>
      </c>
      <c r="E99" s="171">
        <f t="shared" si="15"/>
        <v>133568</v>
      </c>
      <c r="F99" s="171"/>
      <c r="G99" s="171">
        <f t="shared" si="16"/>
        <v>133568</v>
      </c>
      <c r="H99" s="172">
        <f t="shared" si="17"/>
        <v>2.2793135165298354E-2</v>
      </c>
      <c r="I99" s="473"/>
      <c r="J99" s="168"/>
      <c r="K99" s="168"/>
      <c r="L99" s="237"/>
    </row>
    <row r="100" spans="1:12" s="167" customFormat="1">
      <c r="A100" s="169">
        <v>390</v>
      </c>
      <c r="B100" s="170" t="s">
        <v>53</v>
      </c>
      <c r="C100" s="501">
        <f>'[43]Sch C'!D93</f>
        <v>16848</v>
      </c>
      <c r="D100" s="501">
        <f>'[43]Sch C'!F93</f>
        <v>0</v>
      </c>
      <c r="E100" s="171">
        <f t="shared" si="15"/>
        <v>16848</v>
      </c>
      <c r="F100" s="171"/>
      <c r="G100" s="171">
        <f t="shared" si="16"/>
        <v>16848</v>
      </c>
      <c r="H100" s="172">
        <f t="shared" si="17"/>
        <v>2.8750804179515053E-3</v>
      </c>
      <c r="I100" s="473"/>
      <c r="J100" s="168"/>
      <c r="K100" s="168"/>
      <c r="L100" s="237"/>
    </row>
    <row r="101" spans="1:12" s="167" customFormat="1">
      <c r="A101" s="169">
        <v>490</v>
      </c>
      <c r="B101" s="202" t="s">
        <v>312</v>
      </c>
      <c r="C101" s="501">
        <f>'[43]Sch C'!D94</f>
        <v>0</v>
      </c>
      <c r="D101" s="501">
        <f>'[43]Sch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  <c r="L101" s="237"/>
    </row>
    <row r="102" spans="1:12" s="167" customFormat="1">
      <c r="A102" s="169"/>
      <c r="B102" s="170" t="s">
        <v>55</v>
      </c>
      <c r="C102" s="501">
        <f>SUM(C96:C101)</f>
        <v>318566</v>
      </c>
      <c r="D102" s="501">
        <f>SUM(D96:D101)</f>
        <v>27646</v>
      </c>
      <c r="E102" s="171">
        <f t="shared" ref="E102:F102" si="18">SUM(E96:E101)</f>
        <v>346212</v>
      </c>
      <c r="F102" s="171">
        <f t="shared" si="18"/>
        <v>0</v>
      </c>
      <c r="G102" s="171">
        <f>SUM(G96:G101)</f>
        <v>346212</v>
      </c>
      <c r="H102" s="172">
        <f t="shared" si="17"/>
        <v>5.9080445255212874E-2</v>
      </c>
      <c r="I102" s="473"/>
      <c r="J102" s="168"/>
      <c r="K102" s="168"/>
      <c r="L102" s="237"/>
    </row>
    <row r="103" spans="1:12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  <c r="L103" s="237"/>
    </row>
    <row r="104" spans="1:12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  <c r="L104" s="237"/>
    </row>
    <row r="105" spans="1:12" s="167" customFormat="1">
      <c r="A105" s="169" t="s">
        <v>85</v>
      </c>
      <c r="B105" s="170" t="s">
        <v>44</v>
      </c>
      <c r="C105" s="501">
        <f>'[43]Sch C'!D98</f>
        <v>0</v>
      </c>
      <c r="D105" s="501">
        <f>'[43]Sch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  <c r="L105" s="237"/>
    </row>
    <row r="106" spans="1:12" s="167" customFormat="1">
      <c r="A106" s="169" t="s">
        <v>86</v>
      </c>
      <c r="B106" s="170" t="s">
        <v>45</v>
      </c>
      <c r="C106" s="501">
        <f>'[43]Sch C'!D99</f>
        <v>0</v>
      </c>
      <c r="D106" s="501">
        <f>'[43]Sch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  <c r="L106" s="237"/>
    </row>
    <row r="107" spans="1:12" s="167" customFormat="1">
      <c r="A107" s="169">
        <v>110</v>
      </c>
      <c r="B107" s="170" t="s">
        <v>47</v>
      </c>
      <c r="C107" s="501">
        <f>'[43]Sch C'!D100</f>
        <v>752</v>
      </c>
      <c r="D107" s="501">
        <f>'[43]Sch C'!F100</f>
        <v>0</v>
      </c>
      <c r="E107" s="171">
        <f t="shared" si="19"/>
        <v>752</v>
      </c>
      <c r="F107" s="171"/>
      <c r="G107" s="171">
        <f t="shared" si="20"/>
        <v>752</v>
      </c>
      <c r="H107" s="172">
        <f t="shared" si="21"/>
        <v>1.2832742606241286E-4</v>
      </c>
      <c r="I107" s="473"/>
      <c r="J107" s="168"/>
      <c r="K107" s="168"/>
      <c r="L107" s="237"/>
    </row>
    <row r="108" spans="1:12" s="167" customFormat="1">
      <c r="A108" s="169">
        <v>310</v>
      </c>
      <c r="B108" s="170" t="s">
        <v>54</v>
      </c>
      <c r="C108" s="501">
        <f>'[43]Sch C'!D101</f>
        <v>59662</v>
      </c>
      <c r="D108" s="501">
        <f>'[43]Sch C'!F101</f>
        <v>0</v>
      </c>
      <c r="E108" s="171">
        <f t="shared" si="19"/>
        <v>59662</v>
      </c>
      <c r="F108" s="171"/>
      <c r="G108" s="171">
        <f t="shared" si="20"/>
        <v>59662</v>
      </c>
      <c r="H108" s="172">
        <f t="shared" si="21"/>
        <v>1.0181211294861272E-2</v>
      </c>
      <c r="I108" s="473"/>
      <c r="J108" s="168"/>
      <c r="K108" s="168"/>
      <c r="L108" s="237"/>
    </row>
    <row r="109" spans="1:12" s="167" customFormat="1">
      <c r="A109" s="169">
        <v>410</v>
      </c>
      <c r="B109" s="170" t="s">
        <v>57</v>
      </c>
      <c r="C109" s="501">
        <f>'[43]Sch C'!D102</f>
        <v>1575</v>
      </c>
      <c r="D109" s="501">
        <f>'[43]Sch C'!F102</f>
        <v>0</v>
      </c>
      <c r="E109" s="171">
        <f t="shared" si="19"/>
        <v>1575</v>
      </c>
      <c r="F109" s="171"/>
      <c r="G109" s="171">
        <f t="shared" si="20"/>
        <v>1575</v>
      </c>
      <c r="H109" s="172">
        <f t="shared" si="21"/>
        <v>2.6877087240465458E-4</v>
      </c>
      <c r="I109" s="473"/>
      <c r="J109" s="168"/>
      <c r="K109" s="168"/>
      <c r="L109" s="237"/>
    </row>
    <row r="110" spans="1:12" s="167" customFormat="1">
      <c r="A110" s="169">
        <v>490</v>
      </c>
      <c r="B110" s="202" t="s">
        <v>312</v>
      </c>
      <c r="C110" s="501">
        <f>'[43]Sch C'!D103</f>
        <v>0</v>
      </c>
      <c r="D110" s="501">
        <f>'[43]Sch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  <c r="L110" s="237"/>
    </row>
    <row r="111" spans="1:12" s="167" customFormat="1">
      <c r="A111" s="163"/>
      <c r="B111" s="170" t="s">
        <v>58</v>
      </c>
      <c r="C111" s="501">
        <f>SUM(C105:C110)</f>
        <v>61989</v>
      </c>
      <c r="D111" s="501">
        <f>SUM(D105:D110)</f>
        <v>0</v>
      </c>
      <c r="E111" s="171">
        <f t="shared" ref="E111:F111" si="22">SUM(E105:E110)</f>
        <v>61989</v>
      </c>
      <c r="F111" s="171">
        <f t="shared" si="22"/>
        <v>0</v>
      </c>
      <c r="G111" s="171">
        <f>SUM(G105:G110)</f>
        <v>61989</v>
      </c>
      <c r="H111" s="172">
        <f t="shared" si="21"/>
        <v>1.0578309593328339E-2</v>
      </c>
      <c r="I111" s="473"/>
      <c r="J111" s="168"/>
      <c r="K111" s="168"/>
      <c r="L111" s="237"/>
    </row>
    <row r="112" spans="1:12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  <c r="L112" s="237"/>
    </row>
    <row r="113" spans="1:12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  <c r="L113" s="237"/>
    </row>
    <row r="114" spans="1:12" s="167" customFormat="1">
      <c r="A114" s="169" t="s">
        <v>85</v>
      </c>
      <c r="B114" s="170" t="s">
        <v>44</v>
      </c>
      <c r="C114" s="501">
        <f>'[43]Sch C'!D115</f>
        <v>0</v>
      </c>
      <c r="D114" s="501">
        <f>'[43]Sch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  <c r="L114" s="237"/>
    </row>
    <row r="115" spans="1:12" s="167" customFormat="1">
      <c r="A115" s="169" t="s">
        <v>86</v>
      </c>
      <c r="B115" s="170" t="s">
        <v>151</v>
      </c>
      <c r="C115" s="501">
        <f>'[43]Sch C'!D116</f>
        <v>0</v>
      </c>
      <c r="D115" s="501">
        <f>'[43]Sch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  <c r="L115" s="237"/>
    </row>
    <row r="116" spans="1:12" s="167" customFormat="1">
      <c r="A116" s="169" t="s">
        <v>93</v>
      </c>
      <c r="B116" s="170" t="s">
        <v>47</v>
      </c>
      <c r="C116" s="501">
        <f>'[43]Sch C'!D117</f>
        <v>3096</v>
      </c>
      <c r="D116" s="501">
        <f>'[43]Sch C'!F117</f>
        <v>0</v>
      </c>
      <c r="E116" s="171">
        <f t="shared" si="23"/>
        <v>3096</v>
      </c>
      <c r="F116" s="171"/>
      <c r="G116" s="171">
        <f>E116+F116</f>
        <v>3096</v>
      </c>
      <c r="H116" s="172">
        <f t="shared" si="24"/>
        <v>5.2832674346972109E-4</v>
      </c>
      <c r="I116" s="473"/>
      <c r="J116" s="168"/>
      <c r="K116" s="168"/>
      <c r="L116" s="237"/>
    </row>
    <row r="117" spans="1:12" s="167" customFormat="1">
      <c r="A117" s="169">
        <v>310</v>
      </c>
      <c r="B117" s="170" t="s">
        <v>60</v>
      </c>
      <c r="C117" s="501">
        <f>'[43]Sch C'!D118</f>
        <v>92293</v>
      </c>
      <c r="D117" s="501">
        <f>'[43]Sch C'!F118</f>
        <v>0</v>
      </c>
      <c r="E117" s="171">
        <f t="shared" si="23"/>
        <v>92293</v>
      </c>
      <c r="F117" s="171"/>
      <c r="G117" s="171">
        <f>E117+F117</f>
        <v>92293</v>
      </c>
      <c r="H117" s="172">
        <f t="shared" si="24"/>
        <v>1.574963182656685E-2</v>
      </c>
      <c r="I117" s="473"/>
      <c r="J117" s="168"/>
      <c r="K117" s="168"/>
      <c r="L117" s="237"/>
    </row>
    <row r="118" spans="1:12" s="167" customFormat="1">
      <c r="A118" s="169">
        <v>490</v>
      </c>
      <c r="B118" s="202" t="s">
        <v>312</v>
      </c>
      <c r="C118" s="501">
        <f>'[43]Sch C'!D119</f>
        <v>0</v>
      </c>
      <c r="D118" s="501">
        <f>'[43]Sch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  <c r="L118" s="237"/>
    </row>
    <row r="119" spans="1:12" s="167" customFormat="1">
      <c r="A119" s="163"/>
      <c r="B119" s="170" t="s">
        <v>61</v>
      </c>
      <c r="C119" s="501">
        <f>SUM(C114:C118)</f>
        <v>95389</v>
      </c>
      <c r="D119" s="501">
        <f>SUM(D114:D118)</f>
        <v>0</v>
      </c>
      <c r="E119" s="171">
        <f t="shared" ref="E119:F119" si="25">SUM(E114:E118)</f>
        <v>95389</v>
      </c>
      <c r="F119" s="171">
        <f t="shared" si="25"/>
        <v>0</v>
      </c>
      <c r="G119" s="171">
        <f>SUM(G114:G118)</f>
        <v>95389</v>
      </c>
      <c r="H119" s="172">
        <f t="shared" si="24"/>
        <v>1.6277958570036569E-2</v>
      </c>
      <c r="I119" s="473"/>
      <c r="J119" s="168"/>
      <c r="K119" s="168"/>
      <c r="L119" s="237"/>
    </row>
    <row r="120" spans="1:12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  <c r="L120" s="237"/>
    </row>
    <row r="121" spans="1:12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  <c r="L121" s="237"/>
    </row>
    <row r="122" spans="1:12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  <c r="L122" s="237"/>
    </row>
    <row r="123" spans="1:12" s="167" customFormat="1">
      <c r="B123" s="163" t="s">
        <v>232</v>
      </c>
      <c r="C123" s="501">
        <f>'[43]Sch C'!D124</f>
        <v>0</v>
      </c>
      <c r="D123" s="501">
        <f>'[43]Sch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  <c r="L123" s="237"/>
    </row>
    <row r="124" spans="1:12" s="167" customFormat="1">
      <c r="B124" s="163" t="s">
        <v>194</v>
      </c>
      <c r="C124" s="501">
        <f>'[43]Sch C'!D125</f>
        <v>190017</v>
      </c>
      <c r="D124" s="501">
        <f>'[43]Sch C'!F125</f>
        <v>12384</v>
      </c>
      <c r="E124" s="171">
        <f t="shared" si="26"/>
        <v>202401</v>
      </c>
      <c r="F124" s="171">
        <v>35596.175092661069</v>
      </c>
      <c r="G124" s="171">
        <f>E124+F124</f>
        <v>237997.17509266105</v>
      </c>
      <c r="H124" s="172">
        <f>IF($G$208=0,0,G124/$G$208)</f>
        <v>4.0613783098093867E-2</v>
      </c>
      <c r="I124" s="473" t="s">
        <v>402</v>
      </c>
      <c r="J124" s="183">
        <v>3900</v>
      </c>
      <c r="K124" s="183">
        <v>4154</v>
      </c>
      <c r="L124" s="237"/>
    </row>
    <row r="125" spans="1:12" s="167" customFormat="1">
      <c r="A125" s="163" t="s">
        <v>198</v>
      </c>
      <c r="B125" s="163" t="s">
        <v>195</v>
      </c>
      <c r="C125" s="501">
        <f>'[43]Sch C'!D126</f>
        <v>53665</v>
      </c>
      <c r="D125" s="501">
        <f>'[43]Sch C'!F126</f>
        <v>3498</v>
      </c>
      <c r="E125" s="171">
        <f t="shared" si="26"/>
        <v>57163</v>
      </c>
      <c r="F125" s="171"/>
      <c r="G125" s="171">
        <f>E125+F125</f>
        <v>57163</v>
      </c>
      <c r="H125" s="172">
        <f>IF($G$208=0,0,G125/$G$208)</f>
        <v>9.7547615106458856E-3</v>
      </c>
      <c r="I125" s="473"/>
      <c r="J125" s="183">
        <v>1692</v>
      </c>
      <c r="K125" s="183">
        <v>1802</v>
      </c>
      <c r="L125" s="237"/>
    </row>
    <row r="126" spans="1:12" s="167" customFormat="1">
      <c r="A126" s="169"/>
      <c r="B126" s="163" t="s">
        <v>196</v>
      </c>
      <c r="C126" s="501">
        <f>'[43]Sch C'!D127</f>
        <v>0</v>
      </c>
      <c r="D126" s="501">
        <f>'[43]Sch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  <c r="L126" s="237"/>
    </row>
    <row r="127" spans="1:12" s="167" customFormat="1">
      <c r="A127" s="169"/>
      <c r="B127" s="163" t="s">
        <v>197</v>
      </c>
      <c r="C127" s="501">
        <f>'[43]Sch C'!D128</f>
        <v>26463</v>
      </c>
      <c r="D127" s="501">
        <f>'[43]Sch C'!F128</f>
        <v>1725</v>
      </c>
      <c r="E127" s="171">
        <f t="shared" si="26"/>
        <v>28188</v>
      </c>
      <c r="F127" s="171"/>
      <c r="G127" s="171">
        <f>E127+F127</f>
        <v>28188</v>
      </c>
      <c r="H127" s="172">
        <f>IF($G$208=0,0,G127/$G$208)</f>
        <v>4.8102306992650187E-3</v>
      </c>
      <c r="I127" s="473"/>
      <c r="J127" s="183">
        <v>877</v>
      </c>
      <c r="K127" s="183">
        <v>934</v>
      </c>
      <c r="L127" s="237"/>
    </row>
    <row r="128" spans="1:12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  <c r="L128" s="237"/>
    </row>
    <row r="129" spans="1:12" s="167" customFormat="1">
      <c r="A129" s="169"/>
      <c r="B129" s="163" t="s">
        <v>232</v>
      </c>
      <c r="C129" s="501">
        <f>'[43]Sch C'!D130</f>
        <v>0</v>
      </c>
      <c r="D129" s="501">
        <f>'[43]Sch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  <c r="L129" s="237"/>
    </row>
    <row r="130" spans="1:12" s="167" customFormat="1">
      <c r="A130" s="169"/>
      <c r="B130" s="163" t="s">
        <v>194</v>
      </c>
      <c r="C130" s="501">
        <f>'[43]Sch C'!D131</f>
        <v>0</v>
      </c>
      <c r="D130" s="501">
        <f>'[43]Sch C'!F131</f>
        <v>23141</v>
      </c>
      <c r="E130" s="171">
        <f t="shared" si="27"/>
        <v>23141</v>
      </c>
      <c r="F130" s="171">
        <v>4479.3849473490664</v>
      </c>
      <c r="G130" s="171">
        <f>E130+F130</f>
        <v>27620.384947349066</v>
      </c>
      <c r="H130" s="172">
        <f>IF($G$208=0,0,G130/$G$208)</f>
        <v>4.7133682275881895E-3</v>
      </c>
      <c r="I130" s="473" t="s">
        <v>402</v>
      </c>
      <c r="J130" s="204"/>
      <c r="K130" s="204"/>
      <c r="L130" s="237"/>
    </row>
    <row r="131" spans="1:12" s="167" customFormat="1">
      <c r="B131" s="163" t="s">
        <v>195</v>
      </c>
      <c r="C131" s="501">
        <f>'[43]Sch C'!D132</f>
        <v>0</v>
      </c>
      <c r="D131" s="501">
        <f>'[43]Sch C'!F132</f>
        <v>6535</v>
      </c>
      <c r="E131" s="171">
        <f t="shared" si="27"/>
        <v>6535</v>
      </c>
      <c r="F131" s="171"/>
      <c r="G131" s="171">
        <f>E131+F131</f>
        <v>6535</v>
      </c>
      <c r="H131" s="172">
        <f>IF($G$208=0,0,G131/$G$208)</f>
        <v>1.1151858102631223E-3</v>
      </c>
      <c r="I131" s="473"/>
      <c r="J131" s="168"/>
      <c r="K131" s="168"/>
      <c r="L131" s="237"/>
    </row>
    <row r="132" spans="1:12" s="167" customFormat="1">
      <c r="B132" s="163" t="s">
        <v>196</v>
      </c>
      <c r="C132" s="501">
        <f>'[43]Sch C'!D133</f>
        <v>0</v>
      </c>
      <c r="D132" s="501">
        <f>'[43]Sch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  <c r="L132" s="237"/>
    </row>
    <row r="133" spans="1:12" s="167" customFormat="1">
      <c r="B133" s="163" t="s">
        <v>197</v>
      </c>
      <c r="C133" s="501">
        <f>'[43]Sch C'!D134</f>
        <v>0</v>
      </c>
      <c r="D133" s="501">
        <f>'[43]Sch C'!F134</f>
        <v>3223</v>
      </c>
      <c r="E133" s="171">
        <f t="shared" si="27"/>
        <v>3223</v>
      </c>
      <c r="F133" s="171"/>
      <c r="G133" s="171">
        <f>E133+F133</f>
        <v>3223</v>
      </c>
      <c r="H133" s="172">
        <f>IF($G$208=0,0,G133/$G$208)</f>
        <v>5.499990614350488E-4</v>
      </c>
      <c r="I133" s="473"/>
      <c r="J133" s="168"/>
      <c r="K133" s="168"/>
      <c r="L133" s="237"/>
    </row>
    <row r="134" spans="1:12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  <c r="L134" s="237"/>
    </row>
    <row r="135" spans="1:12" s="167" customFormat="1">
      <c r="A135" s="169"/>
      <c r="B135" s="163" t="s">
        <v>194</v>
      </c>
      <c r="C135" s="501">
        <f>'[43]Sch C'!D136</f>
        <v>400420</v>
      </c>
      <c r="D135" s="501">
        <f>'[43]Sch C'!F136</f>
        <v>26097</v>
      </c>
      <c r="E135" s="171">
        <f t="shared" ref="E135:E138" si="28">C135+D135</f>
        <v>426517</v>
      </c>
      <c r="F135" s="171"/>
      <c r="G135" s="171">
        <f>E135+F135</f>
        <v>426517</v>
      </c>
      <c r="H135" s="172">
        <f>IF($G$208=0,0,G135/$G$208)</f>
        <v>7.2784346784391149E-2</v>
      </c>
      <c r="I135" s="473"/>
      <c r="J135" s="183">
        <v>14641</v>
      </c>
      <c r="K135" s="183">
        <v>15595</v>
      </c>
      <c r="L135" s="237"/>
    </row>
    <row r="136" spans="1:12" s="167" customFormat="1">
      <c r="A136" s="169"/>
      <c r="B136" s="163" t="s">
        <v>195</v>
      </c>
      <c r="C136" s="501">
        <f>'[43]Sch C'!D137</f>
        <v>250952</v>
      </c>
      <c r="D136" s="501">
        <f>'[43]Sch C'!F137</f>
        <v>16356</v>
      </c>
      <c r="E136" s="171">
        <f t="shared" si="28"/>
        <v>267308</v>
      </c>
      <c r="F136" s="171"/>
      <c r="G136" s="171">
        <f>E136+F136</f>
        <v>267308</v>
      </c>
      <c r="H136" s="172">
        <f>IF($G$208=0,0,G136/$G$208)</f>
        <v>4.5615621816345021E-2</v>
      </c>
      <c r="I136" s="473"/>
      <c r="J136" s="183">
        <v>10679</v>
      </c>
      <c r="K136" s="183">
        <v>11375</v>
      </c>
      <c r="L136" s="237"/>
    </row>
    <row r="137" spans="1:12" s="167" customFormat="1">
      <c r="A137" s="169"/>
      <c r="B137" s="163" t="s">
        <v>196</v>
      </c>
      <c r="C137" s="501">
        <f>'[43]Sch C'!D138</f>
        <v>611162</v>
      </c>
      <c r="D137" s="501">
        <f>'[43]Sch C'!F138</f>
        <v>39833</v>
      </c>
      <c r="E137" s="171">
        <f t="shared" si="28"/>
        <v>650995</v>
      </c>
      <c r="F137" s="171"/>
      <c r="G137" s="171">
        <f>E137+F137</f>
        <v>650995</v>
      </c>
      <c r="H137" s="172">
        <f>IF($G$208=0,0,G137/$G$208)</f>
        <v>0.11109110735305912</v>
      </c>
      <c r="I137" s="473"/>
      <c r="J137" s="183">
        <v>43623</v>
      </c>
      <c r="K137" s="183">
        <v>46466</v>
      </c>
      <c r="L137" s="237"/>
    </row>
    <row r="138" spans="1:12" s="167" customFormat="1">
      <c r="A138" s="169"/>
      <c r="B138" s="163" t="s">
        <v>197</v>
      </c>
      <c r="C138" s="501">
        <f>'[43]Sch C'!D139</f>
        <v>76154</v>
      </c>
      <c r="D138" s="501">
        <f>'[43]Sch C'!F139</f>
        <v>4963</v>
      </c>
      <c r="E138" s="171">
        <f t="shared" si="28"/>
        <v>81117</v>
      </c>
      <c r="F138" s="171">
        <f>-22247+3994</f>
        <v>-18253</v>
      </c>
      <c r="G138" s="171">
        <f>E138+F138</f>
        <v>62864</v>
      </c>
      <c r="H138" s="172">
        <f>IF($G$208=0,0,G138/$G$208)</f>
        <v>1.0727626744664258E-2</v>
      </c>
      <c r="I138" s="473"/>
      <c r="J138" s="183">
        <v>7585</v>
      </c>
      <c r="K138" s="183">
        <v>8079</v>
      </c>
      <c r="L138" s="237"/>
    </row>
    <row r="139" spans="1:12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  <c r="L139" s="237"/>
    </row>
    <row r="140" spans="1:12" s="167" customFormat="1">
      <c r="A140" s="169"/>
      <c r="B140" s="163" t="s">
        <v>194</v>
      </c>
      <c r="C140" s="501">
        <f>'[43]Sch C'!D141</f>
        <v>0</v>
      </c>
      <c r="D140" s="501">
        <f>'[43]Sch C'!F141</f>
        <v>48763</v>
      </c>
      <c r="E140" s="171">
        <f t="shared" ref="E140:E143" si="29">C140+D140</f>
        <v>48763</v>
      </c>
      <c r="F140" s="171"/>
      <c r="G140" s="171">
        <f>E140+F140</f>
        <v>48763</v>
      </c>
      <c r="H140" s="172">
        <f>IF($G$208=0,0,G140/$G$208)</f>
        <v>8.3213168578210612E-3</v>
      </c>
      <c r="I140" s="473"/>
      <c r="J140" s="168"/>
      <c r="K140" s="168"/>
      <c r="L140" s="237"/>
    </row>
    <row r="141" spans="1:12" s="167" customFormat="1">
      <c r="A141" s="169"/>
      <c r="B141" s="163" t="s">
        <v>195</v>
      </c>
      <c r="C141" s="501">
        <f>'[43]Sch C'!D142</f>
        <v>0</v>
      </c>
      <c r="D141" s="501">
        <f>'[43]Sch C'!F142</f>
        <v>30561</v>
      </c>
      <c r="E141" s="171">
        <f t="shared" si="29"/>
        <v>30561</v>
      </c>
      <c r="F141" s="171"/>
      <c r="G141" s="171">
        <f>E141+F141</f>
        <v>30561</v>
      </c>
      <c r="H141" s="172">
        <f>IF($G$208=0,0,G141/$G$208)</f>
        <v>5.215178813688031E-3</v>
      </c>
      <c r="I141" s="473"/>
      <c r="J141" s="168"/>
      <c r="K141" s="168"/>
      <c r="L141" s="237"/>
    </row>
    <row r="142" spans="1:12" s="167" customFormat="1">
      <c r="A142" s="169"/>
      <c r="B142" s="163" t="s">
        <v>196</v>
      </c>
      <c r="C142" s="501">
        <f>'[43]Sch C'!D143</f>
        <v>0</v>
      </c>
      <c r="D142" s="501">
        <f>'[43]Sch C'!F143</f>
        <v>74428</v>
      </c>
      <c r="E142" s="171">
        <f t="shared" si="29"/>
        <v>74428</v>
      </c>
      <c r="F142" s="171"/>
      <c r="G142" s="171">
        <f>E142+F142</f>
        <v>74428</v>
      </c>
      <c r="H142" s="172">
        <f>IF($G$208=0,0,G142/$G$208)</f>
        <v>1.2701002216719767E-2</v>
      </c>
      <c r="I142" s="473"/>
      <c r="J142" s="168"/>
      <c r="K142" s="168"/>
      <c r="L142" s="237"/>
    </row>
    <row r="143" spans="1:12" s="167" customFormat="1">
      <c r="A143" s="169"/>
      <c r="B143" s="163" t="s">
        <v>197</v>
      </c>
      <c r="C143" s="501">
        <f>'[43]Sch C'!D144</f>
        <v>0</v>
      </c>
      <c r="D143" s="501">
        <f>'[43]Sch C'!F144</f>
        <v>9274</v>
      </c>
      <c r="E143" s="171">
        <f t="shared" si="29"/>
        <v>9274</v>
      </c>
      <c r="F143" s="171"/>
      <c r="G143" s="171">
        <f>E143+F143</f>
        <v>9274</v>
      </c>
      <c r="H143" s="172">
        <f>IF($G$208=0,0,G143/$G$208)</f>
        <v>1.5825911559877884E-3</v>
      </c>
      <c r="I143" s="473"/>
      <c r="J143" s="168"/>
      <c r="K143" s="168"/>
      <c r="L143" s="237"/>
    </row>
    <row r="144" spans="1:12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  <c r="L144" s="237"/>
    </row>
    <row r="145" spans="1:12" s="167" customFormat="1">
      <c r="A145" s="169"/>
      <c r="B145" s="163" t="s">
        <v>232</v>
      </c>
      <c r="C145" s="501">
        <f>'[43]Sch C'!D146</f>
        <v>61100</v>
      </c>
      <c r="D145" s="501">
        <f>'[43]Sch C'!F146</f>
        <v>0</v>
      </c>
      <c r="E145" s="171">
        <f t="shared" ref="E145:E153" si="30">C145+D145</f>
        <v>61100</v>
      </c>
      <c r="F145" s="171"/>
      <c r="G145" s="171">
        <f t="shared" ref="G145:G153" si="31">E145+F145</f>
        <v>61100</v>
      </c>
      <c r="H145" s="172">
        <f t="shared" ref="H145:H153" si="32">IF($G$208=0,0,G145/$G$208)</f>
        <v>1.0426603367571044E-2</v>
      </c>
      <c r="I145" s="473"/>
      <c r="J145" s="183">
        <v>0</v>
      </c>
      <c r="K145" s="183">
        <v>0</v>
      </c>
      <c r="L145" s="237"/>
    </row>
    <row r="146" spans="1:12" s="167" customFormat="1">
      <c r="A146" s="169"/>
      <c r="B146" s="163" t="s">
        <v>194</v>
      </c>
      <c r="C146" s="501">
        <f>'[43]Sch C'!D147</f>
        <v>0</v>
      </c>
      <c r="D146" s="501">
        <f>'[43]Sch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  <c r="L146" s="237"/>
    </row>
    <row r="147" spans="1:12" s="167" customFormat="1">
      <c r="A147" s="169"/>
      <c r="B147" s="163" t="s">
        <v>195</v>
      </c>
      <c r="C147" s="501">
        <f>'[43]Sch C'!D148</f>
        <v>0</v>
      </c>
      <c r="D147" s="501">
        <f>'[43]Sch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  <c r="L147" s="237"/>
    </row>
    <row r="148" spans="1:12" s="167" customFormat="1">
      <c r="A148" s="169"/>
      <c r="B148" s="163" t="s">
        <v>196</v>
      </c>
      <c r="C148" s="501">
        <f>'[43]Sch C'!D149</f>
        <v>0</v>
      </c>
      <c r="D148" s="501">
        <f>'[43]Sch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  <c r="L148" s="237"/>
    </row>
    <row r="149" spans="1:12" s="167" customFormat="1">
      <c r="A149" s="169"/>
      <c r="B149" s="163" t="s">
        <v>197</v>
      </c>
      <c r="C149" s="501">
        <f>'[43]Sch C'!D150</f>
        <v>6612</v>
      </c>
      <c r="D149" s="501">
        <f>'[43]Sch C'!F150</f>
        <v>0</v>
      </c>
      <c r="E149" s="171">
        <f t="shared" si="30"/>
        <v>6612</v>
      </c>
      <c r="F149" s="171"/>
      <c r="G149" s="171">
        <f t="shared" si="31"/>
        <v>6612</v>
      </c>
      <c r="H149" s="172">
        <f t="shared" si="32"/>
        <v>1.1283257195806834E-3</v>
      </c>
      <c r="I149" s="473"/>
      <c r="J149" s="183">
        <v>441</v>
      </c>
      <c r="K149" s="183">
        <v>441</v>
      </c>
      <c r="L149" s="237"/>
    </row>
    <row r="150" spans="1:12" s="167" customFormat="1">
      <c r="A150" s="169">
        <v>110</v>
      </c>
      <c r="B150" s="167" t="s">
        <v>65</v>
      </c>
      <c r="C150" s="501">
        <f>'[43]Sch C'!D151</f>
        <v>96903</v>
      </c>
      <c r="D150" s="501">
        <f>'[43]Sch C'!F151</f>
        <v>0</v>
      </c>
      <c r="E150" s="171">
        <f t="shared" si="30"/>
        <v>96903</v>
      </c>
      <c r="F150" s="171"/>
      <c r="G150" s="171">
        <f t="shared" si="31"/>
        <v>96903</v>
      </c>
      <c r="H150" s="172">
        <f t="shared" si="32"/>
        <v>1.6536319903890949E-2</v>
      </c>
      <c r="I150" s="473"/>
      <c r="J150" s="168"/>
      <c r="K150" s="168"/>
      <c r="L150" s="237"/>
    </row>
    <row r="151" spans="1:12" s="167" customFormat="1">
      <c r="A151" s="169">
        <v>111</v>
      </c>
      <c r="B151" s="170" t="s">
        <v>97</v>
      </c>
      <c r="C151" s="501">
        <f>'[43]Sch C'!D152</f>
        <v>1047</v>
      </c>
      <c r="D151" s="501">
        <f>'[43]Sch C'!F152</f>
        <v>0</v>
      </c>
      <c r="E151" s="171">
        <f t="shared" si="30"/>
        <v>1047</v>
      </c>
      <c r="F151" s="171"/>
      <c r="G151" s="171">
        <f t="shared" si="31"/>
        <v>1047</v>
      </c>
      <c r="H151" s="172">
        <f t="shared" si="32"/>
        <v>1.7866863708423705E-4</v>
      </c>
      <c r="I151" s="473"/>
      <c r="J151" s="168"/>
      <c r="K151" s="168"/>
      <c r="L151" s="237"/>
    </row>
    <row r="152" spans="1:12" s="167" customFormat="1">
      <c r="A152" s="169">
        <v>230</v>
      </c>
      <c r="B152" s="170" t="s">
        <v>66</v>
      </c>
      <c r="C152" s="501">
        <f>'[43]Sch C'!D153</f>
        <v>0</v>
      </c>
      <c r="D152" s="501">
        <f>'[43]Sch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  <c r="L152" s="237"/>
    </row>
    <row r="153" spans="1:12" s="167" customFormat="1">
      <c r="A153" s="169">
        <v>430</v>
      </c>
      <c r="B153" s="170" t="s">
        <v>99</v>
      </c>
      <c r="C153" s="501">
        <f>'[43]Sch C'!D154</f>
        <v>0</v>
      </c>
      <c r="D153" s="501">
        <f>'[43]Sch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  <c r="L153" s="237"/>
    </row>
    <row r="154" spans="1:12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  <c r="L154" s="237"/>
    </row>
    <row r="155" spans="1:12" s="167" customFormat="1">
      <c r="A155" s="169">
        <v>440.1</v>
      </c>
      <c r="B155" s="163" t="s">
        <v>223</v>
      </c>
      <c r="C155" s="501">
        <f>'[43]Sch C'!D156</f>
        <v>0</v>
      </c>
      <c r="D155" s="501">
        <f>'[43]Sch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  <c r="L155" s="237"/>
    </row>
    <row r="156" spans="1:12" s="167" customFormat="1">
      <c r="A156" s="169">
        <v>440.2</v>
      </c>
      <c r="B156" s="163" t="s">
        <v>224</v>
      </c>
      <c r="C156" s="501">
        <f>'[43]Sch C'!D157</f>
        <v>0</v>
      </c>
      <c r="D156" s="501">
        <f>'[43]Sch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  <c r="L156" s="237"/>
    </row>
    <row r="157" spans="1:12" s="167" customFormat="1">
      <c r="A157" s="169">
        <v>440.3</v>
      </c>
      <c r="B157" s="163" t="s">
        <v>225</v>
      </c>
      <c r="C157" s="501">
        <f>'[43]Sch C'!D158</f>
        <v>0</v>
      </c>
      <c r="D157" s="501">
        <f>'[43]Sch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  <c r="L157" s="237"/>
    </row>
    <row r="158" spans="1:12" s="167" customFormat="1">
      <c r="A158" s="169">
        <v>440.4</v>
      </c>
      <c r="B158" s="163" t="s">
        <v>226</v>
      </c>
      <c r="C158" s="501">
        <f>'[43]Sch C'!D159</f>
        <v>0</v>
      </c>
      <c r="D158" s="501">
        <f>'[43]Sch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  <c r="L158" s="237"/>
    </row>
    <row r="159" spans="1:12" s="167" customFormat="1">
      <c r="A159" s="169">
        <v>440.5</v>
      </c>
      <c r="B159" s="163" t="s">
        <v>301</v>
      </c>
      <c r="C159" s="501">
        <f>'[43]Sch C'!D160</f>
        <v>0</v>
      </c>
      <c r="D159" s="501">
        <f>'[43]Sch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  <c r="L159" s="237"/>
    </row>
    <row r="160" spans="1:12" s="167" customFormat="1">
      <c r="A160" s="169">
        <v>490</v>
      </c>
      <c r="B160" s="202" t="s">
        <v>315</v>
      </c>
      <c r="C160" s="501">
        <f>'[43]Sch C'!D161</f>
        <v>2070</v>
      </c>
      <c r="D160" s="501">
        <f>'[43]Sch C'!F161</f>
        <v>0</v>
      </c>
      <c r="E160" s="171">
        <f t="shared" si="33"/>
        <v>2070</v>
      </c>
      <c r="F160" s="171"/>
      <c r="G160" s="171">
        <f t="shared" si="34"/>
        <v>2070</v>
      </c>
      <c r="H160" s="172">
        <f t="shared" si="35"/>
        <v>3.5324171801754604E-4</v>
      </c>
      <c r="I160" s="473"/>
      <c r="J160" s="168"/>
      <c r="K160" s="168"/>
      <c r="L160" s="237"/>
    </row>
    <row r="161" spans="1:15" s="167" customFormat="1">
      <c r="A161" s="169"/>
      <c r="B161" s="170" t="s">
        <v>233</v>
      </c>
      <c r="C161" s="501">
        <f>SUM(C123:C160)</f>
        <v>1776565</v>
      </c>
      <c r="D161" s="501">
        <f>SUM(D123:D160)</f>
        <v>300781</v>
      </c>
      <c r="E161" s="171">
        <f t="shared" ref="E161:F161" si="36">SUM(E123:E160)</f>
        <v>2077346</v>
      </c>
      <c r="F161" s="171">
        <f t="shared" si="36"/>
        <v>21822.560040010139</v>
      </c>
      <c r="G161" s="171">
        <f>SUM(G123:G160)</f>
        <v>2099168.5600400101</v>
      </c>
      <c r="H161" s="172">
        <f t="shared" si="35"/>
        <v>0.35821927949611182</v>
      </c>
      <c r="I161" s="473"/>
      <c r="J161" s="168"/>
      <c r="K161" s="168"/>
      <c r="L161" s="237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  <c r="L162" s="237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  <c r="L163" s="237"/>
    </row>
    <row r="164" spans="1:15" s="221" customFormat="1">
      <c r="A164" s="215" t="s">
        <v>95</v>
      </c>
      <c r="B164" s="148" t="s">
        <v>102</v>
      </c>
      <c r="C164" s="501">
        <f>'[43]Sch C'!D175</f>
        <v>0</v>
      </c>
      <c r="D164" s="501">
        <f>'[43]Sch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543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'[43]Sch C'!D176</f>
        <v>0</v>
      </c>
      <c r="D165" s="501">
        <f>'[43]Sch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543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'[43]Sch C'!D177</f>
        <v>389948</v>
      </c>
      <c r="D166" s="501">
        <f>'[43]Sch C'!F177</f>
        <v>25415</v>
      </c>
      <c r="E166" s="171">
        <f t="shared" si="37"/>
        <v>415363</v>
      </c>
      <c r="F166" s="216"/>
      <c r="G166" s="171">
        <f t="shared" si="38"/>
        <v>415363</v>
      </c>
      <c r="H166" s="172">
        <f t="shared" si="39"/>
        <v>7.0880937063247329E-2</v>
      </c>
      <c r="I166" s="483"/>
      <c r="J166" s="183">
        <v>11537</v>
      </c>
      <c r="K166" s="183">
        <v>12289</v>
      </c>
      <c r="L166" s="543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'[43]Sch C'!D178</f>
        <v>0</v>
      </c>
      <c r="D167" s="501">
        <f>'[43]Sch C'!F178</f>
        <v>47488</v>
      </c>
      <c r="E167" s="171">
        <f t="shared" si="37"/>
        <v>47488</v>
      </c>
      <c r="F167" s="216"/>
      <c r="G167" s="171">
        <f t="shared" si="38"/>
        <v>47488</v>
      </c>
      <c r="H167" s="172">
        <f t="shared" si="39"/>
        <v>8.1037404373030079E-3</v>
      </c>
      <c r="I167" s="484"/>
      <c r="J167" s="222"/>
      <c r="K167" s="222"/>
      <c r="L167" s="543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'[43]Sch C'!D179</f>
        <v>38267</v>
      </c>
      <c r="D168" s="501">
        <f>'[43]Sch C'!F179</f>
        <v>2494</v>
      </c>
      <c r="E168" s="171">
        <f t="shared" si="37"/>
        <v>40761</v>
      </c>
      <c r="F168" s="216"/>
      <c r="G168" s="171">
        <f t="shared" si="38"/>
        <v>40761</v>
      </c>
      <c r="H168" s="172">
        <f t="shared" si="39"/>
        <v>6.9557901778324613E-3</v>
      </c>
      <c r="I168" s="483"/>
      <c r="J168" s="183">
        <v>829</v>
      </c>
      <c r="K168" s="183">
        <v>883</v>
      </c>
      <c r="L168" s="543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'[43]Sch C'!D180</f>
        <v>0</v>
      </c>
      <c r="D169" s="501">
        <f>'[43]Sch C'!F180</f>
        <v>4660</v>
      </c>
      <c r="E169" s="171">
        <f t="shared" si="37"/>
        <v>4660</v>
      </c>
      <c r="F169" s="216"/>
      <c r="G169" s="171">
        <f t="shared" si="38"/>
        <v>4660</v>
      </c>
      <c r="H169" s="172">
        <f t="shared" si="39"/>
        <v>7.9522048597186693E-4</v>
      </c>
      <c r="I169" s="484"/>
      <c r="J169" s="222"/>
      <c r="K169" s="222"/>
      <c r="L169" s="543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'[43]Sch C'!D181</f>
        <v>0</v>
      </c>
      <c r="D170" s="501">
        <f>'[43]Sch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543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'[43]Sch C'!D182</f>
        <v>0</v>
      </c>
      <c r="D171" s="501">
        <f>'[43]Sch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543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'[43]Sch C'!D183</f>
        <v>148929</v>
      </c>
      <c r="D172" s="501">
        <f>'[43]Sch C'!F183</f>
        <v>9706</v>
      </c>
      <c r="E172" s="171">
        <f t="shared" si="37"/>
        <v>158635</v>
      </c>
      <c r="F172" s="216"/>
      <c r="G172" s="171">
        <f t="shared" si="38"/>
        <v>158635</v>
      </c>
      <c r="H172" s="172">
        <f t="shared" si="39"/>
        <v>2.7070772916769768E-2</v>
      </c>
      <c r="I172" s="483"/>
      <c r="J172" s="183">
        <v>4875</v>
      </c>
      <c r="K172" s="183">
        <v>5193</v>
      </c>
      <c r="L172" s="543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'[43]Sch C'!D184</f>
        <v>0</v>
      </c>
      <c r="D173" s="501">
        <f>'[43]Sch C'!F184</f>
        <v>18136</v>
      </c>
      <c r="E173" s="171">
        <f t="shared" si="37"/>
        <v>18136</v>
      </c>
      <c r="F173" s="216"/>
      <c r="G173" s="171">
        <f t="shared" si="38"/>
        <v>18136</v>
      </c>
      <c r="H173" s="172">
        <f t="shared" si="39"/>
        <v>3.0948752647179784E-3</v>
      </c>
      <c r="I173" s="484"/>
      <c r="J173" s="222"/>
      <c r="K173" s="222"/>
      <c r="L173" s="543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'[43]Sch C'!D185</f>
        <v>0</v>
      </c>
      <c r="D174" s="501">
        <f>'[43]Sch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543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'[43]Sch C'!D186</f>
        <v>0</v>
      </c>
      <c r="D175" s="501">
        <f>'[43]Sch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544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'[43]Sch C'!D187</f>
        <v>0</v>
      </c>
      <c r="D176" s="501">
        <f>'[43]Sch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544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'[43]Sch C'!D188</f>
        <v>3332</v>
      </c>
      <c r="D177" s="501">
        <f>'[43]Sch C'!F188</f>
        <v>0</v>
      </c>
      <c r="E177" s="171">
        <f t="shared" si="37"/>
        <v>3332</v>
      </c>
      <c r="F177" s="216"/>
      <c r="G177" s="171">
        <f t="shared" si="38"/>
        <v>3332</v>
      </c>
      <c r="H177" s="172">
        <f t="shared" si="39"/>
        <v>5.6859971228718045E-4</v>
      </c>
      <c r="I177" s="473"/>
      <c r="J177" s="223"/>
      <c r="K177" s="218"/>
      <c r="L177" s="544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'[43]Sch C'!D189</f>
        <v>0</v>
      </c>
      <c r="D178" s="501">
        <f>'[43]Sch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544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'[43]Sch C'!D190</f>
        <v>0</v>
      </c>
      <c r="D179" s="501">
        <f>'[43]Sch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544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'[43]Sch C'!D191</f>
        <v>1180</v>
      </c>
      <c r="D180" s="501">
        <f>'[43]Sch C'!F191</f>
        <v>0</v>
      </c>
      <c r="E180" s="171">
        <f t="shared" si="37"/>
        <v>1180</v>
      </c>
      <c r="F180" s="216"/>
      <c r="G180" s="171">
        <f t="shared" si="38"/>
        <v>1180</v>
      </c>
      <c r="H180" s="172">
        <f t="shared" si="39"/>
        <v>2.0136484408729677E-4</v>
      </c>
      <c r="I180" s="473"/>
      <c r="J180" s="223"/>
      <c r="K180" s="218"/>
      <c r="L180" s="544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'[43]Sch C'!D192</f>
        <v>0</v>
      </c>
      <c r="D181" s="501">
        <f>'[43]Sch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544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'[43]Sch C'!D193</f>
        <v>0</v>
      </c>
      <c r="D182" s="501">
        <f>'[43]Sch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544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'[43]Sch C'!D194</f>
        <v>0</v>
      </c>
      <c r="D183" s="501">
        <f>'[43]Sch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L183" s="545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'[43]Sch C'!D195</f>
        <v>0</v>
      </c>
      <c r="D184" s="501">
        <f>'[43]Sch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L184" s="545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'[43]Sch C'!D196</f>
        <v>0</v>
      </c>
      <c r="D185" s="501">
        <f>'[43]Sch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L185" s="545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'[43]Sch C'!D197</f>
        <v>0</v>
      </c>
      <c r="D186" s="501">
        <f>'[43]Sch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L186" s="545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'[43]Sch C'!D198</f>
        <v>71415</v>
      </c>
      <c r="D187" s="501">
        <f>'[43]Sch C'!F198</f>
        <v>-21210</v>
      </c>
      <c r="E187" s="171">
        <f t="shared" si="37"/>
        <v>50205</v>
      </c>
      <c r="F187" s="216"/>
      <c r="G187" s="171">
        <f t="shared" si="38"/>
        <v>50205</v>
      </c>
      <c r="H187" s="172">
        <f t="shared" si="39"/>
        <v>8.5673915232226568E-3</v>
      </c>
      <c r="I187" s="473"/>
      <c r="J187" s="223"/>
      <c r="K187" s="218"/>
      <c r="L187" s="545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'[43]Sch C'!D199</f>
        <v>0</v>
      </c>
      <c r="D188" s="501">
        <f>'[43]Sch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L188" s="545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'[43]Sch C'!D200</f>
        <v>0</v>
      </c>
      <c r="D189" s="501">
        <f>'[43]Sch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L189" s="545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'[43]Sch C'!D201</f>
        <v>0</v>
      </c>
      <c r="D190" s="501">
        <f>'[43]Sch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L190" s="545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'[43]Sch C'!D202</f>
        <v>0</v>
      </c>
      <c r="D191" s="501">
        <f>'[43]Sch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L191" s="545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'[43]Sch C'!D203</f>
        <v>0</v>
      </c>
      <c r="D192" s="501">
        <f>'[43]Sch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L192" s="545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'[43]Sch C'!D204</f>
        <v>0</v>
      </c>
      <c r="D193" s="501">
        <f>'[43]Sch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L193" s="545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'[43]Sch C'!D205</f>
        <v>208544</v>
      </c>
      <c r="D194" s="501">
        <f>'[43]Sch C'!F205</f>
        <v>0</v>
      </c>
      <c r="E194" s="171">
        <f t="shared" si="37"/>
        <v>208544</v>
      </c>
      <c r="F194" s="216"/>
      <c r="G194" s="171">
        <f t="shared" si="38"/>
        <v>208544</v>
      </c>
      <c r="H194" s="172">
        <f t="shared" si="39"/>
        <v>3.5587652580797643E-2</v>
      </c>
      <c r="I194" s="473"/>
      <c r="J194" s="223"/>
      <c r="K194" s="218"/>
      <c r="L194" s="545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'[43]Sch C'!D206</f>
        <v>5849</v>
      </c>
      <c r="D195" s="501">
        <f>'[43]Sch C'!F206</f>
        <v>0</v>
      </c>
      <c r="E195" s="171">
        <f t="shared" si="37"/>
        <v>5849</v>
      </c>
      <c r="F195" s="216"/>
      <c r="G195" s="171">
        <f t="shared" si="38"/>
        <v>5849</v>
      </c>
      <c r="H195" s="172">
        <f t="shared" si="39"/>
        <v>9.9812116361576182E-4</v>
      </c>
      <c r="I195" s="473"/>
      <c r="J195" s="223"/>
      <c r="K195" s="218"/>
      <c r="L195" s="545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'[43]Sch C'!D207</f>
        <v>25767</v>
      </c>
      <c r="D196" s="501">
        <f>'[43]Sch C'!F207</f>
        <v>-1646</v>
      </c>
      <c r="E196" s="171">
        <f t="shared" si="37"/>
        <v>24121</v>
      </c>
      <c r="F196" s="216"/>
      <c r="G196" s="171">
        <f t="shared" si="38"/>
        <v>24121</v>
      </c>
      <c r="H196" s="172">
        <f t="shared" si="39"/>
        <v>4.1162045798556661E-3</v>
      </c>
      <c r="I196" s="473"/>
      <c r="J196" s="223"/>
      <c r="K196" s="218"/>
      <c r="L196" s="545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893231</v>
      </c>
      <c r="D197" s="501">
        <f>SUM(D164:D196)</f>
        <v>85043</v>
      </c>
      <c r="E197" s="171">
        <f t="shared" ref="E197:F197" si="40">SUM(E164:E196)</f>
        <v>978274</v>
      </c>
      <c r="F197" s="171">
        <f t="shared" si="40"/>
        <v>0</v>
      </c>
      <c r="G197" s="171">
        <f>SUM(G164:G196)</f>
        <v>978274</v>
      </c>
      <c r="H197" s="172">
        <f>IF($G$208=0,0,G197/$G$208)</f>
        <v>0.16694067074970861</v>
      </c>
      <c r="I197" s="473"/>
      <c r="J197" s="168"/>
      <c r="K197" s="168"/>
      <c r="L197" s="237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  <c r="L198" s="237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  <c r="L199" s="237"/>
    </row>
    <row r="200" spans="1:14" s="167" customFormat="1">
      <c r="A200" s="169" t="s">
        <v>85</v>
      </c>
      <c r="B200" s="170" t="s">
        <v>69</v>
      </c>
      <c r="C200" s="501">
        <f>'[43]Sch C'!D211</f>
        <v>110068</v>
      </c>
      <c r="D200" s="501">
        <f>'[43]Sch C'!F211</f>
        <v>7174</v>
      </c>
      <c r="E200" s="171">
        <f t="shared" ref="E200:E205" si="41">C200+D200</f>
        <v>117242</v>
      </c>
      <c r="F200" s="171"/>
      <c r="G200" s="171">
        <f t="shared" ref="G200:G205" si="42">E200+F200</f>
        <v>117242</v>
      </c>
      <c r="H200" s="172">
        <f t="shared" ref="H200:H206" si="43">IF($G$208=0,0,G200/$G$208)</f>
        <v>2.0007133093629535E-2</v>
      </c>
      <c r="I200" s="473"/>
      <c r="J200" s="183">
        <v>6984</v>
      </c>
      <c r="K200" s="183">
        <v>7439</v>
      </c>
      <c r="L200" s="237"/>
    </row>
    <row r="201" spans="1:14" s="167" customFormat="1">
      <c r="A201" s="169" t="s">
        <v>86</v>
      </c>
      <c r="B201" s="170" t="s">
        <v>45</v>
      </c>
      <c r="C201" s="501">
        <f>'[43]Sch C'!D212</f>
        <v>0</v>
      </c>
      <c r="D201" s="501">
        <f>'[43]Sch C'!F212</f>
        <v>13404</v>
      </c>
      <c r="E201" s="171">
        <f t="shared" si="41"/>
        <v>13404</v>
      </c>
      <c r="F201" s="171"/>
      <c r="G201" s="171">
        <f t="shared" si="42"/>
        <v>13404</v>
      </c>
      <c r="H201" s="172">
        <f t="shared" si="43"/>
        <v>2.2873681102933271E-3</v>
      </c>
      <c r="I201" s="473"/>
      <c r="J201" s="168"/>
      <c r="K201" s="168"/>
      <c r="L201" s="237"/>
    </row>
    <row r="202" spans="1:14" s="167" customFormat="1">
      <c r="A202" s="169" t="s">
        <v>140</v>
      </c>
      <c r="B202" s="170" t="s">
        <v>54</v>
      </c>
      <c r="C202" s="501">
        <f>'[43]Sch C'!D213</f>
        <v>5111</v>
      </c>
      <c r="D202" s="501">
        <f>'[43]Sch C'!F213</f>
        <v>0</v>
      </c>
      <c r="E202" s="171">
        <f t="shared" si="41"/>
        <v>5111</v>
      </c>
      <c r="F202" s="171"/>
      <c r="G202" s="171">
        <f t="shared" si="42"/>
        <v>5111</v>
      </c>
      <c r="H202" s="172">
        <f t="shared" si="43"/>
        <v>8.7218281197472356E-4</v>
      </c>
      <c r="I202" s="473"/>
      <c r="J202" s="168"/>
      <c r="K202" s="168"/>
      <c r="L202" s="237"/>
    </row>
    <row r="203" spans="1:14" s="167" customFormat="1">
      <c r="A203" s="169" t="s">
        <v>141</v>
      </c>
      <c r="B203" s="170" t="s">
        <v>70</v>
      </c>
      <c r="C203" s="501">
        <f>'[43]Sch C'!D214</f>
        <v>0</v>
      </c>
      <c r="D203" s="501">
        <f>'[43]Sch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  <c r="L203" s="237"/>
    </row>
    <row r="204" spans="1:14" s="167" customFormat="1">
      <c r="A204" s="169" t="s">
        <v>142</v>
      </c>
      <c r="B204" s="202" t="s">
        <v>71</v>
      </c>
      <c r="C204" s="501">
        <f>'[43]Sch C'!D215</f>
        <v>0</v>
      </c>
      <c r="D204" s="501">
        <f>'[43]Sch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  <c r="L204" s="237"/>
    </row>
    <row r="205" spans="1:14" s="167" customFormat="1">
      <c r="A205" s="169" t="s">
        <v>143</v>
      </c>
      <c r="B205" s="170" t="s">
        <v>312</v>
      </c>
      <c r="C205" s="501">
        <f>'[43]Sch C'!D216</f>
        <v>6499</v>
      </c>
      <c r="D205" s="501">
        <f>'[43]Sch C'!F216</f>
        <v>0</v>
      </c>
      <c r="E205" s="171">
        <f t="shared" si="41"/>
        <v>6499</v>
      </c>
      <c r="F205" s="171"/>
      <c r="G205" s="171">
        <f t="shared" si="42"/>
        <v>6499</v>
      </c>
      <c r="H205" s="172">
        <f t="shared" si="43"/>
        <v>1.1090424760367304E-3</v>
      </c>
      <c r="I205" s="473"/>
      <c r="J205" s="168"/>
      <c r="K205" s="168"/>
      <c r="L205" s="237"/>
    </row>
    <row r="206" spans="1:14" s="167" customFormat="1">
      <c r="A206" s="163"/>
      <c r="B206" s="170" t="s">
        <v>144</v>
      </c>
      <c r="C206" s="501">
        <f>SUM(C200:C205)</f>
        <v>121678</v>
      </c>
      <c r="D206" s="501">
        <f>SUM(D200:D205)</f>
        <v>20578</v>
      </c>
      <c r="E206" s="171">
        <f t="shared" ref="E206:F206" si="44">SUM(E200:E205)</f>
        <v>142256</v>
      </c>
      <c r="F206" s="171">
        <f t="shared" si="44"/>
        <v>0</v>
      </c>
      <c r="G206" s="171">
        <f>SUM(G200:G205)</f>
        <v>142256</v>
      </c>
      <c r="H206" s="172">
        <f t="shared" si="43"/>
        <v>2.4275726491934314E-2</v>
      </c>
      <c r="I206" s="473"/>
      <c r="J206" s="168"/>
      <c r="K206" s="168"/>
      <c r="L206" s="237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  <c r="L207" s="237"/>
    </row>
    <row r="208" spans="1:14" s="167" customFormat="1">
      <c r="A208" s="227"/>
      <c r="B208" s="228" t="s">
        <v>145</v>
      </c>
      <c r="C208" s="501">
        <f>SUM(C25:C206)/2</f>
        <v>6377764</v>
      </c>
      <c r="D208" s="501">
        <f>SUM(D25:D206)/2</f>
        <v>-49831</v>
      </c>
      <c r="E208" s="171">
        <f t="shared" ref="E208:F208" si="45">SUM(E25:E206)/2</f>
        <v>6327933</v>
      </c>
      <c r="F208" s="171">
        <f t="shared" si="45"/>
        <v>-467923</v>
      </c>
      <c r="G208" s="171">
        <f>SUM(G25:G206)/2</f>
        <v>5860010</v>
      </c>
      <c r="H208" s="172">
        <f>IF($G$208=0,0,G208/$G$208)</f>
        <v>1</v>
      </c>
      <c r="I208" s="473"/>
      <c r="J208" s="183">
        <f>SUM(J25:J200)</f>
        <v>140458</v>
      </c>
      <c r="K208" s="183">
        <f>SUM(K25:K200)</f>
        <v>149581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'[43]Sch C'!D221</f>
        <v>6377764</v>
      </c>
      <c r="D211" s="196"/>
      <c r="E211" s="165"/>
      <c r="F211" s="409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09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 t="s">
        <v>198</v>
      </c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714786</v>
      </c>
      <c r="D215" s="501">
        <f>D21-D208</f>
        <v>49831</v>
      </c>
      <c r="E215" s="171">
        <f t="shared" ref="E215:F215" si="46">E21-E208</f>
        <v>764617</v>
      </c>
      <c r="F215" s="171">
        <f t="shared" si="46"/>
        <v>938930</v>
      </c>
      <c r="G215" s="171">
        <f>G21-G208</f>
        <v>1703547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'[43]Sch D'!C9</f>
        <v>9910</v>
      </c>
      <c r="D219" s="530"/>
      <c r="E219" s="234">
        <f t="shared" ref="E219:G227" si="47">C219+D219</f>
        <v>9910</v>
      </c>
      <c r="F219" s="233"/>
      <c r="G219" s="234">
        <f t="shared" si="47"/>
        <v>9910</v>
      </c>
      <c r="H219" s="172">
        <f t="shared" ref="H219:H228" si="48">IF($G$228=0,0,G219/$G$228)</f>
        <v>0.43974085906993254</v>
      </c>
      <c r="I219" s="473"/>
      <c r="J219" s="168"/>
      <c r="K219" s="168"/>
    </row>
    <row r="220" spans="1:11">
      <c r="A220" s="163"/>
      <c r="B220" s="170" t="s">
        <v>217</v>
      </c>
      <c r="C220" s="530">
        <f>'[43]Sch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'[43]Sch D'!E9</f>
        <v>3029</v>
      </c>
      <c r="D221" s="530"/>
      <c r="E221" s="234">
        <f t="shared" si="49"/>
        <v>3029</v>
      </c>
      <c r="F221" s="233"/>
      <c r="G221" s="234">
        <f t="shared" si="47"/>
        <v>3029</v>
      </c>
      <c r="H221" s="172">
        <f t="shared" si="48"/>
        <v>0.13440717074902378</v>
      </c>
      <c r="I221" s="473"/>
      <c r="J221" s="168"/>
      <c r="K221" s="168"/>
    </row>
    <row r="222" spans="1:11">
      <c r="A222" s="163"/>
      <c r="B222" s="202" t="s">
        <v>334</v>
      </c>
      <c r="C222" s="530">
        <f>'[43]Sch D'!F9</f>
        <v>3931</v>
      </c>
      <c r="D222" s="530"/>
      <c r="E222" s="234">
        <f>C222+D222</f>
        <v>3931</v>
      </c>
      <c r="F222" s="233"/>
      <c r="G222" s="234">
        <f>E222+F222</f>
        <v>3931</v>
      </c>
      <c r="H222" s="172">
        <f t="shared" si="48"/>
        <v>0.17443201987930423</v>
      </c>
      <c r="I222" s="473"/>
      <c r="J222" s="168"/>
      <c r="K222" s="168"/>
    </row>
    <row r="223" spans="1:11">
      <c r="A223" s="163"/>
      <c r="B223" s="170" t="s">
        <v>73</v>
      </c>
      <c r="C223" s="530">
        <f>'[43]Sch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'[43]Sch D'!H9</f>
        <v>3193</v>
      </c>
      <c r="D224" s="530"/>
      <c r="E224" s="234">
        <f t="shared" si="49"/>
        <v>3193</v>
      </c>
      <c r="F224" s="233"/>
      <c r="G224" s="234">
        <f t="shared" si="47"/>
        <v>3193</v>
      </c>
      <c r="H224" s="172">
        <f t="shared" si="48"/>
        <v>0.14168441604543841</v>
      </c>
      <c r="I224" s="473"/>
      <c r="J224" s="168"/>
      <c r="K224" s="168"/>
    </row>
    <row r="225" spans="1:11">
      <c r="A225" s="163"/>
      <c r="B225" s="170" t="s">
        <v>236</v>
      </c>
      <c r="C225" s="530">
        <f>'[43]Sch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'[43]Sch D'!J9</f>
        <v>2473</v>
      </c>
      <c r="D226" s="530"/>
      <c r="E226" s="234">
        <f>C226+D226</f>
        <v>2473</v>
      </c>
      <c r="F226" s="233"/>
      <c r="G226" s="234">
        <f>E226+F226</f>
        <v>2473</v>
      </c>
      <c r="H226" s="172">
        <f t="shared" si="48"/>
        <v>0.10973553425630103</v>
      </c>
      <c r="I226" s="473"/>
      <c r="J226" s="168"/>
      <c r="K226" s="168"/>
    </row>
    <row r="227" spans="1:11">
      <c r="A227" s="163"/>
      <c r="B227" s="170" t="s">
        <v>179</v>
      </c>
      <c r="C227" s="530">
        <f>'[43]Sch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22536</v>
      </c>
      <c r="D228" s="530">
        <f>SUM(D219:D227)</f>
        <v>0</v>
      </c>
      <c r="E228" s="236">
        <f>SUM(E219:E227)</f>
        <v>22536</v>
      </c>
      <c r="F228" s="236">
        <f>SUM(F219:F227)</f>
        <v>0</v>
      </c>
      <c r="G228" s="236">
        <f>SUM(G219:G227)</f>
        <v>22536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'[43]Sch D'!N22</f>
        <v>108</v>
      </c>
      <c r="D231" s="502"/>
      <c r="E231" s="234">
        <f>C231+D231</f>
        <v>108</v>
      </c>
      <c r="F231" s="234"/>
      <c r="G231" s="234">
        <f>E231+F231</f>
        <v>108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'[43]Sch D'!N24</f>
        <v>108</v>
      </c>
      <c r="D232" s="502"/>
      <c r="E232" s="234">
        <f>C232+D232</f>
        <v>108</v>
      </c>
      <c r="F232" s="234"/>
      <c r="G232" s="234">
        <f>E232+F232</f>
        <v>108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'[43]Sch D'!N28</f>
        <v>39420</v>
      </c>
      <c r="D235" s="438"/>
      <c r="E235" s="233">
        <f>E231*E233</f>
        <v>39420</v>
      </c>
      <c r="F235" s="238"/>
      <c r="G235" s="233">
        <f>G231*G233</f>
        <v>39420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'[43]Sch D'!N30</f>
        <v>0.57168949771689492</v>
      </c>
      <c r="D236" s="238"/>
      <c r="E236" s="242">
        <f>E228/E235</f>
        <v>0.57168949771689492</v>
      </c>
      <c r="F236" s="243"/>
      <c r="G236" s="242">
        <f>G228/G235</f>
        <v>0.57168949771689492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'[43]Sch D'!N32</f>
        <v>0.25139523084728566</v>
      </c>
      <c r="D237" s="238"/>
      <c r="E237" s="242">
        <f>(E219+E220)/E235</f>
        <v>0.25139523084728566</v>
      </c>
      <c r="F237" s="243"/>
      <c r="G237" s="242">
        <f>(G219+G220)/G235</f>
        <v>0.25139523084728566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'[43]Sch D'!N34</f>
        <v>0.4397408590699326</v>
      </c>
      <c r="D238" s="238"/>
      <c r="E238" s="242">
        <f>(E237/E236)</f>
        <v>0.4397408590699326</v>
      </c>
      <c r="F238" s="243"/>
      <c r="G238" s="242">
        <f>(G237/G236)</f>
        <v>0.4397408590699326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 ht="15.5">
      <c r="B241" s="148" t="s">
        <v>339</v>
      </c>
      <c r="D241"/>
      <c r="E241"/>
      <c r="F241" s="142" t="s">
        <v>340</v>
      </c>
      <c r="G241" s="501">
        <f>'[43]Sch B'!C85</f>
        <v>206.38481012658227</v>
      </c>
      <c r="I241" s="475"/>
    </row>
    <row r="242" spans="2:9" ht="15.5">
      <c r="D242"/>
      <c r="E242"/>
      <c r="F242" s="142" t="s">
        <v>341</v>
      </c>
      <c r="G242" s="501">
        <f>'[43]Sch B'!E85</f>
        <v>207.42219020172911</v>
      </c>
      <c r="I242" s="475"/>
    </row>
    <row r="243" spans="2:9" ht="15.5">
      <c r="D243"/>
      <c r="E243"/>
      <c r="F243" s="142" t="s">
        <v>342</v>
      </c>
      <c r="G243" s="501">
        <f>'[43]Sch B'!G85</f>
        <v>211.8013468013468</v>
      </c>
      <c r="I243" s="475"/>
    </row>
    <row r="244" spans="2:9" ht="15.5">
      <c r="D244"/>
      <c r="E244"/>
      <c r="F244" s="142" t="s">
        <v>343</v>
      </c>
      <c r="G244" s="501">
        <f>'[43]Sch B'!I85</f>
        <v>227.19070904645477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71">
    <tabColor rgb="FFE28CAB"/>
  </sheetPr>
  <dimension ref="A1:L251"/>
  <sheetViews>
    <sheetView showGridLines="0" zoomScaleNormal="100" workbookViewId="0">
      <selection activeCell="K1" sqref="K1"/>
    </sheetView>
  </sheetViews>
  <sheetFormatPr defaultColWidth="8.6640625" defaultRowHeight="13"/>
  <cols>
    <col min="1" max="1" width="8.58203125" style="249" customWidth="1"/>
    <col min="2" max="2" width="43.1640625" style="247" customWidth="1"/>
    <col min="3" max="3" width="24.1640625" style="247" customWidth="1"/>
    <col min="4" max="4" width="12.6640625" style="247" customWidth="1"/>
    <col min="5" max="5" width="12.9140625" style="247" customWidth="1"/>
    <col min="6" max="6" width="14.1640625" style="247" bestFit="1" customWidth="1"/>
    <col min="7" max="7" width="13.5" style="247" bestFit="1" customWidth="1"/>
    <col min="8" max="8" width="12.58203125" style="247" customWidth="1"/>
    <col min="9" max="9" width="2.5" style="332" customWidth="1"/>
    <col min="10" max="10" width="14.6640625" style="248" customWidth="1"/>
    <col min="11" max="11" width="13" style="248" customWidth="1"/>
    <col min="12" max="12" width="2.5" style="247" customWidth="1"/>
    <col min="13" max="16384" width="8.6640625" style="247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34"/>
      <c r="D1" s="434"/>
      <c r="E1" s="434"/>
      <c r="F1" s="434"/>
      <c r="G1" s="434"/>
      <c r="H1" s="434"/>
      <c r="I1" s="435"/>
    </row>
    <row r="2" spans="1:11" ht="23">
      <c r="B2" s="143" t="s">
        <v>189</v>
      </c>
      <c r="C2" s="244" t="s">
        <v>452</v>
      </c>
      <c r="D2" s="251"/>
      <c r="E2" s="251"/>
    </row>
    <row r="3" spans="1:11" ht="24" customHeight="1">
      <c r="A3" s="252"/>
      <c r="B3" s="247" t="s">
        <v>79</v>
      </c>
      <c r="C3" s="441">
        <v>42552</v>
      </c>
      <c r="D3" s="251"/>
      <c r="E3" s="521"/>
      <c r="F3" s="566"/>
      <c r="G3" s="521"/>
      <c r="H3" s="521"/>
    </row>
    <row r="4" spans="1:11" ht="25.5" customHeight="1">
      <c r="A4" s="252"/>
      <c r="B4" s="253" t="s">
        <v>80</v>
      </c>
      <c r="C4" s="441">
        <v>42916</v>
      </c>
      <c r="D4" s="251"/>
      <c r="E4" s="521"/>
      <c r="F4" s="565"/>
      <c r="G4" s="521"/>
      <c r="H4" s="521"/>
    </row>
    <row r="5" spans="1:11">
      <c r="A5" s="252"/>
      <c r="B5" s="253"/>
      <c r="C5" s="256"/>
      <c r="D5" s="251"/>
      <c r="F5" s="409"/>
    </row>
    <row r="6" spans="1:11">
      <c r="A6" s="252"/>
      <c r="B6" s="253"/>
      <c r="C6" s="257" t="s">
        <v>37</v>
      </c>
      <c r="D6" s="258" t="s">
        <v>38</v>
      </c>
      <c r="E6" s="254" t="s">
        <v>39</v>
      </c>
      <c r="F6" s="259" t="s">
        <v>40</v>
      </c>
      <c r="G6" s="258" t="s">
        <v>41</v>
      </c>
      <c r="H6" s="254" t="s">
        <v>42</v>
      </c>
      <c r="I6" s="333"/>
      <c r="J6" s="260">
        <v>7</v>
      </c>
      <c r="K6" s="260">
        <v>8</v>
      </c>
    </row>
    <row r="7" spans="1:11">
      <c r="B7" s="253"/>
      <c r="C7" s="261" t="s">
        <v>1</v>
      </c>
      <c r="D7" s="261" t="s">
        <v>2</v>
      </c>
      <c r="E7" s="261" t="s">
        <v>3</v>
      </c>
      <c r="F7" s="261" t="s">
        <v>4</v>
      </c>
      <c r="G7" s="261" t="s">
        <v>5</v>
      </c>
      <c r="H7" s="262" t="s">
        <v>6</v>
      </c>
      <c r="I7" s="622"/>
      <c r="J7" s="263" t="s">
        <v>291</v>
      </c>
      <c r="K7" s="264" t="s">
        <v>292</v>
      </c>
    </row>
    <row r="8" spans="1:11">
      <c r="B8" s="253"/>
      <c r="C8" s="265"/>
      <c r="D8" s="265"/>
      <c r="E8" s="265" t="s">
        <v>8</v>
      </c>
      <c r="F8" s="265" t="s">
        <v>9</v>
      </c>
      <c r="G8" s="265" t="s">
        <v>10</v>
      </c>
      <c r="H8" s="266" t="s">
        <v>11</v>
      </c>
      <c r="I8" s="622"/>
      <c r="J8" s="267"/>
      <c r="K8" s="267"/>
    </row>
    <row r="9" spans="1:11" ht="15.5">
      <c r="A9" s="252"/>
      <c r="C9" s="256"/>
      <c r="D9" s="251"/>
      <c r="F9"/>
      <c r="G9" s="251"/>
      <c r="I9" s="623"/>
    </row>
    <row r="10" spans="1:11" s="272" customFormat="1" ht="16" thickBot="1">
      <c r="A10" s="268" t="s">
        <v>245</v>
      </c>
      <c r="B10" s="164" t="s">
        <v>246</v>
      </c>
      <c r="C10" s="270"/>
      <c r="D10" s="270"/>
      <c r="E10" s="270"/>
      <c r="F10"/>
      <c r="G10" s="270"/>
      <c r="H10" s="271"/>
      <c r="I10" s="624"/>
      <c r="J10" s="273"/>
      <c r="K10" s="273"/>
    </row>
    <row r="11" spans="1:11" s="272" customFormat="1">
      <c r="A11" s="274" t="s">
        <v>13</v>
      </c>
      <c r="B11" s="275" t="s">
        <v>213</v>
      </c>
      <c r="C11" s="501">
        <f>'[44]Sch B'!E10</f>
        <v>3406404.8</v>
      </c>
      <c r="D11" s="501">
        <f>'[44]Sch B'!G10</f>
        <v>0</v>
      </c>
      <c r="E11" s="246">
        <f>C11+D11</f>
        <v>3406404.8</v>
      </c>
      <c r="F11" s="246">
        <v>411387</v>
      </c>
      <c r="G11" s="246">
        <f t="shared" ref="G11:G20" si="0">E11+F11</f>
        <v>3817791.8</v>
      </c>
      <c r="H11" s="276">
        <f t="shared" ref="H11:H21" si="1">IF($G$21=0,0,G11/$G$21)</f>
        <v>0.48198758056305319</v>
      </c>
      <c r="I11" s="621"/>
      <c r="J11" s="336" t="s">
        <v>344</v>
      </c>
      <c r="K11" s="337">
        <f>G21</f>
        <v>7920933.9700000007</v>
      </c>
    </row>
    <row r="12" spans="1:11" s="272" customFormat="1">
      <c r="A12" s="274" t="s">
        <v>15</v>
      </c>
      <c r="B12" s="275" t="s">
        <v>212</v>
      </c>
      <c r="C12" s="501">
        <f>'[44]Sch B'!E15</f>
        <v>269264</v>
      </c>
      <c r="D12" s="501">
        <f>'[44]Sch B'!G15</f>
        <v>0</v>
      </c>
      <c r="E12" s="246">
        <f t="shared" ref="E12:E20" si="2">C12+D12</f>
        <v>269264</v>
      </c>
      <c r="F12" s="246"/>
      <c r="G12" s="246">
        <f>E12+F12</f>
        <v>269264</v>
      </c>
      <c r="H12" s="276">
        <f t="shared" si="1"/>
        <v>3.3993971041776018E-2</v>
      </c>
      <c r="I12" s="621"/>
      <c r="J12" s="338" t="s">
        <v>345</v>
      </c>
      <c r="K12" s="339">
        <f>G208</f>
        <v>7734535.5699999984</v>
      </c>
    </row>
    <row r="13" spans="1:11" s="272" customFormat="1">
      <c r="A13" s="274" t="s">
        <v>16</v>
      </c>
      <c r="B13" s="275" t="s">
        <v>170</v>
      </c>
      <c r="C13" s="501">
        <f>'[44]Sch B'!E21</f>
        <v>1089528.9200000002</v>
      </c>
      <c r="D13" s="501">
        <f>'[44]Sch B'!G21</f>
        <v>0</v>
      </c>
      <c r="E13" s="246">
        <f t="shared" si="2"/>
        <v>1089528.9200000002</v>
      </c>
      <c r="F13" s="246"/>
      <c r="G13" s="246">
        <f t="shared" si="0"/>
        <v>1089528.9200000002</v>
      </c>
      <c r="H13" s="276">
        <f t="shared" si="1"/>
        <v>0.13755056210877617</v>
      </c>
      <c r="I13" s="621"/>
      <c r="J13" s="338" t="s">
        <v>346</v>
      </c>
      <c r="K13" s="339">
        <f>G228</f>
        <v>25334</v>
      </c>
    </row>
    <row r="14" spans="1:11" s="272" customFormat="1">
      <c r="A14" s="277" t="s">
        <v>18</v>
      </c>
      <c r="B14" s="278" t="s">
        <v>306</v>
      </c>
      <c r="C14" s="501">
        <f>'[44]Sch B'!E27</f>
        <v>249345.78000000003</v>
      </c>
      <c r="D14" s="501">
        <f>'[44]Sch B'!G27</f>
        <v>0</v>
      </c>
      <c r="E14" s="246">
        <f t="shared" si="2"/>
        <v>249345.78000000003</v>
      </c>
      <c r="F14" s="279"/>
      <c r="G14" s="279">
        <f>E14+F14</f>
        <v>249345.78000000003</v>
      </c>
      <c r="H14" s="280">
        <f t="shared" si="1"/>
        <v>3.1479340813138988E-2</v>
      </c>
      <c r="I14" s="625"/>
      <c r="J14" s="338" t="s">
        <v>347</v>
      </c>
      <c r="K14" s="339">
        <f>G231</f>
        <v>107</v>
      </c>
    </row>
    <row r="15" spans="1:11" s="272" customFormat="1">
      <c r="A15" s="274" t="s">
        <v>19</v>
      </c>
      <c r="B15" s="275" t="s">
        <v>171</v>
      </c>
      <c r="C15" s="501">
        <f>'[44]Sch B'!E32</f>
        <v>1493504.1</v>
      </c>
      <c r="D15" s="501">
        <f>'[44]Sch B'!G32</f>
        <v>0</v>
      </c>
      <c r="E15" s="246">
        <f t="shared" si="2"/>
        <v>1493504.1</v>
      </c>
      <c r="F15" s="246"/>
      <c r="G15" s="246">
        <f t="shared" si="0"/>
        <v>1493504.1</v>
      </c>
      <c r="H15" s="276">
        <f t="shared" si="1"/>
        <v>0.18855151496736944</v>
      </c>
      <c r="I15" s="621"/>
      <c r="J15" s="338" t="s">
        <v>348</v>
      </c>
      <c r="K15" s="339">
        <f>G235</f>
        <v>39055</v>
      </c>
    </row>
    <row r="16" spans="1:11" s="272" customFormat="1">
      <c r="A16" s="274" t="s">
        <v>21</v>
      </c>
      <c r="B16" s="275" t="s">
        <v>172</v>
      </c>
      <c r="C16" s="501">
        <f>'[44]Sch B'!E37</f>
        <v>706925.9</v>
      </c>
      <c r="D16" s="501">
        <f>'[44]Sch B'!G37</f>
        <v>0</v>
      </c>
      <c r="E16" s="246">
        <f t="shared" si="2"/>
        <v>706925.9</v>
      </c>
      <c r="F16" s="246"/>
      <c r="G16" s="246">
        <f t="shared" si="0"/>
        <v>706925.9</v>
      </c>
      <c r="H16" s="276">
        <f t="shared" si="1"/>
        <v>8.9247796115639128E-2</v>
      </c>
      <c r="I16" s="621"/>
      <c r="J16" s="340"/>
      <c r="K16" s="339"/>
    </row>
    <row r="17" spans="1:11" s="272" customFormat="1">
      <c r="A17" s="274" t="s">
        <v>215</v>
      </c>
      <c r="B17" s="275" t="s">
        <v>228</v>
      </c>
      <c r="C17" s="501">
        <f>'[44]Sch B'!E42</f>
        <v>217993.07</v>
      </c>
      <c r="D17" s="501">
        <f>'[44]Sch B'!G42</f>
        <v>0</v>
      </c>
      <c r="E17" s="246">
        <f t="shared" si="2"/>
        <v>217993.07</v>
      </c>
      <c r="F17" s="246"/>
      <c r="G17" s="246">
        <f>E17+F17</f>
        <v>217993.07</v>
      </c>
      <c r="H17" s="276">
        <f t="shared" si="1"/>
        <v>2.7521132081852209E-2</v>
      </c>
      <c r="I17" s="621"/>
      <c r="J17" s="338" t="s">
        <v>156</v>
      </c>
      <c r="K17" s="339">
        <f>J208</f>
        <v>178053.011336</v>
      </c>
    </row>
    <row r="18" spans="1:11" s="272" customFormat="1" ht="13.5" thickBot="1">
      <c r="A18" s="274" t="s">
        <v>216</v>
      </c>
      <c r="B18" s="275" t="s">
        <v>229</v>
      </c>
      <c r="C18" s="501">
        <f>'[44]Sch B'!E47</f>
        <v>7977</v>
      </c>
      <c r="D18" s="501">
        <f>'[44]Sch B'!G47</f>
        <v>0</v>
      </c>
      <c r="E18" s="246">
        <f t="shared" si="2"/>
        <v>7977</v>
      </c>
      <c r="F18" s="246"/>
      <c r="G18" s="246">
        <f>E18+F18</f>
        <v>7977</v>
      </c>
      <c r="H18" s="276">
        <f t="shared" si="1"/>
        <v>1.0070782094904901E-3</v>
      </c>
      <c r="I18" s="621"/>
      <c r="J18" s="341" t="s">
        <v>252</v>
      </c>
      <c r="K18" s="342">
        <f>K208</f>
        <v>185380.05136899999</v>
      </c>
    </row>
    <row r="19" spans="1:11" s="272" customFormat="1">
      <c r="A19" s="274" t="s">
        <v>227</v>
      </c>
      <c r="B19" s="177" t="s">
        <v>173</v>
      </c>
      <c r="C19" s="501">
        <f>'[44]Sch B'!E52</f>
        <v>0</v>
      </c>
      <c r="D19" s="501">
        <f>'[44]Sch B'!G52</f>
        <v>0</v>
      </c>
      <c r="E19" s="246">
        <f t="shared" si="2"/>
        <v>0</v>
      </c>
      <c r="F19" s="246"/>
      <c r="G19" s="246">
        <f t="shared" si="0"/>
        <v>0</v>
      </c>
      <c r="H19" s="276">
        <f t="shared" si="1"/>
        <v>0</v>
      </c>
      <c r="I19" s="621"/>
      <c r="J19" s="273"/>
      <c r="K19" s="273"/>
    </row>
    <row r="20" spans="1:11" s="272" customFormat="1">
      <c r="A20" s="274" t="s">
        <v>183</v>
      </c>
      <c r="B20" s="23" t="s">
        <v>180</v>
      </c>
      <c r="C20" s="501">
        <f>'[44]Sch B'!E67</f>
        <v>68893.399999999994</v>
      </c>
      <c r="D20" s="501">
        <f>'[44]Sch B'!G67</f>
        <v>-290</v>
      </c>
      <c r="E20" s="246">
        <f t="shared" si="2"/>
        <v>68603.399999999994</v>
      </c>
      <c r="F20" s="246"/>
      <c r="G20" s="246">
        <f t="shared" si="0"/>
        <v>68603.399999999994</v>
      </c>
      <c r="H20" s="276">
        <f t="shared" si="1"/>
        <v>8.6610240989043359E-3</v>
      </c>
      <c r="I20" s="621"/>
      <c r="J20" s="273"/>
      <c r="K20" s="273"/>
    </row>
    <row r="21" spans="1:11" s="272" customFormat="1">
      <c r="A21" s="274"/>
      <c r="B21" s="178" t="s">
        <v>77</v>
      </c>
      <c r="C21" s="501">
        <f>SUM(C11:C20)</f>
        <v>7509836.9700000007</v>
      </c>
      <c r="D21" s="501">
        <f>SUM(D11:D20)</f>
        <v>-290</v>
      </c>
      <c r="E21" s="246">
        <f>SUM(E11:E20)</f>
        <v>7509546.9700000007</v>
      </c>
      <c r="F21" s="246">
        <f>SUM(F11:F20)</f>
        <v>411387</v>
      </c>
      <c r="G21" s="246">
        <f>SUM(G11:G20)</f>
        <v>7920933.9700000007</v>
      </c>
      <c r="H21" s="276">
        <f t="shared" si="1"/>
        <v>1</v>
      </c>
      <c r="I21" s="621"/>
      <c r="J21" s="273"/>
      <c r="K21" s="273"/>
    </row>
    <row r="22" spans="1:11" ht="12" customHeight="1">
      <c r="A22" s="252"/>
      <c r="B22" s="179"/>
      <c r="C22" s="151"/>
      <c r="D22" s="144"/>
      <c r="F22" s="251"/>
      <c r="G22" s="251"/>
      <c r="I22" s="623"/>
    </row>
    <row r="23" spans="1:11" ht="26.5">
      <c r="A23" s="283" t="s">
        <v>231</v>
      </c>
      <c r="B23" s="179" t="s">
        <v>222</v>
      </c>
      <c r="C23" s="151"/>
      <c r="D23" s="144"/>
      <c r="F23"/>
      <c r="G23" s="251"/>
      <c r="I23" s="623"/>
    </row>
    <row r="24" spans="1:11" ht="15.5">
      <c r="A24" s="284" t="s">
        <v>161</v>
      </c>
      <c r="B24" s="253" t="s">
        <v>12</v>
      </c>
      <c r="C24" s="140"/>
      <c r="D24" s="140"/>
      <c r="F24"/>
      <c r="I24" s="623"/>
    </row>
    <row r="25" spans="1:11" s="272" customFormat="1">
      <c r="A25" s="274" t="s">
        <v>83</v>
      </c>
      <c r="B25" s="275" t="s">
        <v>14</v>
      </c>
      <c r="C25" s="501">
        <f>'[44]Sch C'!D10</f>
        <v>119709.8</v>
      </c>
      <c r="D25" s="501">
        <f>'[44]Sch C'!F10</f>
        <v>0</v>
      </c>
      <c r="E25" s="246">
        <f t="shared" ref="E25:E60" si="3">C25+D25</f>
        <v>119709.8</v>
      </c>
      <c r="F25" s="246"/>
      <c r="G25" s="285">
        <f>E25+F25</f>
        <v>119709.8</v>
      </c>
      <c r="H25" s="276">
        <f>IF($G$208=0,0,G25/$G$208)</f>
        <v>1.5477309389372945E-2</v>
      </c>
      <c r="I25" s="621"/>
      <c r="J25" s="439">
        <v>2153.04</v>
      </c>
      <c r="K25" s="439">
        <v>2153.04</v>
      </c>
    </row>
    <row r="26" spans="1:11" s="272" customFormat="1">
      <c r="A26" s="274" t="s">
        <v>84</v>
      </c>
      <c r="B26" s="275" t="s">
        <v>176</v>
      </c>
      <c r="C26" s="501">
        <f>'[44]Sch C'!D11</f>
        <v>0</v>
      </c>
      <c r="D26" s="501">
        <f>'[44]Sch C'!F11</f>
        <v>0</v>
      </c>
      <c r="E26" s="246">
        <f t="shared" si="3"/>
        <v>0</v>
      </c>
      <c r="F26" s="246"/>
      <c r="G26" s="246">
        <f t="shared" ref="G26:G60" si="4">E26+F26</f>
        <v>0</v>
      </c>
      <c r="H26" s="286">
        <f t="shared" ref="H26:H61" si="5">IF($G$208=0,0,G26/$G$208)</f>
        <v>0</v>
      </c>
      <c r="I26" s="621"/>
      <c r="J26" s="439">
        <v>0</v>
      </c>
      <c r="K26" s="439">
        <v>0</v>
      </c>
    </row>
    <row r="27" spans="1:11" s="272" customFormat="1">
      <c r="A27" s="274" t="s">
        <v>85</v>
      </c>
      <c r="B27" s="275" t="s">
        <v>17</v>
      </c>
      <c r="C27" s="501">
        <f>'[44]Sch C'!D12</f>
        <v>297524.38000000006</v>
      </c>
      <c r="D27" s="501">
        <f>'[44]Sch C'!F12</f>
        <v>-89594.7</v>
      </c>
      <c r="E27" s="246">
        <f t="shared" si="3"/>
        <v>207929.68000000005</v>
      </c>
      <c r="F27" s="246"/>
      <c r="G27" s="246">
        <f t="shared" si="4"/>
        <v>207929.68000000005</v>
      </c>
      <c r="H27" s="276">
        <f t="shared" si="5"/>
        <v>2.6883279302056411E-2</v>
      </c>
      <c r="I27" s="621"/>
      <c r="J27" s="439">
        <v>13486.692751000002</v>
      </c>
      <c r="K27" s="439">
        <v>14067.402751000001</v>
      </c>
    </row>
    <row r="28" spans="1:11" s="272" customFormat="1">
      <c r="A28" s="274" t="s">
        <v>86</v>
      </c>
      <c r="B28" s="275" t="s">
        <v>45</v>
      </c>
      <c r="C28" s="501">
        <f>'[44]Sch C'!D13</f>
        <v>123979.25000000001</v>
      </c>
      <c r="D28" s="501">
        <f>'[44]Sch C'!F13</f>
        <v>-27055.55</v>
      </c>
      <c r="E28" s="246">
        <f t="shared" si="3"/>
        <v>96923.700000000012</v>
      </c>
      <c r="F28" s="246"/>
      <c r="G28" s="246">
        <f t="shared" si="4"/>
        <v>96923.700000000012</v>
      </c>
      <c r="H28" s="276">
        <f t="shared" si="5"/>
        <v>1.2531288934262414E-2</v>
      </c>
      <c r="I28" s="621"/>
      <c r="J28" s="461"/>
      <c r="K28" s="461"/>
    </row>
    <row r="29" spans="1:11" s="272" customFormat="1">
      <c r="A29" s="274" t="s">
        <v>175</v>
      </c>
      <c r="B29" s="275" t="s">
        <v>20</v>
      </c>
      <c r="C29" s="501">
        <f>'[44]Sch C'!D14</f>
        <v>0</v>
      </c>
      <c r="D29" s="501">
        <f>'[44]Sch C'!F14</f>
        <v>0</v>
      </c>
      <c r="E29" s="246">
        <f t="shared" si="3"/>
        <v>0</v>
      </c>
      <c r="F29" s="246"/>
      <c r="G29" s="246">
        <f t="shared" si="4"/>
        <v>0</v>
      </c>
      <c r="H29" s="276">
        <f t="shared" si="5"/>
        <v>0</v>
      </c>
      <c r="I29" s="621"/>
      <c r="J29" s="461"/>
      <c r="K29" s="461"/>
    </row>
    <row r="30" spans="1:11" s="272" customFormat="1">
      <c r="A30" s="274" t="s">
        <v>88</v>
      </c>
      <c r="B30" s="275" t="s">
        <v>22</v>
      </c>
      <c r="C30" s="501">
        <f>'[44]Sch C'!D15</f>
        <v>514109.93</v>
      </c>
      <c r="D30" s="501">
        <f>'[44]Sch C'!F15</f>
        <v>-514109.53</v>
      </c>
      <c r="E30" s="246">
        <f t="shared" si="3"/>
        <v>0.3999999999650754</v>
      </c>
      <c r="F30" s="246"/>
      <c r="G30" s="246">
        <f t="shared" si="4"/>
        <v>0.3999999999650754</v>
      </c>
      <c r="H30" s="276">
        <f t="shared" si="5"/>
        <v>5.1716098057207007E-8</v>
      </c>
      <c r="I30" s="621"/>
      <c r="J30" s="461"/>
      <c r="K30" s="461"/>
    </row>
    <row r="31" spans="1:11" s="272" customFormat="1">
      <c r="A31" s="274" t="s">
        <v>89</v>
      </c>
      <c r="B31" s="275" t="s">
        <v>148</v>
      </c>
      <c r="C31" s="501">
        <f>'[44]Sch C'!D16</f>
        <v>0</v>
      </c>
      <c r="D31" s="501">
        <f>'[44]Sch C'!F16</f>
        <v>321493</v>
      </c>
      <c r="E31" s="246">
        <f t="shared" si="3"/>
        <v>321493</v>
      </c>
      <c r="F31" s="246"/>
      <c r="G31" s="246">
        <f t="shared" si="4"/>
        <v>321493</v>
      </c>
      <c r="H31" s="276">
        <f t="shared" si="5"/>
        <v>4.1565908785393312E-2</v>
      </c>
      <c r="I31" s="621"/>
      <c r="J31" s="461"/>
      <c r="K31" s="461"/>
    </row>
    <row r="32" spans="1:11" s="272" customFormat="1">
      <c r="A32" s="274" t="s">
        <v>90</v>
      </c>
      <c r="B32" s="275" t="s">
        <v>23</v>
      </c>
      <c r="C32" s="501">
        <f>'[44]Sch C'!D17</f>
        <v>0</v>
      </c>
      <c r="D32" s="501">
        <f>'[44]Sch C'!F17</f>
        <v>0</v>
      </c>
      <c r="E32" s="246">
        <f t="shared" si="3"/>
        <v>0</v>
      </c>
      <c r="F32" s="246"/>
      <c r="G32" s="246">
        <f t="shared" si="4"/>
        <v>0</v>
      </c>
      <c r="H32" s="276">
        <f t="shared" si="5"/>
        <v>0</v>
      </c>
      <c r="I32" s="621"/>
      <c r="J32" s="461"/>
      <c r="K32" s="461"/>
    </row>
    <row r="33" spans="1:11" s="272" customFormat="1">
      <c r="A33" s="274" t="s">
        <v>91</v>
      </c>
      <c r="B33" s="275" t="s">
        <v>24</v>
      </c>
      <c r="C33" s="501">
        <f>'[44]Sch C'!D18</f>
        <v>16050.15</v>
      </c>
      <c r="D33" s="501">
        <f>'[44]Sch C'!F18</f>
        <v>0</v>
      </c>
      <c r="E33" s="246">
        <f t="shared" si="3"/>
        <v>16050.15</v>
      </c>
      <c r="F33" s="246"/>
      <c r="G33" s="246">
        <f t="shared" si="4"/>
        <v>16050.15</v>
      </c>
      <c r="H33" s="276">
        <f t="shared" si="5"/>
        <v>2.0751278282633849E-3</v>
      </c>
      <c r="I33" s="621"/>
      <c r="J33" s="461"/>
      <c r="K33" s="461"/>
    </row>
    <row r="34" spans="1:11" s="272" customFormat="1">
      <c r="A34" s="274" t="s">
        <v>92</v>
      </c>
      <c r="B34" s="275" t="s">
        <v>25</v>
      </c>
      <c r="C34" s="501">
        <f>'[44]Sch C'!D19</f>
        <v>19622</v>
      </c>
      <c r="D34" s="501">
        <f>'[44]Sch C'!F19</f>
        <v>0</v>
      </c>
      <c r="E34" s="246">
        <f t="shared" si="3"/>
        <v>19622</v>
      </c>
      <c r="F34" s="246"/>
      <c r="G34" s="246">
        <f t="shared" si="4"/>
        <v>19622</v>
      </c>
      <c r="H34" s="276">
        <f t="shared" si="5"/>
        <v>2.536933190417793E-3</v>
      </c>
      <c r="I34" s="621"/>
      <c r="J34" s="461"/>
      <c r="K34" s="461"/>
    </row>
    <row r="35" spans="1:11" s="272" customFormat="1">
      <c r="A35" s="274" t="s">
        <v>93</v>
      </c>
      <c r="B35" s="275" t="s">
        <v>26</v>
      </c>
      <c r="C35" s="501">
        <f>'[44]Sch C'!D20</f>
        <v>29637.410000000003</v>
      </c>
      <c r="D35" s="501">
        <f>'[44]Sch C'!F20</f>
        <v>0</v>
      </c>
      <c r="E35" s="246">
        <f t="shared" si="3"/>
        <v>29637.410000000003</v>
      </c>
      <c r="F35" s="246"/>
      <c r="G35" s="246">
        <f t="shared" si="4"/>
        <v>29637.410000000003</v>
      </c>
      <c r="H35" s="276">
        <f t="shared" si="5"/>
        <v>3.831828004638682E-3</v>
      </c>
      <c r="I35" s="621"/>
      <c r="J35" s="461"/>
      <c r="K35" s="461"/>
    </row>
    <row r="36" spans="1:11" s="272" customFormat="1">
      <c r="A36" s="274" t="s">
        <v>94</v>
      </c>
      <c r="B36" s="275" t="s">
        <v>27</v>
      </c>
      <c r="C36" s="501">
        <f>'[44]Sch C'!D21</f>
        <v>34130.870000000003</v>
      </c>
      <c r="D36" s="501">
        <f>'[44]Sch C'!F21</f>
        <v>55118</v>
      </c>
      <c r="E36" s="246">
        <f t="shared" si="3"/>
        <v>89248.87</v>
      </c>
      <c r="F36" s="246"/>
      <c r="G36" s="246">
        <f t="shared" si="4"/>
        <v>89248.87</v>
      </c>
      <c r="H36" s="276">
        <f t="shared" si="5"/>
        <v>1.1539008282044788E-2</v>
      </c>
      <c r="I36" s="621"/>
      <c r="J36" s="461"/>
      <c r="K36" s="461"/>
    </row>
    <row r="37" spans="1:11" s="272" customFormat="1">
      <c r="A37" s="268">
        <v>130</v>
      </c>
      <c r="B37" s="275" t="s">
        <v>28</v>
      </c>
      <c r="C37" s="501">
        <f>'[44]Sch C'!D22</f>
        <v>0</v>
      </c>
      <c r="D37" s="501">
        <f>'[44]Sch C'!F22</f>
        <v>0</v>
      </c>
      <c r="E37" s="246">
        <f t="shared" si="3"/>
        <v>0</v>
      </c>
      <c r="F37" s="246"/>
      <c r="G37" s="246">
        <f t="shared" si="4"/>
        <v>0</v>
      </c>
      <c r="H37" s="276">
        <f t="shared" si="5"/>
        <v>0</v>
      </c>
      <c r="I37" s="621"/>
      <c r="J37" s="461"/>
      <c r="K37" s="461"/>
    </row>
    <row r="38" spans="1:11" s="272" customFormat="1">
      <c r="A38" s="268">
        <v>140</v>
      </c>
      <c r="B38" s="275" t="s">
        <v>149</v>
      </c>
      <c r="C38" s="501">
        <f>'[44]Sch C'!D23</f>
        <v>37640.060000000005</v>
      </c>
      <c r="D38" s="501">
        <f>'[44]Sch C'!F23</f>
        <v>26067</v>
      </c>
      <c r="E38" s="246">
        <f t="shared" si="3"/>
        <v>63707.060000000005</v>
      </c>
      <c r="F38" s="246"/>
      <c r="G38" s="246">
        <f t="shared" si="4"/>
        <v>63707.060000000005</v>
      </c>
      <c r="H38" s="276">
        <f t="shared" si="5"/>
        <v>8.2367014054600847E-3</v>
      </c>
      <c r="I38" s="621"/>
      <c r="J38" s="461"/>
      <c r="K38" s="461"/>
    </row>
    <row r="39" spans="1:11" s="272" customFormat="1">
      <c r="A39" s="268">
        <v>150</v>
      </c>
      <c r="B39" s="275" t="s">
        <v>29</v>
      </c>
      <c r="C39" s="501">
        <f>'[44]Sch C'!D24</f>
        <v>40371.979999999996</v>
      </c>
      <c r="D39" s="501">
        <f>'[44]Sch C'!F24</f>
        <v>0</v>
      </c>
      <c r="E39" s="246">
        <f t="shared" si="3"/>
        <v>40371.979999999996</v>
      </c>
      <c r="F39" s="246"/>
      <c r="G39" s="246">
        <f t="shared" si="4"/>
        <v>40371.979999999996</v>
      </c>
      <c r="H39" s="276">
        <f t="shared" si="5"/>
        <v>5.2197031915647398E-3</v>
      </c>
      <c r="I39" s="621"/>
      <c r="J39" s="461"/>
      <c r="K39" s="461"/>
    </row>
    <row r="40" spans="1:11" s="272" customFormat="1">
      <c r="A40" s="268">
        <v>160</v>
      </c>
      <c r="B40" s="275" t="s">
        <v>30</v>
      </c>
      <c r="C40" s="501">
        <f>'[44]Sch C'!D25</f>
        <v>0</v>
      </c>
      <c r="D40" s="501">
        <f>'[44]Sch C'!F25</f>
        <v>0</v>
      </c>
      <c r="E40" s="246">
        <f t="shared" si="3"/>
        <v>0</v>
      </c>
      <c r="F40" s="246"/>
      <c r="G40" s="246">
        <f t="shared" si="4"/>
        <v>0</v>
      </c>
      <c r="H40" s="276">
        <f t="shared" si="5"/>
        <v>0</v>
      </c>
      <c r="I40" s="621"/>
      <c r="J40" s="461"/>
      <c r="K40" s="461"/>
    </row>
    <row r="41" spans="1:11" s="272" customFormat="1">
      <c r="A41" s="268">
        <v>170</v>
      </c>
      <c r="B41" s="275" t="s">
        <v>31</v>
      </c>
      <c r="C41" s="501">
        <f>'[44]Sch C'!D26</f>
        <v>426842.4</v>
      </c>
      <c r="D41" s="501">
        <f>'[44]Sch C'!F26</f>
        <v>879.36</v>
      </c>
      <c r="E41" s="246">
        <f t="shared" si="3"/>
        <v>427721.76</v>
      </c>
      <c r="F41" s="246"/>
      <c r="G41" s="246">
        <f t="shared" si="4"/>
        <v>427721.76</v>
      </c>
      <c r="H41" s="276">
        <f t="shared" si="5"/>
        <v>5.5300251208231253E-2</v>
      </c>
      <c r="I41" s="621"/>
      <c r="J41" s="461"/>
      <c r="K41" s="461"/>
    </row>
    <row r="42" spans="1:11" s="272" customFormat="1">
      <c r="A42" s="268">
        <v>180</v>
      </c>
      <c r="B42" s="275" t="s">
        <v>32</v>
      </c>
      <c r="C42" s="501">
        <f>'[44]Sch C'!D27</f>
        <v>0</v>
      </c>
      <c r="D42" s="501">
        <f>'[44]Sch C'!F27</f>
        <v>14792</v>
      </c>
      <c r="E42" s="246">
        <f t="shared" si="3"/>
        <v>14792</v>
      </c>
      <c r="F42" s="246"/>
      <c r="G42" s="246">
        <f t="shared" si="4"/>
        <v>14792</v>
      </c>
      <c r="H42" s="276">
        <f t="shared" si="5"/>
        <v>1.912461306322495E-3</v>
      </c>
      <c r="I42" s="621"/>
      <c r="J42" s="461"/>
      <c r="K42" s="461"/>
    </row>
    <row r="43" spans="1:11" s="272" customFormat="1">
      <c r="A43" s="268">
        <v>190</v>
      </c>
      <c r="B43" s="275" t="s">
        <v>33</v>
      </c>
      <c r="C43" s="501">
        <f>'[44]Sch C'!D28</f>
        <v>0</v>
      </c>
      <c r="D43" s="501">
        <f>'[44]Sch C'!F28</f>
        <v>0</v>
      </c>
      <c r="E43" s="246">
        <f t="shared" si="3"/>
        <v>0</v>
      </c>
      <c r="F43" s="246"/>
      <c r="G43" s="246">
        <f t="shared" si="4"/>
        <v>0</v>
      </c>
      <c r="H43" s="276">
        <f t="shared" si="5"/>
        <v>0</v>
      </c>
      <c r="I43" s="621"/>
      <c r="J43" s="461"/>
      <c r="K43" s="461"/>
    </row>
    <row r="44" spans="1:11" s="272" customFormat="1">
      <c r="A44" s="268">
        <v>200</v>
      </c>
      <c r="B44" s="275" t="s">
        <v>34</v>
      </c>
      <c r="C44" s="501">
        <f>'[44]Sch C'!D29</f>
        <v>265740.13</v>
      </c>
      <c r="D44" s="501">
        <f>'[44]Sch C'!F29</f>
        <v>-265740.13</v>
      </c>
      <c r="E44" s="246">
        <f t="shared" si="3"/>
        <v>0</v>
      </c>
      <c r="F44" s="246"/>
      <c r="G44" s="246">
        <f t="shared" si="4"/>
        <v>0</v>
      </c>
      <c r="H44" s="276">
        <f t="shared" si="5"/>
        <v>0</v>
      </c>
      <c r="I44" s="621"/>
      <c r="J44" s="461"/>
      <c r="K44" s="461"/>
    </row>
    <row r="45" spans="1:11" s="272" customFormat="1">
      <c r="A45" s="268">
        <v>210</v>
      </c>
      <c r="B45" s="275" t="s">
        <v>35</v>
      </c>
      <c r="C45" s="501">
        <f>'[44]Sch C'!D30</f>
        <v>0</v>
      </c>
      <c r="D45" s="501">
        <f>'[44]Sch C'!F30</f>
        <v>0</v>
      </c>
      <c r="E45" s="246">
        <f t="shared" si="3"/>
        <v>0</v>
      </c>
      <c r="F45" s="246"/>
      <c r="G45" s="246">
        <f t="shared" si="4"/>
        <v>0</v>
      </c>
      <c r="H45" s="276">
        <f t="shared" si="5"/>
        <v>0</v>
      </c>
      <c r="I45" s="621"/>
      <c r="J45" s="461"/>
      <c r="K45" s="461"/>
    </row>
    <row r="46" spans="1:11" s="272" customFormat="1">
      <c r="A46" s="268">
        <v>220</v>
      </c>
      <c r="B46" s="275" t="s">
        <v>190</v>
      </c>
      <c r="C46" s="501">
        <f>'[44]Sch C'!D31</f>
        <v>7091</v>
      </c>
      <c r="D46" s="501">
        <f>'[44]Sch C'!F31</f>
        <v>0</v>
      </c>
      <c r="E46" s="246">
        <f t="shared" si="3"/>
        <v>7091</v>
      </c>
      <c r="F46" s="246"/>
      <c r="G46" s="246">
        <f t="shared" si="4"/>
        <v>7091</v>
      </c>
      <c r="H46" s="276">
        <f t="shared" si="5"/>
        <v>9.1679712838918417E-4</v>
      </c>
      <c r="I46" s="621"/>
      <c r="J46" s="461"/>
      <c r="K46" s="461"/>
    </row>
    <row r="47" spans="1:11" s="272" customFormat="1">
      <c r="A47" s="268">
        <v>230</v>
      </c>
      <c r="B47" s="275" t="s">
        <v>191</v>
      </c>
      <c r="C47" s="501">
        <f>'[44]Sch C'!D32</f>
        <v>124914.76999999999</v>
      </c>
      <c r="D47" s="501">
        <f>'[44]Sch C'!F32</f>
        <v>0</v>
      </c>
      <c r="E47" s="246">
        <f t="shared" si="3"/>
        <v>124914.76999999999</v>
      </c>
      <c r="F47" s="246"/>
      <c r="G47" s="246">
        <f t="shared" si="4"/>
        <v>124914.76999999999</v>
      </c>
      <c r="H47" s="276">
        <f t="shared" si="5"/>
        <v>1.615026123669375E-2</v>
      </c>
      <c r="I47" s="621"/>
      <c r="J47" s="461"/>
      <c r="K47" s="461"/>
    </row>
    <row r="48" spans="1:11" s="272" customFormat="1">
      <c r="A48" s="268">
        <v>240</v>
      </c>
      <c r="B48" s="275" t="s">
        <v>201</v>
      </c>
      <c r="C48" s="501">
        <f>'[44]Sch C'!D33</f>
        <v>0</v>
      </c>
      <c r="D48" s="501">
        <f>'[44]Sch C'!F33</f>
        <v>0</v>
      </c>
      <c r="E48" s="246">
        <f t="shared" si="3"/>
        <v>0</v>
      </c>
      <c r="F48" s="246"/>
      <c r="G48" s="246">
        <f t="shared" si="4"/>
        <v>0</v>
      </c>
      <c r="H48" s="276">
        <f t="shared" si="5"/>
        <v>0</v>
      </c>
      <c r="I48" s="621"/>
      <c r="J48" s="461"/>
      <c r="K48" s="461"/>
    </row>
    <row r="49" spans="1:11" s="272" customFormat="1">
      <c r="A49" s="268">
        <v>250</v>
      </c>
      <c r="B49" s="275" t="s">
        <v>202</v>
      </c>
      <c r="C49" s="501">
        <f>'[44]Sch C'!D34</f>
        <v>0</v>
      </c>
      <c r="D49" s="501">
        <f>'[44]Sch C'!F34</f>
        <v>1604</v>
      </c>
      <c r="E49" s="246">
        <f t="shared" si="3"/>
        <v>1604</v>
      </c>
      <c r="F49" s="246"/>
      <c r="G49" s="246">
        <f t="shared" si="4"/>
        <v>1604</v>
      </c>
      <c r="H49" s="276">
        <f t="shared" si="5"/>
        <v>2.0738155322750688E-4</v>
      </c>
      <c r="I49" s="621"/>
      <c r="J49" s="461"/>
      <c r="K49" s="461"/>
    </row>
    <row r="50" spans="1:11" s="272" customFormat="1">
      <c r="A50" s="268">
        <v>270</v>
      </c>
      <c r="B50" s="275" t="s">
        <v>203</v>
      </c>
      <c r="C50" s="501">
        <f>'[44]Sch C'!D35</f>
        <v>1630.55</v>
      </c>
      <c r="D50" s="501">
        <f>'[44]Sch C'!F35</f>
        <v>-1630.55</v>
      </c>
      <c r="E50" s="246">
        <f t="shared" si="3"/>
        <v>0</v>
      </c>
      <c r="F50" s="246"/>
      <c r="G50" s="246">
        <f t="shared" si="4"/>
        <v>0</v>
      </c>
      <c r="H50" s="276">
        <f t="shared" si="5"/>
        <v>0</v>
      </c>
      <c r="I50" s="621"/>
      <c r="J50" s="461"/>
      <c r="K50" s="461"/>
    </row>
    <row r="51" spans="1:11" s="272" customFormat="1">
      <c r="A51" s="268">
        <v>280</v>
      </c>
      <c r="B51" s="275" t="s">
        <v>204</v>
      </c>
      <c r="C51" s="501">
        <f>'[44]Sch C'!D36</f>
        <v>0</v>
      </c>
      <c r="D51" s="501">
        <f>'[44]Sch C'!F36</f>
        <v>0</v>
      </c>
      <c r="E51" s="246">
        <f t="shared" si="3"/>
        <v>0</v>
      </c>
      <c r="F51" s="246"/>
      <c r="G51" s="246">
        <f t="shared" si="4"/>
        <v>0</v>
      </c>
      <c r="H51" s="276">
        <f t="shared" si="5"/>
        <v>0</v>
      </c>
      <c r="I51" s="621"/>
      <c r="J51" s="439">
        <v>0</v>
      </c>
      <c r="K51" s="439">
        <v>0</v>
      </c>
    </row>
    <row r="52" spans="1:11" s="272" customFormat="1">
      <c r="A52" s="268">
        <v>290</v>
      </c>
      <c r="B52" s="275" t="s">
        <v>205</v>
      </c>
      <c r="C52" s="501">
        <f>'[44]Sch C'!D37</f>
        <v>0</v>
      </c>
      <c r="D52" s="501">
        <f>'[44]Sch C'!F37</f>
        <v>0</v>
      </c>
      <c r="E52" s="246">
        <f t="shared" si="3"/>
        <v>0</v>
      </c>
      <c r="F52" s="246"/>
      <c r="G52" s="246">
        <f t="shared" si="4"/>
        <v>0</v>
      </c>
      <c r="H52" s="276">
        <f t="shared" si="5"/>
        <v>0</v>
      </c>
      <c r="I52" s="621"/>
      <c r="J52" s="461"/>
      <c r="K52" s="461"/>
    </row>
    <row r="53" spans="1:11" s="272" customFormat="1">
      <c r="A53" s="268">
        <v>300</v>
      </c>
      <c r="B53" s="275" t="s">
        <v>206</v>
      </c>
      <c r="C53" s="501">
        <f>'[44]Sch C'!D38</f>
        <v>0</v>
      </c>
      <c r="D53" s="501">
        <f>'[44]Sch C'!F38</f>
        <v>0</v>
      </c>
      <c r="E53" s="246">
        <f t="shared" si="3"/>
        <v>0</v>
      </c>
      <c r="F53" s="246"/>
      <c r="G53" s="246">
        <f t="shared" si="4"/>
        <v>0</v>
      </c>
      <c r="H53" s="276">
        <f t="shared" si="5"/>
        <v>0</v>
      </c>
      <c r="I53" s="621"/>
      <c r="J53" s="461"/>
      <c r="K53" s="461"/>
    </row>
    <row r="54" spans="1:11" s="272" customFormat="1">
      <c r="A54" s="268">
        <v>310</v>
      </c>
      <c r="B54" s="275" t="s">
        <v>207</v>
      </c>
      <c r="C54" s="501">
        <f>'[44]Sch C'!D39</f>
        <v>18114.89</v>
      </c>
      <c r="D54" s="501">
        <f>'[44]Sch C'!F39</f>
        <v>5851</v>
      </c>
      <c r="E54" s="246">
        <f t="shared" si="3"/>
        <v>23965.89</v>
      </c>
      <c r="F54" s="246"/>
      <c r="G54" s="246">
        <f t="shared" si="4"/>
        <v>23965.89</v>
      </c>
      <c r="H54" s="276">
        <f t="shared" si="5"/>
        <v>3.0985557934411316E-3</v>
      </c>
      <c r="I54" s="621"/>
      <c r="J54" s="461"/>
      <c r="K54" s="461"/>
    </row>
    <row r="55" spans="1:11" s="272" customFormat="1">
      <c r="A55" s="268">
        <v>320</v>
      </c>
      <c r="B55" s="275" t="s">
        <v>208</v>
      </c>
      <c r="C55" s="501">
        <f>'[44]Sch C'!D40</f>
        <v>15249.08</v>
      </c>
      <c r="D55" s="501">
        <f>'[44]Sch C'!F40</f>
        <v>-15249.08</v>
      </c>
      <c r="E55" s="246">
        <f t="shared" si="3"/>
        <v>0</v>
      </c>
      <c r="F55" s="246"/>
      <c r="G55" s="246">
        <f t="shared" si="4"/>
        <v>0</v>
      </c>
      <c r="H55" s="276">
        <f t="shared" si="5"/>
        <v>0</v>
      </c>
      <c r="I55" s="621"/>
      <c r="J55" s="461"/>
      <c r="K55" s="461"/>
    </row>
    <row r="56" spans="1:11" s="272" customFormat="1">
      <c r="A56" s="268">
        <v>330</v>
      </c>
      <c r="B56" s="275" t="s">
        <v>48</v>
      </c>
      <c r="C56" s="501">
        <f>'[44]Sch C'!D41</f>
        <v>27411.699999999997</v>
      </c>
      <c r="D56" s="501">
        <f>'[44]Sch C'!F41</f>
        <v>0</v>
      </c>
      <c r="E56" s="246">
        <f t="shared" si="3"/>
        <v>27411.699999999997</v>
      </c>
      <c r="F56" s="246"/>
      <c r="G56" s="246">
        <f t="shared" si="4"/>
        <v>27411.699999999997</v>
      </c>
      <c r="H56" s="276">
        <f t="shared" si="5"/>
        <v>3.5440654130962906E-3</v>
      </c>
      <c r="I56" s="621"/>
      <c r="J56" s="461"/>
      <c r="K56" s="461"/>
    </row>
    <row r="57" spans="1:11" s="272" customFormat="1">
      <c r="A57" s="268">
        <v>340</v>
      </c>
      <c r="B57" s="275" t="s">
        <v>209</v>
      </c>
      <c r="C57" s="501">
        <f>'[44]Sch C'!D42</f>
        <v>75</v>
      </c>
      <c r="D57" s="501">
        <f>'[44]Sch C'!F42</f>
        <v>3185</v>
      </c>
      <c r="E57" s="246">
        <f t="shared" si="3"/>
        <v>3260</v>
      </c>
      <c r="F57" s="246"/>
      <c r="G57" s="246">
        <f t="shared" si="4"/>
        <v>3260</v>
      </c>
      <c r="H57" s="276">
        <f t="shared" si="5"/>
        <v>4.2148619920303769E-4</v>
      </c>
      <c r="I57" s="621"/>
      <c r="J57" s="461"/>
      <c r="K57" s="461"/>
    </row>
    <row r="58" spans="1:11" s="272" customFormat="1">
      <c r="A58" s="268">
        <v>350</v>
      </c>
      <c r="B58" s="275" t="s">
        <v>210</v>
      </c>
      <c r="C58" s="501">
        <f>'[44]Sch C'!D43</f>
        <v>0</v>
      </c>
      <c r="D58" s="501">
        <f>'[44]Sch C'!F43</f>
        <v>0</v>
      </c>
      <c r="E58" s="246">
        <f t="shared" si="3"/>
        <v>0</v>
      </c>
      <c r="F58" s="246"/>
      <c r="G58" s="246">
        <f t="shared" si="4"/>
        <v>0</v>
      </c>
      <c r="H58" s="276">
        <f t="shared" si="5"/>
        <v>0</v>
      </c>
      <c r="I58" s="621"/>
      <c r="J58" s="461"/>
      <c r="K58" s="461"/>
    </row>
    <row r="59" spans="1:11" s="272" customFormat="1">
      <c r="A59" s="268">
        <v>360</v>
      </c>
      <c r="B59" s="275" t="s">
        <v>211</v>
      </c>
      <c r="C59" s="501">
        <f>'[44]Sch C'!D44</f>
        <v>900</v>
      </c>
      <c r="D59" s="501">
        <f>'[44]Sch C'!F44</f>
        <v>0</v>
      </c>
      <c r="E59" s="246">
        <f t="shared" si="3"/>
        <v>900</v>
      </c>
      <c r="F59" s="246"/>
      <c r="G59" s="246">
        <f t="shared" si="4"/>
        <v>900</v>
      </c>
      <c r="H59" s="276">
        <f t="shared" si="5"/>
        <v>1.1636122063887544E-4</v>
      </c>
      <c r="I59" s="621"/>
      <c r="J59" s="461"/>
      <c r="K59" s="461"/>
    </row>
    <row r="60" spans="1:11" s="272" customFormat="1">
      <c r="A60" s="268">
        <v>490</v>
      </c>
      <c r="B60" s="275" t="s">
        <v>36</v>
      </c>
      <c r="C60" s="501">
        <f>'[44]Sch C'!D45</f>
        <v>3349.6700000000055</v>
      </c>
      <c r="D60" s="501">
        <f>'[44]Sch C'!F45</f>
        <v>6327</v>
      </c>
      <c r="E60" s="246">
        <f t="shared" si="3"/>
        <v>9676.6700000000055</v>
      </c>
      <c r="F60" s="246"/>
      <c r="G60" s="246">
        <f t="shared" si="4"/>
        <v>9676.6700000000055</v>
      </c>
      <c r="H60" s="276">
        <f t="shared" si="5"/>
        <v>1.2510990365773194E-3</v>
      </c>
      <c r="I60" s="621"/>
      <c r="J60" s="461"/>
      <c r="K60" s="461"/>
    </row>
    <row r="61" spans="1:11" s="272" customFormat="1">
      <c r="A61" s="268"/>
      <c r="B61" s="275" t="s">
        <v>177</v>
      </c>
      <c r="C61" s="501">
        <f>SUM(C25:C60)</f>
        <v>2124095.02</v>
      </c>
      <c r="D61" s="501">
        <f>SUM(D25:D60)</f>
        <v>-478063.18000000005</v>
      </c>
      <c r="E61" s="246">
        <f t="shared" ref="E61:F61" si="6">SUM(E25:E60)</f>
        <v>1646031.8399999999</v>
      </c>
      <c r="F61" s="246">
        <f t="shared" si="6"/>
        <v>0</v>
      </c>
      <c r="G61" s="246">
        <f>SUM(G25:G60)</f>
        <v>1646031.8399999999</v>
      </c>
      <c r="H61" s="186">
        <f t="shared" si="5"/>
        <v>0.21281586012539344</v>
      </c>
      <c r="I61" s="480"/>
      <c r="J61" s="461"/>
      <c r="K61" s="461"/>
    </row>
    <row r="62" spans="1:11" s="272" customFormat="1" ht="15.5">
      <c r="A62" s="268"/>
      <c r="C62" s="165"/>
      <c r="D62" s="165"/>
      <c r="E62" s="270"/>
      <c r="F62"/>
      <c r="G62" s="270"/>
      <c r="H62" s="187"/>
      <c r="I62" s="481"/>
      <c r="J62" s="461"/>
      <c r="K62" s="461"/>
    </row>
    <row r="63" spans="1:11" s="272" customFormat="1" ht="15.5">
      <c r="A63" s="274" t="s">
        <v>162</v>
      </c>
      <c r="B63" s="275" t="s">
        <v>178</v>
      </c>
      <c r="C63" s="165"/>
      <c r="D63" s="165"/>
      <c r="E63" s="270"/>
      <c r="F63"/>
      <c r="G63" s="270"/>
      <c r="H63" s="187"/>
      <c r="I63" s="481"/>
      <c r="J63" s="461"/>
      <c r="K63" s="461"/>
    </row>
    <row r="64" spans="1:11" s="272" customFormat="1">
      <c r="A64" s="288">
        <v>230</v>
      </c>
      <c r="B64" s="289" t="s">
        <v>253</v>
      </c>
      <c r="C64" s="501">
        <f>'[44]Sch C'!D57</f>
        <v>859209.96</v>
      </c>
      <c r="D64" s="501">
        <f>'[44]Sch C'!F57</f>
        <v>-859209.96</v>
      </c>
      <c r="E64" s="246">
        <f t="shared" ref="E64:E78" si="7">C64+D64</f>
        <v>0</v>
      </c>
      <c r="F64" s="246"/>
      <c r="G64" s="246">
        <f t="shared" ref="G64:G78" si="8">E64+F64</f>
        <v>0</v>
      </c>
      <c r="H64" s="276">
        <f t="shared" ref="H64:H79" si="9">IF($G$208=0,0,G64/$G$208)</f>
        <v>0</v>
      </c>
      <c r="I64" s="621"/>
      <c r="J64" s="462"/>
      <c r="K64" s="461"/>
    </row>
    <row r="65" spans="1:11" s="272" customFormat="1">
      <c r="A65" s="290">
        <v>240</v>
      </c>
      <c r="B65" s="289" t="s">
        <v>254</v>
      </c>
      <c r="C65" s="501">
        <f>'[44]Sch C'!D58</f>
        <v>13460.759999999998</v>
      </c>
      <c r="D65" s="501">
        <f>'[44]Sch C'!F58</f>
        <v>135861.24</v>
      </c>
      <c r="E65" s="246">
        <f t="shared" si="7"/>
        <v>149322</v>
      </c>
      <c r="F65" s="246"/>
      <c r="G65" s="246">
        <f t="shared" si="8"/>
        <v>149322</v>
      </c>
      <c r="H65" s="276">
        <f t="shared" si="9"/>
        <v>1.9305877986931286E-2</v>
      </c>
      <c r="I65" s="621"/>
      <c r="J65" s="462"/>
      <c r="K65" s="461"/>
    </row>
    <row r="66" spans="1:11" s="272" customFormat="1">
      <c r="A66" s="291">
        <v>250</v>
      </c>
      <c r="B66" s="289" t="s">
        <v>307</v>
      </c>
      <c r="C66" s="501">
        <f>'[44]Sch C'!D59</f>
        <v>0</v>
      </c>
      <c r="D66" s="501">
        <f>'[44]Sch C'!F59</f>
        <v>228728.44</v>
      </c>
      <c r="E66" s="246">
        <f t="shared" si="7"/>
        <v>228728.44</v>
      </c>
      <c r="F66" s="246"/>
      <c r="G66" s="246">
        <f t="shared" si="8"/>
        <v>228728.44</v>
      </c>
      <c r="H66" s="276">
        <f t="shared" si="9"/>
        <v>2.9572356081361981E-2</v>
      </c>
      <c r="I66" s="621"/>
      <c r="J66" s="462"/>
      <c r="K66" s="461"/>
    </row>
    <row r="67" spans="1:11" s="272" customFormat="1">
      <c r="A67" s="291">
        <v>260</v>
      </c>
      <c r="B67" s="292" t="s">
        <v>308</v>
      </c>
      <c r="C67" s="501">
        <f>'[44]Sch C'!D60</f>
        <v>44546.03</v>
      </c>
      <c r="D67" s="501">
        <f>'[44]Sch C'!F60</f>
        <v>-5072.93</v>
      </c>
      <c r="E67" s="246">
        <f t="shared" si="7"/>
        <v>39473.1</v>
      </c>
      <c r="F67" s="246"/>
      <c r="G67" s="246">
        <f t="shared" si="8"/>
        <v>39473.1</v>
      </c>
      <c r="H67" s="276">
        <f t="shared" si="9"/>
        <v>5.1034867760004375E-3</v>
      </c>
      <c r="I67" s="621"/>
      <c r="J67" s="463"/>
      <c r="K67" s="461"/>
    </row>
    <row r="68" spans="1:11" s="272" customFormat="1">
      <c r="A68" s="291">
        <v>270</v>
      </c>
      <c r="B68" s="292" t="s">
        <v>309</v>
      </c>
      <c r="C68" s="501">
        <f>'[44]Sch C'!D61</f>
        <v>15865.75</v>
      </c>
      <c r="D68" s="501">
        <f>'[44]Sch C'!F61</f>
        <v>2169</v>
      </c>
      <c r="E68" s="246">
        <f t="shared" si="7"/>
        <v>18034.75</v>
      </c>
      <c r="F68" s="246"/>
      <c r="G68" s="246">
        <f t="shared" si="8"/>
        <v>18034.75</v>
      </c>
      <c r="H68" s="276">
        <f t="shared" si="9"/>
        <v>2.331717248796621E-3</v>
      </c>
      <c r="I68" s="621"/>
      <c r="J68" s="463"/>
      <c r="K68" s="461"/>
    </row>
    <row r="69" spans="1:11" s="272" customFormat="1">
      <c r="A69" s="291">
        <v>280</v>
      </c>
      <c r="B69" s="293" t="s">
        <v>258</v>
      </c>
      <c r="C69" s="501">
        <f>'[44]Sch C'!D62</f>
        <v>8937.1200000000008</v>
      </c>
      <c r="D69" s="501">
        <f>'[44]Sch C'!F62</f>
        <v>0</v>
      </c>
      <c r="E69" s="246">
        <f t="shared" si="7"/>
        <v>8937.1200000000008</v>
      </c>
      <c r="F69" s="246"/>
      <c r="G69" s="246">
        <f t="shared" si="8"/>
        <v>8937.1200000000008</v>
      </c>
      <c r="H69" s="276">
        <f t="shared" si="9"/>
        <v>1.1554824357734516E-3</v>
      </c>
      <c r="I69" s="621"/>
      <c r="J69" s="464"/>
      <c r="K69" s="461"/>
    </row>
    <row r="70" spans="1:11" s="272" customFormat="1">
      <c r="A70" s="291">
        <v>290</v>
      </c>
      <c r="B70" s="293" t="s">
        <v>259</v>
      </c>
      <c r="C70" s="501">
        <f>'[44]Sch C'!D63</f>
        <v>0</v>
      </c>
      <c r="D70" s="501">
        <f>'[44]Sch C'!F63</f>
        <v>0</v>
      </c>
      <c r="E70" s="246">
        <f t="shared" si="7"/>
        <v>0</v>
      </c>
      <c r="F70" s="246"/>
      <c r="G70" s="246">
        <f t="shared" si="8"/>
        <v>0</v>
      </c>
      <c r="H70" s="276">
        <f t="shared" si="9"/>
        <v>0</v>
      </c>
      <c r="I70" s="621"/>
      <c r="J70" s="464"/>
      <c r="K70" s="461"/>
    </row>
    <row r="71" spans="1:11" s="272" customFormat="1">
      <c r="A71" s="291">
        <v>300</v>
      </c>
      <c r="B71" s="293" t="s">
        <v>260</v>
      </c>
      <c r="C71" s="501">
        <f>'[44]Sch C'!D64</f>
        <v>0</v>
      </c>
      <c r="D71" s="501">
        <f>'[44]Sch C'!F64</f>
        <v>0</v>
      </c>
      <c r="E71" s="246">
        <f t="shared" si="7"/>
        <v>0</v>
      </c>
      <c r="F71" s="246"/>
      <c r="G71" s="246">
        <f t="shared" si="8"/>
        <v>0</v>
      </c>
      <c r="H71" s="276">
        <f t="shared" si="9"/>
        <v>0</v>
      </c>
      <c r="I71" s="621"/>
      <c r="J71" s="464"/>
      <c r="K71" s="461"/>
    </row>
    <row r="72" spans="1:11" s="272" customFormat="1">
      <c r="A72" s="291">
        <v>310</v>
      </c>
      <c r="B72" s="293" t="s">
        <v>310</v>
      </c>
      <c r="C72" s="501">
        <f>'[44]Sch C'!D65</f>
        <v>0</v>
      </c>
      <c r="D72" s="501">
        <f>'[44]Sch C'!F65</f>
        <v>0</v>
      </c>
      <c r="E72" s="246">
        <f t="shared" si="7"/>
        <v>0</v>
      </c>
      <c r="F72" s="246"/>
      <c r="G72" s="246">
        <f t="shared" si="8"/>
        <v>0</v>
      </c>
      <c r="H72" s="276">
        <f t="shared" si="9"/>
        <v>0</v>
      </c>
      <c r="I72" s="621"/>
      <c r="J72" s="464"/>
      <c r="K72" s="461"/>
    </row>
    <row r="73" spans="1:11" s="272" customFormat="1">
      <c r="A73" s="291">
        <v>320</v>
      </c>
      <c r="B73" s="293" t="s">
        <v>262</v>
      </c>
      <c r="C73" s="501">
        <f>'[44]Sch C'!D66</f>
        <v>0</v>
      </c>
      <c r="D73" s="501">
        <f>'[44]Sch C'!F66</f>
        <v>0</v>
      </c>
      <c r="E73" s="246">
        <f t="shared" si="7"/>
        <v>0</v>
      </c>
      <c r="F73" s="246"/>
      <c r="G73" s="246">
        <f t="shared" si="8"/>
        <v>0</v>
      </c>
      <c r="H73" s="276">
        <f t="shared" si="9"/>
        <v>0</v>
      </c>
      <c r="I73" s="621"/>
      <c r="J73" s="464"/>
      <c r="K73" s="461"/>
    </row>
    <row r="74" spans="1:11" s="272" customFormat="1">
      <c r="A74" s="291">
        <v>330</v>
      </c>
      <c r="B74" s="293" t="s">
        <v>263</v>
      </c>
      <c r="C74" s="501">
        <f>'[44]Sch C'!D67</f>
        <v>19938.39</v>
      </c>
      <c r="D74" s="501">
        <f>'[44]Sch C'!F67</f>
        <v>14416.24</v>
      </c>
      <c r="E74" s="246">
        <f t="shared" si="7"/>
        <v>34354.629999999997</v>
      </c>
      <c r="F74" s="246"/>
      <c r="G74" s="246">
        <f t="shared" si="8"/>
        <v>34354.629999999997</v>
      </c>
      <c r="H74" s="276">
        <f t="shared" si="9"/>
        <v>4.4417185348854769E-3</v>
      </c>
      <c r="I74" s="621"/>
      <c r="J74" s="464"/>
      <c r="K74" s="461"/>
    </row>
    <row r="75" spans="1:11" s="272" customFormat="1">
      <c r="A75" s="291">
        <v>340</v>
      </c>
      <c r="B75" s="293" t="s">
        <v>264</v>
      </c>
      <c r="C75" s="501">
        <f>'[44]Sch C'!D68</f>
        <v>0</v>
      </c>
      <c r="D75" s="501">
        <f>'[44]Sch C'!F68</f>
        <v>0</v>
      </c>
      <c r="E75" s="246">
        <f t="shared" si="7"/>
        <v>0</v>
      </c>
      <c r="F75" s="246"/>
      <c r="G75" s="246">
        <f t="shared" si="8"/>
        <v>0</v>
      </c>
      <c r="H75" s="276">
        <f t="shared" si="9"/>
        <v>0</v>
      </c>
      <c r="I75" s="621"/>
      <c r="J75" s="464"/>
      <c r="K75" s="461"/>
    </row>
    <row r="76" spans="1:11" s="272" customFormat="1">
      <c r="A76" s="272">
        <v>350</v>
      </c>
      <c r="B76" s="195" t="s">
        <v>311</v>
      </c>
      <c r="C76" s="501">
        <f>'[44]Sch C'!D69</f>
        <v>0</v>
      </c>
      <c r="D76" s="501">
        <f>'[44]Sch C'!F69</f>
        <v>4354</v>
      </c>
      <c r="E76" s="246">
        <f t="shared" si="7"/>
        <v>4354</v>
      </c>
      <c r="F76" s="246"/>
      <c r="G76" s="246">
        <f t="shared" si="8"/>
        <v>4354</v>
      </c>
      <c r="H76" s="276">
        <f t="shared" si="9"/>
        <v>5.6292972740184849E-4</v>
      </c>
      <c r="I76" s="621"/>
      <c r="J76" s="464"/>
      <c r="K76" s="461"/>
    </row>
    <row r="77" spans="1:11" s="272" customFormat="1">
      <c r="A77" s="291">
        <v>360</v>
      </c>
      <c r="B77" s="293" t="s">
        <v>192</v>
      </c>
      <c r="C77" s="501">
        <f>'[44]Sch C'!D70</f>
        <v>0</v>
      </c>
      <c r="D77" s="501">
        <f>'[44]Sch C'!F70</f>
        <v>0</v>
      </c>
      <c r="E77" s="246">
        <f t="shared" si="7"/>
        <v>0</v>
      </c>
      <c r="F77" s="246"/>
      <c r="G77" s="246">
        <f t="shared" si="8"/>
        <v>0</v>
      </c>
      <c r="H77" s="276">
        <f t="shared" si="9"/>
        <v>0</v>
      </c>
      <c r="I77" s="621"/>
      <c r="J77" s="464"/>
      <c r="K77" s="461"/>
    </row>
    <row r="78" spans="1:11" s="272" customFormat="1">
      <c r="A78" s="291">
        <v>490</v>
      </c>
      <c r="B78" s="293" t="s">
        <v>312</v>
      </c>
      <c r="C78" s="501">
        <f>'[44]Sch C'!D71</f>
        <v>0</v>
      </c>
      <c r="D78" s="501">
        <f>'[44]Sch C'!F71</f>
        <v>0</v>
      </c>
      <c r="E78" s="246">
        <f t="shared" si="7"/>
        <v>0</v>
      </c>
      <c r="F78" s="246"/>
      <c r="G78" s="246">
        <f t="shared" si="8"/>
        <v>0</v>
      </c>
      <c r="H78" s="276">
        <f t="shared" si="9"/>
        <v>0</v>
      </c>
      <c r="I78" s="621"/>
      <c r="J78" s="464"/>
      <c r="K78" s="461"/>
    </row>
    <row r="79" spans="1:11" s="272" customFormat="1">
      <c r="A79" s="268"/>
      <c r="B79" s="275" t="s">
        <v>150</v>
      </c>
      <c r="C79" s="501">
        <f>SUM(C64:C78)</f>
        <v>961958.01</v>
      </c>
      <c r="D79" s="501">
        <f>SUM(D64:D78)</f>
        <v>-478753.97</v>
      </c>
      <c r="E79" s="246">
        <f t="shared" ref="E79:F79" si="10">SUM(E64:E78)</f>
        <v>483204.04</v>
      </c>
      <c r="F79" s="246">
        <f t="shared" si="10"/>
        <v>0</v>
      </c>
      <c r="G79" s="246">
        <f>SUM(G64:G78)</f>
        <v>483204.04</v>
      </c>
      <c r="H79" s="276">
        <f t="shared" si="9"/>
        <v>6.2473568791151096E-2</v>
      </c>
      <c r="I79" s="621"/>
      <c r="J79" s="464"/>
      <c r="K79" s="461"/>
    </row>
    <row r="80" spans="1:11" s="272" customFormat="1">
      <c r="A80" s="268"/>
      <c r="B80" s="275"/>
      <c r="C80" s="196"/>
      <c r="D80" s="196"/>
      <c r="E80" s="294"/>
      <c r="F80" s="294"/>
      <c r="G80" s="294"/>
      <c r="H80" s="295"/>
      <c r="I80" s="621"/>
      <c r="J80" s="461"/>
      <c r="K80" s="461"/>
    </row>
    <row r="81" spans="1:11" s="272" customFormat="1">
      <c r="A81" s="274" t="s">
        <v>163</v>
      </c>
      <c r="B81" s="275" t="s">
        <v>43</v>
      </c>
      <c r="C81" s="165"/>
      <c r="D81" s="165"/>
      <c r="E81" s="270"/>
      <c r="F81" s="270"/>
      <c r="G81" s="270"/>
      <c r="H81" s="296"/>
      <c r="I81" s="623"/>
      <c r="J81" s="461"/>
      <c r="K81" s="461"/>
    </row>
    <row r="82" spans="1:11" s="272" customFormat="1">
      <c r="A82" s="274" t="s">
        <v>85</v>
      </c>
      <c r="B82" s="297" t="s">
        <v>44</v>
      </c>
      <c r="C82" s="501">
        <f>'[44]Sch C'!D75</f>
        <v>43266.3</v>
      </c>
      <c r="D82" s="501">
        <f>'[44]Sch C'!F75</f>
        <v>0</v>
      </c>
      <c r="E82" s="246">
        <f t="shared" ref="E82:E92" si="11">C82+D82</f>
        <v>43266.3</v>
      </c>
      <c r="F82" s="246"/>
      <c r="G82" s="246">
        <f t="shared" ref="G82:G92" si="12">E82+F82</f>
        <v>43266.3</v>
      </c>
      <c r="H82" s="276">
        <f t="shared" ref="H82:H93" si="13">IF($G$208=0,0,G82/$G$208)</f>
        <v>5.5939105339197518E-3</v>
      </c>
      <c r="I82" s="621"/>
      <c r="J82" s="439">
        <v>1890.04</v>
      </c>
      <c r="K82" s="439">
        <v>2070.04</v>
      </c>
    </row>
    <row r="83" spans="1:11" s="272" customFormat="1">
      <c r="A83" s="274" t="s">
        <v>86</v>
      </c>
      <c r="B83" s="298" t="s">
        <v>45</v>
      </c>
      <c r="C83" s="501">
        <f>'[44]Sch C'!D76</f>
        <v>13263.75</v>
      </c>
      <c r="D83" s="501">
        <f>'[44]Sch C'!F76</f>
        <v>0</v>
      </c>
      <c r="E83" s="246">
        <f t="shared" si="11"/>
        <v>13263.75</v>
      </c>
      <c r="F83" s="246"/>
      <c r="G83" s="246">
        <f t="shared" si="12"/>
        <v>13263.75</v>
      </c>
      <c r="H83" s="276">
        <f t="shared" si="13"/>
        <v>1.7148734891654267E-3</v>
      </c>
      <c r="I83" s="621"/>
      <c r="J83" s="461"/>
      <c r="K83" s="461"/>
    </row>
    <row r="84" spans="1:11" s="272" customFormat="1">
      <c r="A84" s="274" t="s">
        <v>93</v>
      </c>
      <c r="B84" s="298" t="s">
        <v>47</v>
      </c>
      <c r="C84" s="501">
        <f>'[44]Sch C'!D77</f>
        <v>12364.34</v>
      </c>
      <c r="D84" s="501">
        <f>'[44]Sch C'!F77</f>
        <v>0</v>
      </c>
      <c r="E84" s="246">
        <f t="shared" si="11"/>
        <v>12364.34</v>
      </c>
      <c r="F84" s="246"/>
      <c r="G84" s="246">
        <f t="shared" si="12"/>
        <v>12364.34</v>
      </c>
      <c r="H84" s="276">
        <f t="shared" si="13"/>
        <v>1.5985885497711923E-3</v>
      </c>
      <c r="I84" s="621"/>
      <c r="J84" s="461"/>
      <c r="K84" s="461"/>
    </row>
    <row r="85" spans="1:11" s="272" customFormat="1">
      <c r="A85" s="274">
        <v>230</v>
      </c>
      <c r="B85" s="298" t="s">
        <v>46</v>
      </c>
      <c r="C85" s="501">
        <f>'[44]Sch C'!D78</f>
        <v>42758.61</v>
      </c>
      <c r="D85" s="501">
        <f>'[44]Sch C'!F78</f>
        <v>1399</v>
      </c>
      <c r="E85" s="246">
        <f t="shared" si="11"/>
        <v>44157.61</v>
      </c>
      <c r="F85" s="246"/>
      <c r="G85" s="246">
        <f t="shared" si="12"/>
        <v>44157.61</v>
      </c>
      <c r="H85" s="276">
        <f t="shared" si="13"/>
        <v>5.7091482223282364E-3</v>
      </c>
      <c r="I85" s="621"/>
      <c r="J85" s="461"/>
      <c r="K85" s="461"/>
    </row>
    <row r="86" spans="1:11" s="272" customFormat="1">
      <c r="A86" s="274">
        <v>240</v>
      </c>
      <c r="B86" s="299" t="s">
        <v>267</v>
      </c>
      <c r="C86" s="501">
        <f>'[44]Sch C'!D79</f>
        <v>31945.390000000003</v>
      </c>
      <c r="D86" s="501">
        <f>'[44]Sch C'!F79</f>
        <v>0</v>
      </c>
      <c r="E86" s="246">
        <f t="shared" si="11"/>
        <v>31945.390000000003</v>
      </c>
      <c r="F86" s="246"/>
      <c r="G86" s="246">
        <f>E86+F86</f>
        <v>31945.390000000003</v>
      </c>
      <c r="H86" s="276">
        <f t="shared" si="13"/>
        <v>4.1302273046499166E-3</v>
      </c>
      <c r="I86" s="621"/>
      <c r="J86" s="461"/>
      <c r="K86" s="461"/>
    </row>
    <row r="87" spans="1:11" s="272" customFormat="1">
      <c r="A87" s="274">
        <v>310</v>
      </c>
      <c r="B87" s="298" t="s">
        <v>54</v>
      </c>
      <c r="C87" s="501">
        <f>'[44]Sch C'!D80</f>
        <v>49196.340000000004</v>
      </c>
      <c r="D87" s="501">
        <f>'[44]Sch C'!F80</f>
        <v>0</v>
      </c>
      <c r="E87" s="246">
        <f t="shared" si="11"/>
        <v>49196.340000000004</v>
      </c>
      <c r="F87" s="246"/>
      <c r="G87" s="246">
        <f t="shared" si="12"/>
        <v>49196.340000000004</v>
      </c>
      <c r="H87" s="276">
        <f t="shared" si="13"/>
        <v>6.3606068592945925E-3</v>
      </c>
      <c r="I87" s="621"/>
      <c r="J87" s="461"/>
      <c r="K87" s="461"/>
    </row>
    <row r="88" spans="1:11" s="272" customFormat="1">
      <c r="A88" s="274">
        <v>320</v>
      </c>
      <c r="B88" s="300" t="s">
        <v>313</v>
      </c>
      <c r="C88" s="501">
        <f>'[44]Sch C'!D81</f>
        <v>6886.54</v>
      </c>
      <c r="D88" s="501">
        <f>'[44]Sch C'!F81</f>
        <v>0</v>
      </c>
      <c r="E88" s="246">
        <f t="shared" si="11"/>
        <v>6886.54</v>
      </c>
      <c r="F88" s="246"/>
      <c r="G88" s="246">
        <f t="shared" si="12"/>
        <v>6886.54</v>
      </c>
      <c r="H88" s="276">
        <f t="shared" si="13"/>
        <v>8.9036244486493472E-4</v>
      </c>
      <c r="I88" s="621"/>
      <c r="J88" s="461"/>
      <c r="K88" s="461"/>
    </row>
    <row r="89" spans="1:11" s="272" customFormat="1">
      <c r="A89" s="274">
        <v>330</v>
      </c>
      <c r="B89" s="300" t="s">
        <v>314</v>
      </c>
      <c r="C89" s="501">
        <f>'[44]Sch C'!D82</f>
        <v>0</v>
      </c>
      <c r="D89" s="501">
        <f>'[44]Sch C'!F82</f>
        <v>0</v>
      </c>
      <c r="E89" s="246">
        <f t="shared" si="11"/>
        <v>0</v>
      </c>
      <c r="F89" s="246"/>
      <c r="G89" s="246">
        <f t="shared" si="12"/>
        <v>0</v>
      </c>
      <c r="H89" s="276">
        <f t="shared" si="13"/>
        <v>0</v>
      </c>
      <c r="I89" s="621"/>
      <c r="J89" s="461"/>
      <c r="K89" s="461"/>
    </row>
    <row r="90" spans="1:11" s="272" customFormat="1">
      <c r="A90" s="268">
        <v>340</v>
      </c>
      <c r="B90" s="300" t="s">
        <v>349</v>
      </c>
      <c r="C90" s="501">
        <f>'[44]Sch C'!D83</f>
        <v>0</v>
      </c>
      <c r="D90" s="501">
        <f>'[44]Sch C'!F83</f>
        <v>0</v>
      </c>
      <c r="E90" s="246">
        <f t="shared" si="11"/>
        <v>0</v>
      </c>
      <c r="F90" s="246"/>
      <c r="G90" s="246">
        <f t="shared" si="12"/>
        <v>0</v>
      </c>
      <c r="H90" s="276">
        <f t="shared" si="13"/>
        <v>0</v>
      </c>
      <c r="I90" s="621"/>
      <c r="J90" s="461"/>
      <c r="K90" s="461"/>
    </row>
    <row r="91" spans="1:11" s="272" customFormat="1">
      <c r="A91" s="268">
        <v>350</v>
      </c>
      <c r="B91" s="298" t="s">
        <v>49</v>
      </c>
      <c r="C91" s="501">
        <f>'[44]Sch C'!D84</f>
        <v>112370.00000000001</v>
      </c>
      <c r="D91" s="501">
        <f>'[44]Sch C'!F84</f>
        <v>911</v>
      </c>
      <c r="E91" s="246">
        <f t="shared" si="11"/>
        <v>113281.00000000001</v>
      </c>
      <c r="F91" s="246"/>
      <c r="G91" s="246">
        <f t="shared" si="12"/>
        <v>113281.00000000001</v>
      </c>
      <c r="H91" s="276">
        <f t="shared" si="13"/>
        <v>1.4646128261324944E-2</v>
      </c>
      <c r="I91" s="621"/>
      <c r="J91" s="461"/>
      <c r="K91" s="461"/>
    </row>
    <row r="92" spans="1:11" s="272" customFormat="1">
      <c r="A92" s="268">
        <v>490</v>
      </c>
      <c r="B92" s="297" t="s">
        <v>312</v>
      </c>
      <c r="C92" s="501">
        <f>'[44]Sch C'!D85</f>
        <v>0</v>
      </c>
      <c r="D92" s="501">
        <f>'[44]Sch C'!F85</f>
        <v>0</v>
      </c>
      <c r="E92" s="246">
        <f t="shared" si="11"/>
        <v>0</v>
      </c>
      <c r="F92" s="246"/>
      <c r="G92" s="246">
        <f t="shared" si="12"/>
        <v>0</v>
      </c>
      <c r="H92" s="276">
        <f t="shared" si="13"/>
        <v>0</v>
      </c>
      <c r="I92" s="621"/>
      <c r="J92" s="461"/>
      <c r="K92" s="461"/>
    </row>
    <row r="93" spans="1:11" s="272" customFormat="1">
      <c r="A93" s="268"/>
      <c r="B93" s="275" t="s">
        <v>50</v>
      </c>
      <c r="C93" s="501">
        <f>SUM(C82:C92)</f>
        <v>312051.27</v>
      </c>
      <c r="D93" s="501">
        <f>SUM(D82:D92)</f>
        <v>2310</v>
      </c>
      <c r="E93" s="246">
        <f t="shared" ref="E93:F93" si="14">SUM(E82:E92)</f>
        <v>314361.27</v>
      </c>
      <c r="F93" s="246">
        <f t="shared" si="14"/>
        <v>0</v>
      </c>
      <c r="G93" s="246">
        <f>SUM(G82:G92)</f>
        <v>314361.27</v>
      </c>
      <c r="H93" s="276">
        <f t="shared" si="13"/>
        <v>4.0643845665318992E-2</v>
      </c>
      <c r="I93" s="621"/>
      <c r="J93" s="461"/>
      <c r="K93" s="461"/>
    </row>
    <row r="94" spans="1:11" s="272" customFormat="1">
      <c r="A94" s="268"/>
      <c r="C94" s="165"/>
      <c r="D94" s="165"/>
      <c r="E94" s="270"/>
      <c r="F94" s="270"/>
      <c r="G94" s="270"/>
      <c r="H94" s="296"/>
      <c r="I94" s="623"/>
      <c r="J94" s="461"/>
      <c r="K94" s="461"/>
    </row>
    <row r="95" spans="1:11" s="272" customFormat="1">
      <c r="A95" s="274" t="s">
        <v>164</v>
      </c>
      <c r="B95" s="275" t="s">
        <v>51</v>
      </c>
      <c r="C95" s="165"/>
      <c r="D95" s="165"/>
      <c r="E95" s="270"/>
      <c r="F95" s="270"/>
      <c r="G95" s="270"/>
      <c r="H95" s="296"/>
      <c r="I95" s="623"/>
      <c r="J95" s="461"/>
      <c r="K95" s="461"/>
    </row>
    <row r="96" spans="1:11" s="272" customFormat="1">
      <c r="A96" s="274" t="s">
        <v>85</v>
      </c>
      <c r="B96" s="275" t="s">
        <v>44</v>
      </c>
      <c r="C96" s="501">
        <f>'[44]Sch C'!D89</f>
        <v>251749.41999999998</v>
      </c>
      <c r="D96" s="501">
        <f>'[44]Sch C'!F89</f>
        <v>0</v>
      </c>
      <c r="E96" s="246">
        <f t="shared" ref="E96:E101" si="15">C96+D96</f>
        <v>251749.41999999998</v>
      </c>
      <c r="F96" s="246"/>
      <c r="G96" s="246">
        <f t="shared" ref="G96:G101" si="16">E96+F96</f>
        <v>251749.41999999998</v>
      </c>
      <c r="H96" s="276">
        <f t="shared" ref="H96:H102" si="17">IF($G$208=0,0,G96/$G$208)</f>
        <v>3.2548744229254356E-2</v>
      </c>
      <c r="I96" s="621"/>
      <c r="J96" s="439">
        <v>17016.920000000002</v>
      </c>
      <c r="K96" s="439">
        <v>17695.920000000002</v>
      </c>
    </row>
    <row r="97" spans="1:11" s="272" customFormat="1">
      <c r="A97" s="274" t="s">
        <v>86</v>
      </c>
      <c r="B97" s="275" t="s">
        <v>45</v>
      </c>
      <c r="C97" s="501">
        <f>'[44]Sch C'!D90</f>
        <v>61610.709999999992</v>
      </c>
      <c r="D97" s="501">
        <f>'[44]Sch C'!F90</f>
        <v>0</v>
      </c>
      <c r="E97" s="246">
        <f t="shared" si="15"/>
        <v>61610.709999999992</v>
      </c>
      <c r="F97" s="246"/>
      <c r="G97" s="246">
        <f t="shared" si="16"/>
        <v>61610.709999999992</v>
      </c>
      <c r="H97" s="276">
        <f t="shared" si="17"/>
        <v>7.9656638000308536E-3</v>
      </c>
      <c r="I97" s="621"/>
      <c r="J97" s="461"/>
      <c r="K97" s="461"/>
    </row>
    <row r="98" spans="1:11" s="272" customFormat="1">
      <c r="A98" s="274">
        <v>310</v>
      </c>
      <c r="B98" s="275" t="s">
        <v>54</v>
      </c>
      <c r="C98" s="501">
        <f>'[44]Sch C'!D91</f>
        <v>4952.16</v>
      </c>
      <c r="D98" s="501">
        <f>'[44]Sch C'!F91</f>
        <v>0</v>
      </c>
      <c r="E98" s="246">
        <f t="shared" si="15"/>
        <v>4952.16</v>
      </c>
      <c r="F98" s="246"/>
      <c r="G98" s="246">
        <f t="shared" si="16"/>
        <v>4952.16</v>
      </c>
      <c r="H98" s="276">
        <f t="shared" si="17"/>
        <v>6.4026598044334814E-4</v>
      </c>
      <c r="I98" s="621"/>
      <c r="J98" s="461"/>
      <c r="K98" s="461"/>
    </row>
    <row r="99" spans="1:11" s="272" customFormat="1">
      <c r="A99" s="274">
        <v>380</v>
      </c>
      <c r="B99" s="275" t="s">
        <v>52</v>
      </c>
      <c r="C99" s="501">
        <f>'[44]Sch C'!D92</f>
        <v>216027.15000000002</v>
      </c>
      <c r="D99" s="501">
        <f>'[44]Sch C'!F92</f>
        <v>0</v>
      </c>
      <c r="E99" s="246">
        <f t="shared" si="15"/>
        <v>216027.15000000002</v>
      </c>
      <c r="F99" s="246"/>
      <c r="G99" s="246">
        <f t="shared" si="16"/>
        <v>216027.15000000002</v>
      </c>
      <c r="H99" s="276">
        <f t="shared" si="17"/>
        <v>2.7930203183486046E-2</v>
      </c>
      <c r="I99" s="621"/>
      <c r="J99" s="461"/>
      <c r="K99" s="461"/>
    </row>
    <row r="100" spans="1:11" s="272" customFormat="1">
      <c r="A100" s="274">
        <v>390</v>
      </c>
      <c r="B100" s="275" t="s">
        <v>53</v>
      </c>
      <c r="C100" s="501">
        <f>'[44]Sch C'!D93</f>
        <v>11623.52</v>
      </c>
      <c r="D100" s="501">
        <f>'[44]Sch C'!F93</f>
        <v>0</v>
      </c>
      <c r="E100" s="246">
        <f t="shared" si="15"/>
        <v>11623.52</v>
      </c>
      <c r="F100" s="246"/>
      <c r="G100" s="246">
        <f t="shared" si="16"/>
        <v>11623.52</v>
      </c>
      <c r="H100" s="276">
        <f t="shared" si="17"/>
        <v>1.5028077503559795E-3</v>
      </c>
      <c r="I100" s="621"/>
      <c r="J100" s="461"/>
      <c r="K100" s="461"/>
    </row>
    <row r="101" spans="1:11" s="272" customFormat="1">
      <c r="A101" s="274">
        <v>490</v>
      </c>
      <c r="B101" s="23" t="s">
        <v>312</v>
      </c>
      <c r="C101" s="501">
        <f>'[44]Sch C'!D94</f>
        <v>5454.56</v>
      </c>
      <c r="D101" s="501">
        <f>'[44]Sch C'!F94</f>
        <v>0</v>
      </c>
      <c r="E101" s="246">
        <f t="shared" si="15"/>
        <v>5454.56</v>
      </c>
      <c r="F101" s="246"/>
      <c r="G101" s="246">
        <f t="shared" si="16"/>
        <v>5454.56</v>
      </c>
      <c r="H101" s="276">
        <f t="shared" si="17"/>
        <v>7.0522139960887162E-4</v>
      </c>
      <c r="I101" s="621"/>
      <c r="J101" s="461"/>
      <c r="K101" s="461"/>
    </row>
    <row r="102" spans="1:11" s="272" customFormat="1">
      <c r="A102" s="274"/>
      <c r="B102" s="275" t="s">
        <v>55</v>
      </c>
      <c r="C102" s="501">
        <f>SUM(C96:C101)</f>
        <v>551417.52</v>
      </c>
      <c r="D102" s="501">
        <f>SUM(D96:D101)</f>
        <v>0</v>
      </c>
      <c r="E102" s="246">
        <f t="shared" ref="E102:F102" si="18">SUM(E96:E101)</f>
        <v>551417.52</v>
      </c>
      <c r="F102" s="246">
        <f t="shared" si="18"/>
        <v>0</v>
      </c>
      <c r="G102" s="246">
        <f>SUM(G96:G101)</f>
        <v>551417.52</v>
      </c>
      <c r="H102" s="276">
        <f t="shared" si="17"/>
        <v>7.129290634317946E-2</v>
      </c>
      <c r="I102" s="621"/>
      <c r="J102" s="461"/>
      <c r="K102" s="461"/>
    </row>
    <row r="103" spans="1:11" s="272" customFormat="1">
      <c r="A103" s="268"/>
      <c r="C103" s="165"/>
      <c r="D103" s="165"/>
      <c r="E103" s="270"/>
      <c r="F103" s="270"/>
      <c r="G103" s="270"/>
      <c r="H103" s="296"/>
      <c r="I103" s="623"/>
      <c r="J103" s="461"/>
      <c r="K103" s="461"/>
    </row>
    <row r="104" spans="1:11" s="272" customFormat="1">
      <c r="A104" s="274" t="s">
        <v>165</v>
      </c>
      <c r="B104" s="275" t="s">
        <v>56</v>
      </c>
      <c r="C104" s="165"/>
      <c r="D104" s="165"/>
      <c r="E104" s="270"/>
      <c r="F104" s="270"/>
      <c r="G104" s="270"/>
      <c r="H104" s="296"/>
      <c r="I104" s="623"/>
      <c r="J104" s="461"/>
      <c r="K104" s="461"/>
    </row>
    <row r="105" spans="1:11" s="272" customFormat="1">
      <c r="A105" s="274" t="s">
        <v>85</v>
      </c>
      <c r="B105" s="275" t="s">
        <v>44</v>
      </c>
      <c r="C105" s="501">
        <f>'[44]Sch C'!D98</f>
        <v>30693.379999999997</v>
      </c>
      <c r="D105" s="501">
        <f>'[44]Sch C'!F98</f>
        <v>0</v>
      </c>
      <c r="E105" s="246">
        <f t="shared" ref="E105:E110" si="19">C105+D105</f>
        <v>30693.379999999997</v>
      </c>
      <c r="F105" s="246"/>
      <c r="G105" s="246">
        <f t="shared" ref="G105:G110" si="20">E105+F105</f>
        <v>30693.379999999997</v>
      </c>
      <c r="H105" s="276">
        <f t="shared" ref="H105:H111" si="21">IF($G$208=0,0,G105/$G$208)</f>
        <v>3.9683546248142736E-3</v>
      </c>
      <c r="I105" s="621"/>
      <c r="J105" s="439">
        <v>3191.73</v>
      </c>
      <c r="K105" s="439">
        <v>3604.1106639999998</v>
      </c>
    </row>
    <row r="106" spans="1:11" s="272" customFormat="1">
      <c r="A106" s="274" t="s">
        <v>86</v>
      </c>
      <c r="B106" s="275" t="s">
        <v>45</v>
      </c>
      <c r="C106" s="501">
        <f>'[44]Sch C'!D99</f>
        <v>7690.6</v>
      </c>
      <c r="D106" s="501">
        <f>'[44]Sch C'!F99</f>
        <v>0</v>
      </c>
      <c r="E106" s="246">
        <f t="shared" si="19"/>
        <v>7690.6</v>
      </c>
      <c r="F106" s="246"/>
      <c r="G106" s="246">
        <f t="shared" si="20"/>
        <v>7690.6</v>
      </c>
      <c r="H106" s="276">
        <f t="shared" si="21"/>
        <v>9.9431955938370604E-4</v>
      </c>
      <c r="I106" s="621"/>
      <c r="J106" s="461"/>
      <c r="K106" s="461"/>
    </row>
    <row r="107" spans="1:11" s="272" customFormat="1">
      <c r="A107" s="274">
        <v>110</v>
      </c>
      <c r="B107" s="275" t="s">
        <v>47</v>
      </c>
      <c r="C107" s="501">
        <f>'[44]Sch C'!D100</f>
        <v>9820.0500000000011</v>
      </c>
      <c r="D107" s="501">
        <f>'[44]Sch C'!F100</f>
        <v>0</v>
      </c>
      <c r="E107" s="246">
        <f t="shared" si="19"/>
        <v>9820.0500000000011</v>
      </c>
      <c r="F107" s="246"/>
      <c r="G107" s="246">
        <f t="shared" si="20"/>
        <v>9820.0500000000011</v>
      </c>
      <c r="H107" s="276">
        <f t="shared" si="21"/>
        <v>1.2696366719275431E-3</v>
      </c>
      <c r="I107" s="621"/>
      <c r="J107" s="461"/>
      <c r="K107" s="461"/>
    </row>
    <row r="108" spans="1:11" s="272" customFormat="1">
      <c r="A108" s="274">
        <v>310</v>
      </c>
      <c r="B108" s="275" t="s">
        <v>54</v>
      </c>
      <c r="C108" s="501">
        <f>'[44]Sch C'!D101</f>
        <v>1743.23</v>
      </c>
      <c r="D108" s="501">
        <f>'[44]Sch C'!F101</f>
        <v>0</v>
      </c>
      <c r="E108" s="246">
        <f t="shared" si="19"/>
        <v>1743.23</v>
      </c>
      <c r="F108" s="246"/>
      <c r="G108" s="246">
        <f t="shared" si="20"/>
        <v>1743.23</v>
      </c>
      <c r="H108" s="276">
        <f t="shared" si="21"/>
        <v>2.2538263406034093E-4</v>
      </c>
      <c r="I108" s="621"/>
      <c r="J108" s="461"/>
      <c r="K108" s="461"/>
    </row>
    <row r="109" spans="1:11" s="272" customFormat="1">
      <c r="A109" s="274">
        <v>410</v>
      </c>
      <c r="B109" s="275" t="s">
        <v>57</v>
      </c>
      <c r="C109" s="501">
        <f>'[44]Sch C'!D102</f>
        <v>6403.9000000000005</v>
      </c>
      <c r="D109" s="501">
        <f>'[44]Sch C'!F102</f>
        <v>0</v>
      </c>
      <c r="E109" s="246">
        <f t="shared" si="19"/>
        <v>6403.9000000000005</v>
      </c>
      <c r="F109" s="246"/>
      <c r="G109" s="246">
        <f t="shared" si="20"/>
        <v>6403.9000000000005</v>
      </c>
      <c r="H109" s="276">
        <f t="shared" si="21"/>
        <v>8.2796180094366057E-4</v>
      </c>
      <c r="I109" s="621"/>
      <c r="J109" s="461"/>
      <c r="K109" s="461"/>
    </row>
    <row r="110" spans="1:11" s="272" customFormat="1">
      <c r="A110" s="274">
        <v>490</v>
      </c>
      <c r="B110" s="23" t="s">
        <v>312</v>
      </c>
      <c r="C110" s="501">
        <f>'[44]Sch C'!D103</f>
        <v>286.61</v>
      </c>
      <c r="D110" s="501">
        <f>'[44]Sch C'!F103</f>
        <v>0</v>
      </c>
      <c r="E110" s="246">
        <f t="shared" si="19"/>
        <v>286.61</v>
      </c>
      <c r="F110" s="246"/>
      <c r="G110" s="246">
        <f t="shared" si="20"/>
        <v>286.61</v>
      </c>
      <c r="H110" s="276">
        <f t="shared" si="21"/>
        <v>3.7055877163675655E-5</v>
      </c>
      <c r="I110" s="621"/>
      <c r="J110" s="461"/>
      <c r="K110" s="461"/>
    </row>
    <row r="111" spans="1:11" s="272" customFormat="1">
      <c r="A111" s="268"/>
      <c r="B111" s="275" t="s">
        <v>58</v>
      </c>
      <c r="C111" s="501">
        <f>SUM(C105:C110)</f>
        <v>56637.770000000004</v>
      </c>
      <c r="D111" s="501">
        <f>SUM(D105:D110)</f>
        <v>0</v>
      </c>
      <c r="E111" s="246">
        <f t="shared" ref="E111:F111" si="22">SUM(E105:E110)</f>
        <v>56637.770000000004</v>
      </c>
      <c r="F111" s="246">
        <f t="shared" si="22"/>
        <v>0</v>
      </c>
      <c r="G111" s="246">
        <f>SUM(G105:G110)</f>
        <v>56637.770000000004</v>
      </c>
      <c r="H111" s="276">
        <f t="shared" si="21"/>
        <v>7.3227111682932005E-3</v>
      </c>
      <c r="I111" s="621"/>
      <c r="J111" s="461"/>
      <c r="K111" s="461"/>
    </row>
    <row r="112" spans="1:11" s="272" customFormat="1">
      <c r="A112" s="268"/>
      <c r="C112" s="165"/>
      <c r="D112" s="165"/>
      <c r="E112" s="270"/>
      <c r="F112" s="270"/>
      <c r="G112" s="270"/>
      <c r="H112" s="296"/>
      <c r="I112" s="623"/>
      <c r="J112" s="461"/>
      <c r="K112" s="461"/>
    </row>
    <row r="113" spans="1:11" s="272" customFormat="1">
      <c r="A113" s="274" t="s">
        <v>166</v>
      </c>
      <c r="B113" s="275" t="s">
        <v>59</v>
      </c>
      <c r="C113" s="165"/>
      <c r="D113" s="165"/>
      <c r="E113" s="270"/>
      <c r="F113" s="270"/>
      <c r="G113" s="270"/>
      <c r="H113" s="296"/>
      <c r="I113" s="623"/>
      <c r="J113" s="461"/>
      <c r="K113" s="461"/>
    </row>
    <row r="114" spans="1:11" s="272" customFormat="1">
      <c r="A114" s="274" t="s">
        <v>85</v>
      </c>
      <c r="B114" s="275" t="s">
        <v>44</v>
      </c>
      <c r="C114" s="501">
        <f>'[44]Sch C'!D115</f>
        <v>100871.22</v>
      </c>
      <c r="D114" s="501">
        <f>'[44]Sch C'!F115</f>
        <v>0</v>
      </c>
      <c r="E114" s="246">
        <f t="shared" ref="E114:E118" si="23">C114+D114</f>
        <v>100871.22</v>
      </c>
      <c r="F114" s="246"/>
      <c r="G114" s="246">
        <f>E114+F114</f>
        <v>100871.22</v>
      </c>
      <c r="H114" s="276">
        <f t="shared" ref="H114:H119" si="24">IF($G$208=0,0,G114/$G$208)</f>
        <v>1.3041664762813938E-2</v>
      </c>
      <c r="I114" s="621"/>
      <c r="J114" s="439">
        <v>9643.08</v>
      </c>
      <c r="K114" s="439">
        <v>10163.08</v>
      </c>
    </row>
    <row r="115" spans="1:11" s="272" customFormat="1">
      <c r="A115" s="274" t="s">
        <v>86</v>
      </c>
      <c r="B115" s="275" t="s">
        <v>151</v>
      </c>
      <c r="C115" s="501">
        <f>'[44]Sch C'!D116</f>
        <v>31807.49</v>
      </c>
      <c r="D115" s="501">
        <f>'[44]Sch C'!F116</f>
        <v>0</v>
      </c>
      <c r="E115" s="246">
        <f t="shared" si="23"/>
        <v>31807.49</v>
      </c>
      <c r="F115" s="246"/>
      <c r="G115" s="246">
        <f>E115+F115</f>
        <v>31807.49</v>
      </c>
      <c r="H115" s="276">
        <f t="shared" si="24"/>
        <v>4.1123981798431384E-3</v>
      </c>
      <c r="I115" s="621"/>
      <c r="J115" s="461"/>
      <c r="K115" s="461"/>
    </row>
    <row r="116" spans="1:11" s="272" customFormat="1">
      <c r="A116" s="274" t="s">
        <v>93</v>
      </c>
      <c r="B116" s="275" t="s">
        <v>47</v>
      </c>
      <c r="C116" s="501">
        <f>'[44]Sch C'!D117</f>
        <v>20606.689999999999</v>
      </c>
      <c r="D116" s="501">
        <f>'[44]Sch C'!F117</f>
        <v>0</v>
      </c>
      <c r="E116" s="246">
        <f t="shared" si="23"/>
        <v>20606.689999999999</v>
      </c>
      <c r="F116" s="246"/>
      <c r="G116" s="246">
        <f>E116+F116</f>
        <v>20606.689999999999</v>
      </c>
      <c r="H116" s="276">
        <f t="shared" si="24"/>
        <v>2.6642440019187864E-3</v>
      </c>
      <c r="I116" s="621"/>
      <c r="J116" s="461"/>
      <c r="K116" s="461"/>
    </row>
    <row r="117" spans="1:11" s="272" customFormat="1">
      <c r="A117" s="274">
        <v>310</v>
      </c>
      <c r="B117" s="275" t="s">
        <v>60</v>
      </c>
      <c r="C117" s="501">
        <f>'[44]Sch C'!D118</f>
        <v>2130.3199999999997</v>
      </c>
      <c r="D117" s="501">
        <f>'[44]Sch C'!F118</f>
        <v>0</v>
      </c>
      <c r="E117" s="246">
        <f t="shared" si="23"/>
        <v>2130.3199999999997</v>
      </c>
      <c r="F117" s="246"/>
      <c r="G117" s="246">
        <f>E117+F117</f>
        <v>2130.3199999999997</v>
      </c>
      <c r="H117" s="276">
        <f t="shared" si="24"/>
        <v>2.7542959505712119E-4</v>
      </c>
      <c r="I117" s="621"/>
      <c r="J117" s="461"/>
      <c r="K117" s="461"/>
    </row>
    <row r="118" spans="1:11" s="272" customFormat="1">
      <c r="A118" s="274">
        <v>490</v>
      </c>
      <c r="B118" s="23" t="s">
        <v>312</v>
      </c>
      <c r="C118" s="501">
        <f>'[44]Sch C'!D119</f>
        <v>703.72</v>
      </c>
      <c r="D118" s="501">
        <f>'[44]Sch C'!F119</f>
        <v>0</v>
      </c>
      <c r="E118" s="246">
        <f t="shared" si="23"/>
        <v>703.72</v>
      </c>
      <c r="F118" s="246"/>
      <c r="G118" s="246">
        <f>E118+F118</f>
        <v>703.72</v>
      </c>
      <c r="H118" s="276">
        <f t="shared" si="24"/>
        <v>9.0984131319988244E-5</v>
      </c>
      <c r="I118" s="621"/>
      <c r="J118" s="461"/>
      <c r="K118" s="461"/>
    </row>
    <row r="119" spans="1:11" s="272" customFormat="1">
      <c r="A119" s="268"/>
      <c r="B119" s="275" t="s">
        <v>61</v>
      </c>
      <c r="C119" s="501">
        <f>SUM(C114:C118)</f>
        <v>156119.44</v>
      </c>
      <c r="D119" s="501">
        <f>SUM(D114:D118)</f>
        <v>0</v>
      </c>
      <c r="E119" s="246">
        <f t="shared" ref="E119:F119" si="25">SUM(E114:E118)</f>
        <v>156119.44</v>
      </c>
      <c r="F119" s="246">
        <f t="shared" si="25"/>
        <v>0</v>
      </c>
      <c r="G119" s="246">
        <f>SUM(G114:G118)</f>
        <v>156119.44</v>
      </c>
      <c r="H119" s="276">
        <f t="shared" si="24"/>
        <v>2.0184720670952973E-2</v>
      </c>
      <c r="I119" s="621"/>
      <c r="J119" s="461"/>
      <c r="K119" s="461"/>
    </row>
    <row r="120" spans="1:11" s="272" customFormat="1">
      <c r="A120" s="268"/>
      <c r="B120" s="275"/>
      <c r="C120" s="196"/>
      <c r="D120" s="196"/>
      <c r="E120" s="294"/>
      <c r="F120" s="294"/>
      <c r="G120" s="294"/>
      <c r="H120" s="295"/>
      <c r="I120" s="621"/>
      <c r="J120" s="203"/>
      <c r="K120" s="203"/>
    </row>
    <row r="121" spans="1:11" s="272" customFormat="1" ht="15.5">
      <c r="A121" s="274" t="s">
        <v>167</v>
      </c>
      <c r="B121" s="275" t="s">
        <v>62</v>
      </c>
      <c r="C121" s="165"/>
      <c r="D121" s="165"/>
      <c r="E121" s="270"/>
      <c r="F121"/>
      <c r="G121" s="270"/>
      <c r="H121" s="296"/>
      <c r="I121" s="623"/>
      <c r="J121" s="438"/>
      <c r="K121" s="438"/>
    </row>
    <row r="122" spans="1:11" s="272" customFormat="1" ht="15.5">
      <c r="A122" s="274" t="s">
        <v>85</v>
      </c>
      <c r="B122" s="275" t="s">
        <v>63</v>
      </c>
      <c r="C122" s="165"/>
      <c r="D122" s="165"/>
      <c r="E122" s="270"/>
      <c r="F122"/>
      <c r="G122" s="270"/>
      <c r="H122" s="296"/>
      <c r="I122" s="623"/>
      <c r="J122" s="438"/>
      <c r="K122" s="438"/>
    </row>
    <row r="123" spans="1:11" s="272" customFormat="1">
      <c r="B123" s="268" t="s">
        <v>232</v>
      </c>
      <c r="C123" s="501">
        <f>'[44]Sch C'!D124</f>
        <v>155363.81</v>
      </c>
      <c r="D123" s="501">
        <f>'[44]Sch C'!F124</f>
        <v>0</v>
      </c>
      <c r="E123" s="246">
        <f t="shared" ref="E123:E127" si="26">C123+D123</f>
        <v>155363.81</v>
      </c>
      <c r="F123" s="246"/>
      <c r="G123" s="246">
        <f>E123+F123</f>
        <v>155363.81</v>
      </c>
      <c r="H123" s="276">
        <f>IF($G$208=0,0,G123/$G$208)</f>
        <v>2.0087025083007023E-2</v>
      </c>
      <c r="I123" s="621"/>
      <c r="J123" s="439">
        <v>3576.0135849999997</v>
      </c>
      <c r="K123" s="439">
        <v>3608.0135849999997</v>
      </c>
    </row>
    <row r="124" spans="1:11" s="272" customFormat="1">
      <c r="B124" s="268" t="s">
        <v>194</v>
      </c>
      <c r="C124" s="501">
        <f>'[44]Sch C'!D125</f>
        <v>120911.17</v>
      </c>
      <c r="D124" s="501">
        <f>'[44]Sch C'!F125</f>
        <v>0</v>
      </c>
      <c r="E124" s="246">
        <f t="shared" si="26"/>
        <v>120911.17</v>
      </c>
      <c r="F124" s="246"/>
      <c r="G124" s="246">
        <f>E124+F124</f>
        <v>120911.17</v>
      </c>
      <c r="H124" s="276">
        <f>IF($G$208=0,0,G124/$G$208)</f>
        <v>1.5632634811193973E-2</v>
      </c>
      <c r="I124" s="621"/>
      <c r="J124" s="439">
        <v>3154.73</v>
      </c>
      <c r="K124" s="439">
        <v>3208.73</v>
      </c>
    </row>
    <row r="125" spans="1:11" s="272" customFormat="1">
      <c r="A125" s="268" t="s">
        <v>198</v>
      </c>
      <c r="B125" s="268" t="s">
        <v>195</v>
      </c>
      <c r="C125" s="501">
        <f>'[44]Sch C'!D126</f>
        <v>0</v>
      </c>
      <c r="D125" s="501">
        <f>'[44]Sch C'!F126</f>
        <v>0</v>
      </c>
      <c r="E125" s="246">
        <f t="shared" si="26"/>
        <v>0</v>
      </c>
      <c r="F125" s="246"/>
      <c r="G125" s="246">
        <f>E125+F125</f>
        <v>0</v>
      </c>
      <c r="H125" s="276">
        <f>IF($G$208=0,0,G125/$G$208)</f>
        <v>0</v>
      </c>
      <c r="I125" s="621"/>
      <c r="J125" s="439">
        <v>0</v>
      </c>
      <c r="K125" s="439">
        <v>0</v>
      </c>
    </row>
    <row r="126" spans="1:11" s="272" customFormat="1">
      <c r="A126" s="274"/>
      <c r="B126" s="268" t="s">
        <v>196</v>
      </c>
      <c r="C126" s="501">
        <f>'[44]Sch C'!D127</f>
        <v>0</v>
      </c>
      <c r="D126" s="501">
        <f>'[44]Sch C'!F127</f>
        <v>0</v>
      </c>
      <c r="E126" s="246">
        <f t="shared" si="26"/>
        <v>0</v>
      </c>
      <c r="F126" s="246"/>
      <c r="G126" s="246">
        <f>E126+F126</f>
        <v>0</v>
      </c>
      <c r="H126" s="276">
        <f>IF($G$208=0,0,G126/$G$208)</f>
        <v>0</v>
      </c>
      <c r="I126" s="621"/>
      <c r="J126" s="439">
        <v>0</v>
      </c>
      <c r="K126" s="439">
        <v>0</v>
      </c>
    </row>
    <row r="127" spans="1:11" s="272" customFormat="1">
      <c r="A127" s="274"/>
      <c r="B127" s="268" t="s">
        <v>197</v>
      </c>
      <c r="C127" s="501">
        <f>'[44]Sch C'!D128</f>
        <v>65075.39</v>
      </c>
      <c r="D127" s="501">
        <f>'[44]Sch C'!F128</f>
        <v>0</v>
      </c>
      <c r="E127" s="246">
        <f t="shared" si="26"/>
        <v>65075.39</v>
      </c>
      <c r="F127" s="246"/>
      <c r="G127" s="246">
        <f>E127+F127</f>
        <v>65075.39</v>
      </c>
      <c r="H127" s="276">
        <f>IF($G$208=0,0,G127/$G$208)</f>
        <v>8.4136131266120753E-3</v>
      </c>
      <c r="I127" s="621"/>
      <c r="J127" s="439">
        <v>3299.4800000000005</v>
      </c>
      <c r="K127" s="439">
        <v>3504.6400000000003</v>
      </c>
    </row>
    <row r="128" spans="1:11" s="272" customFormat="1">
      <c r="A128" s="274" t="s">
        <v>95</v>
      </c>
      <c r="B128" s="275" t="s">
        <v>152</v>
      </c>
      <c r="C128" s="505"/>
      <c r="D128" s="505"/>
      <c r="E128" s="301"/>
      <c r="F128" s="301"/>
      <c r="G128" s="301"/>
      <c r="H128" s="302"/>
      <c r="I128" s="627"/>
      <c r="J128" s="465"/>
      <c r="K128" s="465"/>
    </row>
    <row r="129" spans="1:11" s="272" customFormat="1">
      <c r="A129" s="274"/>
      <c r="B129" s="268" t="s">
        <v>232</v>
      </c>
      <c r="C129" s="501">
        <f>'[44]Sch C'!D130</f>
        <v>33540.140516830572</v>
      </c>
      <c r="D129" s="501">
        <f>'[44]Sch C'!F130</f>
        <v>0</v>
      </c>
      <c r="E129" s="246">
        <f t="shared" ref="E129:E133" si="27">C129+D129</f>
        <v>33540.140516830572</v>
      </c>
      <c r="F129" s="246"/>
      <c r="G129" s="246">
        <f>E129+F129</f>
        <v>33540.140516830572</v>
      </c>
      <c r="H129" s="276">
        <f>IF($G$208=0,0,G129/$G$208)</f>
        <v>4.3364129899308972E-3</v>
      </c>
      <c r="I129" s="621"/>
      <c r="J129" s="438"/>
      <c r="K129" s="438"/>
    </row>
    <row r="130" spans="1:11" s="272" customFormat="1">
      <c r="A130" s="274"/>
      <c r="B130" s="268" t="s">
        <v>194</v>
      </c>
      <c r="C130" s="501">
        <f>'[44]Sch C'!D131</f>
        <v>26102.459973493111</v>
      </c>
      <c r="D130" s="501">
        <f>'[44]Sch C'!F131</f>
        <v>0</v>
      </c>
      <c r="E130" s="246">
        <f t="shared" si="27"/>
        <v>26102.459973493111</v>
      </c>
      <c r="F130" s="246"/>
      <c r="G130" s="246">
        <f>E130+F130</f>
        <v>26102.459973493111</v>
      </c>
      <c r="H130" s="276">
        <f>IF($G$208=0,0,G130/$G$208)</f>
        <v>3.3747934491033852E-3</v>
      </c>
      <c r="I130" s="621"/>
      <c r="J130" s="438"/>
      <c r="K130" s="438"/>
    </row>
    <row r="131" spans="1:11" s="272" customFormat="1">
      <c r="B131" s="268" t="s">
        <v>195</v>
      </c>
      <c r="C131" s="501">
        <f>'[44]Sch C'!D132</f>
        <v>0</v>
      </c>
      <c r="D131" s="501">
        <f>'[44]Sch C'!F132</f>
        <v>0</v>
      </c>
      <c r="E131" s="246">
        <f t="shared" si="27"/>
        <v>0</v>
      </c>
      <c r="F131" s="246"/>
      <c r="G131" s="246">
        <f>E131+F131</f>
        <v>0</v>
      </c>
      <c r="H131" s="276">
        <f>IF($G$208=0,0,G131/$G$208)</f>
        <v>0</v>
      </c>
      <c r="I131" s="621"/>
      <c r="J131" s="461"/>
      <c r="K131" s="461"/>
    </row>
    <row r="132" spans="1:11" s="272" customFormat="1">
      <c r="B132" s="268" t="s">
        <v>196</v>
      </c>
      <c r="C132" s="501">
        <f>'[44]Sch C'!D133</f>
        <v>0</v>
      </c>
      <c r="D132" s="501">
        <f>'[44]Sch C'!F133</f>
        <v>0</v>
      </c>
      <c r="E132" s="246">
        <f t="shared" si="27"/>
        <v>0</v>
      </c>
      <c r="F132" s="246"/>
      <c r="G132" s="246">
        <f>E132+F132</f>
        <v>0</v>
      </c>
      <c r="H132" s="276">
        <f>IF($G$208=0,0,G132/$G$208)</f>
        <v>0</v>
      </c>
      <c r="I132" s="621"/>
      <c r="J132" s="461"/>
      <c r="K132" s="461"/>
    </row>
    <row r="133" spans="1:11" s="272" customFormat="1">
      <c r="B133" s="268" t="s">
        <v>197</v>
      </c>
      <c r="C133" s="501">
        <f>'[44]Sch C'!D134</f>
        <v>20595.060000000001</v>
      </c>
      <c r="D133" s="501">
        <f>'[44]Sch C'!F134</f>
        <v>0</v>
      </c>
      <c r="E133" s="246">
        <f t="shared" si="27"/>
        <v>20595.060000000001</v>
      </c>
      <c r="F133" s="246"/>
      <c r="G133" s="246">
        <f>E133+F133</f>
        <v>20595.060000000001</v>
      </c>
      <c r="H133" s="276">
        <f>IF($G$208=0,0,G133/$G$208)</f>
        <v>2.6627403563676422E-3</v>
      </c>
      <c r="I133" s="621"/>
      <c r="J133" s="461"/>
      <c r="K133" s="461"/>
    </row>
    <row r="134" spans="1:11" s="272" customFormat="1">
      <c r="A134" s="274" t="s">
        <v>86</v>
      </c>
      <c r="B134" s="275" t="s">
        <v>64</v>
      </c>
      <c r="C134" s="196"/>
      <c r="D134" s="196"/>
      <c r="E134" s="294"/>
      <c r="F134" s="294"/>
      <c r="G134" s="294"/>
      <c r="H134" s="295"/>
      <c r="I134" s="621"/>
      <c r="J134" s="438"/>
      <c r="K134" s="438"/>
    </row>
    <row r="135" spans="1:11" s="272" customFormat="1">
      <c r="A135" s="274"/>
      <c r="B135" s="268" t="s">
        <v>194</v>
      </c>
      <c r="C135" s="501">
        <f>'[44]Sch C'!D136</f>
        <v>609641.97</v>
      </c>
      <c r="D135" s="501">
        <f>'[44]Sch C'!F136</f>
        <v>0</v>
      </c>
      <c r="E135" s="246">
        <f t="shared" ref="E135:E138" si="28">C135+D135</f>
        <v>609641.97</v>
      </c>
      <c r="F135" s="246"/>
      <c r="G135" s="246">
        <f>E135+F135</f>
        <v>609641.97</v>
      </c>
      <c r="H135" s="276">
        <f>IF($G$208=0,0,G135/$G$208)</f>
        <v>7.8820759757654082E-2</v>
      </c>
      <c r="I135" s="621"/>
      <c r="J135" s="439">
        <v>18799.930000000004</v>
      </c>
      <c r="K135" s="439">
        <v>19443.550000000003</v>
      </c>
    </row>
    <row r="136" spans="1:11" s="272" customFormat="1">
      <c r="A136" s="274"/>
      <c r="B136" s="268" t="s">
        <v>195</v>
      </c>
      <c r="C136" s="501">
        <f>'[44]Sch C'!D137</f>
        <v>408475.86</v>
      </c>
      <c r="D136" s="501">
        <f>'[44]Sch C'!F137</f>
        <v>0</v>
      </c>
      <c r="E136" s="246">
        <f t="shared" si="28"/>
        <v>408475.86</v>
      </c>
      <c r="F136" s="246"/>
      <c r="G136" s="246">
        <f>E136+F136</f>
        <v>408475.86</v>
      </c>
      <c r="H136" s="276">
        <f>IF($G$208=0,0,G136/$G$208)</f>
        <v>5.2811944079015988E-2</v>
      </c>
      <c r="I136" s="621"/>
      <c r="J136" s="439">
        <v>14152.869999999999</v>
      </c>
      <c r="K136" s="439">
        <v>14670.949999999999</v>
      </c>
    </row>
    <row r="137" spans="1:11" s="272" customFormat="1">
      <c r="A137" s="274"/>
      <c r="B137" s="268" t="s">
        <v>196</v>
      </c>
      <c r="C137" s="501">
        <f>'[44]Sch C'!D138</f>
        <v>643760.64999999991</v>
      </c>
      <c r="D137" s="501">
        <f>'[44]Sch C'!F138</f>
        <v>0</v>
      </c>
      <c r="E137" s="246">
        <f t="shared" si="28"/>
        <v>643760.64999999991</v>
      </c>
      <c r="F137" s="246"/>
      <c r="G137" s="246">
        <f>E137+F137</f>
        <v>643760.64999999991</v>
      </c>
      <c r="H137" s="276">
        <f>IF($G$208=0,0,G137/$G$208)</f>
        <v>8.3231972259195389E-2</v>
      </c>
      <c r="I137" s="621"/>
      <c r="J137" s="439">
        <v>43525.69</v>
      </c>
      <c r="K137" s="439">
        <v>45166.953436000003</v>
      </c>
    </row>
    <row r="138" spans="1:11" s="272" customFormat="1">
      <c r="A138" s="274"/>
      <c r="B138" s="268" t="s">
        <v>197</v>
      </c>
      <c r="C138" s="501">
        <f>'[44]Sch C'!D139</f>
        <v>108330.13999999998</v>
      </c>
      <c r="D138" s="501">
        <f>'[44]Sch C'!F139</f>
        <v>0</v>
      </c>
      <c r="E138" s="246">
        <f t="shared" si="28"/>
        <v>108330.13999999998</v>
      </c>
      <c r="F138" s="246"/>
      <c r="G138" s="246">
        <f>E138+F138</f>
        <v>108330.13999999998</v>
      </c>
      <c r="H138" s="276">
        <f>IF($G$208=0,0,G138/$G$208)</f>
        <v>1.4006030358200293E-2</v>
      </c>
      <c r="I138" s="621"/>
      <c r="J138" s="439">
        <v>7348.63</v>
      </c>
      <c r="K138" s="439">
        <v>7676.63</v>
      </c>
    </row>
    <row r="139" spans="1:11" s="272" customFormat="1">
      <c r="A139" s="274" t="s">
        <v>96</v>
      </c>
      <c r="B139" s="275" t="s">
        <v>153</v>
      </c>
      <c r="C139" s="196"/>
      <c r="D139" s="196"/>
      <c r="E139" s="294"/>
      <c r="F139" s="294"/>
      <c r="G139" s="294"/>
      <c r="H139" s="295"/>
      <c r="I139" s="621"/>
      <c r="J139" s="466"/>
      <c r="K139" s="466"/>
    </row>
    <row r="140" spans="1:11" s="272" customFormat="1">
      <c r="A140" s="274"/>
      <c r="B140" s="268" t="s">
        <v>194</v>
      </c>
      <c r="C140" s="501">
        <f>'[44]Sch C'!D141</f>
        <v>131610.29804017683</v>
      </c>
      <c r="D140" s="501">
        <f>'[44]Sch C'!F141</f>
        <v>0</v>
      </c>
      <c r="E140" s="246">
        <f t="shared" ref="E140:E143" si="29">C140+D140</f>
        <v>131610.29804017683</v>
      </c>
      <c r="F140" s="246"/>
      <c r="G140" s="246">
        <f>E140+F140</f>
        <v>131610.29804017683</v>
      </c>
      <c r="H140" s="276">
        <f>IF($G$208=0,0,G140/$G$208)</f>
        <v>1.7015927698445746E-2</v>
      </c>
      <c r="I140" s="621"/>
      <c r="J140" s="461"/>
      <c r="K140" s="461"/>
    </row>
    <row r="141" spans="1:11" s="272" customFormat="1">
      <c r="A141" s="274"/>
      <c r="B141" s="268" t="s">
        <v>195</v>
      </c>
      <c r="C141" s="501">
        <f>'[44]Sch C'!D142</f>
        <v>88182.297680091724</v>
      </c>
      <c r="D141" s="501">
        <f>'[44]Sch C'!F142</f>
        <v>0</v>
      </c>
      <c r="E141" s="246">
        <f t="shared" si="29"/>
        <v>88182.297680091724</v>
      </c>
      <c r="F141" s="246"/>
      <c r="G141" s="246">
        <f>E141+F141</f>
        <v>88182.297680091724</v>
      </c>
      <c r="H141" s="276">
        <f>IF($G$208=0,0,G141/$G$208)</f>
        <v>1.1401110885329052E-2</v>
      </c>
      <c r="I141" s="621"/>
      <c r="J141" s="461"/>
      <c r="K141" s="461"/>
    </row>
    <row r="142" spans="1:11" s="272" customFormat="1">
      <c r="A142" s="274"/>
      <c r="B142" s="268" t="s">
        <v>196</v>
      </c>
      <c r="C142" s="501">
        <f>'[44]Sch C'!D143</f>
        <v>138975.88286619764</v>
      </c>
      <c r="D142" s="501">
        <f>'[44]Sch C'!F143</f>
        <v>0</v>
      </c>
      <c r="E142" s="246">
        <f t="shared" si="29"/>
        <v>138975.88286619764</v>
      </c>
      <c r="F142" s="246"/>
      <c r="G142" s="246">
        <f>E142+F142</f>
        <v>138975.88286619764</v>
      </c>
      <c r="H142" s="276">
        <f>IF($G$208=0,0,G142/$G$208)</f>
        <v>1.7968225966306813E-2</v>
      </c>
      <c r="I142" s="621"/>
      <c r="J142" s="461"/>
      <c r="K142" s="461"/>
    </row>
    <row r="143" spans="1:11" s="272" customFormat="1">
      <c r="A143" s="274"/>
      <c r="B143" s="268" t="s">
        <v>197</v>
      </c>
      <c r="C143" s="501">
        <f>'[44]Sch C'!D144</f>
        <v>23386.450923210039</v>
      </c>
      <c r="D143" s="501">
        <f>'[44]Sch C'!F144</f>
        <v>0</v>
      </c>
      <c r="E143" s="246">
        <f t="shared" si="29"/>
        <v>23386.450923210039</v>
      </c>
      <c r="F143" s="246"/>
      <c r="G143" s="246">
        <f>E143+F143</f>
        <v>23386.450923210039</v>
      </c>
      <c r="H143" s="276">
        <f>IF($G$208=0,0,G143/$G$208)</f>
        <v>3.0236399731509728E-3</v>
      </c>
      <c r="I143" s="621"/>
      <c r="J143" s="461"/>
      <c r="K143" s="461"/>
    </row>
    <row r="144" spans="1:11" s="272" customFormat="1">
      <c r="A144" s="274" t="s">
        <v>87</v>
      </c>
      <c r="B144" s="275" t="s">
        <v>98</v>
      </c>
      <c r="C144" s="196"/>
      <c r="D144" s="196"/>
      <c r="E144" s="294"/>
      <c r="F144" s="294"/>
      <c r="G144" s="294"/>
      <c r="H144" s="295"/>
      <c r="I144" s="621"/>
      <c r="J144" s="529"/>
      <c r="K144" s="438"/>
    </row>
    <row r="145" spans="1:11" s="272" customFormat="1">
      <c r="A145" s="274"/>
      <c r="B145" s="268" t="s">
        <v>232</v>
      </c>
      <c r="C145" s="501">
        <f>'[44]Sch C'!D146</f>
        <v>50903.15</v>
      </c>
      <c r="D145" s="501">
        <f>'[44]Sch C'!F146</f>
        <v>0</v>
      </c>
      <c r="E145" s="246">
        <f t="shared" ref="E145:E153" si="30">C145+D145</f>
        <v>50903.15</v>
      </c>
      <c r="F145" s="246"/>
      <c r="G145" s="246">
        <f t="shared" ref="G145:G153" si="31">E145+F145</f>
        <v>50903.15</v>
      </c>
      <c r="H145" s="276">
        <f t="shared" ref="H145:H153" si="32">IF($G$208=0,0,G145/$G$208)</f>
        <v>6.5812807426264136E-3</v>
      </c>
      <c r="I145" s="621"/>
      <c r="J145" s="439">
        <v>0</v>
      </c>
      <c r="K145" s="439" t="s">
        <v>539</v>
      </c>
    </row>
    <row r="146" spans="1:11" s="272" customFormat="1">
      <c r="A146" s="274"/>
      <c r="B146" s="268" t="s">
        <v>194</v>
      </c>
      <c r="C146" s="501">
        <f>'[44]Sch C'!D147</f>
        <v>126529.91000000003</v>
      </c>
      <c r="D146" s="501">
        <f>'[44]Sch C'!F147</f>
        <v>0</v>
      </c>
      <c r="E146" s="246">
        <f t="shared" si="30"/>
        <v>126529.91000000003</v>
      </c>
      <c r="F146" s="246"/>
      <c r="G146" s="246">
        <f t="shared" si="31"/>
        <v>126529.91000000003</v>
      </c>
      <c r="H146" s="276">
        <f t="shared" si="32"/>
        <v>1.6359083083252283E-2</v>
      </c>
      <c r="I146" s="621"/>
      <c r="J146" s="439">
        <v>1973.3999999999999</v>
      </c>
      <c r="K146" s="439">
        <v>1973.3999999999999</v>
      </c>
    </row>
    <row r="147" spans="1:11" s="272" customFormat="1">
      <c r="A147" s="274"/>
      <c r="B147" s="268" t="s">
        <v>195</v>
      </c>
      <c r="C147" s="501">
        <f>'[44]Sch C'!D148</f>
        <v>43438.160000000033</v>
      </c>
      <c r="D147" s="501">
        <f>'[44]Sch C'!F148</f>
        <v>0</v>
      </c>
      <c r="E147" s="246">
        <f t="shared" si="30"/>
        <v>43438.160000000033</v>
      </c>
      <c r="F147" s="246"/>
      <c r="G147" s="246">
        <f t="shared" si="31"/>
        <v>43438.160000000033</v>
      </c>
      <c r="H147" s="276">
        <f t="shared" si="32"/>
        <v>5.6161303554519747E-3</v>
      </c>
      <c r="I147" s="621"/>
      <c r="J147" s="439">
        <v>3255.4649999999997</v>
      </c>
      <c r="K147" s="439">
        <v>3255.4649999999997</v>
      </c>
    </row>
    <row r="148" spans="1:11" s="272" customFormat="1">
      <c r="A148" s="274"/>
      <c r="B148" s="268" t="s">
        <v>196</v>
      </c>
      <c r="C148" s="501">
        <f>'[44]Sch C'!D149</f>
        <v>145586.49</v>
      </c>
      <c r="D148" s="501">
        <f>'[44]Sch C'!F149</f>
        <v>0</v>
      </c>
      <c r="E148" s="246">
        <f t="shared" si="30"/>
        <v>145586.49</v>
      </c>
      <c r="F148" s="246"/>
      <c r="G148" s="246">
        <f t="shared" si="31"/>
        <v>145586.49</v>
      </c>
      <c r="H148" s="276">
        <f t="shared" si="32"/>
        <v>1.8822912983254923E-2</v>
      </c>
      <c r="I148" s="621"/>
      <c r="J148" s="439">
        <v>7338.97</v>
      </c>
      <c r="K148" s="439">
        <v>7338.97</v>
      </c>
    </row>
    <row r="149" spans="1:11" s="272" customFormat="1">
      <c r="A149" s="274"/>
      <c r="B149" s="268" t="s">
        <v>197</v>
      </c>
      <c r="C149" s="501">
        <f>'[44]Sch C'!D150</f>
        <v>65822.01999999999</v>
      </c>
      <c r="D149" s="501">
        <f>'[44]Sch C'!F150</f>
        <v>52797</v>
      </c>
      <c r="E149" s="246">
        <f t="shared" si="30"/>
        <v>118619.01999999999</v>
      </c>
      <c r="F149" s="246"/>
      <c r="G149" s="246">
        <f t="shared" si="31"/>
        <v>118619.01999999999</v>
      </c>
      <c r="H149" s="276">
        <f t="shared" si="32"/>
        <v>1.533628217576353E-2</v>
      </c>
      <c r="I149" s="621"/>
      <c r="J149" s="439">
        <v>0</v>
      </c>
      <c r="K149" s="439" t="s">
        <v>440</v>
      </c>
    </row>
    <row r="150" spans="1:11" s="272" customFormat="1">
      <c r="A150" s="274">
        <v>110</v>
      </c>
      <c r="B150" s="272" t="s">
        <v>65</v>
      </c>
      <c r="C150" s="501">
        <f>'[44]Sch C'!D151</f>
        <v>113198.38</v>
      </c>
      <c r="D150" s="501">
        <f>'[44]Sch C'!F151</f>
        <v>0</v>
      </c>
      <c r="E150" s="246">
        <f t="shared" si="30"/>
        <v>113198.38</v>
      </c>
      <c r="F150" s="246"/>
      <c r="G150" s="246">
        <f t="shared" si="31"/>
        <v>113198.38</v>
      </c>
      <c r="H150" s="276">
        <f t="shared" si="32"/>
        <v>1.4635446301270295E-2</v>
      </c>
      <c r="I150" s="621"/>
      <c r="J150" s="461"/>
      <c r="K150" s="461"/>
    </row>
    <row r="151" spans="1:11" s="272" customFormat="1">
      <c r="A151" s="274">
        <v>111</v>
      </c>
      <c r="B151" s="275" t="s">
        <v>97</v>
      </c>
      <c r="C151" s="501">
        <f>'[44]Sch C'!D152</f>
        <v>9810.6299999999992</v>
      </c>
      <c r="D151" s="501">
        <f>'[44]Sch C'!F152</f>
        <v>0</v>
      </c>
      <c r="E151" s="246">
        <f t="shared" si="30"/>
        <v>9810.6299999999992</v>
      </c>
      <c r="F151" s="246"/>
      <c r="G151" s="246">
        <f t="shared" si="31"/>
        <v>9810.6299999999992</v>
      </c>
      <c r="H151" s="276">
        <f t="shared" si="32"/>
        <v>1.2684187578181894E-3</v>
      </c>
      <c r="I151" s="621"/>
      <c r="J151" s="461"/>
      <c r="K151" s="461"/>
    </row>
    <row r="152" spans="1:11" s="272" customFormat="1">
      <c r="A152" s="274">
        <v>230</v>
      </c>
      <c r="B152" s="275" t="s">
        <v>66</v>
      </c>
      <c r="C152" s="501">
        <f>'[44]Sch C'!D153</f>
        <v>0</v>
      </c>
      <c r="D152" s="501">
        <f>'[44]Sch C'!F153</f>
        <v>0</v>
      </c>
      <c r="E152" s="246">
        <f t="shared" si="30"/>
        <v>0</v>
      </c>
      <c r="F152" s="246"/>
      <c r="G152" s="246">
        <f t="shared" si="31"/>
        <v>0</v>
      </c>
      <c r="H152" s="276">
        <f t="shared" si="32"/>
        <v>0</v>
      </c>
      <c r="I152" s="621"/>
      <c r="J152" s="461"/>
      <c r="K152" s="461"/>
    </row>
    <row r="153" spans="1:11" s="272" customFormat="1">
      <c r="A153" s="274">
        <v>430</v>
      </c>
      <c r="B153" s="275" t="s">
        <v>99</v>
      </c>
      <c r="C153" s="501">
        <f>'[44]Sch C'!D154</f>
        <v>0</v>
      </c>
      <c r="D153" s="501">
        <f>'[44]Sch C'!F154</f>
        <v>0</v>
      </c>
      <c r="E153" s="246">
        <f t="shared" si="30"/>
        <v>0</v>
      </c>
      <c r="F153" s="246"/>
      <c r="G153" s="246">
        <f t="shared" si="31"/>
        <v>0</v>
      </c>
      <c r="H153" s="276">
        <f t="shared" si="32"/>
        <v>0</v>
      </c>
      <c r="I153" s="621"/>
      <c r="J153" s="461"/>
      <c r="K153" s="461"/>
    </row>
    <row r="154" spans="1:11" s="272" customFormat="1">
      <c r="A154" s="274"/>
      <c r="B154" s="209" t="s">
        <v>302</v>
      </c>
      <c r="C154" s="500"/>
      <c r="D154" s="500"/>
      <c r="E154" s="303"/>
      <c r="F154" s="303"/>
      <c r="G154" s="303"/>
      <c r="H154" s="304"/>
      <c r="I154" s="621"/>
      <c r="J154" s="461"/>
      <c r="K154" s="461"/>
    </row>
    <row r="155" spans="1:11" s="272" customFormat="1">
      <c r="A155" s="274">
        <v>440.1</v>
      </c>
      <c r="B155" s="268" t="s">
        <v>223</v>
      </c>
      <c r="C155" s="501">
        <f>'[44]Sch C'!D156</f>
        <v>0</v>
      </c>
      <c r="D155" s="501">
        <f>'[44]Sch C'!F156</f>
        <v>0</v>
      </c>
      <c r="E155" s="246">
        <f t="shared" ref="E155:E160" si="33">C155+D155</f>
        <v>0</v>
      </c>
      <c r="F155" s="246"/>
      <c r="G155" s="246">
        <f t="shared" ref="G155:G160" si="34">E155+F155</f>
        <v>0</v>
      </c>
      <c r="H155" s="276">
        <f t="shared" ref="H155:H161" si="35">IF($G$208=0,0,G155/$G$208)</f>
        <v>0</v>
      </c>
      <c r="I155" s="621"/>
      <c r="J155" s="461"/>
      <c r="K155" s="461"/>
    </row>
    <row r="156" spans="1:11" s="272" customFormat="1">
      <c r="A156" s="274">
        <v>440.2</v>
      </c>
      <c r="B156" s="268" t="s">
        <v>224</v>
      </c>
      <c r="C156" s="501">
        <f>'[44]Sch C'!D157</f>
        <v>0</v>
      </c>
      <c r="D156" s="501">
        <f>'[44]Sch C'!F157</f>
        <v>0</v>
      </c>
      <c r="E156" s="246">
        <f t="shared" si="33"/>
        <v>0</v>
      </c>
      <c r="F156" s="246"/>
      <c r="G156" s="246">
        <f t="shared" si="34"/>
        <v>0</v>
      </c>
      <c r="H156" s="276">
        <f t="shared" si="35"/>
        <v>0</v>
      </c>
      <c r="I156" s="621"/>
      <c r="J156" s="461"/>
      <c r="K156" s="461"/>
    </row>
    <row r="157" spans="1:11" s="272" customFormat="1">
      <c r="A157" s="274">
        <v>440.3</v>
      </c>
      <c r="B157" s="268" t="s">
        <v>225</v>
      </c>
      <c r="C157" s="501">
        <f>'[44]Sch C'!D158</f>
        <v>0</v>
      </c>
      <c r="D157" s="501">
        <f>'[44]Sch C'!F158</f>
        <v>0</v>
      </c>
      <c r="E157" s="246">
        <f t="shared" si="33"/>
        <v>0</v>
      </c>
      <c r="F157" s="246"/>
      <c r="G157" s="246">
        <f t="shared" si="34"/>
        <v>0</v>
      </c>
      <c r="H157" s="276">
        <f t="shared" si="35"/>
        <v>0</v>
      </c>
      <c r="I157" s="621"/>
      <c r="J157" s="461"/>
      <c r="K157" s="461"/>
    </row>
    <row r="158" spans="1:11" s="272" customFormat="1">
      <c r="A158" s="274">
        <v>440.4</v>
      </c>
      <c r="B158" s="268" t="s">
        <v>226</v>
      </c>
      <c r="C158" s="501">
        <f>'[44]Sch C'!D159</f>
        <v>0</v>
      </c>
      <c r="D158" s="501">
        <f>'[44]Sch C'!F159</f>
        <v>0</v>
      </c>
      <c r="E158" s="246">
        <f t="shared" si="33"/>
        <v>0</v>
      </c>
      <c r="F158" s="246"/>
      <c r="G158" s="246">
        <f t="shared" si="34"/>
        <v>0</v>
      </c>
      <c r="H158" s="276">
        <f t="shared" si="35"/>
        <v>0</v>
      </c>
      <c r="I158" s="621"/>
      <c r="J158" s="461"/>
      <c r="K158" s="461"/>
    </row>
    <row r="159" spans="1:11" s="272" customFormat="1">
      <c r="A159" s="274">
        <v>440.5</v>
      </c>
      <c r="B159" s="268" t="s">
        <v>301</v>
      </c>
      <c r="C159" s="501">
        <f>'[44]Sch C'!D160</f>
        <v>334.66999999999996</v>
      </c>
      <c r="D159" s="501">
        <f>'[44]Sch C'!F160</f>
        <v>0</v>
      </c>
      <c r="E159" s="246">
        <f t="shared" si="33"/>
        <v>334.66999999999996</v>
      </c>
      <c r="F159" s="246"/>
      <c r="G159" s="246">
        <f t="shared" si="34"/>
        <v>334.66999999999996</v>
      </c>
      <c r="H159" s="276">
        <f t="shared" si="35"/>
        <v>4.3269566345791596E-5</v>
      </c>
      <c r="I159" s="621"/>
      <c r="J159" s="461"/>
      <c r="K159" s="461"/>
    </row>
    <row r="160" spans="1:11" s="272" customFormat="1">
      <c r="A160" s="274">
        <v>490</v>
      </c>
      <c r="B160" s="23" t="s">
        <v>350</v>
      </c>
      <c r="C160" s="501">
        <f>'[44]Sch C'!D161</f>
        <v>11739.880000000001</v>
      </c>
      <c r="D160" s="501">
        <f>'[44]Sch C'!F161</f>
        <v>0</v>
      </c>
      <c r="E160" s="246">
        <f t="shared" si="33"/>
        <v>11739.880000000001</v>
      </c>
      <c r="F160" s="246"/>
      <c r="G160" s="246">
        <f t="shared" si="34"/>
        <v>11739.880000000001</v>
      </c>
      <c r="H160" s="276">
        <f t="shared" si="35"/>
        <v>1.5178519632821346E-3</v>
      </c>
      <c r="I160" s="621"/>
      <c r="J160" s="461"/>
      <c r="K160" s="461"/>
    </row>
    <row r="161" spans="1:12" s="272" customFormat="1">
      <c r="A161" s="274"/>
      <c r="B161" s="275" t="s">
        <v>233</v>
      </c>
      <c r="C161" s="501">
        <f>SUM(C123:C160)</f>
        <v>3141314.8699999996</v>
      </c>
      <c r="D161" s="501">
        <f>SUM(D123:D160)</f>
        <v>52797</v>
      </c>
      <c r="E161" s="246">
        <f t="shared" ref="E161:F161" si="36">SUM(E123:E160)</f>
        <v>3194111.8699999996</v>
      </c>
      <c r="F161" s="246">
        <f t="shared" si="36"/>
        <v>0</v>
      </c>
      <c r="G161" s="246">
        <f>SUM(G123:G160)</f>
        <v>3194111.8699999996</v>
      </c>
      <c r="H161" s="276">
        <f t="shared" si="35"/>
        <v>0.41296750672257887</v>
      </c>
      <c r="I161" s="621"/>
      <c r="J161" s="461"/>
      <c r="K161" s="461"/>
    </row>
    <row r="162" spans="1:12" s="272" customFormat="1">
      <c r="A162" s="274"/>
      <c r="B162" s="170"/>
      <c r="C162" s="196"/>
      <c r="D162" s="196"/>
      <c r="E162" s="294"/>
      <c r="F162" s="294"/>
      <c r="G162" s="294"/>
      <c r="H162" s="295"/>
      <c r="I162" s="621"/>
      <c r="J162" s="461"/>
      <c r="K162" s="461"/>
    </row>
    <row r="163" spans="1:12" s="272" customFormat="1">
      <c r="A163" s="274" t="s">
        <v>168</v>
      </c>
      <c r="B163" s="212" t="s">
        <v>100</v>
      </c>
      <c r="C163" s="213"/>
      <c r="D163" s="213"/>
      <c r="E163" s="305"/>
      <c r="F163" s="305"/>
      <c r="G163" s="305"/>
      <c r="H163" s="306"/>
      <c r="I163" s="621"/>
      <c r="J163" s="461"/>
      <c r="K163" s="461"/>
    </row>
    <row r="164" spans="1:12" s="221" customFormat="1">
      <c r="A164" s="307" t="s">
        <v>95</v>
      </c>
      <c r="B164" s="297" t="s">
        <v>102</v>
      </c>
      <c r="C164" s="501">
        <f>'[44]Sch C'!D175</f>
        <v>0</v>
      </c>
      <c r="D164" s="501">
        <f>'[44]Sch C'!F175</f>
        <v>0</v>
      </c>
      <c r="E164" s="246">
        <f t="shared" ref="E164:E196" si="37">C164+D164</f>
        <v>0</v>
      </c>
      <c r="F164" s="216"/>
      <c r="G164" s="246">
        <f t="shared" ref="G164:G196" si="38">E164+F164</f>
        <v>0</v>
      </c>
      <c r="H164" s="276">
        <f t="shared" ref="H164:H196" si="39">IF($G$208=0,0,G164/$G$208)</f>
        <v>0</v>
      </c>
      <c r="I164" s="628"/>
      <c r="J164" s="439">
        <v>0</v>
      </c>
      <c r="K164" s="439">
        <v>0</v>
      </c>
      <c r="L164" s="220"/>
    </row>
    <row r="165" spans="1:12" s="221" customFormat="1">
      <c r="A165" s="307" t="s">
        <v>123</v>
      </c>
      <c r="B165" s="297" t="s">
        <v>103</v>
      </c>
      <c r="C165" s="501">
        <f>'[44]Sch C'!D176</f>
        <v>0</v>
      </c>
      <c r="D165" s="501">
        <f>'[44]Sch C'!F176</f>
        <v>0</v>
      </c>
      <c r="E165" s="246">
        <f t="shared" si="37"/>
        <v>0</v>
      </c>
      <c r="F165" s="216"/>
      <c r="G165" s="246">
        <f t="shared" si="38"/>
        <v>0</v>
      </c>
      <c r="H165" s="276">
        <f t="shared" si="39"/>
        <v>0</v>
      </c>
      <c r="I165" s="629"/>
      <c r="J165" s="467"/>
      <c r="K165" s="467"/>
      <c r="L165" s="220"/>
    </row>
    <row r="166" spans="1:12" s="221" customFormat="1">
      <c r="A166" s="307" t="s">
        <v>124</v>
      </c>
      <c r="B166" s="297" t="s">
        <v>104</v>
      </c>
      <c r="C166" s="501">
        <f>'[44]Sch C'!D177</f>
        <v>335860.54</v>
      </c>
      <c r="D166" s="501">
        <f>'[44]Sch C'!F177</f>
        <v>0</v>
      </c>
      <c r="E166" s="246">
        <f t="shared" si="37"/>
        <v>335860.54</v>
      </c>
      <c r="F166" s="216"/>
      <c r="G166" s="246">
        <f t="shared" si="38"/>
        <v>335860.54</v>
      </c>
      <c r="H166" s="276">
        <f t="shared" si="39"/>
        <v>4.3423491554257607E-2</v>
      </c>
      <c r="I166" s="628"/>
      <c r="J166" s="439">
        <v>9017.6500000000015</v>
      </c>
      <c r="K166" s="439">
        <v>9425.5834370000011</v>
      </c>
      <c r="L166" s="220"/>
    </row>
    <row r="167" spans="1:12" s="221" customFormat="1">
      <c r="A167" s="307" t="s">
        <v>157</v>
      </c>
      <c r="B167" s="297" t="s">
        <v>105</v>
      </c>
      <c r="C167" s="501">
        <f>'[44]Sch C'!D178</f>
        <v>87405.62000000001</v>
      </c>
      <c r="D167" s="501">
        <f>'[44]Sch C'!F178</f>
        <v>0</v>
      </c>
      <c r="E167" s="246">
        <f t="shared" si="37"/>
        <v>87405.62000000001</v>
      </c>
      <c r="F167" s="216"/>
      <c r="G167" s="246">
        <f t="shared" si="38"/>
        <v>87405.62000000001</v>
      </c>
      <c r="H167" s="276">
        <f t="shared" si="39"/>
        <v>1.1300694037664117E-2</v>
      </c>
      <c r="I167" s="629"/>
      <c r="J167" s="467"/>
      <c r="K167" s="467"/>
      <c r="L167" s="220"/>
    </row>
    <row r="168" spans="1:12" s="221" customFormat="1">
      <c r="A168" s="307" t="s">
        <v>158</v>
      </c>
      <c r="B168" s="297" t="s">
        <v>316</v>
      </c>
      <c r="C168" s="501">
        <f>'[44]Sch C'!D179</f>
        <v>91261.54</v>
      </c>
      <c r="D168" s="501">
        <f>'[44]Sch C'!F179</f>
        <v>0</v>
      </c>
      <c r="E168" s="246">
        <f t="shared" si="37"/>
        <v>91261.54</v>
      </c>
      <c r="F168" s="216"/>
      <c r="G168" s="246">
        <f t="shared" si="38"/>
        <v>91261.54</v>
      </c>
      <c r="H168" s="276">
        <f t="shared" si="39"/>
        <v>1.1799226879759506E-2</v>
      </c>
      <c r="I168" s="628"/>
      <c r="J168" s="439">
        <v>2390.71</v>
      </c>
      <c r="K168" s="439">
        <v>2646.7999199999999</v>
      </c>
      <c r="L168" s="220"/>
    </row>
    <row r="169" spans="1:12" s="221" customFormat="1">
      <c r="A169" s="307" t="s">
        <v>86</v>
      </c>
      <c r="B169" s="297" t="s">
        <v>317</v>
      </c>
      <c r="C169" s="501">
        <f>'[44]Sch C'!D180</f>
        <v>34773.040000000001</v>
      </c>
      <c r="D169" s="501">
        <f>'[44]Sch C'!F180</f>
        <v>0</v>
      </c>
      <c r="E169" s="246">
        <f t="shared" si="37"/>
        <v>34773.040000000001</v>
      </c>
      <c r="F169" s="216"/>
      <c r="G169" s="246">
        <f t="shared" si="38"/>
        <v>34773.040000000001</v>
      </c>
      <c r="H169" s="276">
        <f t="shared" si="39"/>
        <v>4.4958148663604902E-3</v>
      </c>
      <c r="I169" s="629"/>
      <c r="J169" s="467"/>
      <c r="K169" s="467"/>
      <c r="L169" s="220"/>
    </row>
    <row r="170" spans="1:12" s="221" customFormat="1">
      <c r="A170" s="307" t="s">
        <v>96</v>
      </c>
      <c r="B170" s="297" t="s">
        <v>318</v>
      </c>
      <c r="C170" s="501">
        <f>'[44]Sch C'!D181</f>
        <v>0</v>
      </c>
      <c r="D170" s="501">
        <f>'[44]Sch C'!F181</f>
        <v>0</v>
      </c>
      <c r="E170" s="246">
        <f t="shared" si="37"/>
        <v>0</v>
      </c>
      <c r="F170" s="216"/>
      <c r="G170" s="246">
        <f t="shared" si="38"/>
        <v>0</v>
      </c>
      <c r="H170" s="276">
        <f t="shared" si="39"/>
        <v>0</v>
      </c>
      <c r="I170" s="628"/>
      <c r="J170" s="439">
        <v>0</v>
      </c>
      <c r="K170" s="439">
        <v>0</v>
      </c>
      <c r="L170" s="220"/>
    </row>
    <row r="171" spans="1:12" s="221" customFormat="1">
      <c r="A171" s="307" t="s">
        <v>125</v>
      </c>
      <c r="B171" s="297" t="s">
        <v>109</v>
      </c>
      <c r="C171" s="501">
        <f>'[44]Sch C'!D182</f>
        <v>0</v>
      </c>
      <c r="D171" s="501">
        <f>'[44]Sch C'!F182</f>
        <v>0</v>
      </c>
      <c r="E171" s="246">
        <f t="shared" si="37"/>
        <v>0</v>
      </c>
      <c r="F171" s="216"/>
      <c r="G171" s="246">
        <f t="shared" si="38"/>
        <v>0</v>
      </c>
      <c r="H171" s="276">
        <f t="shared" si="39"/>
        <v>0</v>
      </c>
      <c r="I171" s="629"/>
      <c r="J171" s="467"/>
      <c r="K171" s="467"/>
      <c r="L171" s="220"/>
    </row>
    <row r="172" spans="1:12" s="221" customFormat="1">
      <c r="A172" s="307" t="s">
        <v>126</v>
      </c>
      <c r="B172" s="297" t="s">
        <v>319</v>
      </c>
      <c r="C172" s="501">
        <f>'[44]Sch C'!D183</f>
        <v>117180.73000000001</v>
      </c>
      <c r="D172" s="501">
        <f>'[44]Sch C'!F183</f>
        <v>0</v>
      </c>
      <c r="E172" s="246">
        <f t="shared" si="37"/>
        <v>117180.73000000001</v>
      </c>
      <c r="F172" s="216"/>
      <c r="G172" s="246">
        <f t="shared" si="38"/>
        <v>117180.73000000001</v>
      </c>
      <c r="H172" s="276">
        <f t="shared" si="39"/>
        <v>1.5150325309060545E-2</v>
      </c>
      <c r="I172" s="628"/>
      <c r="J172" s="439">
        <v>3298.52</v>
      </c>
      <c r="K172" s="439">
        <v>3640.2200000000003</v>
      </c>
      <c r="L172" s="220"/>
    </row>
    <row r="173" spans="1:12" s="221" customFormat="1" ht="13.5">
      <c r="A173" s="307" t="s">
        <v>127</v>
      </c>
      <c r="B173" s="309" t="s">
        <v>111</v>
      </c>
      <c r="C173" s="501">
        <f>'[44]Sch C'!D184</f>
        <v>41290.420000000006</v>
      </c>
      <c r="D173" s="501">
        <f>'[44]Sch C'!F184</f>
        <v>0</v>
      </c>
      <c r="E173" s="246">
        <f t="shared" si="37"/>
        <v>41290.420000000006</v>
      </c>
      <c r="F173" s="216"/>
      <c r="G173" s="246">
        <f t="shared" si="38"/>
        <v>41290.420000000006</v>
      </c>
      <c r="H173" s="276">
        <f t="shared" si="39"/>
        <v>5.3384485243242619E-3</v>
      </c>
      <c r="I173" s="629"/>
      <c r="J173" s="467"/>
      <c r="K173" s="467"/>
      <c r="L173" s="220"/>
    </row>
    <row r="174" spans="1:12" s="221" customFormat="1">
      <c r="A174" s="307" t="s">
        <v>128</v>
      </c>
      <c r="B174" s="297" t="s">
        <v>320</v>
      </c>
      <c r="C174" s="501">
        <f>'[44]Sch C'!D185</f>
        <v>0</v>
      </c>
      <c r="D174" s="501">
        <f>'[44]Sch C'!F185</f>
        <v>0</v>
      </c>
      <c r="E174" s="246">
        <f t="shared" si="37"/>
        <v>0</v>
      </c>
      <c r="F174" s="216"/>
      <c r="G174" s="246">
        <f t="shared" si="38"/>
        <v>0</v>
      </c>
      <c r="H174" s="276">
        <f t="shared" si="39"/>
        <v>0</v>
      </c>
      <c r="I174" s="628"/>
      <c r="J174" s="439">
        <v>9539.4500000000007</v>
      </c>
      <c r="K174" s="439">
        <v>10066.552576000002</v>
      </c>
      <c r="L174" s="220"/>
    </row>
    <row r="175" spans="1:12" s="221" customFormat="1" ht="13.5">
      <c r="A175" s="307" t="s">
        <v>129</v>
      </c>
      <c r="B175" s="309" t="s">
        <v>321</v>
      </c>
      <c r="C175" s="501">
        <f>'[44]Sch C'!D186</f>
        <v>0</v>
      </c>
      <c r="D175" s="501">
        <f>'[44]Sch C'!F186</f>
        <v>0</v>
      </c>
      <c r="E175" s="246">
        <f t="shared" si="37"/>
        <v>0</v>
      </c>
      <c r="F175" s="216"/>
      <c r="G175" s="246">
        <f t="shared" si="38"/>
        <v>0</v>
      </c>
      <c r="H175" s="276">
        <f t="shared" si="39"/>
        <v>0</v>
      </c>
      <c r="I175" s="621"/>
      <c r="J175" s="468"/>
      <c r="K175" s="469"/>
      <c r="L175" s="220"/>
    </row>
    <row r="176" spans="1:12" s="221" customFormat="1">
      <c r="A176" s="310" t="s">
        <v>293</v>
      </c>
      <c r="B176" s="297" t="s">
        <v>154</v>
      </c>
      <c r="C176" s="501">
        <f>'[44]Sch C'!D187</f>
        <v>0</v>
      </c>
      <c r="D176" s="501">
        <f>'[44]Sch C'!F187</f>
        <v>0</v>
      </c>
      <c r="E176" s="246">
        <f t="shared" si="37"/>
        <v>0</v>
      </c>
      <c r="F176" s="216"/>
      <c r="G176" s="246">
        <f t="shared" si="38"/>
        <v>0</v>
      </c>
      <c r="H176" s="276">
        <f t="shared" si="39"/>
        <v>0</v>
      </c>
      <c r="I176" s="621"/>
      <c r="J176" s="468"/>
      <c r="K176" s="469"/>
      <c r="L176" s="220"/>
    </row>
    <row r="177" spans="1:12" s="221" customFormat="1">
      <c r="A177" s="310" t="s">
        <v>294</v>
      </c>
      <c r="B177" s="297" t="s">
        <v>322</v>
      </c>
      <c r="C177" s="501">
        <f>'[44]Sch C'!D188</f>
        <v>10701.04</v>
      </c>
      <c r="D177" s="501">
        <f>'[44]Sch C'!F188</f>
        <v>0</v>
      </c>
      <c r="E177" s="246">
        <f t="shared" si="37"/>
        <v>10701.04</v>
      </c>
      <c r="F177" s="216"/>
      <c r="G177" s="246">
        <f t="shared" si="38"/>
        <v>10701.04</v>
      </c>
      <c r="H177" s="276">
        <f t="shared" si="39"/>
        <v>1.3835400850060351E-3</v>
      </c>
      <c r="I177" s="621"/>
      <c r="J177" s="468"/>
      <c r="K177" s="469"/>
      <c r="L177" s="220"/>
    </row>
    <row r="178" spans="1:12" s="221" customFormat="1">
      <c r="A178" s="310" t="s">
        <v>295</v>
      </c>
      <c r="B178" s="297" t="s">
        <v>323</v>
      </c>
      <c r="C178" s="501">
        <f>'[44]Sch C'!D189</f>
        <v>1991.2300000000002</v>
      </c>
      <c r="D178" s="501">
        <f>'[44]Sch C'!F189</f>
        <v>0</v>
      </c>
      <c r="E178" s="246">
        <f t="shared" si="37"/>
        <v>1991.2300000000002</v>
      </c>
      <c r="F178" s="216"/>
      <c r="G178" s="246">
        <f t="shared" si="38"/>
        <v>1991.2300000000002</v>
      </c>
      <c r="H178" s="276">
        <f t="shared" si="39"/>
        <v>2.5744661485860884E-4</v>
      </c>
      <c r="I178" s="621"/>
      <c r="J178" s="468"/>
      <c r="K178" s="469"/>
      <c r="L178" s="220"/>
    </row>
    <row r="179" spans="1:12" s="221" customFormat="1">
      <c r="A179" s="310" t="s">
        <v>296</v>
      </c>
      <c r="B179" s="297" t="s">
        <v>324</v>
      </c>
      <c r="C179" s="501">
        <f>'[44]Sch C'!D190</f>
        <v>0</v>
      </c>
      <c r="D179" s="501">
        <f>'[44]Sch C'!F190</f>
        <v>0</v>
      </c>
      <c r="E179" s="246">
        <f t="shared" si="37"/>
        <v>0</v>
      </c>
      <c r="F179" s="216"/>
      <c r="G179" s="246">
        <f t="shared" si="38"/>
        <v>0</v>
      </c>
      <c r="H179" s="276">
        <f t="shared" si="39"/>
        <v>0</v>
      </c>
      <c r="I179" s="621"/>
      <c r="J179" s="468"/>
      <c r="K179" s="469"/>
      <c r="L179" s="220"/>
    </row>
    <row r="180" spans="1:12" s="221" customFormat="1">
      <c r="A180" s="310" t="s">
        <v>297</v>
      </c>
      <c r="B180" s="297" t="s">
        <v>325</v>
      </c>
      <c r="C180" s="501">
        <f>'[44]Sch C'!D191</f>
        <v>0</v>
      </c>
      <c r="D180" s="501">
        <f>'[44]Sch C'!F191</f>
        <v>0</v>
      </c>
      <c r="E180" s="246">
        <f t="shared" si="37"/>
        <v>0</v>
      </c>
      <c r="F180" s="216"/>
      <c r="G180" s="246">
        <f t="shared" si="38"/>
        <v>0</v>
      </c>
      <c r="H180" s="276">
        <f t="shared" si="39"/>
        <v>0</v>
      </c>
      <c r="I180" s="621"/>
      <c r="J180" s="468"/>
      <c r="K180" s="469"/>
      <c r="L180" s="220"/>
    </row>
    <row r="181" spans="1:12" s="221" customFormat="1">
      <c r="A181" s="310" t="s">
        <v>298</v>
      </c>
      <c r="B181" s="297" t="s">
        <v>117</v>
      </c>
      <c r="C181" s="501">
        <f>'[44]Sch C'!D192</f>
        <v>49397.29</v>
      </c>
      <c r="D181" s="501">
        <f>'[44]Sch C'!F192</f>
        <v>0</v>
      </c>
      <c r="E181" s="246">
        <f t="shared" si="37"/>
        <v>49397.29</v>
      </c>
      <c r="F181" s="216"/>
      <c r="G181" s="246">
        <f t="shared" si="38"/>
        <v>49397.29</v>
      </c>
      <c r="H181" s="276">
        <f t="shared" si="39"/>
        <v>6.3865877340583506E-3</v>
      </c>
      <c r="I181" s="621"/>
      <c r="J181" s="468"/>
      <c r="K181" s="469"/>
      <c r="L181" s="220"/>
    </row>
    <row r="182" spans="1:12" s="221" customFormat="1">
      <c r="A182" s="310" t="s">
        <v>132</v>
      </c>
      <c r="B182" s="297" t="s">
        <v>118</v>
      </c>
      <c r="C182" s="501">
        <f>'[44]Sch C'!D193</f>
        <v>0</v>
      </c>
      <c r="D182" s="501">
        <f>'[44]Sch C'!F193</f>
        <v>0</v>
      </c>
      <c r="E182" s="246">
        <f t="shared" si="37"/>
        <v>0</v>
      </c>
      <c r="F182" s="216"/>
      <c r="G182" s="246">
        <f t="shared" si="38"/>
        <v>0</v>
      </c>
      <c r="H182" s="276">
        <f t="shared" si="39"/>
        <v>0</v>
      </c>
      <c r="I182" s="621"/>
      <c r="J182" s="468"/>
      <c r="K182" s="469"/>
      <c r="L182" s="220"/>
    </row>
    <row r="183" spans="1:12" s="221" customFormat="1">
      <c r="A183" s="310" t="s">
        <v>133</v>
      </c>
      <c r="B183" s="297" t="s">
        <v>119</v>
      </c>
      <c r="C183" s="501">
        <f>'[44]Sch C'!D194</f>
        <v>0</v>
      </c>
      <c r="D183" s="501">
        <f>'[44]Sch C'!F194</f>
        <v>16250</v>
      </c>
      <c r="E183" s="246">
        <f t="shared" si="37"/>
        <v>16250</v>
      </c>
      <c r="F183" s="216"/>
      <c r="G183" s="246">
        <f t="shared" si="38"/>
        <v>16250</v>
      </c>
      <c r="H183" s="276">
        <f t="shared" si="39"/>
        <v>2.100966483757473E-3</v>
      </c>
      <c r="I183" s="621"/>
      <c r="J183" s="468"/>
      <c r="K183" s="469"/>
      <c r="L183" s="220"/>
    </row>
    <row r="184" spans="1:12" s="221" customFormat="1">
      <c r="A184" s="310" t="s">
        <v>134</v>
      </c>
      <c r="B184" s="297" t="s">
        <v>326</v>
      </c>
      <c r="C184" s="501">
        <f>'[44]Sch C'!D195</f>
        <v>0</v>
      </c>
      <c r="D184" s="501">
        <f>'[44]Sch C'!F195</f>
        <v>0</v>
      </c>
      <c r="E184" s="246">
        <f t="shared" si="37"/>
        <v>0</v>
      </c>
      <c r="F184" s="216"/>
      <c r="G184" s="246">
        <f t="shared" si="38"/>
        <v>0</v>
      </c>
      <c r="H184" s="276">
        <f t="shared" si="39"/>
        <v>0</v>
      </c>
      <c r="I184" s="621"/>
      <c r="J184" s="468"/>
      <c r="K184" s="469"/>
      <c r="L184" s="220"/>
    </row>
    <row r="185" spans="1:12" s="221" customFormat="1">
      <c r="A185" s="310" t="s">
        <v>135</v>
      </c>
      <c r="B185" s="297" t="s">
        <v>327</v>
      </c>
      <c r="C185" s="501">
        <f>'[44]Sch C'!D196</f>
        <v>0</v>
      </c>
      <c r="D185" s="501">
        <f>'[44]Sch C'!F196</f>
        <v>0</v>
      </c>
      <c r="E185" s="246">
        <f t="shared" si="37"/>
        <v>0</v>
      </c>
      <c r="F185" s="216"/>
      <c r="G185" s="246">
        <f t="shared" si="38"/>
        <v>0</v>
      </c>
      <c r="H185" s="276">
        <f t="shared" si="39"/>
        <v>0</v>
      </c>
      <c r="I185" s="621"/>
      <c r="J185" s="468"/>
      <c r="K185" s="469"/>
      <c r="L185" s="220"/>
    </row>
    <row r="186" spans="1:12" s="221" customFormat="1">
      <c r="A186" s="310" t="s">
        <v>136</v>
      </c>
      <c r="B186" s="297" t="s">
        <v>328</v>
      </c>
      <c r="C186" s="501">
        <f>'[44]Sch C'!D197</f>
        <v>0</v>
      </c>
      <c r="D186" s="501">
        <f>'[44]Sch C'!F197</f>
        <v>0</v>
      </c>
      <c r="E186" s="246">
        <f t="shared" si="37"/>
        <v>0</v>
      </c>
      <c r="F186" s="216"/>
      <c r="G186" s="246">
        <f t="shared" si="38"/>
        <v>0</v>
      </c>
      <c r="H186" s="276">
        <f t="shared" si="39"/>
        <v>0</v>
      </c>
      <c r="I186" s="621"/>
      <c r="J186" s="468"/>
      <c r="K186" s="469"/>
      <c r="L186" s="220"/>
    </row>
    <row r="187" spans="1:12" s="221" customFormat="1">
      <c r="A187" s="310" t="s">
        <v>137</v>
      </c>
      <c r="B187" s="297" t="s">
        <v>122</v>
      </c>
      <c r="C187" s="501">
        <f>'[44]Sch C'!D198</f>
        <v>0</v>
      </c>
      <c r="D187" s="501">
        <f>'[44]Sch C'!F198</f>
        <v>0</v>
      </c>
      <c r="E187" s="246">
        <f t="shared" si="37"/>
        <v>0</v>
      </c>
      <c r="F187" s="216"/>
      <c r="G187" s="246">
        <f t="shared" si="38"/>
        <v>0</v>
      </c>
      <c r="H187" s="276">
        <f t="shared" si="39"/>
        <v>0</v>
      </c>
      <c r="I187" s="621"/>
      <c r="J187" s="468"/>
      <c r="K187" s="469"/>
      <c r="L187" s="220"/>
    </row>
    <row r="188" spans="1:12" s="221" customFormat="1">
      <c r="A188" s="310" t="s">
        <v>275</v>
      </c>
      <c r="B188" s="297" t="s">
        <v>329</v>
      </c>
      <c r="C188" s="501">
        <f>'[44]Sch C'!D199</f>
        <v>0</v>
      </c>
      <c r="D188" s="501">
        <f>'[44]Sch C'!F199</f>
        <v>0</v>
      </c>
      <c r="E188" s="246">
        <f t="shared" si="37"/>
        <v>0</v>
      </c>
      <c r="F188" s="216"/>
      <c r="G188" s="246">
        <f t="shared" si="38"/>
        <v>0</v>
      </c>
      <c r="H188" s="276">
        <f t="shared" si="39"/>
        <v>0</v>
      </c>
      <c r="I188" s="621"/>
      <c r="J188" s="468"/>
      <c r="K188" s="469"/>
      <c r="L188" s="220"/>
    </row>
    <row r="189" spans="1:12" s="221" customFormat="1">
      <c r="A189" s="310" t="s">
        <v>277</v>
      </c>
      <c r="B189" s="297" t="s">
        <v>278</v>
      </c>
      <c r="C189" s="501">
        <f>'[44]Sch C'!D200</f>
        <v>0</v>
      </c>
      <c r="D189" s="501">
        <f>'[44]Sch C'!F200</f>
        <v>0</v>
      </c>
      <c r="E189" s="246">
        <f t="shared" si="37"/>
        <v>0</v>
      </c>
      <c r="F189" s="216"/>
      <c r="G189" s="246">
        <f t="shared" si="38"/>
        <v>0</v>
      </c>
      <c r="H189" s="276">
        <f t="shared" si="39"/>
        <v>0</v>
      </c>
      <c r="I189" s="621"/>
      <c r="J189" s="468"/>
      <c r="K189" s="469"/>
      <c r="L189" s="220"/>
    </row>
    <row r="190" spans="1:12" s="221" customFormat="1">
      <c r="A190" s="311" t="s">
        <v>279</v>
      </c>
      <c r="B190" s="312" t="s">
        <v>280</v>
      </c>
      <c r="C190" s="501">
        <f>'[44]Sch C'!D201</f>
        <v>0</v>
      </c>
      <c r="D190" s="501">
        <f>'[44]Sch C'!F201</f>
        <v>0</v>
      </c>
      <c r="E190" s="246">
        <f t="shared" si="37"/>
        <v>0</v>
      </c>
      <c r="F190" s="216"/>
      <c r="G190" s="246">
        <f t="shared" si="38"/>
        <v>0</v>
      </c>
      <c r="H190" s="276">
        <f t="shared" si="39"/>
        <v>0</v>
      </c>
      <c r="I190" s="621"/>
      <c r="J190" s="468"/>
      <c r="K190" s="469"/>
      <c r="L190" s="220"/>
    </row>
    <row r="191" spans="1:12" s="221" customFormat="1">
      <c r="A191" s="311" t="s">
        <v>281</v>
      </c>
      <c r="B191" s="312" t="s">
        <v>282</v>
      </c>
      <c r="C191" s="501">
        <f>'[44]Sch C'!D202</f>
        <v>0</v>
      </c>
      <c r="D191" s="501">
        <f>'[44]Sch C'!F202</f>
        <v>0</v>
      </c>
      <c r="E191" s="246">
        <f t="shared" si="37"/>
        <v>0</v>
      </c>
      <c r="F191" s="216"/>
      <c r="G191" s="246">
        <f t="shared" si="38"/>
        <v>0</v>
      </c>
      <c r="H191" s="276">
        <f t="shared" si="39"/>
        <v>0</v>
      </c>
      <c r="I191" s="621"/>
      <c r="J191" s="468"/>
      <c r="K191" s="469"/>
      <c r="L191" s="220"/>
    </row>
    <row r="192" spans="1:12" s="221" customFormat="1">
      <c r="A192" s="311" t="s">
        <v>283</v>
      </c>
      <c r="B192" s="312" t="s">
        <v>330</v>
      </c>
      <c r="C192" s="501">
        <f>'[44]Sch C'!D203</f>
        <v>1819.07</v>
      </c>
      <c r="D192" s="501">
        <f>'[44]Sch C'!F203</f>
        <v>0</v>
      </c>
      <c r="E192" s="246">
        <f t="shared" si="37"/>
        <v>1819.07</v>
      </c>
      <c r="F192" s="216"/>
      <c r="G192" s="246">
        <f t="shared" si="38"/>
        <v>1819.07</v>
      </c>
      <c r="H192" s="276">
        <f t="shared" si="39"/>
        <v>2.3518800625284348E-4</v>
      </c>
      <c r="I192" s="621"/>
      <c r="J192" s="468"/>
      <c r="K192" s="469"/>
      <c r="L192" s="220"/>
    </row>
    <row r="193" spans="1:12" s="221" customFormat="1">
      <c r="A193" s="311" t="s">
        <v>285</v>
      </c>
      <c r="B193" s="312" t="s">
        <v>331</v>
      </c>
      <c r="C193" s="501">
        <f>'[44]Sch C'!D204</f>
        <v>0</v>
      </c>
      <c r="D193" s="501">
        <f>'[44]Sch C'!F204</f>
        <v>0</v>
      </c>
      <c r="E193" s="246">
        <f t="shared" si="37"/>
        <v>0</v>
      </c>
      <c r="F193" s="216"/>
      <c r="G193" s="246">
        <f t="shared" si="38"/>
        <v>0</v>
      </c>
      <c r="H193" s="276">
        <f t="shared" si="39"/>
        <v>0</v>
      </c>
      <c r="I193" s="621"/>
      <c r="J193" s="468"/>
      <c r="K193" s="469"/>
      <c r="L193" s="220"/>
    </row>
    <row r="194" spans="1:12" s="221" customFormat="1">
      <c r="A194" s="310" t="s">
        <v>138</v>
      </c>
      <c r="B194" s="297" t="s">
        <v>332</v>
      </c>
      <c r="C194" s="501">
        <f>'[44]Sch C'!D205</f>
        <v>199920.45</v>
      </c>
      <c r="D194" s="501">
        <f>'[44]Sch C'!F205</f>
        <v>0</v>
      </c>
      <c r="E194" s="246">
        <f t="shared" si="37"/>
        <v>199920.45</v>
      </c>
      <c r="F194" s="216"/>
      <c r="G194" s="246">
        <f t="shared" si="38"/>
        <v>199920.45</v>
      </c>
      <c r="H194" s="276">
        <f t="shared" si="39"/>
        <v>2.5847763991859184E-2</v>
      </c>
      <c r="I194" s="621"/>
      <c r="J194" s="468"/>
      <c r="K194" s="469"/>
      <c r="L194" s="220"/>
    </row>
    <row r="195" spans="1:12" s="221" customFormat="1">
      <c r="A195" s="310" t="s">
        <v>139</v>
      </c>
      <c r="B195" s="297" t="s">
        <v>67</v>
      </c>
      <c r="C195" s="501">
        <f>'[44]Sch C'!D206</f>
        <v>0</v>
      </c>
      <c r="D195" s="501">
        <f>'[44]Sch C'!F206</f>
        <v>0</v>
      </c>
      <c r="E195" s="246">
        <f t="shared" si="37"/>
        <v>0</v>
      </c>
      <c r="F195" s="216"/>
      <c r="G195" s="246">
        <f t="shared" si="38"/>
        <v>0</v>
      </c>
      <c r="H195" s="276">
        <f t="shared" si="39"/>
        <v>0</v>
      </c>
      <c r="I195" s="621"/>
      <c r="J195" s="468"/>
      <c r="K195" s="469"/>
      <c r="L195" s="220"/>
    </row>
    <row r="196" spans="1:12" s="221" customFormat="1">
      <c r="A196" s="311" t="s">
        <v>143</v>
      </c>
      <c r="B196" s="293" t="s">
        <v>333</v>
      </c>
      <c r="C196" s="501">
        <f>'[44]Sch C'!D207</f>
        <v>91787.13</v>
      </c>
      <c r="D196" s="501">
        <f>'[44]Sch C'!F207</f>
        <v>0</v>
      </c>
      <c r="E196" s="246">
        <f t="shared" si="37"/>
        <v>91787.13</v>
      </c>
      <c r="F196" s="216"/>
      <c r="G196" s="246">
        <f t="shared" si="38"/>
        <v>91787.13</v>
      </c>
      <c r="H196" s="276">
        <f t="shared" si="39"/>
        <v>1.186718053971016E-2</v>
      </c>
      <c r="I196" s="621"/>
      <c r="J196" s="468"/>
      <c r="K196" s="469"/>
      <c r="L196" s="220"/>
    </row>
    <row r="197" spans="1:12" s="272" customFormat="1">
      <c r="A197" s="268"/>
      <c r="B197" s="313" t="s">
        <v>130</v>
      </c>
      <c r="C197" s="501">
        <f>SUM(C164:C196)</f>
        <v>1063388.1000000001</v>
      </c>
      <c r="D197" s="501">
        <f>SUM(D164:D196)</f>
        <v>16250</v>
      </c>
      <c r="E197" s="246">
        <f t="shared" ref="E197:F197" si="40">SUM(E164:E196)</f>
        <v>1079638.1000000001</v>
      </c>
      <c r="F197" s="246">
        <f t="shared" si="40"/>
        <v>0</v>
      </c>
      <c r="G197" s="246">
        <f>SUM(G164:G196)</f>
        <v>1079638.1000000001</v>
      </c>
      <c r="H197" s="276">
        <f>IF($G$208=0,0,G197/$G$208)</f>
        <v>0.1395866746269292</v>
      </c>
      <c r="I197" s="621"/>
      <c r="J197" s="461"/>
      <c r="K197" s="461"/>
    </row>
    <row r="198" spans="1:12" s="272" customFormat="1" ht="15.5">
      <c r="A198" s="268"/>
      <c r="C198" s="165"/>
      <c r="D198" s="165"/>
      <c r="E198" s="270"/>
      <c r="F198"/>
      <c r="G198" s="270"/>
      <c r="H198" s="296"/>
      <c r="I198" s="623"/>
      <c r="J198" s="461"/>
      <c r="K198" s="461"/>
    </row>
    <row r="199" spans="1:12" s="272" customFormat="1" ht="15.5">
      <c r="A199" s="274" t="s">
        <v>169</v>
      </c>
      <c r="B199" s="275" t="s">
        <v>68</v>
      </c>
      <c r="C199" s="165"/>
      <c r="D199" s="165"/>
      <c r="E199" s="270"/>
      <c r="F199"/>
      <c r="G199" s="270"/>
      <c r="H199" s="296"/>
      <c r="I199" s="623"/>
      <c r="J199" s="461"/>
      <c r="K199" s="461"/>
    </row>
    <row r="200" spans="1:12" s="272" customFormat="1">
      <c r="A200" s="274" t="s">
        <v>85</v>
      </c>
      <c r="B200" s="275" t="s">
        <v>69</v>
      </c>
      <c r="C200" s="501">
        <f>'[44]Sch C'!D211</f>
        <v>152066.60999999999</v>
      </c>
      <c r="D200" s="501">
        <f>'[44]Sch C'!F211</f>
        <v>0</v>
      </c>
      <c r="E200" s="246">
        <f t="shared" ref="E200:E205" si="41">C200+D200</f>
        <v>152066.60999999999</v>
      </c>
      <c r="F200" s="246"/>
      <c r="G200" s="246">
        <f t="shared" ref="G200:G205" si="42">E200+F200</f>
        <v>152066.60999999999</v>
      </c>
      <c r="H200" s="276">
        <f t="shared" ref="H200:H206" si="43">IF($G$208=0,0,G200/$G$208)</f>
        <v>1.9660729286684244E-2</v>
      </c>
      <c r="I200" s="621"/>
      <c r="J200" s="439">
        <v>0</v>
      </c>
      <c r="K200" s="439">
        <v>0</v>
      </c>
    </row>
    <row r="201" spans="1:12" s="272" customFormat="1">
      <c r="A201" s="274" t="s">
        <v>86</v>
      </c>
      <c r="B201" s="275" t="s">
        <v>45</v>
      </c>
      <c r="C201" s="501">
        <f>'[44]Sch C'!D212</f>
        <v>49305.9</v>
      </c>
      <c r="D201" s="501">
        <f>'[44]Sch C'!F212</f>
        <v>0</v>
      </c>
      <c r="E201" s="246">
        <f t="shared" si="41"/>
        <v>49305.9</v>
      </c>
      <c r="F201" s="246"/>
      <c r="G201" s="246">
        <f t="shared" si="42"/>
        <v>49305.9</v>
      </c>
      <c r="H201" s="276">
        <f t="shared" si="43"/>
        <v>6.374771898553698E-3</v>
      </c>
      <c r="I201" s="621"/>
      <c r="J201" s="461"/>
      <c r="K201" s="461"/>
    </row>
    <row r="202" spans="1:12" s="272" customFormat="1">
      <c r="A202" s="274" t="s">
        <v>140</v>
      </c>
      <c r="B202" s="275" t="s">
        <v>54</v>
      </c>
      <c r="C202" s="501">
        <f>'[44]Sch C'!D213</f>
        <v>8907.08</v>
      </c>
      <c r="D202" s="501">
        <f>'[44]Sch C'!F213</f>
        <v>0</v>
      </c>
      <c r="E202" s="246">
        <f t="shared" si="41"/>
        <v>8907.08</v>
      </c>
      <c r="F202" s="246"/>
      <c r="G202" s="246">
        <f t="shared" si="42"/>
        <v>8907.08</v>
      </c>
      <c r="H202" s="276">
        <f t="shared" si="43"/>
        <v>1.1515985568090162E-3</v>
      </c>
      <c r="I202" s="621"/>
      <c r="J202" s="461"/>
      <c r="K202" s="461"/>
    </row>
    <row r="203" spans="1:12" s="272" customFormat="1">
      <c r="A203" s="274" t="s">
        <v>141</v>
      </c>
      <c r="B203" s="275" t="s">
        <v>70</v>
      </c>
      <c r="C203" s="501">
        <f>'[44]Sch C'!D214</f>
        <v>0</v>
      </c>
      <c r="D203" s="501">
        <f>'[44]Sch C'!F214</f>
        <v>0</v>
      </c>
      <c r="E203" s="246">
        <f t="shared" si="41"/>
        <v>0</v>
      </c>
      <c r="F203" s="246"/>
      <c r="G203" s="246">
        <f t="shared" si="42"/>
        <v>0</v>
      </c>
      <c r="H203" s="276">
        <f t="shared" si="43"/>
        <v>0</v>
      </c>
      <c r="I203" s="621"/>
      <c r="J203" s="461"/>
      <c r="K203" s="461"/>
    </row>
    <row r="204" spans="1:12" s="272" customFormat="1">
      <c r="A204" s="274" t="s">
        <v>142</v>
      </c>
      <c r="B204" s="23" t="s">
        <v>71</v>
      </c>
      <c r="C204" s="501">
        <f>'[44]Sch C'!D215</f>
        <v>0</v>
      </c>
      <c r="D204" s="501">
        <f>'[44]Sch C'!F215</f>
        <v>0</v>
      </c>
      <c r="E204" s="246">
        <f t="shared" si="41"/>
        <v>0</v>
      </c>
      <c r="F204" s="246"/>
      <c r="G204" s="246">
        <f t="shared" si="42"/>
        <v>0</v>
      </c>
      <c r="H204" s="276">
        <f t="shared" si="43"/>
        <v>0</v>
      </c>
      <c r="I204" s="621"/>
      <c r="J204" s="461"/>
      <c r="K204" s="461"/>
    </row>
    <row r="205" spans="1:12" s="272" customFormat="1">
      <c r="A205" s="274" t="s">
        <v>143</v>
      </c>
      <c r="B205" s="275" t="s">
        <v>312</v>
      </c>
      <c r="C205" s="501">
        <f>'[44]Sch C'!D216</f>
        <v>42734.13</v>
      </c>
      <c r="D205" s="501">
        <f>'[44]Sch C'!F216</f>
        <v>0</v>
      </c>
      <c r="E205" s="246">
        <f t="shared" si="41"/>
        <v>42734.13</v>
      </c>
      <c r="F205" s="246"/>
      <c r="G205" s="246">
        <f t="shared" si="42"/>
        <v>42734.13</v>
      </c>
      <c r="H205" s="276">
        <f t="shared" si="43"/>
        <v>5.5251061441559841E-3</v>
      </c>
      <c r="I205" s="621"/>
      <c r="J205" s="461"/>
      <c r="K205" s="461"/>
    </row>
    <row r="206" spans="1:12" s="272" customFormat="1">
      <c r="A206" s="268"/>
      <c r="B206" s="275" t="s">
        <v>144</v>
      </c>
      <c r="C206" s="501">
        <f>SUM(C200:C205)</f>
        <v>253013.71999999997</v>
      </c>
      <c r="D206" s="501">
        <f>SUM(D200:D205)</f>
        <v>0</v>
      </c>
      <c r="E206" s="246">
        <f t="shared" ref="E206:F206" si="44">SUM(E200:E205)</f>
        <v>253013.71999999997</v>
      </c>
      <c r="F206" s="246">
        <f t="shared" si="44"/>
        <v>0</v>
      </c>
      <c r="G206" s="246">
        <f>SUM(G200:G205)</f>
        <v>253013.71999999997</v>
      </c>
      <c r="H206" s="276">
        <f t="shared" si="43"/>
        <v>3.2712205886202939E-2</v>
      </c>
      <c r="I206" s="621"/>
      <c r="J206" s="461"/>
      <c r="K206" s="461"/>
    </row>
    <row r="207" spans="1:12" s="272" customFormat="1">
      <c r="A207" s="268"/>
      <c r="C207" s="165"/>
      <c r="D207" s="165"/>
      <c r="E207" s="270"/>
      <c r="F207" s="270"/>
      <c r="G207" s="270"/>
      <c r="H207" s="296"/>
      <c r="I207" s="623"/>
      <c r="J207" s="168"/>
      <c r="K207" s="168"/>
    </row>
    <row r="208" spans="1:12" s="272" customFormat="1">
      <c r="A208" s="227"/>
      <c r="B208" s="178" t="s">
        <v>145</v>
      </c>
      <c r="C208" s="501">
        <f>SUM(C25:C206)/2</f>
        <v>8619995.7199999969</v>
      </c>
      <c r="D208" s="501">
        <f>SUM(D25:D206)/2</f>
        <v>-885460.15</v>
      </c>
      <c r="E208" s="246">
        <f t="shared" ref="E208:F208" si="45">SUM(E25:E206)/2</f>
        <v>7734535.5699999984</v>
      </c>
      <c r="F208" s="246">
        <f t="shared" si="45"/>
        <v>0</v>
      </c>
      <c r="G208" s="246">
        <f>SUM(G25:G206)/2</f>
        <v>7734535.5699999984</v>
      </c>
      <c r="H208" s="276">
        <f>IF($G$208=0,0,G208/$G$208)</f>
        <v>1</v>
      </c>
      <c r="I208" s="621"/>
      <c r="J208" s="183">
        <f>SUM(J25:J200)</f>
        <v>178053.011336</v>
      </c>
      <c r="K208" s="183">
        <f>SUM(K25:K200)</f>
        <v>185380.05136899999</v>
      </c>
    </row>
    <row r="209" spans="1:11" s="272" customFormat="1" ht="15.5">
      <c r="A209" s="268"/>
      <c r="B209" s="275"/>
      <c r="C209" s="165"/>
      <c r="D209" s="165"/>
      <c r="E209" s="270"/>
      <c r="F209"/>
      <c r="G209"/>
      <c r="I209" s="623"/>
      <c r="J209" s="168"/>
      <c r="K209" s="168"/>
    </row>
    <row r="210" spans="1:11" s="272" customFormat="1" ht="15.5">
      <c r="A210" s="268"/>
      <c r="B210" s="275"/>
      <c r="C210" s="165"/>
      <c r="D210" s="165"/>
      <c r="E210" s="270"/>
      <c r="F210"/>
      <c r="G210"/>
      <c r="I210" s="623"/>
      <c r="J210" s="168"/>
      <c r="K210" s="168"/>
    </row>
    <row r="211" spans="1:11" s="272" customFormat="1" ht="15.5">
      <c r="A211" s="268"/>
      <c r="B211" s="228" t="s">
        <v>181</v>
      </c>
      <c r="C211" s="501">
        <f>'[44]Sch C'!D221</f>
        <v>8619995.7200000025</v>
      </c>
      <c r="D211" s="196"/>
      <c r="E211" s="270"/>
      <c r="F211"/>
      <c r="G211"/>
      <c r="I211" s="623"/>
      <c r="J211" s="168"/>
      <c r="K211" s="168"/>
    </row>
    <row r="212" spans="1:11" s="272" customFormat="1" ht="15.5">
      <c r="A212" s="268"/>
      <c r="B212" s="275" t="s">
        <v>147</v>
      </c>
      <c r="C212" s="501">
        <f>C208-C211</f>
        <v>0</v>
      </c>
      <c r="D212" s="229"/>
      <c r="E212" s="270"/>
      <c r="F212"/>
      <c r="G212"/>
      <c r="I212" s="623"/>
      <c r="J212" s="168"/>
      <c r="K212" s="168"/>
    </row>
    <row r="213" spans="1:11" s="272" customFormat="1">
      <c r="A213" s="268"/>
      <c r="B213" s="314"/>
      <c r="C213" s="581"/>
      <c r="D213" s="231"/>
      <c r="E213" s="315"/>
      <c r="F213" s="315"/>
      <c r="G213" s="315"/>
      <c r="H213" s="271"/>
      <c r="I213" s="624"/>
      <c r="J213" s="168"/>
      <c r="K213" s="168"/>
    </row>
    <row r="214" spans="1:11" s="272" customFormat="1">
      <c r="A214" s="274"/>
      <c r="B214" s="178"/>
      <c r="C214" s="165"/>
      <c r="D214" s="165"/>
      <c r="E214" s="270"/>
      <c r="F214" s="270"/>
      <c r="G214" s="270"/>
      <c r="I214" s="623"/>
      <c r="J214" s="168"/>
      <c r="K214" s="168"/>
    </row>
    <row r="215" spans="1:11" s="272" customFormat="1">
      <c r="A215" s="268"/>
      <c r="B215" s="178" t="s">
        <v>78</v>
      </c>
      <c r="C215" s="501">
        <f>C21-C208</f>
        <v>-1110158.7499999963</v>
      </c>
      <c r="D215" s="501">
        <f>D21-D208</f>
        <v>885170.15</v>
      </c>
      <c r="E215" s="246">
        <f t="shared" ref="E215:F215" si="46">E21-E208</f>
        <v>-224988.59999999776</v>
      </c>
      <c r="F215" s="246">
        <f t="shared" si="46"/>
        <v>411387</v>
      </c>
      <c r="G215" s="246">
        <f>G21-G208</f>
        <v>186398.40000000224</v>
      </c>
      <c r="I215" s="623"/>
      <c r="J215" s="273"/>
      <c r="K215" s="273"/>
    </row>
    <row r="216" spans="1:11" s="272" customFormat="1">
      <c r="A216" s="268"/>
      <c r="B216" s="178"/>
      <c r="C216" s="196"/>
      <c r="D216" s="196"/>
      <c r="E216" s="294"/>
      <c r="F216" s="294"/>
      <c r="G216" s="294"/>
      <c r="I216" s="623"/>
      <c r="J216" s="273"/>
      <c r="K216" s="273"/>
    </row>
    <row r="217" spans="1:11" s="272" customFormat="1" ht="15.5">
      <c r="A217" s="268"/>
      <c r="B217" s="178"/>
      <c r="C217" s="196"/>
      <c r="D217" s="196"/>
      <c r="E217" s="294"/>
      <c r="F217"/>
      <c r="G217" s="294"/>
      <c r="I217" s="623"/>
      <c r="J217" s="273"/>
      <c r="K217" s="273"/>
    </row>
    <row r="218" spans="1:11" ht="15.5">
      <c r="A218" s="268"/>
      <c r="B218" s="164" t="s">
        <v>159</v>
      </c>
      <c r="C218" s="165"/>
      <c r="D218" s="165"/>
      <c r="E218" s="270"/>
      <c r="F218"/>
      <c r="G218" s="270"/>
      <c r="H218" s="271"/>
      <c r="I218" s="624"/>
      <c r="J218" s="273"/>
      <c r="K218" s="273"/>
    </row>
    <row r="219" spans="1:11">
      <c r="A219" s="268"/>
      <c r="B219" s="275" t="s">
        <v>218</v>
      </c>
      <c r="C219" s="530">
        <f>'[44]Sch D'!C9</f>
        <v>11268</v>
      </c>
      <c r="D219" s="530"/>
      <c r="E219" s="317">
        <f t="shared" ref="E219:G227" si="47">C219+D219</f>
        <v>11268</v>
      </c>
      <c r="F219" s="316"/>
      <c r="G219" s="317">
        <f t="shared" si="47"/>
        <v>11268</v>
      </c>
      <c r="H219" s="276">
        <f t="shared" ref="H219:H228" si="48">IF($G$228=0,0,G219/$G$228)</f>
        <v>0.44477776900607879</v>
      </c>
      <c r="I219" s="621"/>
      <c r="J219" s="273"/>
      <c r="K219" s="273"/>
    </row>
    <row r="220" spans="1:11">
      <c r="A220" s="268"/>
      <c r="B220" s="275" t="s">
        <v>217</v>
      </c>
      <c r="C220" s="530">
        <f>'[44]Sch D'!D9</f>
        <v>1312</v>
      </c>
      <c r="D220" s="530"/>
      <c r="E220" s="317">
        <f t="shared" ref="E220:E227" si="49">C220+D220</f>
        <v>1312</v>
      </c>
      <c r="F220" s="316"/>
      <c r="G220" s="317">
        <f t="shared" si="47"/>
        <v>1312</v>
      </c>
      <c r="H220" s="276">
        <f t="shared" si="48"/>
        <v>5.1788110839188439E-2</v>
      </c>
      <c r="I220" s="621"/>
      <c r="J220" s="273"/>
      <c r="K220" s="273"/>
    </row>
    <row r="221" spans="1:11">
      <c r="A221" s="268"/>
      <c r="B221" s="275" t="s">
        <v>72</v>
      </c>
      <c r="C221" s="530">
        <f>'[44]Sch D'!E9</f>
        <v>1942</v>
      </c>
      <c r="D221" s="530"/>
      <c r="E221" s="317">
        <f t="shared" si="49"/>
        <v>1942</v>
      </c>
      <c r="F221" s="316"/>
      <c r="G221" s="317">
        <f t="shared" si="47"/>
        <v>1942</v>
      </c>
      <c r="H221" s="276">
        <f t="shared" si="48"/>
        <v>7.6655877476908496E-2</v>
      </c>
      <c r="I221" s="621"/>
      <c r="J221" s="273"/>
      <c r="K221" s="273"/>
    </row>
    <row r="222" spans="1:11">
      <c r="A222" s="268"/>
      <c r="B222" s="318" t="s">
        <v>334</v>
      </c>
      <c r="C222" s="530">
        <f>'[44]Sch D'!F9</f>
        <v>535</v>
      </c>
      <c r="D222" s="530"/>
      <c r="E222" s="317">
        <f>C222+D222</f>
        <v>535</v>
      </c>
      <c r="F222" s="316"/>
      <c r="G222" s="317">
        <f>E222+F222</f>
        <v>535</v>
      </c>
      <c r="H222" s="276">
        <f t="shared" si="48"/>
        <v>2.1117865319333701E-2</v>
      </c>
      <c r="I222" s="621"/>
      <c r="J222" s="273"/>
      <c r="K222" s="273"/>
    </row>
    <row r="223" spans="1:11">
      <c r="A223" s="268"/>
      <c r="B223" s="275" t="s">
        <v>73</v>
      </c>
      <c r="C223" s="530">
        <f>'[44]Sch D'!G9</f>
        <v>6533</v>
      </c>
      <c r="D223" s="530"/>
      <c r="E223" s="317">
        <f t="shared" si="49"/>
        <v>6533</v>
      </c>
      <c r="F223" s="316"/>
      <c r="G223" s="317">
        <f t="shared" si="47"/>
        <v>6533</v>
      </c>
      <c r="H223" s="276">
        <f t="shared" si="48"/>
        <v>0.25787479276861136</v>
      </c>
      <c r="I223" s="621"/>
      <c r="J223" s="273"/>
      <c r="K223" s="273"/>
    </row>
    <row r="224" spans="1:11">
      <c r="A224" s="268"/>
      <c r="B224" s="275" t="s">
        <v>74</v>
      </c>
      <c r="C224" s="530">
        <f>'[44]Sch D'!H9</f>
        <v>2655</v>
      </c>
      <c r="D224" s="530"/>
      <c r="E224" s="317">
        <f t="shared" si="49"/>
        <v>2655</v>
      </c>
      <c r="F224" s="316"/>
      <c r="G224" s="317">
        <f t="shared" si="47"/>
        <v>2655</v>
      </c>
      <c r="H224" s="276">
        <f t="shared" si="48"/>
        <v>0.10479987368753454</v>
      </c>
      <c r="I224" s="621"/>
      <c r="J224" s="273"/>
      <c r="K224" s="273"/>
    </row>
    <row r="225" spans="1:11">
      <c r="A225" s="268"/>
      <c r="B225" s="275" t="s">
        <v>236</v>
      </c>
      <c r="C225" s="530">
        <f>'[44]Sch D'!I9</f>
        <v>1047</v>
      </c>
      <c r="D225" s="530"/>
      <c r="E225" s="317">
        <f t="shared" si="49"/>
        <v>1047</v>
      </c>
      <c r="F225" s="316"/>
      <c r="G225" s="317">
        <f t="shared" si="47"/>
        <v>1047</v>
      </c>
      <c r="H225" s="276">
        <f t="shared" si="48"/>
        <v>4.1327859793163335E-2</v>
      </c>
      <c r="I225" s="621"/>
      <c r="J225" s="273"/>
      <c r="K225" s="273"/>
    </row>
    <row r="226" spans="1:11">
      <c r="A226" s="268"/>
      <c r="B226" s="275" t="s">
        <v>235</v>
      </c>
      <c r="C226" s="530">
        <f>'[44]Sch D'!J9</f>
        <v>42</v>
      </c>
      <c r="D226" s="530"/>
      <c r="E226" s="317">
        <f>C226+D226</f>
        <v>42</v>
      </c>
      <c r="F226" s="316"/>
      <c r="G226" s="317">
        <f>E226+F226</f>
        <v>42</v>
      </c>
      <c r="H226" s="276">
        <f t="shared" si="48"/>
        <v>1.6578511091813373E-3</v>
      </c>
      <c r="I226" s="621"/>
      <c r="J226" s="273"/>
      <c r="K226" s="273"/>
    </row>
    <row r="227" spans="1:11">
      <c r="A227" s="268"/>
      <c r="B227" s="275" t="s">
        <v>179</v>
      </c>
      <c r="C227" s="530">
        <f>'[44]Sch D'!K9</f>
        <v>0</v>
      </c>
      <c r="D227" s="530"/>
      <c r="E227" s="317">
        <f t="shared" si="49"/>
        <v>0</v>
      </c>
      <c r="F227" s="316"/>
      <c r="G227" s="317">
        <f t="shared" si="47"/>
        <v>0</v>
      </c>
      <c r="H227" s="276">
        <f t="shared" si="48"/>
        <v>0</v>
      </c>
      <c r="I227" s="621"/>
      <c r="J227" s="273"/>
      <c r="K227" s="273"/>
    </row>
    <row r="228" spans="1:11" ht="13.5" thickBot="1">
      <c r="A228" s="268"/>
      <c r="B228" s="328" t="s">
        <v>75</v>
      </c>
      <c r="C228" s="530">
        <f>SUM(C219:C227)</f>
        <v>25334</v>
      </c>
      <c r="D228" s="530">
        <f>SUM(D219:D227)</f>
        <v>0</v>
      </c>
      <c r="E228" s="320">
        <f>SUM(E219:E227)</f>
        <v>25334</v>
      </c>
      <c r="F228" s="320">
        <f>SUM(F219:F227)</f>
        <v>0</v>
      </c>
      <c r="G228" s="320">
        <f>SUM(G219:G227)</f>
        <v>25334</v>
      </c>
      <c r="H228" s="276">
        <f t="shared" si="48"/>
        <v>1</v>
      </c>
      <c r="I228" s="621"/>
      <c r="J228" s="273"/>
      <c r="K228" s="273"/>
    </row>
    <row r="229" spans="1:11" ht="13.5" thickTop="1">
      <c r="A229" s="268"/>
      <c r="B229" s="272"/>
      <c r="C229" s="582"/>
      <c r="D229" s="237"/>
      <c r="E229" s="315"/>
      <c r="F229" s="321"/>
      <c r="G229" s="315"/>
      <c r="H229" s="272"/>
      <c r="I229" s="623"/>
      <c r="J229" s="273"/>
      <c r="K229" s="273"/>
    </row>
    <row r="230" spans="1:11">
      <c r="A230" s="268"/>
      <c r="B230" s="164" t="s">
        <v>160</v>
      </c>
      <c r="C230" s="581"/>
      <c r="D230" s="231"/>
      <c r="E230" s="315"/>
      <c r="F230" s="315"/>
      <c r="G230" s="315"/>
      <c r="H230" s="272"/>
      <c r="I230" s="623"/>
      <c r="J230" s="273"/>
      <c r="K230" s="273"/>
    </row>
    <row r="231" spans="1:11">
      <c r="A231" s="268"/>
      <c r="B231" s="23" t="s">
        <v>219</v>
      </c>
      <c r="C231" s="531">
        <f>'[44]Sch D'!N22</f>
        <v>107</v>
      </c>
      <c r="D231" s="502"/>
      <c r="E231" s="317">
        <f>C231+D231</f>
        <v>107</v>
      </c>
      <c r="F231" s="317"/>
      <c r="G231" s="317">
        <f>E231</f>
        <v>107</v>
      </c>
      <c r="H231" s="272"/>
      <c r="I231" s="623"/>
      <c r="J231" s="273"/>
      <c r="K231" s="273"/>
    </row>
    <row r="232" spans="1:11">
      <c r="A232" s="268"/>
      <c r="B232" s="23" t="s">
        <v>290</v>
      </c>
      <c r="C232" s="531">
        <f>'[44]Sch D'!N24</f>
        <v>107</v>
      </c>
      <c r="D232" s="502"/>
      <c r="E232" s="317">
        <f>C232+D232</f>
        <v>107</v>
      </c>
      <c r="F232" s="317"/>
      <c r="G232" s="317">
        <f>E232</f>
        <v>107</v>
      </c>
      <c r="H232" s="272"/>
      <c r="I232" s="623"/>
      <c r="J232" s="273"/>
      <c r="K232" s="273"/>
    </row>
    <row r="233" spans="1:11">
      <c r="A233" s="268"/>
      <c r="B233" s="23" t="s">
        <v>76</v>
      </c>
      <c r="C233" s="531">
        <f>$C$4-$C$3+1</f>
        <v>365</v>
      </c>
      <c r="D233" s="438"/>
      <c r="E233" s="317">
        <f>C233+D233</f>
        <v>365</v>
      </c>
      <c r="F233" s="322"/>
      <c r="G233" s="317">
        <f>E233+F233</f>
        <v>365</v>
      </c>
      <c r="H233" s="272"/>
      <c r="I233" s="623"/>
      <c r="J233" s="273"/>
      <c r="K233" s="273"/>
    </row>
    <row r="234" spans="1:11">
      <c r="A234" s="268"/>
      <c r="B234" s="323"/>
      <c r="C234" s="583"/>
      <c r="D234" s="238"/>
      <c r="E234" s="324"/>
      <c r="F234" s="322"/>
      <c r="G234" s="324"/>
      <c r="H234" s="272"/>
      <c r="I234" s="623"/>
      <c r="J234" s="273"/>
      <c r="K234" s="273"/>
    </row>
    <row r="235" spans="1:11" ht="26">
      <c r="A235" s="268"/>
      <c r="B235" s="325" t="s">
        <v>237</v>
      </c>
      <c r="C235" s="531">
        <f>'[44]Sch D'!N28</f>
        <v>39055</v>
      </c>
      <c r="D235" s="438"/>
      <c r="E235" s="316">
        <f>E231*E233</f>
        <v>39055</v>
      </c>
      <c r="F235" s="322"/>
      <c r="G235" s="316">
        <f>G231*G233</f>
        <v>39055</v>
      </c>
      <c r="H235" s="272"/>
      <c r="I235" s="623"/>
      <c r="J235" s="273"/>
      <c r="K235" s="273"/>
    </row>
    <row r="236" spans="1:11" ht="26">
      <c r="A236" s="268"/>
      <c r="B236" s="325" t="s">
        <v>238</v>
      </c>
      <c r="C236" s="532">
        <f>'[44]Sch D'!N30</f>
        <v>0.64867494558955319</v>
      </c>
      <c r="D236" s="238"/>
      <c r="E236" s="326">
        <f>E228/E235</f>
        <v>0.64867494558955319</v>
      </c>
      <c r="F236" s="327"/>
      <c r="G236" s="326">
        <f>G228/G235</f>
        <v>0.64867494558955319</v>
      </c>
      <c r="H236" s="272"/>
      <c r="I236" s="623"/>
      <c r="J236" s="273"/>
      <c r="K236" s="273"/>
    </row>
    <row r="237" spans="1:11" ht="26">
      <c r="A237" s="268"/>
      <c r="B237" s="325" t="s">
        <v>239</v>
      </c>
      <c r="C237" s="532">
        <f>'[44]Sch D'!N32</f>
        <v>0.32210984509025731</v>
      </c>
      <c r="D237" s="238"/>
      <c r="E237" s="326">
        <f>(E219+E220)/E235</f>
        <v>0.32210984509025731</v>
      </c>
      <c r="F237" s="327"/>
      <c r="G237" s="326">
        <f>(G219+G220)/G235</f>
        <v>0.32210984509025731</v>
      </c>
      <c r="H237" s="272"/>
      <c r="I237" s="623"/>
      <c r="J237" s="273"/>
      <c r="K237" s="273"/>
    </row>
    <row r="238" spans="1:11" ht="26">
      <c r="A238" s="268"/>
      <c r="B238" s="325" t="s">
        <v>240</v>
      </c>
      <c r="C238" s="532">
        <f>'[44]Sch D'!N34</f>
        <v>0.49656587984526718</v>
      </c>
      <c r="D238" s="238"/>
      <c r="E238" s="326">
        <f>(E237/E236)</f>
        <v>0.49656587984526718</v>
      </c>
      <c r="F238" s="327"/>
      <c r="G238" s="326">
        <f>(G237/G236)</f>
        <v>0.49656587984526718</v>
      </c>
      <c r="H238" s="272"/>
      <c r="I238" s="623"/>
      <c r="J238" s="273"/>
      <c r="K238" s="273"/>
    </row>
    <row r="239" spans="1:11">
      <c r="C239" s="140"/>
      <c r="D239" s="140"/>
      <c r="I239" s="623"/>
    </row>
    <row r="240" spans="1:11">
      <c r="C240" s="140"/>
      <c r="D240" s="140"/>
      <c r="I240" s="623"/>
    </row>
    <row r="241" spans="2:9">
      <c r="B241" s="253" t="s">
        <v>339</v>
      </c>
      <c r="C241" s="140"/>
      <c r="D241" s="140"/>
      <c r="F241" s="249" t="s">
        <v>340</v>
      </c>
      <c r="G241" s="501">
        <f>'[44]Sch B'!C85</f>
        <v>246.80334360554698</v>
      </c>
      <c r="I241" s="623"/>
    </row>
    <row r="242" spans="2:9">
      <c r="C242" s="140"/>
      <c r="D242" s="140"/>
      <c r="F242" s="249" t="s">
        <v>341</v>
      </c>
      <c r="G242" s="501">
        <f>'[44]Sch B'!E85</f>
        <v>302.38331699346406</v>
      </c>
      <c r="I242" s="623"/>
    </row>
    <row r="243" spans="2:9">
      <c r="C243" s="140"/>
      <c r="D243" s="140"/>
      <c r="F243" s="249" t="s">
        <v>342</v>
      </c>
      <c r="G243" s="501">
        <f>'[44]Sch B'!G85</f>
        <v>253.23046854083</v>
      </c>
      <c r="I243" s="623"/>
    </row>
    <row r="244" spans="2:9">
      <c r="C244" s="140"/>
      <c r="D244" s="140"/>
      <c r="F244" s="249" t="s">
        <v>343</v>
      </c>
      <c r="G244" s="501">
        <f>'[44]Sch B'!I85</f>
        <v>266.65962905718703</v>
      </c>
      <c r="I244" s="623"/>
    </row>
    <row r="245" spans="2:9">
      <c r="C245" s="140"/>
      <c r="D245" s="140"/>
      <c r="F245" s="249"/>
      <c r="I245" s="623"/>
    </row>
    <row r="246" spans="2:9">
      <c r="C246" s="140"/>
      <c r="D246" s="140"/>
      <c r="I246" s="623"/>
    </row>
    <row r="247" spans="2:9">
      <c r="C247" s="140"/>
      <c r="D247" s="140"/>
    </row>
    <row r="248" spans="2:9">
      <c r="C248" s="140"/>
      <c r="D248" s="140"/>
    </row>
    <row r="249" spans="2:9">
      <c r="C249" s="140"/>
      <c r="D249" s="140"/>
    </row>
    <row r="250" spans="2:9">
      <c r="C250" s="140"/>
      <c r="D250" s="140"/>
    </row>
    <row r="251" spans="2:9">
      <c r="C251" s="140"/>
      <c r="D251" s="140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20" sqref="A20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63">
    <tabColor rgb="FFE28CAB"/>
  </sheetPr>
  <dimension ref="A1:O246"/>
  <sheetViews>
    <sheetView showGridLines="0" topLeftCell="A39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352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  <c r="F3" s="421"/>
    </row>
    <row r="4" spans="1:11">
      <c r="A4" s="145"/>
      <c r="B4" s="148" t="s">
        <v>80</v>
      </c>
      <c r="C4" s="441">
        <v>42916</v>
      </c>
      <c r="D4" s="144"/>
      <c r="E4" s="149"/>
      <c r="F4" s="421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'[45]Sch B'!E10</f>
        <v>2060829</v>
      </c>
      <c r="D11" s="501">
        <f>'[45]Sch B'!G10</f>
        <v>0</v>
      </c>
      <c r="E11" s="171">
        <f>C11+D11</f>
        <v>2060829</v>
      </c>
      <c r="F11" s="171"/>
      <c r="G11" s="171">
        <f t="shared" ref="G11:G20" si="0">E11+F11</f>
        <v>2060829</v>
      </c>
      <c r="H11" s="172">
        <f t="shared" ref="H11:H21" si="1">IF($G$21=0,0,G11/$G$21)</f>
        <v>0.43922402006659456</v>
      </c>
      <c r="I11" s="473"/>
      <c r="J11" s="336" t="s">
        <v>344</v>
      </c>
      <c r="K11" s="337">
        <f>G21</f>
        <v>4691977</v>
      </c>
    </row>
    <row r="12" spans="1:11" s="167" customFormat="1">
      <c r="A12" s="169" t="s">
        <v>15</v>
      </c>
      <c r="B12" s="170" t="s">
        <v>212</v>
      </c>
      <c r="C12" s="501">
        <f>'[45]Sch B'!E15</f>
        <v>0</v>
      </c>
      <c r="D12" s="501">
        <f>'[45]Sch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4813468.5199999996</v>
      </c>
    </row>
    <row r="13" spans="1:11" s="167" customFormat="1">
      <c r="A13" s="169" t="s">
        <v>16</v>
      </c>
      <c r="B13" s="170" t="s">
        <v>170</v>
      </c>
      <c r="C13" s="501">
        <f>'[45]Sch B'!E21</f>
        <v>1139136</v>
      </c>
      <c r="D13" s="501">
        <f>'[45]Sch B'!G21</f>
        <v>0</v>
      </c>
      <c r="E13" s="171">
        <f t="shared" si="2"/>
        <v>1139136</v>
      </c>
      <c r="F13" s="171"/>
      <c r="G13" s="171">
        <f t="shared" si="0"/>
        <v>1139136</v>
      </c>
      <c r="H13" s="172">
        <f t="shared" si="1"/>
        <v>0.24278379881231302</v>
      </c>
      <c r="I13" s="473"/>
      <c r="J13" s="338" t="s">
        <v>346</v>
      </c>
      <c r="K13" s="339">
        <f>G228</f>
        <v>18925</v>
      </c>
    </row>
    <row r="14" spans="1:11" s="167" customFormat="1">
      <c r="A14" s="173" t="s">
        <v>18</v>
      </c>
      <c r="B14" s="174" t="s">
        <v>306</v>
      </c>
      <c r="C14" s="501">
        <f>'[45]Sch B'!E27</f>
        <v>380192</v>
      </c>
      <c r="D14" s="501">
        <f>'[45]Sch B'!G27</f>
        <v>0</v>
      </c>
      <c r="E14" s="171">
        <f t="shared" si="2"/>
        <v>380192</v>
      </c>
      <c r="F14" s="175"/>
      <c r="G14" s="175">
        <f>E14+F14</f>
        <v>380192</v>
      </c>
      <c r="H14" s="176">
        <f t="shared" si="1"/>
        <v>8.1030235229200831E-2</v>
      </c>
      <c r="I14" s="479"/>
      <c r="J14" s="338" t="s">
        <v>347</v>
      </c>
      <c r="K14" s="339">
        <f>G231</f>
        <v>102</v>
      </c>
    </row>
    <row r="15" spans="1:11" s="167" customFormat="1">
      <c r="A15" s="169" t="s">
        <v>19</v>
      </c>
      <c r="B15" s="170" t="s">
        <v>171</v>
      </c>
      <c r="C15" s="501">
        <f>'[45]Sch B'!E32</f>
        <v>0</v>
      </c>
      <c r="D15" s="501">
        <f>'[45]Sch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37230</v>
      </c>
    </row>
    <row r="16" spans="1:11" s="167" customFormat="1">
      <c r="A16" s="169" t="s">
        <v>21</v>
      </c>
      <c r="B16" s="170" t="s">
        <v>172</v>
      </c>
      <c r="C16" s="501">
        <f>'[45]Sch B'!E37</f>
        <v>736603</v>
      </c>
      <c r="D16" s="501">
        <f>'[45]Sch B'!G37</f>
        <v>0</v>
      </c>
      <c r="E16" s="171">
        <f t="shared" si="2"/>
        <v>736603</v>
      </c>
      <c r="F16" s="171"/>
      <c r="G16" s="171">
        <f t="shared" si="0"/>
        <v>736603</v>
      </c>
      <c r="H16" s="172">
        <f t="shared" si="1"/>
        <v>0.15699203129086098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'[45]Sch B'!E42</f>
        <v>155944</v>
      </c>
      <c r="D17" s="501">
        <f>'[45]Sch B'!G42</f>
        <v>0</v>
      </c>
      <c r="E17" s="171">
        <f t="shared" si="2"/>
        <v>155944</v>
      </c>
      <c r="F17" s="171"/>
      <c r="G17" s="171">
        <f>E17+F17</f>
        <v>155944</v>
      </c>
      <c r="H17" s="172">
        <f t="shared" si="1"/>
        <v>3.3236309555652127E-2</v>
      </c>
      <c r="I17" s="473"/>
      <c r="J17" s="338" t="s">
        <v>156</v>
      </c>
      <c r="K17" s="339">
        <f>J208</f>
        <v>84161</v>
      </c>
    </row>
    <row r="18" spans="1:11" s="167" customFormat="1" ht="13.5" thickBot="1">
      <c r="A18" s="169" t="s">
        <v>216</v>
      </c>
      <c r="B18" s="170" t="s">
        <v>229</v>
      </c>
      <c r="C18" s="501">
        <f>'[45]Sch B'!E47</f>
        <v>0</v>
      </c>
      <c r="D18" s="501">
        <f>'[45]Sch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90699</v>
      </c>
    </row>
    <row r="19" spans="1:11" s="167" customFormat="1">
      <c r="A19" s="169" t="s">
        <v>227</v>
      </c>
      <c r="B19" s="177" t="s">
        <v>173</v>
      </c>
      <c r="C19" s="501">
        <f>'[45]Sch B'!E52</f>
        <v>101121</v>
      </c>
      <c r="D19" s="501">
        <f>'[45]Sch B'!G52</f>
        <v>0</v>
      </c>
      <c r="E19" s="171">
        <f t="shared" si="2"/>
        <v>101121</v>
      </c>
      <c r="F19" s="171"/>
      <c r="G19" s="171">
        <f t="shared" si="0"/>
        <v>101121</v>
      </c>
      <c r="H19" s="172">
        <f t="shared" si="1"/>
        <v>2.1551895927878588E-2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'[45]Sch B'!E67</f>
        <v>131497</v>
      </c>
      <c r="D20" s="501">
        <f>'[45]Sch B'!G67</f>
        <v>-13345</v>
      </c>
      <c r="E20" s="171">
        <f t="shared" si="2"/>
        <v>118152</v>
      </c>
      <c r="F20" s="171"/>
      <c r="G20" s="171">
        <f t="shared" si="0"/>
        <v>118152</v>
      </c>
      <c r="H20" s="172">
        <f t="shared" si="1"/>
        <v>2.5181709117499937E-2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4705322</v>
      </c>
      <c r="D21" s="501">
        <f>SUM(D11:D20)</f>
        <v>-13345</v>
      </c>
      <c r="E21" s="171">
        <f>SUM(E11:E20)</f>
        <v>4691977</v>
      </c>
      <c r="F21" s="171">
        <f>SUM(F11:F20)</f>
        <v>0</v>
      </c>
      <c r="G21" s="171">
        <f>SUM(G11:G20)</f>
        <v>4691977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'[45]Sch C'!D10</f>
        <v>0</v>
      </c>
      <c r="D25" s="501">
        <f>'[45]Sch C'!F10</f>
        <v>114962</v>
      </c>
      <c r="E25" s="171">
        <f t="shared" ref="E25:E60" si="3">C25+D25</f>
        <v>114962</v>
      </c>
      <c r="F25" s="171"/>
      <c r="G25" s="182">
        <f>E25+F25</f>
        <v>114962</v>
      </c>
      <c r="H25" s="172">
        <f>IF($G$208=0,0,G25/$G$208)</f>
        <v>2.3883401235996866E-2</v>
      </c>
      <c r="I25" s="473"/>
      <c r="J25" s="183">
        <v>2164</v>
      </c>
      <c r="K25" s="183">
        <v>2304</v>
      </c>
    </row>
    <row r="26" spans="1:11" s="167" customFormat="1">
      <c r="A26" s="169" t="s">
        <v>84</v>
      </c>
      <c r="B26" s="170" t="s">
        <v>176</v>
      </c>
      <c r="C26" s="501">
        <f>'[45]Sch C'!D11</f>
        <v>0</v>
      </c>
      <c r="D26" s="501">
        <f>'[45]Sch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'[45]Sch C'!D12</f>
        <v>227280</v>
      </c>
      <c r="D27" s="501">
        <f>'[45]Sch C'!F12</f>
        <v>-114962</v>
      </c>
      <c r="E27" s="171">
        <f t="shared" si="3"/>
        <v>112318</v>
      </c>
      <c r="F27" s="171"/>
      <c r="G27" s="171">
        <f t="shared" si="4"/>
        <v>112318</v>
      </c>
      <c r="H27" s="172">
        <f t="shared" si="5"/>
        <v>2.3334109184119066E-2</v>
      </c>
      <c r="I27" s="473"/>
      <c r="J27" s="183">
        <v>6394</v>
      </c>
      <c r="K27" s="183">
        <v>6768</v>
      </c>
    </row>
    <row r="28" spans="1:11" s="167" customFormat="1">
      <c r="A28" s="169" t="s">
        <v>86</v>
      </c>
      <c r="B28" s="170" t="s">
        <v>45</v>
      </c>
      <c r="C28" s="501">
        <f>'[45]Sch C'!D13</f>
        <v>16500</v>
      </c>
      <c r="D28" s="501">
        <f>'[45]Sch C'!F13</f>
        <v>0</v>
      </c>
      <c r="E28" s="171">
        <f t="shared" si="3"/>
        <v>16500</v>
      </c>
      <c r="F28" s="171"/>
      <c r="G28" s="171">
        <f t="shared" si="4"/>
        <v>16500</v>
      </c>
      <c r="H28" s="172">
        <f t="shared" si="5"/>
        <v>3.4278815642903595E-3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'[45]Sch C'!D14</f>
        <v>0</v>
      </c>
      <c r="D29" s="501">
        <f>'[45]Sch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'[45]Sch C'!D15</f>
        <v>0</v>
      </c>
      <c r="D30" s="501">
        <f>'[45]Sch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'[45]Sch C'!D16</f>
        <v>238186</v>
      </c>
      <c r="D31" s="501">
        <f>'[45]Sch C'!F16</f>
        <v>-8145</v>
      </c>
      <c r="E31" s="171">
        <f t="shared" si="3"/>
        <v>230041</v>
      </c>
      <c r="F31" s="171"/>
      <c r="G31" s="171">
        <f t="shared" si="4"/>
        <v>230041</v>
      </c>
      <c r="H31" s="172">
        <f t="shared" si="5"/>
        <v>4.7791109268540521E-2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'[45]Sch C'!D17</f>
        <v>803</v>
      </c>
      <c r="D32" s="501">
        <f>'[45]Sch C'!F17</f>
        <v>0</v>
      </c>
      <c r="E32" s="171">
        <f t="shared" si="3"/>
        <v>803</v>
      </c>
      <c r="F32" s="171"/>
      <c r="G32" s="171">
        <f t="shared" si="4"/>
        <v>803</v>
      </c>
      <c r="H32" s="172">
        <f t="shared" si="5"/>
        <v>1.6682356946213082E-4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'[45]Sch C'!D18</f>
        <v>28353</v>
      </c>
      <c r="D33" s="501">
        <f>'[45]Sch C'!F18</f>
        <v>0</v>
      </c>
      <c r="E33" s="171">
        <f t="shared" si="3"/>
        <v>28353</v>
      </c>
      <c r="F33" s="171"/>
      <c r="G33" s="171">
        <f t="shared" si="4"/>
        <v>28353</v>
      </c>
      <c r="H33" s="172">
        <f t="shared" si="5"/>
        <v>5.8903470298378524E-3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'[45]Sch C'!D19</f>
        <v>13277</v>
      </c>
      <c r="D34" s="501">
        <f>'[45]Sch C'!F19</f>
        <v>0</v>
      </c>
      <c r="E34" s="171">
        <f t="shared" si="3"/>
        <v>13277</v>
      </c>
      <c r="F34" s="171"/>
      <c r="G34" s="171">
        <f t="shared" si="4"/>
        <v>13277</v>
      </c>
      <c r="H34" s="172">
        <f t="shared" si="5"/>
        <v>2.7583020320656425E-3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'[45]Sch C'!D20</f>
        <v>13075</v>
      </c>
      <c r="D35" s="501">
        <f>'[45]Sch C'!F20</f>
        <v>0</v>
      </c>
      <c r="E35" s="171">
        <f t="shared" si="3"/>
        <v>13075</v>
      </c>
      <c r="F35" s="171"/>
      <c r="G35" s="171">
        <f t="shared" si="4"/>
        <v>13075</v>
      </c>
      <c r="H35" s="172">
        <f t="shared" si="5"/>
        <v>2.7163364517028151E-3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'[45]Sch C'!D21</f>
        <v>9805</v>
      </c>
      <c r="D36" s="501">
        <f>'[45]Sch C'!F21</f>
        <v>0</v>
      </c>
      <c r="E36" s="171">
        <f t="shared" si="3"/>
        <v>9805</v>
      </c>
      <c r="F36" s="171"/>
      <c r="G36" s="171">
        <f t="shared" si="4"/>
        <v>9805</v>
      </c>
      <c r="H36" s="172">
        <f t="shared" si="5"/>
        <v>2.0369926507798168E-3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'[45]Sch C'!D22</f>
        <v>0</v>
      </c>
      <c r="D37" s="501">
        <f>'[45]Sch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'[45]Sch C'!D23</f>
        <v>6561</v>
      </c>
      <c r="D38" s="501">
        <f>'[45]Sch C'!F23</f>
        <v>0</v>
      </c>
      <c r="E38" s="171">
        <f t="shared" si="3"/>
        <v>6561</v>
      </c>
      <c r="F38" s="171"/>
      <c r="G38" s="171">
        <f t="shared" si="4"/>
        <v>6561</v>
      </c>
      <c r="H38" s="172">
        <f t="shared" si="5"/>
        <v>1.3630503602005484E-3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'[45]Sch C'!D24</f>
        <v>10594</v>
      </c>
      <c r="D39" s="501">
        <f>'[45]Sch C'!F24</f>
        <v>0</v>
      </c>
      <c r="E39" s="171">
        <f t="shared" si="3"/>
        <v>10594</v>
      </c>
      <c r="F39" s="171"/>
      <c r="G39" s="171">
        <f t="shared" si="4"/>
        <v>10594</v>
      </c>
      <c r="H39" s="172">
        <f t="shared" si="5"/>
        <v>2.2009077146722465E-3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'[45]Sch C'!D25</f>
        <v>4131</v>
      </c>
      <c r="D40" s="501">
        <f>'[45]Sch C'!F25</f>
        <v>0</v>
      </c>
      <c r="E40" s="171">
        <f t="shared" si="3"/>
        <v>4131</v>
      </c>
      <c r="F40" s="171"/>
      <c r="G40" s="171">
        <f t="shared" si="4"/>
        <v>4131</v>
      </c>
      <c r="H40" s="172">
        <f t="shared" si="5"/>
        <v>8.5821689345960456E-4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'[45]Sch C'!D26</f>
        <v>299671</v>
      </c>
      <c r="D41" s="501">
        <f>'[45]Sch C'!F26</f>
        <v>0</v>
      </c>
      <c r="E41" s="171">
        <f t="shared" si="3"/>
        <v>299671</v>
      </c>
      <c r="F41" s="171"/>
      <c r="G41" s="171">
        <f t="shared" si="4"/>
        <v>299671</v>
      </c>
      <c r="H41" s="172">
        <f t="shared" si="5"/>
        <v>6.2256769469845839E-2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'[45]Sch C'!D27</f>
        <v>18780</v>
      </c>
      <c r="D42" s="501">
        <f>'[45]Sch C'!F27</f>
        <v>0</v>
      </c>
      <c r="E42" s="171">
        <f t="shared" si="3"/>
        <v>18780</v>
      </c>
      <c r="F42" s="171"/>
      <c r="G42" s="171">
        <f t="shared" si="4"/>
        <v>18780</v>
      </c>
      <c r="H42" s="172">
        <f t="shared" si="5"/>
        <v>3.9015524713559365E-3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'[45]Sch C'!D28</f>
        <v>0</v>
      </c>
      <c r="D43" s="501">
        <f>'[45]Sch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'[45]Sch C'!D29</f>
        <v>17639</v>
      </c>
      <c r="D44" s="501">
        <f>'[45]Sch C'!F29</f>
        <v>-17639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'[45]Sch C'!D30</f>
        <v>0</v>
      </c>
      <c r="D45" s="501">
        <f>'[45]Sch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'[45]Sch C'!D31</f>
        <v>0</v>
      </c>
      <c r="D46" s="501">
        <f>'[45]Sch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'[45]Sch C'!D32</f>
        <v>50160</v>
      </c>
      <c r="D47" s="501">
        <f>'[45]Sch C'!F32</f>
        <v>0</v>
      </c>
      <c r="E47" s="171">
        <f t="shared" si="3"/>
        <v>50160</v>
      </c>
      <c r="F47" s="171"/>
      <c r="G47" s="171">
        <f t="shared" si="4"/>
        <v>50160</v>
      </c>
      <c r="H47" s="172">
        <f t="shared" si="5"/>
        <v>1.0420759955442694E-2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'[45]Sch C'!D33</f>
        <v>0</v>
      </c>
      <c r="D48" s="501">
        <f>'[45]Sch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'[45]Sch C'!D34</f>
        <v>231</v>
      </c>
      <c r="D49" s="501">
        <f>'[45]Sch C'!F34</f>
        <v>0</v>
      </c>
      <c r="E49" s="171">
        <f t="shared" si="3"/>
        <v>231</v>
      </c>
      <c r="F49" s="171"/>
      <c r="G49" s="171">
        <f t="shared" si="4"/>
        <v>231</v>
      </c>
      <c r="H49" s="172">
        <f t="shared" si="5"/>
        <v>4.7990341900065035E-5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'[45]Sch C'!D35</f>
        <v>0</v>
      </c>
      <c r="D50" s="501">
        <f>'[45]Sch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'[45]Sch C'!D36</f>
        <v>0</v>
      </c>
      <c r="D51" s="501">
        <f>'[45]Sch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'[45]Sch C'!D37</f>
        <v>0</v>
      </c>
      <c r="D52" s="501">
        <f>'[45]Sch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'[45]Sch C'!D38</f>
        <v>488</v>
      </c>
      <c r="D53" s="501">
        <f>'[45]Sch C'!F38</f>
        <v>0</v>
      </c>
      <c r="E53" s="171">
        <f t="shared" si="3"/>
        <v>488</v>
      </c>
      <c r="F53" s="171"/>
      <c r="G53" s="171">
        <f t="shared" si="4"/>
        <v>488</v>
      </c>
      <c r="H53" s="172">
        <f t="shared" si="5"/>
        <v>1.0138219414386033E-4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'[45]Sch C'!D39</f>
        <v>2192</v>
      </c>
      <c r="D54" s="501">
        <f>'[45]Sch C'!F39</f>
        <v>0</v>
      </c>
      <c r="E54" s="171">
        <f t="shared" si="3"/>
        <v>2192</v>
      </c>
      <c r="F54" s="171"/>
      <c r="G54" s="171">
        <f t="shared" si="4"/>
        <v>2192</v>
      </c>
      <c r="H54" s="172">
        <f t="shared" si="5"/>
        <v>4.5538887205602834E-4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'[45]Sch C'!D40</f>
        <v>2593</v>
      </c>
      <c r="D55" s="501">
        <f>'[45]Sch C'!F40</f>
        <v>0</v>
      </c>
      <c r="E55" s="171">
        <f t="shared" si="3"/>
        <v>2593</v>
      </c>
      <c r="F55" s="171"/>
      <c r="G55" s="171">
        <f t="shared" si="4"/>
        <v>2593</v>
      </c>
      <c r="H55" s="172">
        <f t="shared" si="5"/>
        <v>5.3869678158817587E-4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'[45]Sch C'!D41</f>
        <v>116412</v>
      </c>
      <c r="D56" s="501">
        <f>'[45]Sch C'!F41</f>
        <v>50</v>
      </c>
      <c r="E56" s="171">
        <f t="shared" si="3"/>
        <v>116462</v>
      </c>
      <c r="F56" s="171"/>
      <c r="G56" s="171">
        <f t="shared" si="4"/>
        <v>116462</v>
      </c>
      <c r="H56" s="172">
        <f t="shared" si="5"/>
        <v>2.4195026832750537E-2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'[45]Sch C'!D42</f>
        <v>-43</v>
      </c>
      <c r="D57" s="501">
        <f>'[45]Sch C'!F42</f>
        <v>0</v>
      </c>
      <c r="E57" s="171">
        <f t="shared" si="3"/>
        <v>-43</v>
      </c>
      <c r="F57" s="171"/>
      <c r="G57" s="171">
        <f t="shared" si="4"/>
        <v>-43</v>
      </c>
      <c r="H57" s="172">
        <f t="shared" si="5"/>
        <v>-8.9332671069385121E-6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'[45]Sch C'!D43</f>
        <v>8850</v>
      </c>
      <c r="D58" s="501">
        <f>'[45]Sch C'!F43</f>
        <v>0</v>
      </c>
      <c r="E58" s="171">
        <f t="shared" si="3"/>
        <v>8850</v>
      </c>
      <c r="F58" s="171"/>
      <c r="G58" s="171">
        <f t="shared" si="4"/>
        <v>8850</v>
      </c>
      <c r="H58" s="172">
        <f t="shared" si="5"/>
        <v>1.8385910208466474E-3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'[45]Sch C'!D44</f>
        <v>0</v>
      </c>
      <c r="D59" s="501">
        <f>'[45]Sch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'[45]Sch C'!D45</f>
        <v>5244</v>
      </c>
      <c r="D60" s="501">
        <f>'[45]Sch C'!F45</f>
        <v>-11111</v>
      </c>
      <c r="E60" s="171">
        <f t="shared" si="3"/>
        <v>-5867</v>
      </c>
      <c r="F60" s="171">
        <f>-2227.15-290.25-47.08</f>
        <v>-2564.48</v>
      </c>
      <c r="G60" s="171">
        <f t="shared" si="4"/>
        <v>-8431.48</v>
      </c>
      <c r="H60" s="172">
        <f t="shared" si="5"/>
        <v>-1.751643324344417E-3</v>
      </c>
      <c r="I60" s="473" t="s">
        <v>672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1090782</v>
      </c>
      <c r="D61" s="501">
        <f>SUM(D25:D60)</f>
        <v>-36845</v>
      </c>
      <c r="E61" s="171">
        <f t="shared" ref="E61:F61" si="6">SUM(E25:E60)</f>
        <v>1053937</v>
      </c>
      <c r="F61" s="171">
        <f t="shared" si="6"/>
        <v>-2564.48</v>
      </c>
      <c r="G61" s="171">
        <f>SUM(G25:G60)</f>
        <v>1051372.52</v>
      </c>
      <c r="H61" s="186">
        <f t="shared" si="5"/>
        <v>0.21842305930360589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'[45]Sch C'!D57</f>
        <v>374559</v>
      </c>
      <c r="D64" s="501">
        <f>'[45]Sch C'!F57</f>
        <v>0</v>
      </c>
      <c r="E64" s="171">
        <f t="shared" ref="E64:E78" si="7">C64+D64</f>
        <v>374559</v>
      </c>
      <c r="F64" s="507"/>
      <c r="G64" s="171">
        <f t="shared" ref="G64:G78" si="8">E64+F64</f>
        <v>374559</v>
      </c>
      <c r="H64" s="172">
        <f t="shared" ref="H64:H79" si="9">IF($G$208=0,0,G64/$G$208)</f>
        <v>7.7814781262971686E-2</v>
      </c>
      <c r="I64" s="472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'[45]Sch C'!D58</f>
        <v>18993</v>
      </c>
      <c r="D65" s="501">
        <f>'[45]Sch C'!F58</f>
        <v>0</v>
      </c>
      <c r="E65" s="171">
        <f t="shared" si="7"/>
        <v>18993</v>
      </c>
      <c r="F65" s="171"/>
      <c r="G65" s="171">
        <f t="shared" si="8"/>
        <v>18993</v>
      </c>
      <c r="H65" s="172">
        <f t="shared" si="9"/>
        <v>3.9458033060949579E-3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'[45]Sch C'!D59</f>
        <v>0</v>
      </c>
      <c r="D66" s="501">
        <f>'[45]Sch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'[45]Sch C'!D60</f>
        <v>17321</v>
      </c>
      <c r="D67" s="501">
        <f>'[45]Sch C'!F60</f>
        <v>0</v>
      </c>
      <c r="E67" s="171">
        <f t="shared" si="7"/>
        <v>17321</v>
      </c>
      <c r="F67" s="171"/>
      <c r="G67" s="171">
        <f t="shared" si="8"/>
        <v>17321</v>
      </c>
      <c r="H67" s="172">
        <f t="shared" si="9"/>
        <v>3.5984446409135342E-3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'[45]Sch C'!D61</f>
        <v>10972</v>
      </c>
      <c r="D68" s="501">
        <f>'[45]Sch C'!F61</f>
        <v>0</v>
      </c>
      <c r="E68" s="171">
        <f t="shared" si="7"/>
        <v>10972</v>
      </c>
      <c r="F68" s="171"/>
      <c r="G68" s="171">
        <f t="shared" si="8"/>
        <v>10972</v>
      </c>
      <c r="H68" s="172">
        <f t="shared" si="9"/>
        <v>2.279437365054171E-3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'[45]Sch C'!D62</f>
        <v>567</v>
      </c>
      <c r="D69" s="501">
        <f>'[45]Sch C'!F62</f>
        <v>0</v>
      </c>
      <c r="E69" s="171">
        <f t="shared" si="7"/>
        <v>567</v>
      </c>
      <c r="F69" s="171"/>
      <c r="G69" s="171">
        <f t="shared" si="8"/>
        <v>567</v>
      </c>
      <c r="H69" s="172">
        <f t="shared" si="9"/>
        <v>1.177944755728869E-4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'[45]Sch C'!D63</f>
        <v>0</v>
      </c>
      <c r="D70" s="501">
        <f>'[45]Sch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'[45]Sch C'!D64</f>
        <v>0</v>
      </c>
      <c r="D71" s="501">
        <f>'[45]Sch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'[45]Sch C'!D65</f>
        <v>0</v>
      </c>
      <c r="D72" s="501">
        <f>'[45]Sch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'[45]Sch C'!D66</f>
        <v>44713</v>
      </c>
      <c r="D73" s="501">
        <f>'[45]Sch C'!F66</f>
        <v>-696</v>
      </c>
      <c r="E73" s="171">
        <f t="shared" si="7"/>
        <v>44017</v>
      </c>
      <c r="F73" s="507"/>
      <c r="G73" s="171">
        <f t="shared" si="8"/>
        <v>44017</v>
      </c>
      <c r="H73" s="172">
        <f t="shared" si="9"/>
        <v>9.1445492615375001E-3</v>
      </c>
      <c r="I73" s="472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'[45]Sch C'!D67</f>
        <v>38916</v>
      </c>
      <c r="D74" s="501">
        <f>'[45]Sch C'!F67</f>
        <v>0</v>
      </c>
      <c r="E74" s="171">
        <f t="shared" si="7"/>
        <v>38916</v>
      </c>
      <c r="F74" s="171"/>
      <c r="G74" s="171">
        <f t="shared" si="8"/>
        <v>38916</v>
      </c>
      <c r="H74" s="172">
        <f t="shared" si="9"/>
        <v>8.0848144821771897E-3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'[45]Sch C'!D68</f>
        <v>0</v>
      </c>
      <c r="D75" s="501">
        <f>'[45]Sch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'[45]Sch C'!D69</f>
        <v>4700</v>
      </c>
      <c r="D76" s="501">
        <f>'[45]Sch C'!F69</f>
        <v>0</v>
      </c>
      <c r="E76" s="171">
        <f t="shared" si="7"/>
        <v>4700</v>
      </c>
      <c r="F76" s="171"/>
      <c r="G76" s="171">
        <f t="shared" si="8"/>
        <v>4700</v>
      </c>
      <c r="H76" s="172">
        <f t="shared" si="9"/>
        <v>9.7642686982816302E-4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'[45]Sch C'!D70</f>
        <v>0</v>
      </c>
      <c r="D77" s="501">
        <f>'[45]Sch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'[45]Sch C'!D71</f>
        <v>0</v>
      </c>
      <c r="D78" s="501">
        <f>'[45]Sch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J78" s="195"/>
      <c r="K78" s="168"/>
    </row>
    <row r="79" spans="1:11" s="167" customFormat="1">
      <c r="A79" s="163"/>
      <c r="B79" s="170" t="s">
        <v>150</v>
      </c>
      <c r="C79" s="501">
        <f>SUM(C64:C78)</f>
        <v>510741</v>
      </c>
      <c r="D79" s="501">
        <f>SUM(D64:D78)</f>
        <v>-696</v>
      </c>
      <c r="E79" s="171">
        <f t="shared" ref="E79:F79" si="10">SUM(E64:E78)</f>
        <v>510045</v>
      </c>
      <c r="F79" s="171">
        <f t="shared" si="10"/>
        <v>0</v>
      </c>
      <c r="G79" s="171">
        <f>SUM(G64:G78)</f>
        <v>510045</v>
      </c>
      <c r="H79" s="172">
        <f t="shared" si="9"/>
        <v>0.10596205166415008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'[45]Sch C'!D75</f>
        <v>40572</v>
      </c>
      <c r="D82" s="501">
        <f>'[45]Sch C'!F75</f>
        <v>0</v>
      </c>
      <c r="E82" s="171">
        <f t="shared" ref="E82:E92" si="11">C82+D82</f>
        <v>40572</v>
      </c>
      <c r="F82" s="171"/>
      <c r="G82" s="171">
        <f t="shared" ref="G82:G92" si="12">E82+F82</f>
        <v>40572</v>
      </c>
      <c r="H82" s="172">
        <f t="shared" ref="H82:H93" si="13">IF($G$208=0,0,G82/$G$208)</f>
        <v>8.4288491409932401E-3</v>
      </c>
      <c r="I82" s="473"/>
      <c r="J82" s="183">
        <v>1805</v>
      </c>
      <c r="K82" s="183">
        <v>1924</v>
      </c>
    </row>
    <row r="83" spans="1:11" s="167" customFormat="1">
      <c r="A83" s="169" t="s">
        <v>86</v>
      </c>
      <c r="B83" s="199" t="s">
        <v>45</v>
      </c>
      <c r="C83" s="501">
        <f>'[45]Sch C'!D76</f>
        <v>14654</v>
      </c>
      <c r="D83" s="501">
        <f>'[45]Sch C'!F76</f>
        <v>0</v>
      </c>
      <c r="E83" s="171">
        <f t="shared" si="11"/>
        <v>14654</v>
      </c>
      <c r="F83" s="171"/>
      <c r="G83" s="171">
        <f t="shared" si="12"/>
        <v>14654</v>
      </c>
      <c r="H83" s="172">
        <f t="shared" si="13"/>
        <v>3.0443743298855107E-3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'[45]Sch C'!D77</f>
        <v>13890</v>
      </c>
      <c r="D84" s="501">
        <f>'[45]Sch C'!F77</f>
        <v>0</v>
      </c>
      <c r="E84" s="171">
        <f t="shared" si="11"/>
        <v>13890</v>
      </c>
      <c r="F84" s="171"/>
      <c r="G84" s="171">
        <f t="shared" si="12"/>
        <v>13890</v>
      </c>
      <c r="H84" s="172">
        <f t="shared" si="13"/>
        <v>2.8856530259389755E-3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'[45]Sch C'!D78</f>
        <v>0</v>
      </c>
      <c r="D85" s="501">
        <f>'[45]Sch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'[45]Sch C'!D79</f>
        <v>3682</v>
      </c>
      <c r="D86" s="501">
        <f>'[45]Sch C'!F79</f>
        <v>0</v>
      </c>
      <c r="E86" s="171">
        <f t="shared" si="11"/>
        <v>3682</v>
      </c>
      <c r="F86" s="171"/>
      <c r="G86" s="171">
        <f>E86+F86</f>
        <v>3682</v>
      </c>
      <c r="H86" s="172">
        <f t="shared" si="13"/>
        <v>7.6493696483133963E-4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'[45]Sch C'!D80</f>
        <v>13930</v>
      </c>
      <c r="D87" s="501">
        <f>'[45]Sch C'!F80</f>
        <v>0</v>
      </c>
      <c r="E87" s="171">
        <f t="shared" si="11"/>
        <v>13930</v>
      </c>
      <c r="F87" s="171"/>
      <c r="G87" s="171">
        <f t="shared" si="12"/>
        <v>13930</v>
      </c>
      <c r="H87" s="172">
        <f t="shared" si="13"/>
        <v>2.8939630418524064E-3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'[45]Sch C'!D81</f>
        <v>35823</v>
      </c>
      <c r="D88" s="501">
        <f>'[45]Sch C'!F81</f>
        <v>0</v>
      </c>
      <c r="E88" s="171">
        <f t="shared" si="11"/>
        <v>35823</v>
      </c>
      <c r="F88" s="171"/>
      <c r="G88" s="171">
        <f t="shared" si="12"/>
        <v>35823</v>
      </c>
      <c r="H88" s="172">
        <f t="shared" si="13"/>
        <v>7.4422425016711239E-3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'[45]Sch C'!D82</f>
        <v>19245</v>
      </c>
      <c r="D89" s="501">
        <f>'[45]Sch C'!F82</f>
        <v>0</v>
      </c>
      <c r="E89" s="171">
        <f t="shared" si="11"/>
        <v>19245</v>
      </c>
      <c r="F89" s="171"/>
      <c r="G89" s="171">
        <f t="shared" si="12"/>
        <v>19245</v>
      </c>
      <c r="H89" s="172">
        <f t="shared" si="13"/>
        <v>3.9981564063495739E-3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'[45]Sch C'!D83</f>
        <v>0</v>
      </c>
      <c r="D90" s="501">
        <f>'[45]Sch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'[45]Sch C'!D84</f>
        <v>83112</v>
      </c>
      <c r="D91" s="501">
        <f>'[45]Sch C'!F84</f>
        <v>0</v>
      </c>
      <c r="E91" s="171">
        <f t="shared" si="11"/>
        <v>83112</v>
      </c>
      <c r="F91" s="171"/>
      <c r="G91" s="171">
        <f t="shared" si="12"/>
        <v>83112</v>
      </c>
      <c r="H91" s="172">
        <f t="shared" si="13"/>
        <v>1.7266551064927294E-2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'[45]Sch C'!D85</f>
        <v>150</v>
      </c>
      <c r="D92" s="501">
        <f>'[45]Sch C'!F85</f>
        <v>0</v>
      </c>
      <c r="E92" s="171">
        <f t="shared" si="11"/>
        <v>150</v>
      </c>
      <c r="F92" s="171"/>
      <c r="G92" s="171">
        <f t="shared" si="12"/>
        <v>150</v>
      </c>
      <c r="H92" s="172">
        <f t="shared" si="13"/>
        <v>3.1162559675366908E-5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225058</v>
      </c>
      <c r="D93" s="501">
        <f>SUM(D82:D92)</f>
        <v>0</v>
      </c>
      <c r="E93" s="171">
        <f t="shared" ref="E93:F93" si="14">SUM(E82:E92)</f>
        <v>225058</v>
      </c>
      <c r="F93" s="171">
        <f t="shared" si="14"/>
        <v>0</v>
      </c>
      <c r="G93" s="171">
        <f>SUM(G82:G92)</f>
        <v>225058</v>
      </c>
      <c r="H93" s="172">
        <f t="shared" si="13"/>
        <v>4.6755889036124834E-2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'[45]Sch C'!D89</f>
        <v>0</v>
      </c>
      <c r="D96" s="501">
        <f>'[45]Sch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'[45]Sch C'!D90</f>
        <v>0</v>
      </c>
      <c r="D97" s="501">
        <f>'[45]Sch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'[45]Sch C'!D91</f>
        <v>359716</v>
      </c>
      <c r="D98" s="501">
        <f>'[45]Sch C'!F91</f>
        <v>0</v>
      </c>
      <c r="E98" s="171">
        <f t="shared" si="15"/>
        <v>359716</v>
      </c>
      <c r="F98" s="171"/>
      <c r="G98" s="171">
        <f t="shared" si="16"/>
        <v>359716</v>
      </c>
      <c r="H98" s="172">
        <f t="shared" si="17"/>
        <v>7.4731142107895207E-2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'[45]Sch C'!D92</f>
        <v>4154</v>
      </c>
      <c r="D99" s="501">
        <f>'[45]Sch C'!F92</f>
        <v>-4834</v>
      </c>
      <c r="E99" s="171">
        <f t="shared" si="15"/>
        <v>-680</v>
      </c>
      <c r="F99" s="171"/>
      <c r="G99" s="171">
        <f t="shared" si="16"/>
        <v>-680</v>
      </c>
      <c r="H99" s="172">
        <f t="shared" si="17"/>
        <v>-1.4127027052832997E-4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'[45]Sch C'!D93</f>
        <v>2788</v>
      </c>
      <c r="D100" s="501">
        <f>'[45]Sch C'!F93</f>
        <v>0</v>
      </c>
      <c r="E100" s="171">
        <f t="shared" si="15"/>
        <v>2788</v>
      </c>
      <c r="F100" s="171"/>
      <c r="G100" s="171">
        <f t="shared" si="16"/>
        <v>2788</v>
      </c>
      <c r="H100" s="172">
        <f t="shared" si="17"/>
        <v>5.792081091661529E-4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'[45]Sch C'!D94</f>
        <v>0</v>
      </c>
      <c r="D101" s="501">
        <f>'[45]Sch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366658</v>
      </c>
      <c r="D102" s="501">
        <f>SUM(D96:D101)</f>
        <v>-4834</v>
      </c>
      <c r="E102" s="171">
        <f t="shared" ref="E102:F102" si="18">SUM(E96:E101)</f>
        <v>361824</v>
      </c>
      <c r="F102" s="171">
        <f t="shared" si="18"/>
        <v>0</v>
      </c>
      <c r="G102" s="171">
        <f>SUM(G96:G101)</f>
        <v>361824</v>
      </c>
      <c r="H102" s="172">
        <f t="shared" si="17"/>
        <v>7.5169079946533032E-2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'[45]Sch C'!D98</f>
        <v>0</v>
      </c>
      <c r="D105" s="501">
        <f>'[45]Sch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'[45]Sch C'!D99</f>
        <v>0</v>
      </c>
      <c r="D106" s="501">
        <f>'[45]Sch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'[45]Sch C'!D100</f>
        <v>0</v>
      </c>
      <c r="D107" s="501">
        <f>'[45]Sch C'!F100</f>
        <v>0</v>
      </c>
      <c r="E107" s="171">
        <f t="shared" si="19"/>
        <v>0</v>
      </c>
      <c r="F107" s="171"/>
      <c r="G107" s="171">
        <f t="shared" si="20"/>
        <v>0</v>
      </c>
      <c r="H107" s="172">
        <f t="shared" si="21"/>
        <v>0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'[45]Sch C'!D101</f>
        <v>33502</v>
      </c>
      <c r="D108" s="501">
        <f>'[45]Sch C'!F101</f>
        <v>0</v>
      </c>
      <c r="E108" s="171">
        <f t="shared" si="19"/>
        <v>33502</v>
      </c>
      <c r="F108" s="171"/>
      <c r="G108" s="171">
        <f t="shared" si="20"/>
        <v>33502</v>
      </c>
      <c r="H108" s="172">
        <f t="shared" si="21"/>
        <v>6.9600538282942803E-3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'[45]Sch C'!D102</f>
        <v>3689</v>
      </c>
      <c r="D109" s="501">
        <f>'[45]Sch C'!F102</f>
        <v>0</v>
      </c>
      <c r="E109" s="171">
        <f t="shared" si="19"/>
        <v>3689</v>
      </c>
      <c r="F109" s="171"/>
      <c r="G109" s="171">
        <f t="shared" si="20"/>
        <v>3689</v>
      </c>
      <c r="H109" s="172">
        <f t="shared" si="21"/>
        <v>7.663912176161901E-4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'[45]Sch C'!D103</f>
        <v>0</v>
      </c>
      <c r="D110" s="501">
        <f>'[45]Sch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37191</v>
      </c>
      <c r="D111" s="501">
        <f>SUM(D105:D110)</f>
        <v>0</v>
      </c>
      <c r="E111" s="171">
        <f t="shared" ref="E111:F111" si="22">SUM(E105:E110)</f>
        <v>37191</v>
      </c>
      <c r="F111" s="171">
        <f t="shared" si="22"/>
        <v>0</v>
      </c>
      <c r="G111" s="171">
        <f>SUM(G105:G110)</f>
        <v>37191</v>
      </c>
      <c r="H111" s="172">
        <f t="shared" si="21"/>
        <v>7.7264450459104701E-3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'[45]Sch C'!D115</f>
        <v>0</v>
      </c>
      <c r="D114" s="501">
        <f>'[45]Sch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'[45]Sch C'!D116</f>
        <v>0</v>
      </c>
      <c r="D115" s="501">
        <f>'[45]Sch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'[45]Sch C'!D117</f>
        <v>9145</v>
      </c>
      <c r="D116" s="501">
        <f>'[45]Sch C'!F117</f>
        <v>0</v>
      </c>
      <c r="E116" s="171">
        <f t="shared" si="23"/>
        <v>9145</v>
      </c>
      <c r="F116" s="171"/>
      <c r="G116" s="171">
        <f>E116+F116</f>
        <v>9145</v>
      </c>
      <c r="H116" s="172">
        <f t="shared" si="24"/>
        <v>1.8998773882082022E-3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'[45]Sch C'!D118</f>
        <v>77470</v>
      </c>
      <c r="D117" s="501">
        <f>'[45]Sch C'!F118</f>
        <v>0</v>
      </c>
      <c r="E117" s="171">
        <f t="shared" si="23"/>
        <v>77470</v>
      </c>
      <c r="F117" s="171"/>
      <c r="G117" s="171">
        <f>E117+F117</f>
        <v>77470</v>
      </c>
      <c r="H117" s="172">
        <f t="shared" si="24"/>
        <v>1.6094423320337826E-2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'[45]Sch C'!D119</f>
        <v>0</v>
      </c>
      <c r="D118" s="501">
        <f>'[45]Sch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86615</v>
      </c>
      <c r="D119" s="501">
        <f>SUM(D114:D118)</f>
        <v>0</v>
      </c>
      <c r="E119" s="171">
        <f t="shared" ref="E119:F119" si="25">SUM(E114:E118)</f>
        <v>86615</v>
      </c>
      <c r="F119" s="171">
        <f t="shared" si="25"/>
        <v>0</v>
      </c>
      <c r="G119" s="171">
        <f>SUM(G114:G118)</f>
        <v>86615</v>
      </c>
      <c r="H119" s="172">
        <f t="shared" si="24"/>
        <v>1.7994300708546029E-2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'[45]Sch C'!D124</f>
        <v>0</v>
      </c>
      <c r="D123" s="501">
        <f>'[45]Sch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'[45]Sch C'!D125</f>
        <v>165786</v>
      </c>
      <c r="D124" s="501">
        <f>'[45]Sch C'!F125</f>
        <v>0</v>
      </c>
      <c r="E124" s="171">
        <f t="shared" si="26"/>
        <v>165786</v>
      </c>
      <c r="F124" s="171"/>
      <c r="G124" s="171">
        <f>E124+F124</f>
        <v>165786</v>
      </c>
      <c r="H124" s="172">
        <f>IF($G$208=0,0,G124/$G$208)</f>
        <v>3.4442107455602521E-2</v>
      </c>
      <c r="I124" s="473"/>
      <c r="J124" s="183">
        <v>4693</v>
      </c>
      <c r="K124" s="183">
        <v>5167</v>
      </c>
    </row>
    <row r="125" spans="1:11" s="167" customFormat="1">
      <c r="A125" s="163" t="s">
        <v>198</v>
      </c>
      <c r="B125" s="163" t="s">
        <v>195</v>
      </c>
      <c r="C125" s="501">
        <f>'[45]Sch C'!D126</f>
        <v>0</v>
      </c>
      <c r="D125" s="501">
        <f>'[45]Sch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'[45]Sch C'!D127</f>
        <v>0</v>
      </c>
      <c r="D126" s="501">
        <f>'[45]Sch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'[45]Sch C'!D128</f>
        <v>40413</v>
      </c>
      <c r="D127" s="501">
        <f>'[45]Sch C'!F128</f>
        <v>0</v>
      </c>
      <c r="E127" s="171">
        <f t="shared" si="26"/>
        <v>40413</v>
      </c>
      <c r="F127" s="171"/>
      <c r="G127" s="171">
        <f>E127+F127</f>
        <v>40413</v>
      </c>
      <c r="H127" s="172">
        <f>IF($G$208=0,0,G127/$G$208)</f>
        <v>8.3958168277373513E-3</v>
      </c>
      <c r="I127" s="473"/>
      <c r="J127" s="183">
        <v>2443</v>
      </c>
      <c r="K127" s="183">
        <v>2730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'[45]Sch C'!D130</f>
        <v>0</v>
      </c>
      <c r="D129" s="501">
        <f>'[45]Sch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'[45]Sch C'!D131</f>
        <v>55256</v>
      </c>
      <c r="D130" s="501">
        <f>'[45]Sch C'!F131</f>
        <v>0</v>
      </c>
      <c r="E130" s="171">
        <f t="shared" si="27"/>
        <v>55256</v>
      </c>
      <c r="F130" s="171"/>
      <c r="G130" s="171">
        <f>E130+F130</f>
        <v>55256</v>
      </c>
      <c r="H130" s="172">
        <f>IF($G$208=0,0,G130/$G$208)</f>
        <v>1.1479455982813825E-2</v>
      </c>
      <c r="I130" s="473"/>
      <c r="J130" s="204"/>
      <c r="K130" s="204"/>
    </row>
    <row r="131" spans="1:11" s="167" customFormat="1">
      <c r="B131" s="163" t="s">
        <v>195</v>
      </c>
      <c r="C131" s="501">
        <f>'[45]Sch C'!D132</f>
        <v>0</v>
      </c>
      <c r="D131" s="501">
        <f>'[45]Sch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'[45]Sch C'!D133</f>
        <v>0</v>
      </c>
      <c r="D132" s="501">
        <f>'[45]Sch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'[45]Sch C'!D134</f>
        <v>14514</v>
      </c>
      <c r="D133" s="501">
        <f>'[45]Sch C'!F134</f>
        <v>0</v>
      </c>
      <c r="E133" s="171">
        <f t="shared" si="27"/>
        <v>14514</v>
      </c>
      <c r="F133" s="171"/>
      <c r="G133" s="171">
        <f>E133+F133</f>
        <v>14514</v>
      </c>
      <c r="H133" s="172">
        <f>IF($G$208=0,0,G133/$G$208)</f>
        <v>3.0152892741885018E-3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'[45]Sch C'!D136</f>
        <v>474326</v>
      </c>
      <c r="D135" s="501">
        <f>'[45]Sch C'!F136</f>
        <v>0</v>
      </c>
      <c r="E135" s="171">
        <f t="shared" ref="E135:E138" si="28">C135+D135</f>
        <v>474326</v>
      </c>
      <c r="F135" s="171"/>
      <c r="G135" s="171">
        <f>E135+F135</f>
        <v>474326</v>
      </c>
      <c r="H135" s="172">
        <f>IF($G$208=0,0,G135/$G$208)</f>
        <v>9.8541415203853885E-2</v>
      </c>
      <c r="I135" s="473"/>
      <c r="J135" s="183">
        <v>13991</v>
      </c>
      <c r="K135" s="183">
        <v>15028</v>
      </c>
    </row>
    <row r="136" spans="1:11" s="167" customFormat="1">
      <c r="A136" s="169"/>
      <c r="B136" s="163" t="s">
        <v>195</v>
      </c>
      <c r="C136" s="501">
        <f>'[45]Sch C'!D137</f>
        <v>145152</v>
      </c>
      <c r="D136" s="501">
        <f>'[45]Sch C'!F137</f>
        <v>0</v>
      </c>
      <c r="E136" s="171">
        <f t="shared" si="28"/>
        <v>145152</v>
      </c>
      <c r="F136" s="171"/>
      <c r="G136" s="171">
        <f>E136+F136</f>
        <v>145152</v>
      </c>
      <c r="H136" s="172">
        <f>IF($G$208=0,0,G136/$G$208)</f>
        <v>3.0155385746659047E-2</v>
      </c>
      <c r="I136" s="473"/>
      <c r="J136" s="183">
        <v>6837</v>
      </c>
      <c r="K136" s="183">
        <v>7271</v>
      </c>
    </row>
    <row r="137" spans="1:11" s="167" customFormat="1">
      <c r="A137" s="169"/>
      <c r="B137" s="163" t="s">
        <v>196</v>
      </c>
      <c r="C137" s="501">
        <f>'[45]Sch C'!D138</f>
        <v>506145</v>
      </c>
      <c r="D137" s="501">
        <f>'[45]Sch C'!F138</f>
        <v>15269</v>
      </c>
      <c r="E137" s="171">
        <f t="shared" si="28"/>
        <v>521414</v>
      </c>
      <c r="F137" s="171"/>
      <c r="G137" s="171">
        <f>E137+F137</f>
        <v>521414</v>
      </c>
      <c r="H137" s="172">
        <f>IF($G$208=0,0,G137/$G$208)</f>
        <v>0.10832396593714506</v>
      </c>
      <c r="I137" s="473"/>
      <c r="J137" s="183">
        <v>39457</v>
      </c>
      <c r="K137" s="183">
        <v>42666</v>
      </c>
    </row>
    <row r="138" spans="1:11" s="167" customFormat="1">
      <c r="A138" s="169"/>
      <c r="B138" s="163" t="s">
        <v>197</v>
      </c>
      <c r="C138" s="501">
        <f>'[45]Sch C'!D139</f>
        <v>15269</v>
      </c>
      <c r="D138" s="501">
        <f>'[45]Sch C'!F139</f>
        <v>-15269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'[45]Sch C'!D141</f>
        <v>219356</v>
      </c>
      <c r="D140" s="501">
        <f>'[45]Sch C'!F141</f>
        <v>-128159</v>
      </c>
      <c r="E140" s="171">
        <f t="shared" ref="E140:E143" si="29">C140+D140</f>
        <v>91197</v>
      </c>
      <c r="F140" s="171"/>
      <c r="G140" s="171">
        <f>E140+F140</f>
        <v>91197</v>
      </c>
      <c r="H140" s="172">
        <f>IF($G$208=0,0,G140/$G$208)</f>
        <v>1.8946213031429571E-2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'[45]Sch C'!D142</f>
        <v>0</v>
      </c>
      <c r="D141" s="501">
        <f>'[45]Sch C'!F142</f>
        <v>27908</v>
      </c>
      <c r="E141" s="171">
        <f t="shared" si="29"/>
        <v>27908</v>
      </c>
      <c r="F141" s="171"/>
      <c r="G141" s="171">
        <f>E141+F141</f>
        <v>27908</v>
      </c>
      <c r="H141" s="172">
        <f>IF($G$208=0,0,G141/$G$208)</f>
        <v>5.7978981028009302E-3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'[45]Sch C'!D143</f>
        <v>0</v>
      </c>
      <c r="D142" s="501">
        <f>'[45]Sch C'!F143</f>
        <v>100251</v>
      </c>
      <c r="E142" s="171">
        <f t="shared" si="29"/>
        <v>100251</v>
      </c>
      <c r="F142" s="171"/>
      <c r="G142" s="171">
        <f>E142+F142</f>
        <v>100251</v>
      </c>
      <c r="H142" s="172">
        <f>IF($G$208=0,0,G142/$G$208)</f>
        <v>2.0827185133434716E-2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'[45]Sch C'!D144</f>
        <v>0</v>
      </c>
      <c r="D143" s="501">
        <f>'[45]Sch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'[45]Sch C'!D146</f>
        <v>32893</v>
      </c>
      <c r="D145" s="501">
        <f>'[45]Sch C'!F146</f>
        <v>0</v>
      </c>
      <c r="E145" s="171">
        <f t="shared" ref="E145:E153" si="30">C145+D145</f>
        <v>32893</v>
      </c>
      <c r="F145" s="171"/>
      <c r="G145" s="171">
        <f t="shared" ref="G145:G153" si="31">E145+F145</f>
        <v>32893</v>
      </c>
      <c r="H145" s="172">
        <f t="shared" ref="H145:H153" si="32">IF($G$208=0,0,G145/$G$208)</f>
        <v>6.8335338360122908E-3</v>
      </c>
      <c r="I145" s="473"/>
      <c r="J145" s="183">
        <v>188</v>
      </c>
      <c r="K145" s="183">
        <v>188</v>
      </c>
    </row>
    <row r="146" spans="1:11" s="167" customFormat="1">
      <c r="A146" s="169"/>
      <c r="B146" s="163" t="s">
        <v>194</v>
      </c>
      <c r="C146" s="501">
        <f>'[45]Sch C'!D147</f>
        <v>2018</v>
      </c>
      <c r="D146" s="501">
        <f>'[45]Sch C'!F147</f>
        <v>0</v>
      </c>
      <c r="E146" s="171">
        <f t="shared" si="30"/>
        <v>2018</v>
      </c>
      <c r="F146" s="171"/>
      <c r="G146" s="171">
        <f t="shared" si="31"/>
        <v>2018</v>
      </c>
      <c r="H146" s="172">
        <f t="shared" si="32"/>
        <v>4.1924030283260278E-4</v>
      </c>
      <c r="I146" s="473"/>
      <c r="J146" s="183">
        <v>70</v>
      </c>
      <c r="K146" s="183">
        <v>70</v>
      </c>
    </row>
    <row r="147" spans="1:11" s="167" customFormat="1">
      <c r="A147" s="169"/>
      <c r="B147" s="163" t="s">
        <v>195</v>
      </c>
      <c r="C147" s="501">
        <f>'[45]Sch C'!D148</f>
        <v>0</v>
      </c>
      <c r="D147" s="501">
        <f>'[45]Sch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'[45]Sch C'!D149</f>
        <v>39924</v>
      </c>
      <c r="D148" s="501">
        <f>'[45]Sch C'!F149</f>
        <v>0</v>
      </c>
      <c r="E148" s="171">
        <f t="shared" si="30"/>
        <v>39924</v>
      </c>
      <c r="F148" s="171"/>
      <c r="G148" s="171">
        <f t="shared" si="31"/>
        <v>39924</v>
      </c>
      <c r="H148" s="172">
        <f t="shared" si="32"/>
        <v>8.2942268831956555E-3</v>
      </c>
      <c r="I148" s="473"/>
      <c r="J148" s="183">
        <v>1472</v>
      </c>
      <c r="K148" s="183">
        <v>1472</v>
      </c>
    </row>
    <row r="149" spans="1:11" s="167" customFormat="1">
      <c r="A149" s="169"/>
      <c r="B149" s="163" t="s">
        <v>197</v>
      </c>
      <c r="C149" s="501">
        <f>'[45]Sch C'!D150</f>
        <v>1895</v>
      </c>
      <c r="D149" s="501">
        <f>'[45]Sch C'!F150</f>
        <v>0</v>
      </c>
      <c r="E149" s="171">
        <f t="shared" si="30"/>
        <v>1895</v>
      </c>
      <c r="F149" s="171"/>
      <c r="G149" s="171">
        <f t="shared" si="31"/>
        <v>1895</v>
      </c>
      <c r="H149" s="172">
        <f t="shared" si="32"/>
        <v>3.936870038988019E-4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'[45]Sch C'!D151</f>
        <v>100372</v>
      </c>
      <c r="D150" s="501">
        <f>'[45]Sch C'!F151</f>
        <v>3874</v>
      </c>
      <c r="E150" s="171">
        <f t="shared" si="30"/>
        <v>104246</v>
      </c>
      <c r="F150" s="171"/>
      <c r="G150" s="171">
        <f t="shared" si="31"/>
        <v>104246</v>
      </c>
      <c r="H150" s="172">
        <f t="shared" si="32"/>
        <v>2.1657147972788657E-2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'[45]Sch C'!D152</f>
        <v>5050</v>
      </c>
      <c r="D151" s="501">
        <f>'[45]Sch C'!F152</f>
        <v>0</v>
      </c>
      <c r="E151" s="171">
        <f t="shared" si="30"/>
        <v>5050</v>
      </c>
      <c r="F151" s="171"/>
      <c r="G151" s="171">
        <f t="shared" si="31"/>
        <v>5050</v>
      </c>
      <c r="H151" s="172">
        <f t="shared" si="32"/>
        <v>1.0491395090706857E-3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'[45]Sch C'!D153</f>
        <v>0</v>
      </c>
      <c r="D152" s="501">
        <f>'[45]Sch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'[45]Sch C'!D154</f>
        <v>0</v>
      </c>
      <c r="D153" s="501">
        <f>'[45]Sch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'[45]Sch C'!D156</f>
        <v>0</v>
      </c>
      <c r="D155" s="501">
        <f>'[45]Sch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'[45]Sch C'!D157</f>
        <v>0</v>
      </c>
      <c r="D156" s="501">
        <f>'[45]Sch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'[45]Sch C'!D158</f>
        <v>2075</v>
      </c>
      <c r="D157" s="501">
        <f>'[45]Sch C'!F158</f>
        <v>0</v>
      </c>
      <c r="E157" s="171">
        <f t="shared" si="33"/>
        <v>2075</v>
      </c>
      <c r="F157" s="171"/>
      <c r="G157" s="171">
        <f t="shared" si="34"/>
        <v>2075</v>
      </c>
      <c r="H157" s="172">
        <f t="shared" si="35"/>
        <v>4.310820755092422E-4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'[45]Sch C'!D159</f>
        <v>0</v>
      </c>
      <c r="D158" s="501">
        <f>'[45]Sch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'[45]Sch C'!D160</f>
        <v>0</v>
      </c>
      <c r="D159" s="501">
        <f>'[45]Sch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'[45]Sch C'!D161</f>
        <v>10572</v>
      </c>
      <c r="D160" s="501">
        <f>'[45]Sch C'!F161</f>
        <v>470</v>
      </c>
      <c r="E160" s="171">
        <f t="shared" si="33"/>
        <v>11042</v>
      </c>
      <c r="F160" s="171"/>
      <c r="G160" s="171">
        <f t="shared" si="34"/>
        <v>11042</v>
      </c>
      <c r="H160" s="172">
        <f t="shared" si="35"/>
        <v>2.2939798929026757E-3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1831016</v>
      </c>
      <c r="D161" s="501">
        <f>SUM(D123:D160)</f>
        <v>4344</v>
      </c>
      <c r="E161" s="171">
        <f t="shared" ref="E161:F161" si="36">SUM(E123:E160)</f>
        <v>1835360</v>
      </c>
      <c r="F161" s="171">
        <f t="shared" si="36"/>
        <v>0</v>
      </c>
      <c r="G161" s="171">
        <f>SUM(G123:G160)</f>
        <v>1835360</v>
      </c>
      <c r="H161" s="172">
        <f t="shared" si="35"/>
        <v>0.38129677017187602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'[45]Sch C'!D175</f>
        <v>0</v>
      </c>
      <c r="D164" s="501">
        <f>'[45]Sch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'[45]Sch C'!D176</f>
        <v>0</v>
      </c>
      <c r="D165" s="501">
        <f>'[45]Sch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'[45]Sch C'!D177</f>
        <v>0</v>
      </c>
      <c r="D166" s="501">
        <f>'[45]Sch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'[45]Sch C'!D178</f>
        <v>0</v>
      </c>
      <c r="D167" s="501">
        <f>'[45]Sch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'[45]Sch C'!D179</f>
        <v>0</v>
      </c>
      <c r="D168" s="501">
        <f>'[45]Sch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'[45]Sch C'!D180</f>
        <v>0</v>
      </c>
      <c r="D169" s="501">
        <f>'[45]Sch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'[45]Sch C'!D181</f>
        <v>0</v>
      </c>
      <c r="D170" s="501">
        <f>'[45]Sch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'[45]Sch C'!D182</f>
        <v>0</v>
      </c>
      <c r="D171" s="501">
        <f>'[45]Sch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'[45]Sch C'!D183</f>
        <v>0</v>
      </c>
      <c r="D172" s="501">
        <f>'[45]Sch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'[45]Sch C'!D184</f>
        <v>0</v>
      </c>
      <c r="D173" s="501">
        <f>'[45]Sch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'[45]Sch C'!D185</f>
        <v>0</v>
      </c>
      <c r="D174" s="501">
        <f>'[45]Sch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'[45]Sch C'!D186</f>
        <v>0</v>
      </c>
      <c r="D175" s="501">
        <f>'[45]Sch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'[45]Sch C'!D187</f>
        <v>0</v>
      </c>
      <c r="D176" s="501">
        <f>'[45]Sch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'[45]Sch C'!D188</f>
        <v>170</v>
      </c>
      <c r="D177" s="501">
        <f>'[45]Sch C'!F188</f>
        <v>0</v>
      </c>
      <c r="E177" s="171">
        <f t="shared" si="37"/>
        <v>170</v>
      </c>
      <c r="F177" s="216"/>
      <c r="G177" s="171">
        <f t="shared" si="38"/>
        <v>170</v>
      </c>
      <c r="H177" s="172">
        <f t="shared" si="39"/>
        <v>3.5317567632082492E-5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'[45]Sch C'!D189</f>
        <v>0</v>
      </c>
      <c r="D178" s="501">
        <f>'[45]Sch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'[45]Sch C'!D190</f>
        <v>0</v>
      </c>
      <c r="D179" s="501">
        <f>'[45]Sch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'[45]Sch C'!D191</f>
        <v>40</v>
      </c>
      <c r="D180" s="501">
        <f>'[45]Sch C'!F191</f>
        <v>0</v>
      </c>
      <c r="E180" s="171">
        <f t="shared" si="37"/>
        <v>40</v>
      </c>
      <c r="F180" s="216"/>
      <c r="G180" s="171">
        <f t="shared" si="38"/>
        <v>40</v>
      </c>
      <c r="H180" s="172">
        <f t="shared" si="39"/>
        <v>8.310015913431175E-6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'[45]Sch C'!D192</f>
        <v>0</v>
      </c>
      <c r="D181" s="501">
        <f>'[45]Sch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'[45]Sch C'!D193</f>
        <v>435</v>
      </c>
      <c r="D182" s="501">
        <f>'[45]Sch C'!F193</f>
        <v>0</v>
      </c>
      <c r="E182" s="171">
        <f t="shared" si="37"/>
        <v>435</v>
      </c>
      <c r="F182" s="216"/>
      <c r="G182" s="171">
        <f t="shared" si="38"/>
        <v>435</v>
      </c>
      <c r="H182" s="172">
        <f t="shared" si="39"/>
        <v>9.0371423058564017E-5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'[45]Sch C'!D194</f>
        <v>149328</v>
      </c>
      <c r="D183" s="501">
        <f>'[45]Sch C'!F194</f>
        <v>-5779</v>
      </c>
      <c r="E183" s="171">
        <f t="shared" si="37"/>
        <v>143549</v>
      </c>
      <c r="F183" s="216"/>
      <c r="G183" s="171">
        <f t="shared" si="38"/>
        <v>143549</v>
      </c>
      <c r="H183" s="172">
        <f t="shared" si="39"/>
        <v>2.9822361858928292E-2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'[45]Sch C'!D195</f>
        <v>82899</v>
      </c>
      <c r="D184" s="501">
        <f>'[45]Sch C'!F195</f>
        <v>-3208</v>
      </c>
      <c r="E184" s="171">
        <f t="shared" si="37"/>
        <v>79691</v>
      </c>
      <c r="F184" s="216"/>
      <c r="G184" s="171">
        <f t="shared" si="38"/>
        <v>79691</v>
      </c>
      <c r="H184" s="172">
        <f t="shared" si="39"/>
        <v>1.6555836953931095E-2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'[45]Sch C'!D196</f>
        <v>0</v>
      </c>
      <c r="D185" s="501">
        <f>'[45]Sch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'[45]Sch C'!D197</f>
        <v>208555</v>
      </c>
      <c r="D186" s="501">
        <f>'[45]Sch C'!F197</f>
        <v>-8071</v>
      </c>
      <c r="E186" s="171">
        <f t="shared" si="37"/>
        <v>200484</v>
      </c>
      <c r="F186" s="216"/>
      <c r="G186" s="171">
        <f t="shared" si="38"/>
        <v>200484</v>
      </c>
      <c r="H186" s="172">
        <f t="shared" si="39"/>
        <v>4.1650630759708387E-2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'[45]Sch C'!D198</f>
        <v>29613</v>
      </c>
      <c r="D187" s="501">
        <f>'[45]Sch C'!F198</f>
        <v>0</v>
      </c>
      <c r="E187" s="171">
        <f t="shared" si="37"/>
        <v>29613</v>
      </c>
      <c r="F187" s="216"/>
      <c r="G187" s="171">
        <f t="shared" si="38"/>
        <v>29613</v>
      </c>
      <c r="H187" s="172">
        <f t="shared" si="39"/>
        <v>6.1521125311109343E-3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'[45]Sch C'!D199</f>
        <v>0</v>
      </c>
      <c r="D188" s="501">
        <f>'[45]Sch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'[45]Sch C'!D200</f>
        <v>0</v>
      </c>
      <c r="D189" s="501">
        <f>'[45]Sch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'[45]Sch C'!D201</f>
        <v>0</v>
      </c>
      <c r="D190" s="501">
        <f>'[45]Sch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'[45]Sch C'!D202</f>
        <v>0</v>
      </c>
      <c r="D191" s="501">
        <f>'[45]Sch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'[45]Sch C'!D203</f>
        <v>0</v>
      </c>
      <c r="D192" s="501">
        <f>'[45]Sch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'[45]Sch C'!D204</f>
        <v>0</v>
      </c>
      <c r="D193" s="501">
        <f>'[45]Sch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'[45]Sch C'!D205</f>
        <v>130275</v>
      </c>
      <c r="D194" s="501">
        <f>'[45]Sch C'!F205</f>
        <v>9824</v>
      </c>
      <c r="E194" s="171">
        <f t="shared" si="37"/>
        <v>140099</v>
      </c>
      <c r="F194" s="216"/>
      <c r="G194" s="171">
        <f t="shared" si="38"/>
        <v>140099</v>
      </c>
      <c r="H194" s="172">
        <f t="shared" si="39"/>
        <v>2.9105622986394852E-2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'[45]Sch C'!D206</f>
        <v>2930</v>
      </c>
      <c r="D195" s="501">
        <f>'[45]Sch C'!F206</f>
        <v>0</v>
      </c>
      <c r="E195" s="171">
        <f t="shared" si="37"/>
        <v>2930</v>
      </c>
      <c r="F195" s="216"/>
      <c r="G195" s="171">
        <f t="shared" si="38"/>
        <v>2930</v>
      </c>
      <c r="H195" s="172">
        <f t="shared" si="39"/>
        <v>6.0870866565883351E-4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'[45]Sch C'!D207</f>
        <v>0</v>
      </c>
      <c r="D196" s="501">
        <f>'[45]Sch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604245</v>
      </c>
      <c r="D197" s="501">
        <f>SUM(D164:D196)</f>
        <v>-7234</v>
      </c>
      <c r="E197" s="171">
        <f t="shared" ref="E197:F197" si="40">SUM(E164:E196)</f>
        <v>597011</v>
      </c>
      <c r="F197" s="171">
        <f t="shared" si="40"/>
        <v>0</v>
      </c>
      <c r="G197" s="171">
        <f>SUM(G164:G196)</f>
        <v>597011</v>
      </c>
      <c r="H197" s="172">
        <f>IF($G$208=0,0,G197/$G$208)</f>
        <v>0.12402927276233647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'[45]Sch C'!D211</f>
        <v>79427</v>
      </c>
      <c r="D200" s="501">
        <f>'[45]Sch C'!F211</f>
        <v>0</v>
      </c>
      <c r="E200" s="171">
        <f t="shared" ref="E200:E205" si="41">C200+D200</f>
        <v>79427</v>
      </c>
      <c r="F200" s="171"/>
      <c r="G200" s="171">
        <f t="shared" ref="G200:G205" si="42">E200+F200</f>
        <v>79427</v>
      </c>
      <c r="H200" s="172">
        <f t="shared" ref="H200:H206" si="43">IF($G$208=0,0,G200/$G$208)</f>
        <v>1.6500990848902448E-2</v>
      </c>
      <c r="I200" s="473"/>
      <c r="J200" s="183">
        <v>4647</v>
      </c>
      <c r="K200" s="183">
        <v>5111</v>
      </c>
    </row>
    <row r="201" spans="1:14" s="167" customFormat="1">
      <c r="A201" s="169" t="s">
        <v>86</v>
      </c>
      <c r="B201" s="170" t="s">
        <v>45</v>
      </c>
      <c r="C201" s="501">
        <f>'[45]Sch C'!D212</f>
        <v>20900</v>
      </c>
      <c r="D201" s="501">
        <f>'[45]Sch C'!F212</f>
        <v>0</v>
      </c>
      <c r="E201" s="171">
        <f t="shared" si="41"/>
        <v>20900</v>
      </c>
      <c r="F201" s="171"/>
      <c r="G201" s="171">
        <f t="shared" si="42"/>
        <v>20900</v>
      </c>
      <c r="H201" s="172">
        <f t="shared" si="43"/>
        <v>4.3419833147677889E-3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'[45]Sch C'!D213</f>
        <v>6087</v>
      </c>
      <c r="D202" s="501">
        <f>'[45]Sch C'!F213</f>
        <v>0</v>
      </c>
      <c r="E202" s="171">
        <f t="shared" si="41"/>
        <v>6087</v>
      </c>
      <c r="F202" s="171"/>
      <c r="G202" s="171">
        <f t="shared" si="42"/>
        <v>6087</v>
      </c>
      <c r="H202" s="172">
        <f t="shared" si="43"/>
        <v>1.2645766716263889E-3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'[45]Sch C'!D214</f>
        <v>0</v>
      </c>
      <c r="D203" s="501">
        <f>'[45]Sch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'[45]Sch C'!D215</f>
        <v>0</v>
      </c>
      <c r="D204" s="501">
        <f>'[45]Sch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'[45]Sch C'!D216</f>
        <v>2578</v>
      </c>
      <c r="D205" s="501">
        <f>'[45]Sch C'!F216</f>
        <v>0</v>
      </c>
      <c r="E205" s="171">
        <f t="shared" si="41"/>
        <v>2578</v>
      </c>
      <c r="F205" s="171"/>
      <c r="G205" s="171">
        <f t="shared" si="42"/>
        <v>2578</v>
      </c>
      <c r="H205" s="172">
        <f t="shared" si="43"/>
        <v>5.3558052562063915E-4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108992</v>
      </c>
      <c r="D206" s="501">
        <f>SUM(D200:D205)</f>
        <v>0</v>
      </c>
      <c r="E206" s="171">
        <f t="shared" ref="E206:F206" si="44">SUM(E200:E205)</f>
        <v>108992</v>
      </c>
      <c r="F206" s="171">
        <f t="shared" si="44"/>
        <v>0</v>
      </c>
      <c r="G206" s="171">
        <f>SUM(G200:G205)</f>
        <v>108992</v>
      </c>
      <c r="H206" s="172">
        <f t="shared" si="43"/>
        <v>2.2643131360917265E-2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4861298</v>
      </c>
      <c r="D208" s="501">
        <f>SUM(D25:D206)/2</f>
        <v>-45265</v>
      </c>
      <c r="E208" s="171">
        <f t="shared" ref="E208:F208" si="45">SUM(E25:E206)/2</f>
        <v>4816033</v>
      </c>
      <c r="F208" s="171">
        <f t="shared" si="45"/>
        <v>-2564.48</v>
      </c>
      <c r="G208" s="171">
        <f>SUM(G25:G206)/2</f>
        <v>4813468.5199999996</v>
      </c>
      <c r="H208" s="172">
        <f>IF($G$208=0,0,G208/$G$208)</f>
        <v>1</v>
      </c>
      <c r="I208" s="473"/>
      <c r="J208" s="183">
        <f>SUM(J25:J200)</f>
        <v>84161</v>
      </c>
      <c r="K208" s="183">
        <f>SUM(K25:K200)</f>
        <v>90699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'[45]Sch C'!D221</f>
        <v>4861298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-155976</v>
      </c>
      <c r="D215" s="501">
        <f>D21-D208</f>
        <v>31920</v>
      </c>
      <c r="E215" s="171">
        <f t="shared" ref="E215:F215" si="46">E21-E208</f>
        <v>-124056</v>
      </c>
      <c r="F215" s="171">
        <f t="shared" si="46"/>
        <v>2564.48</v>
      </c>
      <c r="G215" s="171">
        <f>G21-G208</f>
        <v>-121491.51999999955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'[45]Sch D'!C9</f>
        <v>11022</v>
      </c>
      <c r="D219" s="530"/>
      <c r="E219" s="234">
        <f t="shared" ref="E219:G227" si="47">C219+D219</f>
        <v>11022</v>
      </c>
      <c r="F219" s="233"/>
      <c r="G219" s="234">
        <f t="shared" si="47"/>
        <v>11022</v>
      </c>
      <c r="H219" s="172">
        <f t="shared" ref="H219:H228" si="48">IF($G$228=0,0,G219/$G$228)</f>
        <v>0.58240422721268159</v>
      </c>
      <c r="I219" s="473"/>
      <c r="J219" s="168"/>
      <c r="K219" s="168"/>
    </row>
    <row r="220" spans="1:11">
      <c r="A220" s="163"/>
      <c r="B220" s="170" t="s">
        <v>217</v>
      </c>
      <c r="C220" s="530">
        <f>'[45]Sch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'[45]Sch D'!E9</f>
        <v>2055</v>
      </c>
      <c r="D221" s="530"/>
      <c r="E221" s="234">
        <f t="shared" si="49"/>
        <v>2055</v>
      </c>
      <c r="F221" s="233"/>
      <c r="G221" s="234">
        <f t="shared" si="47"/>
        <v>2055</v>
      </c>
      <c r="H221" s="172">
        <f t="shared" si="48"/>
        <v>0.10858652575957728</v>
      </c>
      <c r="I221" s="473"/>
      <c r="J221" s="168"/>
      <c r="K221" s="168"/>
    </row>
    <row r="222" spans="1:11">
      <c r="A222" s="163"/>
      <c r="B222" s="202" t="s">
        <v>334</v>
      </c>
      <c r="C222" s="530">
        <f>'[45]Sch D'!F9</f>
        <v>981</v>
      </c>
      <c r="D222" s="530"/>
      <c r="E222" s="234">
        <f>C222+D222</f>
        <v>981</v>
      </c>
      <c r="F222" s="233"/>
      <c r="G222" s="234">
        <f>E222+F222</f>
        <v>981</v>
      </c>
      <c r="H222" s="172">
        <f t="shared" si="48"/>
        <v>5.1836195508586529E-2</v>
      </c>
      <c r="I222" s="473"/>
      <c r="J222" s="168"/>
      <c r="K222" s="168"/>
    </row>
    <row r="223" spans="1:11">
      <c r="A223" s="163"/>
      <c r="B223" s="170" t="s">
        <v>73</v>
      </c>
      <c r="C223" s="530">
        <f>'[45]Sch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'[45]Sch D'!H9</f>
        <v>3641</v>
      </c>
      <c r="D224" s="530"/>
      <c r="E224" s="234">
        <f t="shared" si="49"/>
        <v>3641</v>
      </c>
      <c r="F224" s="233"/>
      <c r="G224" s="234">
        <f t="shared" si="47"/>
        <v>3641</v>
      </c>
      <c r="H224" s="172">
        <f t="shared" si="48"/>
        <v>0.19239101717305152</v>
      </c>
      <c r="I224" s="473"/>
      <c r="J224" s="168"/>
      <c r="K224" s="168"/>
    </row>
    <row r="225" spans="1:11">
      <c r="A225" s="163"/>
      <c r="B225" s="170" t="s">
        <v>236</v>
      </c>
      <c r="C225" s="530">
        <f>'[45]Sch D'!I9</f>
        <v>836</v>
      </c>
      <c r="D225" s="530"/>
      <c r="E225" s="234">
        <f t="shared" si="49"/>
        <v>836</v>
      </c>
      <c r="F225" s="233"/>
      <c r="G225" s="234">
        <f t="shared" si="47"/>
        <v>836</v>
      </c>
      <c r="H225" s="172">
        <f t="shared" si="48"/>
        <v>4.4174372523117567E-2</v>
      </c>
      <c r="I225" s="473"/>
      <c r="J225" s="168"/>
      <c r="K225" s="168"/>
    </row>
    <row r="226" spans="1:11">
      <c r="A226" s="163"/>
      <c r="B226" s="170" t="s">
        <v>235</v>
      </c>
      <c r="C226" s="530">
        <f>'[45]Sch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'[45]Sch D'!K9</f>
        <v>390</v>
      </c>
      <c r="D227" s="530"/>
      <c r="E227" s="234">
        <f t="shared" si="49"/>
        <v>390</v>
      </c>
      <c r="F227" s="233"/>
      <c r="G227" s="234">
        <f t="shared" si="47"/>
        <v>390</v>
      </c>
      <c r="H227" s="172">
        <f t="shared" si="48"/>
        <v>2.0607661822985467E-2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18925</v>
      </c>
      <c r="D228" s="530">
        <f>SUM(D219:D227)</f>
        <v>0</v>
      </c>
      <c r="E228" s="236">
        <f>SUM(E219:E227)</f>
        <v>18925</v>
      </c>
      <c r="F228" s="236">
        <f>SUM(F219:F227)</f>
        <v>0</v>
      </c>
      <c r="G228" s="236">
        <f>SUM(G219:G227)</f>
        <v>18925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'[45]Sch D'!N22</f>
        <v>102</v>
      </c>
      <c r="D231" s="502"/>
      <c r="E231" s="234">
        <f>C231+D231</f>
        <v>102</v>
      </c>
      <c r="F231" s="234"/>
      <c r="G231" s="234">
        <f>E231+F231</f>
        <v>102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'[45]Sch D'!N24</f>
        <v>102</v>
      </c>
      <c r="D232" s="502"/>
      <c r="E232" s="234">
        <f>C232+D232</f>
        <v>102</v>
      </c>
      <c r="F232" s="234"/>
      <c r="G232" s="234">
        <f>E232+F232</f>
        <v>102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'[45]Sch D'!N28</f>
        <v>37230</v>
      </c>
      <c r="D235" s="438"/>
      <c r="E235" s="233">
        <f>E231*E233</f>
        <v>37230</v>
      </c>
      <c r="F235" s="238"/>
      <c r="G235" s="233">
        <f>G231*G233</f>
        <v>37230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'[45]Sch D'!N30</f>
        <v>0.5083266183185603</v>
      </c>
      <c r="D236" s="238"/>
      <c r="E236" s="242">
        <f>E228/E235</f>
        <v>0.5083266183185603</v>
      </c>
      <c r="F236" s="243"/>
      <c r="G236" s="242">
        <f>G228/G235</f>
        <v>0.5083266183185603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'[45]Sch D'!N32</f>
        <v>0.29605157131345688</v>
      </c>
      <c r="D237" s="238"/>
      <c r="E237" s="242">
        <f>(E219+E220)/E235</f>
        <v>0.29605157131345688</v>
      </c>
      <c r="F237" s="243"/>
      <c r="G237" s="242">
        <f>(G219+G220)/G235</f>
        <v>0.29605157131345688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'[45]Sch D'!N34</f>
        <v>0.58240422721268159</v>
      </c>
      <c r="D238" s="238"/>
      <c r="E238" s="242">
        <f>(E237/E236)</f>
        <v>0.58240422721268159</v>
      </c>
      <c r="F238" s="243"/>
      <c r="G238" s="242">
        <f>(G237/G236)</f>
        <v>0.58240422721268159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'[45]Sch B'!C85</f>
        <v>202.30769230769232</v>
      </c>
      <c r="I241" s="475"/>
    </row>
    <row r="242" spans="2:9">
      <c r="F242" s="142" t="s">
        <v>341</v>
      </c>
      <c r="G242" s="501">
        <f>'[45]Sch B'!E85</f>
        <v>202.30701754385964</v>
      </c>
      <c r="I242" s="475"/>
    </row>
    <row r="243" spans="2:9">
      <c r="B243" s="421"/>
      <c r="F243" s="142" t="s">
        <v>342</v>
      </c>
      <c r="G243" s="501">
        <f>'[45]Sch B'!G85</f>
        <v>202.30752453653216</v>
      </c>
      <c r="I243" s="475"/>
    </row>
    <row r="244" spans="2:9">
      <c r="B244" s="421"/>
      <c r="F244" s="142" t="s">
        <v>343</v>
      </c>
      <c r="G244" s="501">
        <f>'[45]Sch B'!I85</f>
        <v>202.30883639545056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E28CAB"/>
  </sheetPr>
  <dimension ref="A1:O246"/>
  <sheetViews>
    <sheetView topLeftCell="A30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387</v>
      </c>
      <c r="D2" s="1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'[46]Sch B'!E10</f>
        <v>369300</v>
      </c>
      <c r="D11" s="501">
        <f>'[46]Sch B'!G10</f>
        <v>0</v>
      </c>
      <c r="E11" s="171">
        <f>C11+D11</f>
        <v>369300</v>
      </c>
      <c r="F11" s="171"/>
      <c r="G11" s="171">
        <f t="shared" ref="G11:G20" si="0">E11+F11</f>
        <v>369300</v>
      </c>
      <c r="H11" s="172">
        <f t="shared" ref="H11:H21" si="1">IF($G$21=0,0,G11/$G$21)</f>
        <v>3.2770086563430396E-2</v>
      </c>
      <c r="I11" s="473"/>
      <c r="J11" s="336" t="s">
        <v>344</v>
      </c>
      <c r="K11" s="337">
        <f>G21</f>
        <v>11269424</v>
      </c>
    </row>
    <row r="12" spans="1:11" s="167" customFormat="1">
      <c r="A12" s="169" t="s">
        <v>15</v>
      </c>
      <c r="B12" s="170" t="s">
        <v>212</v>
      </c>
      <c r="C12" s="501">
        <f>'[46]Sch B'!E15</f>
        <v>0</v>
      </c>
      <c r="D12" s="501">
        <f>'[46]Sch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10608056.310000001</v>
      </c>
    </row>
    <row r="13" spans="1:11" s="167" customFormat="1">
      <c r="A13" s="169" t="s">
        <v>16</v>
      </c>
      <c r="B13" s="170" t="s">
        <v>170</v>
      </c>
      <c r="C13" s="501">
        <f>'[46]Sch B'!E21</f>
        <v>1208495</v>
      </c>
      <c r="D13" s="501">
        <f>'[46]Sch B'!G21</f>
        <v>0</v>
      </c>
      <c r="E13" s="171">
        <f t="shared" si="2"/>
        <v>1208495</v>
      </c>
      <c r="F13" s="171"/>
      <c r="G13" s="171">
        <f t="shared" si="0"/>
        <v>1208495</v>
      </c>
      <c r="H13" s="172">
        <f t="shared" si="1"/>
        <v>0.1072366254033924</v>
      </c>
      <c r="I13" s="473"/>
      <c r="J13" s="338" t="s">
        <v>346</v>
      </c>
      <c r="K13" s="339">
        <f>G228</f>
        <v>41945</v>
      </c>
    </row>
    <row r="14" spans="1:11" s="167" customFormat="1">
      <c r="A14" s="173" t="s">
        <v>18</v>
      </c>
      <c r="B14" s="174" t="s">
        <v>306</v>
      </c>
      <c r="C14" s="501">
        <f>'[46]Sch B'!E27</f>
        <v>363236</v>
      </c>
      <c r="D14" s="501">
        <f>'[46]Sch B'!G27</f>
        <v>0</v>
      </c>
      <c r="E14" s="171">
        <f t="shared" si="2"/>
        <v>363236</v>
      </c>
      <c r="F14" s="175"/>
      <c r="G14" s="175">
        <f>E14+F14</f>
        <v>363236</v>
      </c>
      <c r="H14" s="176">
        <f t="shared" si="1"/>
        <v>3.2231993400904962E-2</v>
      </c>
      <c r="I14" s="479"/>
      <c r="J14" s="338" t="s">
        <v>347</v>
      </c>
      <c r="K14" s="339">
        <f>G231</f>
        <v>120</v>
      </c>
    </row>
    <row r="15" spans="1:11" s="167" customFormat="1">
      <c r="A15" s="169" t="s">
        <v>19</v>
      </c>
      <c r="B15" s="170" t="s">
        <v>171</v>
      </c>
      <c r="C15" s="501">
        <f>'[46]Sch B'!E32</f>
        <v>7184676</v>
      </c>
      <c r="D15" s="501">
        <f>'[46]Sch B'!G32</f>
        <v>-2546978</v>
      </c>
      <c r="E15" s="171">
        <f t="shared" si="2"/>
        <v>4637698</v>
      </c>
      <c r="F15" s="171"/>
      <c r="G15" s="171">
        <f t="shared" si="0"/>
        <v>4637698</v>
      </c>
      <c r="H15" s="172">
        <f t="shared" si="1"/>
        <v>0.4115292849040022</v>
      </c>
      <c r="I15" s="473"/>
      <c r="J15" s="338" t="s">
        <v>348</v>
      </c>
      <c r="K15" s="339">
        <f>G235</f>
        <v>43800</v>
      </c>
    </row>
    <row r="16" spans="1:11" s="167" customFormat="1">
      <c r="A16" s="169" t="s">
        <v>21</v>
      </c>
      <c r="B16" s="170" t="s">
        <v>172</v>
      </c>
      <c r="C16" s="501">
        <f>'[46]Sch B'!E37</f>
        <v>2048210</v>
      </c>
      <c r="D16" s="501">
        <f>'[46]Sch B'!G37</f>
        <v>2546978</v>
      </c>
      <c r="E16" s="171">
        <f t="shared" si="2"/>
        <v>4595188</v>
      </c>
      <c r="F16" s="171"/>
      <c r="G16" s="171">
        <f t="shared" si="0"/>
        <v>4595188</v>
      </c>
      <c r="H16" s="172">
        <f t="shared" si="1"/>
        <v>0.40775713115417433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'[46]Sch B'!E42</f>
        <v>79934</v>
      </c>
      <c r="D17" s="501">
        <f>'[46]Sch B'!G42</f>
        <v>0</v>
      </c>
      <c r="E17" s="171">
        <f t="shared" si="2"/>
        <v>79934</v>
      </c>
      <c r="F17" s="171"/>
      <c r="G17" s="171">
        <f>E17+F17</f>
        <v>79934</v>
      </c>
      <c r="H17" s="172">
        <f t="shared" si="1"/>
        <v>7.09299783200987E-3</v>
      </c>
      <c r="I17" s="473"/>
      <c r="J17" s="338" t="s">
        <v>156</v>
      </c>
      <c r="K17" s="339">
        <f>J208</f>
        <v>348466</v>
      </c>
    </row>
    <row r="18" spans="1:11" s="167" customFormat="1" ht="13.5" thickBot="1">
      <c r="A18" s="169" t="s">
        <v>216</v>
      </c>
      <c r="B18" s="170" t="s">
        <v>229</v>
      </c>
      <c r="C18" s="501">
        <f>'[46]Sch B'!E47</f>
        <v>0</v>
      </c>
      <c r="D18" s="501">
        <f>'[46]Sch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367721</v>
      </c>
    </row>
    <row r="19" spans="1:11" s="167" customFormat="1">
      <c r="A19" s="169" t="s">
        <v>227</v>
      </c>
      <c r="B19" s="177" t="s">
        <v>173</v>
      </c>
      <c r="C19" s="501">
        <f>'[46]Sch B'!E52</f>
        <v>-1034</v>
      </c>
      <c r="D19" s="501">
        <f>'[46]Sch B'!G52</f>
        <v>0</v>
      </c>
      <c r="E19" s="171">
        <f t="shared" si="2"/>
        <v>-1034</v>
      </c>
      <c r="F19" s="171"/>
      <c r="G19" s="171">
        <f t="shared" si="0"/>
        <v>-1034</v>
      </c>
      <c r="H19" s="172">
        <f t="shared" si="1"/>
        <v>-9.1752692950411663E-5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'[46]Sch B'!E67</f>
        <v>27610</v>
      </c>
      <c r="D20" s="501">
        <f>'[46]Sch B'!G67</f>
        <v>-11003</v>
      </c>
      <c r="E20" s="171">
        <f t="shared" si="2"/>
        <v>16607</v>
      </c>
      <c r="F20" s="171"/>
      <c r="G20" s="171">
        <f t="shared" si="0"/>
        <v>16607</v>
      </c>
      <c r="H20" s="172">
        <f t="shared" si="1"/>
        <v>1.4736334350362538E-3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11280427</v>
      </c>
      <c r="D21" s="501">
        <f>SUM(D11:D20)</f>
        <v>-11003</v>
      </c>
      <c r="E21" s="171">
        <f>SUM(E11:E20)</f>
        <v>11269424</v>
      </c>
      <c r="F21" s="171">
        <f>SUM(F11:F20)</f>
        <v>0</v>
      </c>
      <c r="G21" s="171">
        <f>SUM(G11:G20)</f>
        <v>11269424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'[46]Sch C'!D10</f>
        <v>0</v>
      </c>
      <c r="D25" s="501">
        <f>'[46]Sch C'!F10</f>
        <v>144800</v>
      </c>
      <c r="E25" s="171">
        <f t="shared" ref="E25:E60" si="3">C25+D25</f>
        <v>144800</v>
      </c>
      <c r="F25" s="171"/>
      <c r="G25" s="182">
        <f>E25+F25</f>
        <v>144800</v>
      </c>
      <c r="H25" s="172">
        <f>IF($G$208=0,0,G25/$G$208)</f>
        <v>1.3650002957045012E-2</v>
      </c>
      <c r="I25" s="473"/>
      <c r="J25" s="183">
        <v>1880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'[46]Sch C'!D11</f>
        <v>0</v>
      </c>
      <c r="D26" s="501">
        <f>'[46]Sch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'[46]Sch C'!D12</f>
        <v>387344</v>
      </c>
      <c r="D27" s="501">
        <f>'[46]Sch C'!F12</f>
        <v>-144800</v>
      </c>
      <c r="E27" s="171">
        <f t="shared" si="3"/>
        <v>242544</v>
      </c>
      <c r="F27" s="171"/>
      <c r="G27" s="171">
        <f t="shared" si="4"/>
        <v>242544</v>
      </c>
      <c r="H27" s="172">
        <f t="shared" si="5"/>
        <v>2.2864132024955287E-2</v>
      </c>
      <c r="I27" s="473"/>
      <c r="J27" s="183">
        <v>11081</v>
      </c>
      <c r="K27" s="183">
        <v>11828</v>
      </c>
    </row>
    <row r="28" spans="1:11" s="167" customFormat="1">
      <c r="A28" s="169" t="s">
        <v>86</v>
      </c>
      <c r="B28" s="170" t="s">
        <v>45</v>
      </c>
      <c r="C28" s="501">
        <f>'[46]Sch C'!D13</f>
        <v>99763</v>
      </c>
      <c r="D28" s="501">
        <f>'[46]Sch C'!F13</f>
        <v>0</v>
      </c>
      <c r="E28" s="171">
        <f t="shared" si="3"/>
        <v>99763</v>
      </c>
      <c r="F28" s="171"/>
      <c r="G28" s="171">
        <f t="shared" si="4"/>
        <v>99763</v>
      </c>
      <c r="H28" s="172">
        <f t="shared" si="5"/>
        <v>9.4044561119038771E-3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'[46]Sch C'!D14</f>
        <v>0</v>
      </c>
      <c r="D29" s="501">
        <f>'[46]Sch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'[46]Sch C'!D15</f>
        <v>0</v>
      </c>
      <c r="D30" s="501">
        <f>'[46]Sch C'!F15</f>
        <v>676261</v>
      </c>
      <c r="E30" s="171">
        <f t="shared" si="3"/>
        <v>676261</v>
      </c>
      <c r="F30" s="171"/>
      <c r="G30" s="171">
        <f t="shared" si="4"/>
        <v>676261</v>
      </c>
      <c r="H30" s="172">
        <f t="shared" si="5"/>
        <v>6.3749755868330218E-2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'[46]Sch C'!D16</f>
        <v>676261</v>
      </c>
      <c r="D31" s="501">
        <f>'[46]Sch C'!F16</f>
        <v>-676261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'[46]Sch C'!D17</f>
        <v>7275</v>
      </c>
      <c r="D32" s="501">
        <f>'[46]Sch C'!F17</f>
        <v>-7275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'[46]Sch C'!D18</f>
        <v>79370</v>
      </c>
      <c r="D33" s="501">
        <f>'[46]Sch C'!F18</f>
        <v>0</v>
      </c>
      <c r="E33" s="171">
        <f t="shared" si="3"/>
        <v>79370</v>
      </c>
      <c r="F33" s="171"/>
      <c r="G33" s="171">
        <f t="shared" si="4"/>
        <v>79370</v>
      </c>
      <c r="H33" s="172">
        <f t="shared" si="5"/>
        <v>7.4820492727946308E-3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'[46]Sch C'!D19</f>
        <v>19351</v>
      </c>
      <c r="D34" s="501">
        <f>'[46]Sch C'!F19</f>
        <v>0</v>
      </c>
      <c r="E34" s="171">
        <f t="shared" si="3"/>
        <v>19351</v>
      </c>
      <c r="F34" s="171"/>
      <c r="G34" s="171">
        <f t="shared" si="4"/>
        <v>19351</v>
      </c>
      <c r="H34" s="172">
        <f t="shared" si="5"/>
        <v>1.8241796078852072E-3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'[46]Sch C'!D20</f>
        <v>38253</v>
      </c>
      <c r="D35" s="501">
        <f>'[46]Sch C'!F20</f>
        <v>0</v>
      </c>
      <c r="E35" s="171">
        <f t="shared" si="3"/>
        <v>38253</v>
      </c>
      <c r="F35" s="171"/>
      <c r="G35" s="171">
        <f t="shared" si="4"/>
        <v>38253</v>
      </c>
      <c r="H35" s="172">
        <f t="shared" si="5"/>
        <v>3.6060328944464283E-3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'[46]Sch C'!D21</f>
        <v>6796</v>
      </c>
      <c r="D36" s="501">
        <f>'[46]Sch C'!F21</f>
        <v>0</v>
      </c>
      <c r="E36" s="171">
        <f t="shared" si="3"/>
        <v>6796</v>
      </c>
      <c r="F36" s="171"/>
      <c r="G36" s="171">
        <f t="shared" si="4"/>
        <v>6796</v>
      </c>
      <c r="H36" s="172">
        <f t="shared" si="5"/>
        <v>6.4064516640937772E-4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'[46]Sch C'!D22</f>
        <v>0</v>
      </c>
      <c r="D37" s="501">
        <f>'[46]Sch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'[46]Sch C'!D23</f>
        <v>37094</v>
      </c>
      <c r="D38" s="501">
        <f>'[46]Sch C'!F23</f>
        <v>0</v>
      </c>
      <c r="E38" s="171">
        <f t="shared" si="3"/>
        <v>37094</v>
      </c>
      <c r="F38" s="171"/>
      <c r="G38" s="171">
        <f t="shared" si="4"/>
        <v>37094</v>
      </c>
      <c r="H38" s="172">
        <f t="shared" si="5"/>
        <v>3.4967763100043348E-3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'[46]Sch C'!D24</f>
        <v>40109</v>
      </c>
      <c r="D39" s="501">
        <f>'[46]Sch C'!F24</f>
        <v>0</v>
      </c>
      <c r="E39" s="171">
        <f t="shared" si="3"/>
        <v>40109</v>
      </c>
      <c r="F39" s="171"/>
      <c r="G39" s="171">
        <f t="shared" si="4"/>
        <v>40109</v>
      </c>
      <c r="H39" s="172">
        <f t="shared" si="5"/>
        <v>3.7809942583157344E-3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'[46]Sch C'!D25</f>
        <v>0</v>
      </c>
      <c r="D40" s="501">
        <f>'[46]Sch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'[46]Sch C'!D26</f>
        <v>0</v>
      </c>
      <c r="D41" s="501">
        <f>'[46]Sch C'!F26</f>
        <v>0</v>
      </c>
      <c r="E41" s="171">
        <f t="shared" si="3"/>
        <v>0</v>
      </c>
      <c r="F41" s="171"/>
      <c r="G41" s="171">
        <f t="shared" si="4"/>
        <v>0</v>
      </c>
      <c r="H41" s="172">
        <f t="shared" si="5"/>
        <v>0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'[46]Sch C'!D27</f>
        <v>426</v>
      </c>
      <c r="D42" s="501">
        <f>'[46]Sch C'!F27</f>
        <v>-13</v>
      </c>
      <c r="E42" s="171">
        <f t="shared" si="3"/>
        <v>413</v>
      </c>
      <c r="F42" s="171"/>
      <c r="G42" s="171">
        <f t="shared" si="4"/>
        <v>413</v>
      </c>
      <c r="H42" s="172">
        <f t="shared" si="5"/>
        <v>3.8932674179969541E-5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'[46]Sch C'!D28</f>
        <v>0</v>
      </c>
      <c r="D43" s="501">
        <f>'[46]Sch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'[46]Sch C'!D29</f>
        <v>35160</v>
      </c>
      <c r="D44" s="501">
        <f>'[46]Sch C'!F29</f>
        <v>-35160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'[46]Sch C'!D30</f>
        <v>2372</v>
      </c>
      <c r="D45" s="501">
        <f>'[46]Sch C'!F30</f>
        <v>-2372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'[46]Sch C'!D31</f>
        <v>0</v>
      </c>
      <c r="D46" s="501">
        <f>'[46]Sch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'[46]Sch C'!D32</f>
        <v>95414</v>
      </c>
      <c r="D47" s="501">
        <f>'[46]Sch C'!F32</f>
        <v>0</v>
      </c>
      <c r="E47" s="171">
        <f t="shared" si="3"/>
        <v>95414</v>
      </c>
      <c r="F47" s="171"/>
      <c r="G47" s="171">
        <f t="shared" si="4"/>
        <v>95414</v>
      </c>
      <c r="H47" s="172">
        <f t="shared" si="5"/>
        <v>8.9944846833114132E-3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'[46]Sch C'!D33</f>
        <v>0</v>
      </c>
      <c r="D48" s="501">
        <f>'[46]Sch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'[46]Sch C'!D34</f>
        <v>5647</v>
      </c>
      <c r="D49" s="501">
        <f>'[46]Sch C'!F34</f>
        <v>0</v>
      </c>
      <c r="E49" s="171">
        <f t="shared" si="3"/>
        <v>5647</v>
      </c>
      <c r="F49" s="171"/>
      <c r="G49" s="171">
        <f t="shared" si="4"/>
        <v>5647</v>
      </c>
      <c r="H49" s="172">
        <f t="shared" si="5"/>
        <v>5.3233126172951093E-4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'[46]Sch C'!D35</f>
        <v>0</v>
      </c>
      <c r="D50" s="501">
        <f>'[46]Sch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'[46]Sch C'!D36</f>
        <v>53408</v>
      </c>
      <c r="D51" s="501">
        <f>'[46]Sch C'!F36</f>
        <v>0</v>
      </c>
      <c r="E51" s="171">
        <f t="shared" si="3"/>
        <v>53408</v>
      </c>
      <c r="F51" s="171"/>
      <c r="G51" s="171">
        <f t="shared" si="4"/>
        <v>53408</v>
      </c>
      <c r="H51" s="172">
        <f t="shared" si="5"/>
        <v>5.0346640741012428E-3</v>
      </c>
      <c r="I51" s="473"/>
      <c r="J51" s="183">
        <v>3656</v>
      </c>
      <c r="K51" s="183">
        <v>3874</v>
      </c>
    </row>
    <row r="52" spans="1:11" s="167" customFormat="1">
      <c r="A52" s="163">
        <v>290</v>
      </c>
      <c r="B52" s="170" t="s">
        <v>205</v>
      </c>
      <c r="C52" s="501">
        <f>'[46]Sch C'!D37</f>
        <v>11486</v>
      </c>
      <c r="D52" s="501">
        <f>'[46]Sch C'!F37</f>
        <v>0</v>
      </c>
      <c r="E52" s="171">
        <f t="shared" si="3"/>
        <v>11486</v>
      </c>
      <c r="F52" s="171"/>
      <c r="G52" s="171">
        <f t="shared" si="4"/>
        <v>11486</v>
      </c>
      <c r="H52" s="172">
        <f t="shared" si="5"/>
        <v>1.0827619748937777E-3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'[46]Sch C'!D38</f>
        <v>19556</v>
      </c>
      <c r="D53" s="501">
        <f>'[46]Sch C'!F38</f>
        <v>-19556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'[46]Sch C'!D39</f>
        <v>11632</v>
      </c>
      <c r="D54" s="501">
        <f>'[46]Sch C'!F39</f>
        <v>0</v>
      </c>
      <c r="E54" s="171">
        <f t="shared" si="3"/>
        <v>11632</v>
      </c>
      <c r="F54" s="171"/>
      <c r="G54" s="171">
        <f t="shared" si="4"/>
        <v>11632</v>
      </c>
      <c r="H54" s="172">
        <f t="shared" si="5"/>
        <v>1.0965250994222899E-3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'[46]Sch C'!D40</f>
        <v>25644</v>
      </c>
      <c r="D55" s="501">
        <f>'[46]Sch C'!F40</f>
        <v>-25644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'[46]Sch C'!D41</f>
        <v>61504</v>
      </c>
      <c r="D56" s="501">
        <f>'[46]Sch C'!F41</f>
        <v>0</v>
      </c>
      <c r="E56" s="171">
        <f t="shared" si="3"/>
        <v>61504</v>
      </c>
      <c r="F56" s="171"/>
      <c r="G56" s="171">
        <f t="shared" si="4"/>
        <v>61504</v>
      </c>
      <c r="H56" s="172">
        <f t="shared" si="5"/>
        <v>5.7978576096001135E-3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'[46]Sch C'!D42</f>
        <v>0</v>
      </c>
      <c r="D57" s="501">
        <f>'[46]Sch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'[46]Sch C'!D43</f>
        <v>20183</v>
      </c>
      <c r="D58" s="501">
        <f>'[46]Sch C'!F43</f>
        <v>-20183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'[46]Sch C'!D44</f>
        <v>0</v>
      </c>
      <c r="D59" s="501">
        <f>'[46]Sch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'[46]Sch C'!D45</f>
        <v>439558</v>
      </c>
      <c r="D60" s="501">
        <f>'[46]Sch C'!F45</f>
        <v>-422840</v>
      </c>
      <c r="E60" s="171">
        <f t="shared" si="3"/>
        <v>16718</v>
      </c>
      <c r="F60" s="171">
        <f>-242.61-67.08</f>
        <v>-309.69</v>
      </c>
      <c r="G60" s="171">
        <f t="shared" si="4"/>
        <v>16408.310000000001</v>
      </c>
      <c r="H60" s="172">
        <f t="shared" si="5"/>
        <v>1.5467781769344699E-3</v>
      </c>
      <c r="I60" s="473" t="s">
        <v>674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2173606</v>
      </c>
      <c r="D61" s="501">
        <f>SUM(D25:D60)</f>
        <v>-533043</v>
      </c>
      <c r="E61" s="171">
        <f t="shared" ref="E61:F61" si="6">SUM(E25:E60)</f>
        <v>1640563</v>
      </c>
      <c r="F61" s="171">
        <f t="shared" si="6"/>
        <v>-309.69</v>
      </c>
      <c r="G61" s="171">
        <f>SUM(G25:G60)</f>
        <v>1640253.31</v>
      </c>
      <c r="H61" s="186">
        <f t="shared" si="5"/>
        <v>0.1546233600262629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'[46]Sch C'!D57</f>
        <v>0</v>
      </c>
      <c r="D64" s="501">
        <f>'[46]Sch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'[46]Sch C'!D58</f>
        <v>6332</v>
      </c>
      <c r="D65" s="501">
        <f>'[46]Sch C'!F58</f>
        <v>0</v>
      </c>
      <c r="E65" s="171">
        <f t="shared" si="7"/>
        <v>6332</v>
      </c>
      <c r="F65" s="171"/>
      <c r="G65" s="171">
        <f t="shared" si="8"/>
        <v>6332</v>
      </c>
      <c r="H65" s="172">
        <f t="shared" si="9"/>
        <v>5.9690482544205118E-4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'[46]Sch C'!D59</f>
        <v>0</v>
      </c>
      <c r="D66" s="501">
        <f>'[46]Sch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'[46]Sch C'!D60</f>
        <v>872</v>
      </c>
      <c r="D67" s="501">
        <f>'[46]Sch C'!F60</f>
        <v>0</v>
      </c>
      <c r="E67" s="171">
        <f t="shared" si="7"/>
        <v>872</v>
      </c>
      <c r="F67" s="171"/>
      <c r="G67" s="171">
        <f t="shared" si="8"/>
        <v>872</v>
      </c>
      <c r="H67" s="172">
        <f t="shared" si="9"/>
        <v>8.2201675266182659E-5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'[46]Sch C'!D61</f>
        <v>20477</v>
      </c>
      <c r="D68" s="501">
        <f>'[46]Sch C'!F61</f>
        <v>0</v>
      </c>
      <c r="E68" s="171">
        <f t="shared" si="7"/>
        <v>20477</v>
      </c>
      <c r="F68" s="171"/>
      <c r="G68" s="171">
        <f t="shared" si="8"/>
        <v>20477</v>
      </c>
      <c r="H68" s="172">
        <f t="shared" si="9"/>
        <v>1.9303253491119523E-3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'[46]Sch C'!D62</f>
        <v>18780</v>
      </c>
      <c r="D69" s="501">
        <f>'[46]Sch C'!F62</f>
        <v>0</v>
      </c>
      <c r="E69" s="171">
        <f t="shared" si="7"/>
        <v>18780</v>
      </c>
      <c r="F69" s="171"/>
      <c r="G69" s="171">
        <f t="shared" si="8"/>
        <v>18780</v>
      </c>
      <c r="H69" s="172">
        <f t="shared" si="9"/>
        <v>1.7703525934620534E-3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'[46]Sch C'!D63</f>
        <v>0</v>
      </c>
      <c r="D70" s="501">
        <f>'[46]Sch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'[46]Sch C'!D64</f>
        <v>0</v>
      </c>
      <c r="D71" s="501">
        <f>'[46]Sch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'[46]Sch C'!D65</f>
        <v>8736</v>
      </c>
      <c r="D72" s="501">
        <f>'[46]Sch C'!F65</f>
        <v>0</v>
      </c>
      <c r="E72" s="171">
        <f t="shared" si="7"/>
        <v>8736</v>
      </c>
      <c r="F72" s="171"/>
      <c r="G72" s="171">
        <f t="shared" si="8"/>
        <v>8736</v>
      </c>
      <c r="H72" s="172">
        <f t="shared" si="9"/>
        <v>8.2352504028138963E-4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'[46]Sch C'!D66</f>
        <v>83932</v>
      </c>
      <c r="D73" s="501">
        <f>'[46]Sch C'!F66</f>
        <v>0</v>
      </c>
      <c r="E73" s="171">
        <f t="shared" si="7"/>
        <v>83932</v>
      </c>
      <c r="F73" s="171"/>
      <c r="G73" s="171">
        <f t="shared" si="8"/>
        <v>83932</v>
      </c>
      <c r="H73" s="172">
        <f t="shared" si="9"/>
        <v>7.9120997803225276E-3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'[46]Sch C'!D67</f>
        <v>32518</v>
      </c>
      <c r="D74" s="501">
        <f>'[46]Sch C'!F67</f>
        <v>0</v>
      </c>
      <c r="E74" s="171">
        <f t="shared" si="7"/>
        <v>32518</v>
      </c>
      <c r="F74" s="171"/>
      <c r="G74" s="171">
        <f t="shared" si="8"/>
        <v>32518</v>
      </c>
      <c r="H74" s="172">
        <f t="shared" si="9"/>
        <v>3.0654060508093208E-3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'[46]Sch C'!D68</f>
        <v>0</v>
      </c>
      <c r="D75" s="501">
        <f>'[46]Sch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'[46]Sch C'!D69</f>
        <v>-7009</v>
      </c>
      <c r="D76" s="501">
        <f>'[46]Sch C'!F69</f>
        <v>0</v>
      </c>
      <c r="E76" s="171">
        <f t="shared" si="7"/>
        <v>-7009</v>
      </c>
      <c r="F76" s="171"/>
      <c r="G76" s="171">
        <f t="shared" si="8"/>
        <v>-7009</v>
      </c>
      <c r="H76" s="172">
        <f t="shared" si="9"/>
        <v>-6.6072424534481002E-4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'[46]Sch C'!D70</f>
        <v>-1160</v>
      </c>
      <c r="D77" s="501">
        <f>'[46]Sch C'!F70</f>
        <v>0</v>
      </c>
      <c r="E77" s="171">
        <f t="shared" si="7"/>
        <v>-1160</v>
      </c>
      <c r="F77" s="171"/>
      <c r="G77" s="171">
        <f t="shared" si="8"/>
        <v>-1160</v>
      </c>
      <c r="H77" s="172">
        <f t="shared" si="9"/>
        <v>-1.0935085241831639E-4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'[46]Sch C'!D71</f>
        <v>0</v>
      </c>
      <c r="D78" s="501">
        <f>'[46]Sch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163478</v>
      </c>
      <c r="D79" s="501">
        <f>SUM(D64:D78)</f>
        <v>0</v>
      </c>
      <c r="E79" s="171">
        <f t="shared" ref="E79:F79" si="10">SUM(E64:E78)</f>
        <v>163478</v>
      </c>
      <c r="F79" s="171">
        <f t="shared" si="10"/>
        <v>0</v>
      </c>
      <c r="G79" s="171">
        <f>SUM(G64:G78)</f>
        <v>163478</v>
      </c>
      <c r="H79" s="172">
        <f t="shared" si="9"/>
        <v>1.5410740216932351E-2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'[46]Sch C'!D75</f>
        <v>111980</v>
      </c>
      <c r="D82" s="501">
        <f>'[46]Sch C'!F75</f>
        <v>0</v>
      </c>
      <c r="E82" s="171">
        <f t="shared" ref="E82:E92" si="11">C82+D82</f>
        <v>111980</v>
      </c>
      <c r="F82" s="171"/>
      <c r="G82" s="171">
        <f t="shared" ref="G82:G92" si="12">E82+F82</f>
        <v>111980</v>
      </c>
      <c r="H82" s="172">
        <f t="shared" ref="H82:H93" si="13">IF($G$208=0,0,G82/$G$208)</f>
        <v>1.055612797741644E-2</v>
      </c>
      <c r="I82" s="473"/>
      <c r="J82" s="183">
        <v>5948</v>
      </c>
      <c r="K82" s="183">
        <v>6392</v>
      </c>
    </row>
    <row r="83" spans="1:11" s="167" customFormat="1">
      <c r="A83" s="169" t="s">
        <v>86</v>
      </c>
      <c r="B83" s="199" t="s">
        <v>45</v>
      </c>
      <c r="C83" s="501">
        <f>'[46]Sch C'!D76</f>
        <v>33995</v>
      </c>
      <c r="D83" s="501">
        <f>'[46]Sch C'!F76</f>
        <v>0</v>
      </c>
      <c r="E83" s="171">
        <f t="shared" si="11"/>
        <v>33995</v>
      </c>
      <c r="F83" s="171"/>
      <c r="G83" s="171">
        <f t="shared" si="12"/>
        <v>33995</v>
      </c>
      <c r="H83" s="172">
        <f t="shared" si="13"/>
        <v>3.2046398516902292E-3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'[46]Sch C'!D77</f>
        <v>26004</v>
      </c>
      <c r="D84" s="501">
        <f>'[46]Sch C'!F77</f>
        <v>0</v>
      </c>
      <c r="E84" s="171">
        <f t="shared" si="11"/>
        <v>26004</v>
      </c>
      <c r="F84" s="171"/>
      <c r="G84" s="171">
        <f t="shared" si="12"/>
        <v>26004</v>
      </c>
      <c r="H84" s="172">
        <f t="shared" si="13"/>
        <v>2.4513444536947409E-3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'[46]Sch C'!D78</f>
        <v>0</v>
      </c>
      <c r="D85" s="501">
        <f>'[46]Sch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'[46]Sch C'!D79</f>
        <v>11652</v>
      </c>
      <c r="D86" s="501">
        <f>'[46]Sch C'!F79</f>
        <v>0</v>
      </c>
      <c r="E86" s="171">
        <f t="shared" si="11"/>
        <v>11652</v>
      </c>
      <c r="F86" s="171"/>
      <c r="G86" s="171">
        <f>E86+F86</f>
        <v>11652</v>
      </c>
      <c r="H86" s="172">
        <f t="shared" si="13"/>
        <v>1.0984104589467436E-3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'[46]Sch C'!D80</f>
        <v>11690</v>
      </c>
      <c r="D87" s="501">
        <f>'[46]Sch C'!F80</f>
        <v>0</v>
      </c>
      <c r="E87" s="171">
        <f t="shared" si="11"/>
        <v>11690</v>
      </c>
      <c r="F87" s="171"/>
      <c r="G87" s="171">
        <f t="shared" si="12"/>
        <v>11690</v>
      </c>
      <c r="H87" s="172">
        <f t="shared" si="13"/>
        <v>1.1019926420432057E-3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'[46]Sch C'!D81</f>
        <v>71746</v>
      </c>
      <c r="D88" s="501">
        <f>'[46]Sch C'!F81</f>
        <v>0</v>
      </c>
      <c r="E88" s="171">
        <f t="shared" si="11"/>
        <v>71746</v>
      </c>
      <c r="F88" s="171"/>
      <c r="G88" s="171">
        <f t="shared" si="12"/>
        <v>71746</v>
      </c>
      <c r="H88" s="172">
        <f t="shared" si="13"/>
        <v>6.7633502220728683E-3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'[46]Sch C'!D82</f>
        <v>33926</v>
      </c>
      <c r="D89" s="501">
        <f>'[46]Sch C'!F82</f>
        <v>0</v>
      </c>
      <c r="E89" s="171">
        <f t="shared" si="11"/>
        <v>33926</v>
      </c>
      <c r="F89" s="171"/>
      <c r="G89" s="171">
        <f t="shared" si="12"/>
        <v>33926</v>
      </c>
      <c r="H89" s="172">
        <f t="shared" si="13"/>
        <v>3.1981353613308636E-3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'[46]Sch C'!D83</f>
        <v>3920</v>
      </c>
      <c r="D90" s="501">
        <f>'[46]Sch C'!F83</f>
        <v>0</v>
      </c>
      <c r="E90" s="171">
        <f t="shared" si="11"/>
        <v>3920</v>
      </c>
      <c r="F90" s="171"/>
      <c r="G90" s="171">
        <f t="shared" si="12"/>
        <v>3920</v>
      </c>
      <c r="H90" s="172">
        <f t="shared" si="13"/>
        <v>3.6953046679293126E-4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'[46]Sch C'!D84</f>
        <v>193501</v>
      </c>
      <c r="D91" s="501">
        <f>'[46]Sch C'!F84</f>
        <v>0</v>
      </c>
      <c r="E91" s="171">
        <f t="shared" si="11"/>
        <v>193501</v>
      </c>
      <c r="F91" s="171"/>
      <c r="G91" s="171">
        <f t="shared" si="12"/>
        <v>193501</v>
      </c>
      <c r="H91" s="172">
        <f t="shared" si="13"/>
        <v>1.8240947667066069E-2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'[46]Sch C'!D85</f>
        <v>0</v>
      </c>
      <c r="D92" s="501">
        <f>'[46]Sch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498414</v>
      </c>
      <c r="D93" s="501">
        <f>SUM(D82:D92)</f>
        <v>0</v>
      </c>
      <c r="E93" s="171">
        <f t="shared" ref="E93:F93" si="14">SUM(E82:E92)</f>
        <v>498414</v>
      </c>
      <c r="F93" s="171">
        <f t="shared" si="14"/>
        <v>0</v>
      </c>
      <c r="G93" s="171">
        <f>SUM(G82:G92)</f>
        <v>498414</v>
      </c>
      <c r="H93" s="172">
        <f t="shared" si="13"/>
        <v>4.6984479101054091E-2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'[46]Sch C'!D89</f>
        <v>492818</v>
      </c>
      <c r="D96" s="501">
        <f>'[46]Sch C'!F89</f>
        <v>0</v>
      </c>
      <c r="E96" s="171">
        <f t="shared" ref="E96:E101" si="15">C96+D96</f>
        <v>492818</v>
      </c>
      <c r="F96" s="171"/>
      <c r="G96" s="171">
        <f t="shared" ref="G96:G101" si="16">E96+F96</f>
        <v>492818</v>
      </c>
      <c r="H96" s="172">
        <f t="shared" ref="H96:H102" si="17">IF($G$208=0,0,G96/$G$208)</f>
        <v>4.6456955506111938E-2</v>
      </c>
      <c r="I96" s="473"/>
      <c r="J96" s="183">
        <v>35855</v>
      </c>
      <c r="K96" s="183">
        <v>37921</v>
      </c>
    </row>
    <row r="97" spans="1:11" s="167" customFormat="1">
      <c r="A97" s="169" t="s">
        <v>86</v>
      </c>
      <c r="B97" s="170" t="s">
        <v>45</v>
      </c>
      <c r="C97" s="501">
        <f>'[46]Sch C'!D90</f>
        <v>84406</v>
      </c>
      <c r="D97" s="501">
        <f>'[46]Sch C'!F90</f>
        <v>0</v>
      </c>
      <c r="E97" s="171">
        <f t="shared" si="15"/>
        <v>84406</v>
      </c>
      <c r="F97" s="171"/>
      <c r="G97" s="171">
        <f t="shared" si="16"/>
        <v>84406</v>
      </c>
      <c r="H97" s="172">
        <f t="shared" si="17"/>
        <v>7.9567828010520796E-3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'[46]Sch C'!D91</f>
        <v>17806</v>
      </c>
      <c r="D98" s="501">
        <f>'[46]Sch C'!F91</f>
        <v>0</v>
      </c>
      <c r="E98" s="171">
        <f t="shared" si="15"/>
        <v>17806</v>
      </c>
      <c r="F98" s="171"/>
      <c r="G98" s="171">
        <f t="shared" si="16"/>
        <v>17806</v>
      </c>
      <c r="H98" s="172">
        <f t="shared" si="17"/>
        <v>1.6785355846211565E-3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'[46]Sch C'!D92</f>
        <v>356961</v>
      </c>
      <c r="D99" s="501">
        <f>'[46]Sch C'!F92</f>
        <v>-9090</v>
      </c>
      <c r="E99" s="171">
        <f t="shared" si="15"/>
        <v>347871</v>
      </c>
      <c r="F99" s="171"/>
      <c r="G99" s="171">
        <f t="shared" si="16"/>
        <v>347871</v>
      </c>
      <c r="H99" s="172">
        <f t="shared" si="17"/>
        <v>3.2793095156562188E-2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'[46]Sch C'!D93</f>
        <v>36748</v>
      </c>
      <c r="D100" s="501">
        <f>'[46]Sch C'!F93</f>
        <v>0</v>
      </c>
      <c r="E100" s="171">
        <f t="shared" si="15"/>
        <v>36748</v>
      </c>
      <c r="F100" s="171"/>
      <c r="G100" s="171">
        <f t="shared" si="16"/>
        <v>36748</v>
      </c>
      <c r="H100" s="172">
        <f t="shared" si="17"/>
        <v>3.4641595902312849E-3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'[46]Sch C'!D94</f>
        <v>496</v>
      </c>
      <c r="D101" s="501">
        <f>'[46]Sch C'!F94</f>
        <v>0</v>
      </c>
      <c r="E101" s="171">
        <f t="shared" si="15"/>
        <v>496</v>
      </c>
      <c r="F101" s="171"/>
      <c r="G101" s="171">
        <f t="shared" si="16"/>
        <v>496</v>
      </c>
      <c r="H101" s="172">
        <f t="shared" si="17"/>
        <v>4.6756916206452527E-5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989235</v>
      </c>
      <c r="D102" s="501">
        <f>SUM(D96:D101)</f>
        <v>-9090</v>
      </c>
      <c r="E102" s="171">
        <f t="shared" ref="E102:F102" si="18">SUM(E96:E101)</f>
        <v>980145</v>
      </c>
      <c r="F102" s="171">
        <f t="shared" si="18"/>
        <v>0</v>
      </c>
      <c r="G102" s="171">
        <f>SUM(G96:G101)</f>
        <v>980145</v>
      </c>
      <c r="H102" s="172">
        <f t="shared" si="17"/>
        <v>9.2396285554785101E-2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'[46]Sch C'!D98</f>
        <v>85446</v>
      </c>
      <c r="D105" s="501">
        <f>'[46]Sch C'!F98</f>
        <v>0</v>
      </c>
      <c r="E105" s="171">
        <f t="shared" ref="E105:E110" si="19">C105+D105</f>
        <v>85446</v>
      </c>
      <c r="F105" s="171"/>
      <c r="G105" s="171">
        <f t="shared" ref="G105:G110" si="20">E105+F105</f>
        <v>85446</v>
      </c>
      <c r="H105" s="172">
        <f t="shared" ref="H105:H111" si="21">IF($G$208=0,0,G105/$G$208)</f>
        <v>8.0548214963236751E-3</v>
      </c>
      <c r="I105" s="473"/>
      <c r="J105" s="183">
        <v>7159</v>
      </c>
      <c r="K105" s="183">
        <v>7565</v>
      </c>
    </row>
    <row r="106" spans="1:11" s="167" customFormat="1">
      <c r="A106" s="169" t="s">
        <v>86</v>
      </c>
      <c r="B106" s="170" t="s">
        <v>45</v>
      </c>
      <c r="C106" s="501">
        <f>'[46]Sch C'!D99</f>
        <v>19369</v>
      </c>
      <c r="D106" s="501">
        <f>'[46]Sch C'!F99</f>
        <v>0</v>
      </c>
      <c r="E106" s="171">
        <f t="shared" si="19"/>
        <v>19369</v>
      </c>
      <c r="F106" s="171"/>
      <c r="G106" s="171">
        <f t="shared" si="20"/>
        <v>19369</v>
      </c>
      <c r="H106" s="172">
        <f t="shared" si="21"/>
        <v>1.8258764314572156E-3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'[46]Sch C'!D100</f>
        <v>335</v>
      </c>
      <c r="D107" s="501">
        <f>'[46]Sch C'!F100</f>
        <v>0</v>
      </c>
      <c r="E107" s="171">
        <f t="shared" si="19"/>
        <v>335</v>
      </c>
      <c r="F107" s="171"/>
      <c r="G107" s="171">
        <f t="shared" si="20"/>
        <v>335</v>
      </c>
      <c r="H107" s="172">
        <f t="shared" si="21"/>
        <v>3.157977203459999E-5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'[46]Sch C'!D101</f>
        <v>0</v>
      </c>
      <c r="D108" s="501">
        <f>'[46]Sch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'[46]Sch C'!D102</f>
        <v>13121</v>
      </c>
      <c r="D109" s="501">
        <f>'[46]Sch C'!F102</f>
        <v>0</v>
      </c>
      <c r="E109" s="171">
        <f t="shared" si="19"/>
        <v>13121</v>
      </c>
      <c r="F109" s="171"/>
      <c r="G109" s="171">
        <f t="shared" si="20"/>
        <v>13121</v>
      </c>
      <c r="H109" s="172">
        <f t="shared" si="21"/>
        <v>1.23689011601787E-3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'[46]Sch C'!D103</f>
        <v>0</v>
      </c>
      <c r="D110" s="501">
        <f>'[46]Sch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118271</v>
      </c>
      <c r="D111" s="501">
        <f>SUM(D105:D110)</f>
        <v>0</v>
      </c>
      <c r="E111" s="171">
        <f t="shared" ref="E111:F111" si="22">SUM(E105:E110)</f>
        <v>118271</v>
      </c>
      <c r="F111" s="171">
        <f t="shared" si="22"/>
        <v>0</v>
      </c>
      <c r="G111" s="171">
        <f>SUM(G105:G110)</f>
        <v>118271</v>
      </c>
      <c r="H111" s="172">
        <f t="shared" si="21"/>
        <v>1.1149167815833361E-2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'[46]Sch C'!D115</f>
        <v>289951</v>
      </c>
      <c r="D114" s="501">
        <f>'[46]Sch C'!F115</f>
        <v>0</v>
      </c>
      <c r="E114" s="171">
        <f t="shared" ref="E114:E118" si="23">C114+D114</f>
        <v>289951</v>
      </c>
      <c r="F114" s="171"/>
      <c r="G114" s="171">
        <f>E114+F114</f>
        <v>289951</v>
      </c>
      <c r="H114" s="172">
        <f t="shared" ref="H114:H119" si="24">IF($G$208=0,0,G114/$G$208)</f>
        <v>2.7333093973744185E-2</v>
      </c>
      <c r="I114" s="473"/>
      <c r="J114" s="183">
        <v>23742</v>
      </c>
      <c r="K114" s="183">
        <v>24758</v>
      </c>
    </row>
    <row r="115" spans="1:11" s="167" customFormat="1">
      <c r="A115" s="169" t="s">
        <v>86</v>
      </c>
      <c r="B115" s="170" t="s">
        <v>151</v>
      </c>
      <c r="C115" s="501">
        <f>'[46]Sch C'!D116</f>
        <v>72085</v>
      </c>
      <c r="D115" s="501">
        <f>'[46]Sch C'!F116</f>
        <v>0</v>
      </c>
      <c r="E115" s="171">
        <f t="shared" si="23"/>
        <v>72085</v>
      </c>
      <c r="F115" s="171"/>
      <c r="G115" s="171">
        <f>E115+F115</f>
        <v>72085</v>
      </c>
      <c r="H115" s="172">
        <f t="shared" si="24"/>
        <v>6.7953070660123592E-3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'[46]Sch C'!D117</f>
        <v>97101</v>
      </c>
      <c r="D116" s="501">
        <f>'[46]Sch C'!F117</f>
        <v>0</v>
      </c>
      <c r="E116" s="171">
        <f t="shared" si="23"/>
        <v>97101</v>
      </c>
      <c r="F116" s="171"/>
      <c r="G116" s="171">
        <f>E116+F116</f>
        <v>97101</v>
      </c>
      <c r="H116" s="172">
        <f t="shared" si="24"/>
        <v>9.1535147591990853E-3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'[46]Sch C'!D118</f>
        <v>318</v>
      </c>
      <c r="D117" s="501">
        <f>'[46]Sch C'!F118</f>
        <v>0</v>
      </c>
      <c r="E117" s="171">
        <f t="shared" si="23"/>
        <v>318</v>
      </c>
      <c r="F117" s="171"/>
      <c r="G117" s="171">
        <f>E117+F117</f>
        <v>318</v>
      </c>
      <c r="H117" s="172">
        <f t="shared" si="24"/>
        <v>2.9977216438814321E-5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'[46]Sch C'!D119</f>
        <v>117</v>
      </c>
      <c r="D118" s="501">
        <f>'[46]Sch C'!F119</f>
        <v>0</v>
      </c>
      <c r="E118" s="171">
        <f t="shared" si="23"/>
        <v>117</v>
      </c>
      <c r="F118" s="171"/>
      <c r="G118" s="171">
        <f>E118+F118</f>
        <v>117</v>
      </c>
      <c r="H118" s="172">
        <f t="shared" si="24"/>
        <v>1.1029353218054325E-5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459572</v>
      </c>
      <c r="D119" s="501">
        <f>SUM(D114:D118)</f>
        <v>0</v>
      </c>
      <c r="E119" s="171">
        <f t="shared" ref="E119:F119" si="25">SUM(E114:E118)</f>
        <v>459572</v>
      </c>
      <c r="F119" s="171">
        <f t="shared" si="25"/>
        <v>0</v>
      </c>
      <c r="G119" s="171">
        <f>SUM(G114:G118)</f>
        <v>459572</v>
      </c>
      <c r="H119" s="172">
        <f t="shared" si="24"/>
        <v>4.3322922368612501E-2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'[46]Sch C'!D124</f>
        <v>0</v>
      </c>
      <c r="D123" s="501">
        <f>'[46]Sch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'[46]Sch C'!D125</f>
        <v>640794</v>
      </c>
      <c r="D124" s="501">
        <f>'[46]Sch C'!F125</f>
        <v>0</v>
      </c>
      <c r="E124" s="171">
        <f t="shared" si="26"/>
        <v>640794</v>
      </c>
      <c r="F124" s="171"/>
      <c r="G124" s="171">
        <f>E124+F124</f>
        <v>640794</v>
      </c>
      <c r="H124" s="172">
        <f>IF($G$208=0,0,G124/$G$208)</f>
        <v>6.0406353555640203E-2</v>
      </c>
      <c r="I124" s="473"/>
      <c r="J124" s="183">
        <v>22577</v>
      </c>
      <c r="K124" s="183">
        <v>24389</v>
      </c>
    </row>
    <row r="125" spans="1:11" s="167" customFormat="1">
      <c r="A125" s="163" t="s">
        <v>198</v>
      </c>
      <c r="B125" s="163" t="s">
        <v>195</v>
      </c>
      <c r="C125" s="501">
        <f>'[46]Sch C'!D126</f>
        <v>0</v>
      </c>
      <c r="D125" s="501">
        <f>'[46]Sch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'[46]Sch C'!D127</f>
        <v>0</v>
      </c>
      <c r="D126" s="501">
        <f>'[46]Sch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'[46]Sch C'!D128</f>
        <v>92989</v>
      </c>
      <c r="D127" s="501">
        <f>'[46]Sch C'!F128</f>
        <v>0</v>
      </c>
      <c r="E127" s="171">
        <f t="shared" si="26"/>
        <v>92989</v>
      </c>
      <c r="F127" s="171"/>
      <c r="G127" s="171">
        <f>E127+F127</f>
        <v>92989</v>
      </c>
      <c r="H127" s="172">
        <f>IF($G$208=0,0,G127/$G$208)</f>
        <v>8.7658848409713983E-3</v>
      </c>
      <c r="I127" s="473"/>
      <c r="J127" s="183">
        <v>5699</v>
      </c>
      <c r="K127" s="183">
        <v>6231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'[46]Sch C'!D130</f>
        <v>0</v>
      </c>
      <c r="D129" s="501">
        <f>'[46]Sch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'[46]Sch C'!D131</f>
        <v>191433</v>
      </c>
      <c r="D130" s="501">
        <f>'[46]Sch C'!F131</f>
        <v>0</v>
      </c>
      <c r="E130" s="171">
        <f t="shared" si="27"/>
        <v>191433</v>
      </c>
      <c r="F130" s="171"/>
      <c r="G130" s="171">
        <f>E130+F130</f>
        <v>191433</v>
      </c>
      <c r="H130" s="172">
        <f>IF($G$208=0,0,G130/$G$208)</f>
        <v>1.8046001492237552E-2</v>
      </c>
      <c r="I130" s="473"/>
      <c r="J130" s="204"/>
      <c r="K130" s="204"/>
    </row>
    <row r="131" spans="1:11" s="167" customFormat="1">
      <c r="B131" s="163" t="s">
        <v>195</v>
      </c>
      <c r="C131" s="501">
        <f>'[46]Sch C'!D132</f>
        <v>0</v>
      </c>
      <c r="D131" s="501">
        <f>'[46]Sch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'[46]Sch C'!D133</f>
        <v>0</v>
      </c>
      <c r="D132" s="501">
        <f>'[46]Sch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'[46]Sch C'!D134</f>
        <v>29659</v>
      </c>
      <c r="D133" s="501">
        <f>'[46]Sch C'!F134</f>
        <v>0</v>
      </c>
      <c r="E133" s="171">
        <f t="shared" si="27"/>
        <v>29659</v>
      </c>
      <c r="F133" s="171"/>
      <c r="G133" s="171">
        <f>E133+F133</f>
        <v>29659</v>
      </c>
      <c r="H133" s="172">
        <f>IF($G$208=0,0,G133/$G$208)</f>
        <v>2.79589390678866E-3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'[46]Sch C'!D136</f>
        <v>1201696</v>
      </c>
      <c r="D135" s="501">
        <f>'[46]Sch C'!F136</f>
        <v>0</v>
      </c>
      <c r="E135" s="171">
        <f t="shared" ref="E135:E138" si="28">C135+D135</f>
        <v>1201696</v>
      </c>
      <c r="F135" s="171"/>
      <c r="G135" s="171">
        <f>E135+F135</f>
        <v>1201696</v>
      </c>
      <c r="H135" s="172">
        <f>IF($G$208=0,0,G135/$G$208)</f>
        <v>0.11328144995489753</v>
      </c>
      <c r="I135" s="473"/>
      <c r="J135" s="183">
        <v>43573</v>
      </c>
      <c r="K135" s="183">
        <v>45822</v>
      </c>
    </row>
    <row r="136" spans="1:11" s="167" customFormat="1">
      <c r="A136" s="169"/>
      <c r="B136" s="163" t="s">
        <v>195</v>
      </c>
      <c r="C136" s="501">
        <f>'[46]Sch C'!D137</f>
        <v>402245</v>
      </c>
      <c r="D136" s="501">
        <f>'[46]Sch C'!F137</f>
        <v>0</v>
      </c>
      <c r="E136" s="171">
        <f t="shared" si="28"/>
        <v>402245</v>
      </c>
      <c r="F136" s="171"/>
      <c r="G136" s="171">
        <f>E136+F136</f>
        <v>402245</v>
      </c>
      <c r="H136" s="172">
        <f>IF($G$208=0,0,G136/$G$208)</f>
        <v>3.7918822095694547E-2</v>
      </c>
      <c r="I136" s="473"/>
      <c r="J136" s="183">
        <v>22706</v>
      </c>
      <c r="K136" s="183">
        <v>24025</v>
      </c>
    </row>
    <row r="137" spans="1:11" s="167" customFormat="1">
      <c r="A137" s="169"/>
      <c r="B137" s="163" t="s">
        <v>196</v>
      </c>
      <c r="C137" s="501">
        <f>'[46]Sch C'!D138</f>
        <v>1708473</v>
      </c>
      <c r="D137" s="501">
        <f>'[46]Sch C'!F138</f>
        <v>48326</v>
      </c>
      <c r="E137" s="171">
        <f t="shared" si="28"/>
        <v>1756799</v>
      </c>
      <c r="F137" s="171"/>
      <c r="G137" s="171">
        <f>E137+F137</f>
        <v>1756799</v>
      </c>
      <c r="H137" s="172">
        <f>IF($G$208=0,0,G137/$G$208)</f>
        <v>0.16560988636003951</v>
      </c>
      <c r="I137" s="473"/>
      <c r="J137" s="183">
        <v>148234</v>
      </c>
      <c r="K137" s="183">
        <v>155055</v>
      </c>
    </row>
    <row r="138" spans="1:11" s="167" customFormat="1">
      <c r="A138" s="169"/>
      <c r="B138" s="163" t="s">
        <v>197</v>
      </c>
      <c r="C138" s="501">
        <f>'[46]Sch C'!D139</f>
        <v>48326</v>
      </c>
      <c r="D138" s="501">
        <f>'[46]Sch C'!F139</f>
        <v>-48326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'[46]Sch C'!D141</f>
        <v>599952</v>
      </c>
      <c r="D140" s="501">
        <f>'[46]Sch C'!F141</f>
        <v>-385627</v>
      </c>
      <c r="E140" s="171">
        <f t="shared" ref="E140:E143" si="29">C140+D140</f>
        <v>214325</v>
      </c>
      <c r="F140" s="171"/>
      <c r="G140" s="171">
        <f>E140+F140</f>
        <v>214325</v>
      </c>
      <c r="H140" s="172">
        <f>IF($G$208=0,0,G140/$G$208)</f>
        <v>2.0203984003927294E-2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'[46]Sch C'!D142</f>
        <v>0</v>
      </c>
      <c r="D141" s="501">
        <f>'[46]Sch C'!F142</f>
        <v>71706</v>
      </c>
      <c r="E141" s="171">
        <f t="shared" si="29"/>
        <v>71706</v>
      </c>
      <c r="F141" s="171"/>
      <c r="G141" s="171">
        <f>E141+F141</f>
        <v>71706</v>
      </c>
      <c r="H141" s="172">
        <f>IF($G$208=0,0,G141/$G$208)</f>
        <v>6.759579503023961E-3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'[46]Sch C'!D143</f>
        <v>0</v>
      </c>
      <c r="D142" s="501">
        <f>'[46]Sch C'!F143</f>
        <v>313921</v>
      </c>
      <c r="E142" s="171">
        <f t="shared" si="29"/>
        <v>313921</v>
      </c>
      <c r="F142" s="171"/>
      <c r="G142" s="171">
        <f>E142+F142</f>
        <v>313921</v>
      </c>
      <c r="H142" s="172">
        <f>IF($G$208=0,0,G142/$G$208)</f>
        <v>2.9592697363801983E-2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'[46]Sch C'!D144</f>
        <v>0</v>
      </c>
      <c r="D143" s="501">
        <f>'[46]Sch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'[46]Sch C'!D146</f>
        <v>55869</v>
      </c>
      <c r="D145" s="501">
        <f>'[46]Sch C'!F146</f>
        <v>0</v>
      </c>
      <c r="E145" s="171">
        <f t="shared" ref="E145:E153" si="30">C145+D145</f>
        <v>55869</v>
      </c>
      <c r="F145" s="171"/>
      <c r="G145" s="171">
        <f t="shared" ref="G145:G153" si="31">E145+F145</f>
        <v>55869</v>
      </c>
      <c r="H145" s="172">
        <f t="shared" ref="H145:H153" si="32">IF($G$208=0,0,G145/$G$208)</f>
        <v>5.2666575635852749E-3</v>
      </c>
      <c r="I145" s="473"/>
      <c r="J145" s="183">
        <v>310</v>
      </c>
      <c r="K145" s="183">
        <v>310</v>
      </c>
    </row>
    <row r="146" spans="1:11" s="167" customFormat="1">
      <c r="A146" s="169"/>
      <c r="B146" s="163" t="s">
        <v>194</v>
      </c>
      <c r="C146" s="501">
        <f>'[46]Sch C'!D147</f>
        <v>0</v>
      </c>
      <c r="D146" s="501">
        <f>'[46]Sch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'[46]Sch C'!D148</f>
        <v>0</v>
      </c>
      <c r="D147" s="501">
        <f>'[46]Sch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'[46]Sch C'!D149</f>
        <v>0</v>
      </c>
      <c r="D148" s="501">
        <f>'[46]Sch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'[46]Sch C'!D150</f>
        <v>1836</v>
      </c>
      <c r="D149" s="501">
        <f>'[46]Sch C'!F150</f>
        <v>0</v>
      </c>
      <c r="E149" s="171">
        <f t="shared" si="30"/>
        <v>1836</v>
      </c>
      <c r="F149" s="171"/>
      <c r="G149" s="171">
        <f t="shared" si="31"/>
        <v>1836</v>
      </c>
      <c r="H149" s="172">
        <f t="shared" si="32"/>
        <v>1.730760043448525E-4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'[46]Sch C'!D151</f>
        <v>241924</v>
      </c>
      <c r="D150" s="501">
        <f>'[46]Sch C'!F151</f>
        <v>0</v>
      </c>
      <c r="E150" s="171">
        <f t="shared" si="30"/>
        <v>241924</v>
      </c>
      <c r="F150" s="171"/>
      <c r="G150" s="171">
        <f t="shared" si="31"/>
        <v>241924</v>
      </c>
      <c r="H150" s="172">
        <f t="shared" si="32"/>
        <v>2.280568587969722E-2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'[46]Sch C'!D152</f>
        <v>26766</v>
      </c>
      <c r="D151" s="501">
        <f>'[46]Sch C'!F152</f>
        <v>0</v>
      </c>
      <c r="E151" s="171">
        <f t="shared" si="30"/>
        <v>26766</v>
      </c>
      <c r="F151" s="171"/>
      <c r="G151" s="171">
        <f t="shared" si="31"/>
        <v>26766</v>
      </c>
      <c r="H151" s="172">
        <f t="shared" si="32"/>
        <v>2.523176651576428E-3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'[46]Sch C'!D153</f>
        <v>0</v>
      </c>
      <c r="D152" s="501">
        <f>'[46]Sch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'[46]Sch C'!D154</f>
        <v>0</v>
      </c>
      <c r="D153" s="501">
        <f>'[46]Sch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'[46]Sch C'!D156</f>
        <v>0</v>
      </c>
      <c r="D155" s="501">
        <f>'[46]Sch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'[46]Sch C'!D157</f>
        <v>0</v>
      </c>
      <c r="D156" s="501">
        <f>'[46]Sch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'[46]Sch C'!D158</f>
        <v>0</v>
      </c>
      <c r="D157" s="501">
        <f>'[46]Sch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'[46]Sch C'!D159</f>
        <v>0</v>
      </c>
      <c r="D158" s="501">
        <f>'[46]Sch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'[46]Sch C'!D160</f>
        <v>0</v>
      </c>
      <c r="D159" s="501">
        <f>'[46]Sch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'[46]Sch C'!D161</f>
        <v>34517</v>
      </c>
      <c r="D160" s="501">
        <f>'[46]Sch C'!F161</f>
        <v>0</v>
      </c>
      <c r="E160" s="171">
        <f t="shared" si="33"/>
        <v>34517</v>
      </c>
      <c r="F160" s="171"/>
      <c r="G160" s="171">
        <f t="shared" si="34"/>
        <v>34517</v>
      </c>
      <c r="H160" s="172">
        <f t="shared" si="35"/>
        <v>3.2538477352784716E-3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5276479</v>
      </c>
      <c r="D161" s="501">
        <f>SUM(D123:D160)</f>
        <v>0</v>
      </c>
      <c r="E161" s="171">
        <f t="shared" ref="E161:F161" si="36">SUM(E123:E160)</f>
        <v>5276479</v>
      </c>
      <c r="F161" s="171">
        <f t="shared" si="36"/>
        <v>0</v>
      </c>
      <c r="G161" s="171">
        <f>SUM(G123:G160)</f>
        <v>5276479</v>
      </c>
      <c r="H161" s="172">
        <f t="shared" si="35"/>
        <v>0.49740299691150486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'[46]Sch C'!D175</f>
        <v>0</v>
      </c>
      <c r="D164" s="501">
        <f>'[46]Sch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'[46]Sch C'!D176</f>
        <v>0</v>
      </c>
      <c r="D165" s="501">
        <f>'[46]Sch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'[46]Sch C'!D177</f>
        <v>0</v>
      </c>
      <c r="D166" s="501">
        <f>'[46]Sch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'[46]Sch C'!D178</f>
        <v>0</v>
      </c>
      <c r="D167" s="501">
        <f>'[46]Sch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'[46]Sch C'!D179</f>
        <v>0</v>
      </c>
      <c r="D168" s="501">
        <f>'[46]Sch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'[46]Sch C'!D180</f>
        <v>0</v>
      </c>
      <c r="D169" s="501">
        <f>'[46]Sch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'[46]Sch C'!D181</f>
        <v>0</v>
      </c>
      <c r="D170" s="501">
        <f>'[46]Sch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'[46]Sch C'!D182</f>
        <v>0</v>
      </c>
      <c r="D171" s="501">
        <f>'[46]Sch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'[46]Sch C'!D183</f>
        <v>0</v>
      </c>
      <c r="D172" s="501">
        <f>'[46]Sch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'[46]Sch C'!D184</f>
        <v>0</v>
      </c>
      <c r="D173" s="501">
        <f>'[46]Sch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'[46]Sch C'!D185</f>
        <v>0</v>
      </c>
      <c r="D174" s="501">
        <f>'[46]Sch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'[46]Sch C'!D186</f>
        <v>0</v>
      </c>
      <c r="D175" s="501">
        <f>'[46]Sch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'[46]Sch C'!D187</f>
        <v>0</v>
      </c>
      <c r="D176" s="501">
        <f>'[46]Sch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'[46]Sch C'!D188</f>
        <v>32</v>
      </c>
      <c r="D177" s="501">
        <f>'[46]Sch C'!F188</f>
        <v>0</v>
      </c>
      <c r="E177" s="171">
        <f t="shared" si="37"/>
        <v>32</v>
      </c>
      <c r="F177" s="216"/>
      <c r="G177" s="171">
        <f t="shared" si="38"/>
        <v>32</v>
      </c>
      <c r="H177" s="172">
        <f t="shared" si="39"/>
        <v>3.0165752391259696E-6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'[46]Sch C'!D189</f>
        <v>0</v>
      </c>
      <c r="D178" s="501">
        <f>'[46]Sch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'[46]Sch C'!D190</f>
        <v>0</v>
      </c>
      <c r="D179" s="501">
        <f>'[46]Sch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'[46]Sch C'!D191</f>
        <v>0</v>
      </c>
      <c r="D180" s="501">
        <f>'[46]Sch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'[46]Sch C'!D192</f>
        <v>0</v>
      </c>
      <c r="D181" s="501">
        <f>'[46]Sch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'[46]Sch C'!D193</f>
        <v>35749</v>
      </c>
      <c r="D182" s="501">
        <f>'[46]Sch C'!F193</f>
        <v>0</v>
      </c>
      <c r="E182" s="171">
        <f t="shared" si="37"/>
        <v>35749</v>
      </c>
      <c r="F182" s="216"/>
      <c r="G182" s="171">
        <f t="shared" si="38"/>
        <v>35749</v>
      </c>
      <c r="H182" s="172">
        <f t="shared" si="39"/>
        <v>3.3699858819848214E-3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'[46]Sch C'!D194</f>
        <v>313877</v>
      </c>
      <c r="D183" s="501">
        <f>'[46]Sch C'!F194</f>
        <v>0</v>
      </c>
      <c r="E183" s="171">
        <f t="shared" si="37"/>
        <v>313877</v>
      </c>
      <c r="F183" s="216"/>
      <c r="G183" s="171">
        <f t="shared" si="38"/>
        <v>313877</v>
      </c>
      <c r="H183" s="172">
        <f t="shared" si="39"/>
        <v>2.9588549572848184E-2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'[46]Sch C'!D195</f>
        <v>52174</v>
      </c>
      <c r="D184" s="501">
        <f>'[46]Sch C'!F195</f>
        <v>0</v>
      </c>
      <c r="E184" s="171">
        <f t="shared" si="37"/>
        <v>52174</v>
      </c>
      <c r="F184" s="216"/>
      <c r="G184" s="171">
        <f t="shared" si="38"/>
        <v>52174</v>
      </c>
      <c r="H184" s="172">
        <f t="shared" si="39"/>
        <v>4.918337391442448E-3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'[46]Sch C'!D196</f>
        <v>0</v>
      </c>
      <c r="D185" s="501">
        <f>'[46]Sch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'[46]Sch C'!D197</f>
        <v>191030</v>
      </c>
      <c r="D186" s="501">
        <f>'[46]Sch C'!F197</f>
        <v>0</v>
      </c>
      <c r="E186" s="171">
        <f t="shared" si="37"/>
        <v>191030</v>
      </c>
      <c r="F186" s="216"/>
      <c r="G186" s="171">
        <f t="shared" si="38"/>
        <v>191030</v>
      </c>
      <c r="H186" s="172">
        <f t="shared" si="39"/>
        <v>1.8008011497819811E-2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'[46]Sch C'!D198</f>
        <v>78691</v>
      </c>
      <c r="D187" s="501">
        <f>'[46]Sch C'!F198</f>
        <v>0</v>
      </c>
      <c r="E187" s="171">
        <f t="shared" si="37"/>
        <v>78691</v>
      </c>
      <c r="F187" s="216"/>
      <c r="G187" s="171">
        <f t="shared" si="38"/>
        <v>78691</v>
      </c>
      <c r="H187" s="172">
        <f t="shared" si="39"/>
        <v>7.4180413169394272E-3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'[46]Sch C'!D199</f>
        <v>0</v>
      </c>
      <c r="D188" s="501">
        <f>'[46]Sch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'[46]Sch C'!D200</f>
        <v>0</v>
      </c>
      <c r="D189" s="501">
        <f>'[46]Sch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'[46]Sch C'!D201</f>
        <v>0</v>
      </c>
      <c r="D190" s="501">
        <f>'[46]Sch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'[46]Sch C'!D202</f>
        <v>0</v>
      </c>
      <c r="D191" s="501">
        <f>'[46]Sch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'[46]Sch C'!D203</f>
        <v>0</v>
      </c>
      <c r="D192" s="501">
        <f>'[46]Sch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'[46]Sch C'!D204</f>
        <v>0</v>
      </c>
      <c r="D193" s="501">
        <f>'[46]Sch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'[46]Sch C'!D205</f>
        <v>390519</v>
      </c>
      <c r="D194" s="501">
        <f>'[46]Sch C'!F205</f>
        <v>0</v>
      </c>
      <c r="E194" s="171">
        <f t="shared" si="37"/>
        <v>390519</v>
      </c>
      <c r="F194" s="216"/>
      <c r="G194" s="171">
        <f t="shared" si="38"/>
        <v>390519</v>
      </c>
      <c r="H194" s="172">
        <f t="shared" si="39"/>
        <v>3.6813435806507325E-2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'[46]Sch C'!D206</f>
        <v>10280</v>
      </c>
      <c r="D195" s="501">
        <f>'[46]Sch C'!F206</f>
        <v>0</v>
      </c>
      <c r="E195" s="171">
        <f t="shared" si="37"/>
        <v>10280</v>
      </c>
      <c r="F195" s="216"/>
      <c r="G195" s="171">
        <f t="shared" si="38"/>
        <v>10280</v>
      </c>
      <c r="H195" s="172">
        <f t="shared" si="39"/>
        <v>9.6907479556921771E-4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'[46]Sch C'!D207</f>
        <v>1474</v>
      </c>
      <c r="D196" s="501">
        <f>'[46]Sch C'!F207</f>
        <v>0</v>
      </c>
      <c r="E196" s="171">
        <f t="shared" si="37"/>
        <v>1474</v>
      </c>
      <c r="F196" s="216"/>
      <c r="G196" s="171">
        <f t="shared" si="38"/>
        <v>1474</v>
      </c>
      <c r="H196" s="172">
        <f t="shared" si="39"/>
        <v>1.3895099695223996E-4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1073826</v>
      </c>
      <c r="D197" s="501">
        <f>SUM(D164:D196)</f>
        <v>0</v>
      </c>
      <c r="E197" s="171">
        <f t="shared" ref="E197:F197" si="40">SUM(E164:E196)</f>
        <v>1073826</v>
      </c>
      <c r="F197" s="171">
        <f t="shared" si="40"/>
        <v>0</v>
      </c>
      <c r="G197" s="171">
        <f>SUM(G164:G196)</f>
        <v>1073826</v>
      </c>
      <c r="H197" s="172">
        <f>IF($G$208=0,0,G197/$G$208)</f>
        <v>0.1012274038353026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'[46]Sch C'!D211</f>
        <v>286523</v>
      </c>
      <c r="D200" s="501">
        <f>'[46]Sch C'!F211</f>
        <v>0</v>
      </c>
      <c r="E200" s="171">
        <f t="shared" ref="E200:E205" si="41">C200+D200</f>
        <v>286523</v>
      </c>
      <c r="F200" s="171"/>
      <c r="G200" s="171">
        <f t="shared" ref="G200:G205" si="42">E200+F200</f>
        <v>286523</v>
      </c>
      <c r="H200" s="172">
        <f t="shared" ref="H200:H206" si="43">IF($G$208=0,0,G200/$G$208)</f>
        <v>2.7009943351252817E-2</v>
      </c>
      <c r="I200" s="473"/>
      <c r="J200" s="183">
        <v>16046</v>
      </c>
      <c r="K200" s="183">
        <v>17471</v>
      </c>
    </row>
    <row r="201" spans="1:14" s="167" customFormat="1">
      <c r="A201" s="169" t="s">
        <v>86</v>
      </c>
      <c r="B201" s="170" t="s">
        <v>45</v>
      </c>
      <c r="C201" s="501">
        <f>'[46]Sch C'!D212</f>
        <v>72822</v>
      </c>
      <c r="D201" s="501">
        <f>'[46]Sch C'!F212</f>
        <v>0</v>
      </c>
      <c r="E201" s="171">
        <f t="shared" si="41"/>
        <v>72822</v>
      </c>
      <c r="F201" s="171"/>
      <c r="G201" s="171">
        <f t="shared" si="42"/>
        <v>72822</v>
      </c>
      <c r="H201" s="172">
        <f t="shared" si="43"/>
        <v>6.8647825644884792E-3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'[46]Sch C'!D213</f>
        <v>13618</v>
      </c>
      <c r="D202" s="501">
        <f>'[46]Sch C'!F213</f>
        <v>0</v>
      </c>
      <c r="E202" s="171">
        <f t="shared" si="41"/>
        <v>13618</v>
      </c>
      <c r="F202" s="171"/>
      <c r="G202" s="171">
        <f t="shared" si="42"/>
        <v>13618</v>
      </c>
      <c r="H202" s="172">
        <f t="shared" si="43"/>
        <v>1.2837413002005453E-3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'[46]Sch C'!D214</f>
        <v>0</v>
      </c>
      <c r="D203" s="501">
        <f>'[46]Sch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'[46]Sch C'!D215</f>
        <v>0</v>
      </c>
      <c r="D204" s="501">
        <f>'[46]Sch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'[46]Sch C'!D216</f>
        <v>24655</v>
      </c>
      <c r="D205" s="501">
        <f>'[46]Sch C'!F216</f>
        <v>0</v>
      </c>
      <c r="E205" s="171">
        <f t="shared" si="41"/>
        <v>24655</v>
      </c>
      <c r="F205" s="171"/>
      <c r="G205" s="171">
        <f t="shared" si="42"/>
        <v>24655</v>
      </c>
      <c r="H205" s="172">
        <f t="shared" si="43"/>
        <v>2.3241769537703369E-3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397618</v>
      </c>
      <c r="D206" s="501">
        <f>SUM(D200:D205)</f>
        <v>0</v>
      </c>
      <c r="E206" s="171">
        <f t="shared" ref="E206:F206" si="44">SUM(E200:E205)</f>
        <v>397618</v>
      </c>
      <c r="F206" s="171">
        <f t="shared" si="44"/>
        <v>0</v>
      </c>
      <c r="G206" s="171">
        <f>SUM(G200:G205)</f>
        <v>397618</v>
      </c>
      <c r="H206" s="172">
        <f t="shared" si="43"/>
        <v>3.7482644169712177E-2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11150499</v>
      </c>
      <c r="D208" s="501">
        <f>SUM(D25:D206)/2</f>
        <v>-542133</v>
      </c>
      <c r="E208" s="171">
        <f t="shared" ref="E208:F208" si="45">SUM(E25:E206)/2</f>
        <v>10608366</v>
      </c>
      <c r="F208" s="171">
        <f t="shared" si="45"/>
        <v>-309.69</v>
      </c>
      <c r="G208" s="171">
        <f>SUM(G25:G206)/2</f>
        <v>10608056.310000001</v>
      </c>
      <c r="H208" s="172">
        <f>IF($G$208=0,0,G208/$G$208)</f>
        <v>1</v>
      </c>
      <c r="I208" s="473"/>
      <c r="J208" s="183">
        <f>SUM(J25:J200)</f>
        <v>348466</v>
      </c>
      <c r="K208" s="183">
        <f>SUM(K25:K200)</f>
        <v>367721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'[46]Sch C'!D221</f>
        <v>11150499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129928</v>
      </c>
      <c r="D215" s="501">
        <f>D21-D208</f>
        <v>531130</v>
      </c>
      <c r="E215" s="171">
        <f t="shared" ref="E215:F215" si="46">E21-E208</f>
        <v>661058</v>
      </c>
      <c r="F215" s="171">
        <f t="shared" si="46"/>
        <v>309.69</v>
      </c>
      <c r="G215" s="171">
        <f>G21-G208</f>
        <v>661367.68999999948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'[46]Sch D'!C9</f>
        <v>1978</v>
      </c>
      <c r="D219" s="530"/>
      <c r="E219" s="234">
        <f t="shared" ref="E219:G227" si="47">C219+D219</f>
        <v>1978</v>
      </c>
      <c r="F219" s="233"/>
      <c r="G219" s="234">
        <f t="shared" si="47"/>
        <v>1978</v>
      </c>
      <c r="H219" s="172">
        <f t="shared" ref="H219:H228" si="48">IF($G$228=0,0,G219/$G$228)</f>
        <v>4.7156991298128503E-2</v>
      </c>
      <c r="I219" s="473"/>
      <c r="J219" s="168"/>
      <c r="K219" s="168"/>
    </row>
    <row r="220" spans="1:11">
      <c r="A220" s="163"/>
      <c r="B220" s="170" t="s">
        <v>217</v>
      </c>
      <c r="C220" s="530">
        <f>'[46]Sch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'[46]Sch D'!E9</f>
        <v>2020</v>
      </c>
      <c r="D221" s="530"/>
      <c r="E221" s="234">
        <f t="shared" si="49"/>
        <v>2020</v>
      </c>
      <c r="F221" s="233"/>
      <c r="G221" s="234">
        <f t="shared" si="47"/>
        <v>2020</v>
      </c>
      <c r="H221" s="172">
        <f t="shared" si="48"/>
        <v>4.8158302539039216E-2</v>
      </c>
      <c r="I221" s="473"/>
      <c r="J221" s="168"/>
      <c r="K221" s="168"/>
    </row>
    <row r="222" spans="1:11">
      <c r="A222" s="163"/>
      <c r="B222" s="202" t="s">
        <v>334</v>
      </c>
      <c r="C222" s="530">
        <f>'[46]Sch D'!F9</f>
        <v>824</v>
      </c>
      <c r="D222" s="530"/>
      <c r="E222" s="234">
        <f>C222+D222</f>
        <v>824</v>
      </c>
      <c r="F222" s="233"/>
      <c r="G222" s="234">
        <f>E222+F222</f>
        <v>824</v>
      </c>
      <c r="H222" s="172">
        <f t="shared" si="48"/>
        <v>1.9644772916915007E-2</v>
      </c>
      <c r="I222" s="473"/>
      <c r="J222" s="168"/>
      <c r="K222" s="168"/>
    </row>
    <row r="223" spans="1:11">
      <c r="A223" s="163"/>
      <c r="B223" s="170" t="s">
        <v>73</v>
      </c>
      <c r="C223" s="530">
        <f>'[46]Sch D'!G9</f>
        <v>11751</v>
      </c>
      <c r="D223" s="530"/>
      <c r="E223" s="234">
        <f t="shared" si="49"/>
        <v>11751</v>
      </c>
      <c r="F223" s="233"/>
      <c r="G223" s="234">
        <f t="shared" si="47"/>
        <v>11751</v>
      </c>
      <c r="H223" s="172">
        <f t="shared" si="48"/>
        <v>0.28015258076051974</v>
      </c>
      <c r="I223" s="473"/>
      <c r="J223" s="168"/>
      <c r="K223" s="168"/>
    </row>
    <row r="224" spans="1:11">
      <c r="A224" s="163"/>
      <c r="B224" s="170" t="s">
        <v>74</v>
      </c>
      <c r="C224" s="530">
        <f>'[46]Sch D'!H9</f>
        <v>24957</v>
      </c>
      <c r="D224" s="530"/>
      <c r="E224" s="234">
        <f t="shared" si="49"/>
        <v>24957</v>
      </c>
      <c r="F224" s="233"/>
      <c r="G224" s="234">
        <f t="shared" si="47"/>
        <v>24957</v>
      </c>
      <c r="H224" s="172">
        <f t="shared" si="48"/>
        <v>0.59499344379544639</v>
      </c>
      <c r="I224" s="473"/>
      <c r="J224" s="168"/>
      <c r="K224" s="168"/>
    </row>
    <row r="225" spans="1:11">
      <c r="A225" s="163"/>
      <c r="B225" s="170" t="s">
        <v>236</v>
      </c>
      <c r="C225" s="530">
        <f>'[46]Sch D'!I9</f>
        <v>386</v>
      </c>
      <c r="D225" s="530"/>
      <c r="E225" s="234">
        <f t="shared" si="49"/>
        <v>386</v>
      </c>
      <c r="F225" s="233"/>
      <c r="G225" s="234">
        <f t="shared" si="47"/>
        <v>386</v>
      </c>
      <c r="H225" s="172">
        <f t="shared" si="48"/>
        <v>9.2025271188461086E-3</v>
      </c>
      <c r="I225" s="473"/>
      <c r="J225" s="168"/>
      <c r="K225" s="168"/>
    </row>
    <row r="226" spans="1:11">
      <c r="A226" s="163"/>
      <c r="B226" s="170" t="s">
        <v>235</v>
      </c>
      <c r="C226" s="530">
        <f>'[46]Sch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'[46]Sch D'!K9</f>
        <v>29</v>
      </c>
      <c r="D227" s="530"/>
      <c r="E227" s="234">
        <f t="shared" si="49"/>
        <v>29</v>
      </c>
      <c r="F227" s="233"/>
      <c r="G227" s="234">
        <f t="shared" si="47"/>
        <v>29</v>
      </c>
      <c r="H227" s="172">
        <f t="shared" si="48"/>
        <v>6.9138157110501845E-4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41945</v>
      </c>
      <c r="D228" s="530">
        <f>SUM(D219:D227)</f>
        <v>0</v>
      </c>
      <c r="E228" s="236">
        <f>SUM(E219:E227)</f>
        <v>41945</v>
      </c>
      <c r="F228" s="236">
        <f>SUM(F219:F227)</f>
        <v>0</v>
      </c>
      <c r="G228" s="236">
        <f>SUM(G219:G227)</f>
        <v>41945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'[46]Sch D'!N22</f>
        <v>120</v>
      </c>
      <c r="D231" s="502"/>
      <c r="E231" s="234">
        <f>C231+D231</f>
        <v>120</v>
      </c>
      <c r="F231" s="234"/>
      <c r="G231" s="234">
        <f>E231+F231</f>
        <v>120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'[46]Sch D'!N24</f>
        <v>12</v>
      </c>
      <c r="D232" s="502"/>
      <c r="E232" s="234">
        <f>C232+D232</f>
        <v>12</v>
      </c>
      <c r="F232" s="456">
        <v>10</v>
      </c>
      <c r="G232" s="234">
        <f>E232+F232</f>
        <v>22</v>
      </c>
      <c r="H232" s="457" t="s">
        <v>673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'[46]Sch D'!N28</f>
        <v>43800</v>
      </c>
      <c r="D235" s="438"/>
      <c r="E235" s="233">
        <f>E231*E233</f>
        <v>43800</v>
      </c>
      <c r="F235" s="238"/>
      <c r="G235" s="233">
        <f>G231*G233</f>
        <v>43800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'[46]Sch D'!N30</f>
        <v>0.95764840182648403</v>
      </c>
      <c r="D236" s="238"/>
      <c r="E236" s="242">
        <f>E228/E235</f>
        <v>0.95764840182648403</v>
      </c>
      <c r="F236" s="243"/>
      <c r="G236" s="242">
        <f>G228/G235</f>
        <v>0.95764840182648403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'[46]Sch D'!N32</f>
        <v>4.5159817351598172E-2</v>
      </c>
      <c r="D237" s="238"/>
      <c r="E237" s="242">
        <f>(E219+E220)/E235</f>
        <v>4.5159817351598172E-2</v>
      </c>
      <c r="F237" s="243"/>
      <c r="G237" s="242">
        <f>(G219+G220)/G235</f>
        <v>4.5159817351598172E-2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'[46]Sch D'!N34</f>
        <v>4.7156991298128496E-2</v>
      </c>
      <c r="D238" s="238"/>
      <c r="E238" s="242">
        <f>(E237/E236)</f>
        <v>4.7156991298128496E-2</v>
      </c>
      <c r="F238" s="243"/>
      <c r="G238" s="242">
        <f>(G237/G236)</f>
        <v>4.7156991298128496E-2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'[46]Sch B'!C85</f>
        <v>184.12415739144066</v>
      </c>
      <c r="I241" s="475"/>
    </row>
    <row r="242" spans="2:9">
      <c r="F242" s="142" t="s">
        <v>341</v>
      </c>
      <c r="G242" s="501">
        <f>'[46]Sch B'!E85</f>
        <v>184.12419329450654</v>
      </c>
      <c r="I242" s="475"/>
    </row>
    <row r="243" spans="2:9">
      <c r="F243" s="142" t="s">
        <v>342</v>
      </c>
      <c r="G243" s="501">
        <f>'[46]Sch B'!G85</f>
        <v>184.12421256662898</v>
      </c>
      <c r="I243" s="475"/>
    </row>
    <row r="244" spans="2:9">
      <c r="F244" s="142" t="s">
        <v>343</v>
      </c>
      <c r="G244" s="501">
        <f>'[46]Sch B'!I85</f>
        <v>184.12429565793835</v>
      </c>
      <c r="I244" s="475"/>
    </row>
    <row r="245" spans="2:9">
      <c r="F245" s="142"/>
      <c r="I245" s="475"/>
    </row>
    <row r="246" spans="2:9">
      <c r="I246" s="475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1">
    <tabColor rgb="FFE28CAB"/>
  </sheetPr>
  <dimension ref="A1:O246"/>
  <sheetViews>
    <sheetView showGridLines="0" topLeftCell="A198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377" t="s">
        <v>495</v>
      </c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496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  <c r="F3" s="409"/>
    </row>
    <row r="4" spans="1:11">
      <c r="A4" s="145"/>
      <c r="B4" s="148" t="s">
        <v>80</v>
      </c>
      <c r="C4" s="441">
        <v>42916</v>
      </c>
      <c r="D4" s="144"/>
      <c r="E4" s="149"/>
      <c r="F4" s="409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'[47]Sch B'!E10</f>
        <v>3153103</v>
      </c>
      <c r="D11" s="501">
        <f>'[47]Sch B'!G10</f>
        <v>0</v>
      </c>
      <c r="E11" s="171">
        <f t="shared" ref="E11:E20" si="0">C11+D11</f>
        <v>3153103</v>
      </c>
      <c r="F11" s="506">
        <f>462390+77458</f>
        <v>539848</v>
      </c>
      <c r="G11" s="171">
        <f t="shared" ref="G11:G20" si="1">E11+F11</f>
        <v>3692951</v>
      </c>
      <c r="H11" s="172">
        <f t="shared" ref="H11:H21" si="2">IF($G$21=0,0,G11/$G$21)</f>
        <v>0.56359764119124722</v>
      </c>
      <c r="I11" s="472"/>
      <c r="J11" s="336" t="s">
        <v>344</v>
      </c>
      <c r="K11" s="337">
        <f>G21</f>
        <v>6552460</v>
      </c>
    </row>
    <row r="12" spans="1:11" s="167" customFormat="1">
      <c r="A12" s="169" t="s">
        <v>15</v>
      </c>
      <c r="B12" s="170" t="s">
        <v>212</v>
      </c>
      <c r="C12" s="501">
        <f>'[47]Sch B'!E15</f>
        <v>0</v>
      </c>
      <c r="D12" s="501">
        <f>'[47]Sch B'!G15</f>
        <v>0</v>
      </c>
      <c r="E12" s="171">
        <f t="shared" si="0"/>
        <v>0</v>
      </c>
      <c r="F12" s="171"/>
      <c r="G12" s="171">
        <f>E12+F12</f>
        <v>0</v>
      </c>
      <c r="H12" s="172">
        <f t="shared" si="2"/>
        <v>0</v>
      </c>
      <c r="I12" s="473"/>
      <c r="J12" s="338" t="s">
        <v>345</v>
      </c>
      <c r="K12" s="339">
        <f>G208</f>
        <v>5248214</v>
      </c>
    </row>
    <row r="13" spans="1:11" s="167" customFormat="1">
      <c r="A13" s="169" t="s">
        <v>16</v>
      </c>
      <c r="B13" s="170" t="s">
        <v>170</v>
      </c>
      <c r="C13" s="501">
        <f>'[47]Sch B'!E21</f>
        <v>1152722</v>
      </c>
      <c r="D13" s="501">
        <f>'[47]Sch B'!G21</f>
        <v>0</v>
      </c>
      <c r="E13" s="171">
        <f t="shared" si="0"/>
        <v>1152722</v>
      </c>
      <c r="F13" s="171"/>
      <c r="G13" s="171">
        <f t="shared" si="1"/>
        <v>1152722</v>
      </c>
      <c r="H13" s="172">
        <f t="shared" si="2"/>
        <v>0.17592202012679206</v>
      </c>
      <c r="I13" s="473"/>
      <c r="J13" s="338" t="s">
        <v>346</v>
      </c>
      <c r="K13" s="339">
        <f>G228</f>
        <v>19640</v>
      </c>
    </row>
    <row r="14" spans="1:11" s="167" customFormat="1">
      <c r="A14" s="173" t="s">
        <v>18</v>
      </c>
      <c r="B14" s="174" t="s">
        <v>306</v>
      </c>
      <c r="C14" s="501">
        <f>'[47]Sch B'!E27</f>
        <v>1136131</v>
      </c>
      <c r="D14" s="501">
        <f>'[47]Sch B'!G27</f>
        <v>0</v>
      </c>
      <c r="E14" s="171">
        <f t="shared" si="0"/>
        <v>1136131</v>
      </c>
      <c r="F14" s="175"/>
      <c r="G14" s="175">
        <f>E14+F14</f>
        <v>1136131</v>
      </c>
      <c r="H14" s="176">
        <f t="shared" si="2"/>
        <v>0.17338999398699115</v>
      </c>
      <c r="I14" s="479"/>
      <c r="J14" s="338" t="s">
        <v>347</v>
      </c>
      <c r="K14" s="339">
        <f>G231</f>
        <v>120</v>
      </c>
    </row>
    <row r="15" spans="1:11" s="167" customFormat="1">
      <c r="A15" s="169" t="s">
        <v>19</v>
      </c>
      <c r="B15" s="170" t="s">
        <v>171</v>
      </c>
      <c r="C15" s="501">
        <f>'[47]Sch B'!E32</f>
        <v>0</v>
      </c>
      <c r="D15" s="501">
        <f>'[47]Sch B'!G32</f>
        <v>0</v>
      </c>
      <c r="E15" s="171">
        <f t="shared" si="0"/>
        <v>0</v>
      </c>
      <c r="F15" s="171"/>
      <c r="G15" s="171">
        <f t="shared" si="1"/>
        <v>0</v>
      </c>
      <c r="H15" s="172">
        <f t="shared" si="2"/>
        <v>0</v>
      </c>
      <c r="I15" s="473"/>
      <c r="J15" s="338" t="s">
        <v>348</v>
      </c>
      <c r="K15" s="339">
        <f>G235</f>
        <v>43800</v>
      </c>
    </row>
    <row r="16" spans="1:11" s="167" customFormat="1">
      <c r="A16" s="169" t="s">
        <v>21</v>
      </c>
      <c r="B16" s="170" t="s">
        <v>172</v>
      </c>
      <c r="C16" s="501">
        <f>'[47]Sch B'!E37</f>
        <v>334838</v>
      </c>
      <c r="D16" s="501">
        <f>'[47]Sch B'!G37</f>
        <v>0</v>
      </c>
      <c r="E16" s="171">
        <f t="shared" si="0"/>
        <v>334838</v>
      </c>
      <c r="F16" s="171"/>
      <c r="G16" s="171">
        <f t="shared" si="1"/>
        <v>334838</v>
      </c>
      <c r="H16" s="172">
        <f t="shared" si="2"/>
        <v>5.1101113169710305E-2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'[47]Sch B'!E42</f>
        <v>0</v>
      </c>
      <c r="D17" s="501">
        <f>'[47]Sch B'!G42</f>
        <v>0</v>
      </c>
      <c r="E17" s="171">
        <f t="shared" si="0"/>
        <v>0</v>
      </c>
      <c r="F17" s="171"/>
      <c r="G17" s="171">
        <f>E17+F17</f>
        <v>0</v>
      </c>
      <c r="H17" s="172">
        <f t="shared" si="2"/>
        <v>0</v>
      </c>
      <c r="I17" s="473"/>
      <c r="J17" s="338" t="s">
        <v>156</v>
      </c>
      <c r="K17" s="339">
        <f>J208</f>
        <v>130450</v>
      </c>
    </row>
    <row r="18" spans="1:11" s="167" customFormat="1" ht="13.5" thickBot="1">
      <c r="A18" s="169" t="s">
        <v>216</v>
      </c>
      <c r="B18" s="170" t="s">
        <v>229</v>
      </c>
      <c r="C18" s="501">
        <f>'[47]Sch B'!E47</f>
        <v>233735</v>
      </c>
      <c r="D18" s="501">
        <f>'[47]Sch B'!G47</f>
        <v>0</v>
      </c>
      <c r="E18" s="171">
        <f t="shared" si="0"/>
        <v>233735</v>
      </c>
      <c r="F18" s="171"/>
      <c r="G18" s="171">
        <f>E18+F18</f>
        <v>233735</v>
      </c>
      <c r="H18" s="172">
        <f t="shared" si="2"/>
        <v>3.567133565103793E-2</v>
      </c>
      <c r="I18" s="473"/>
      <c r="J18" s="341" t="s">
        <v>252</v>
      </c>
      <c r="K18" s="342">
        <f>K208</f>
        <v>137647</v>
      </c>
    </row>
    <row r="19" spans="1:11" s="167" customFormat="1">
      <c r="A19" s="169" t="s">
        <v>227</v>
      </c>
      <c r="B19" s="177" t="s">
        <v>173</v>
      </c>
      <c r="C19" s="501">
        <f>'[47]Sch B'!E52</f>
        <v>0</v>
      </c>
      <c r="D19" s="501">
        <f>'[47]Sch B'!G52</f>
        <v>0</v>
      </c>
      <c r="E19" s="171">
        <f t="shared" si="0"/>
        <v>0</v>
      </c>
      <c r="F19" s="171"/>
      <c r="G19" s="171">
        <f t="shared" si="1"/>
        <v>0</v>
      </c>
      <c r="H19" s="172">
        <f t="shared" si="2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'[47]Sch B'!E67</f>
        <v>2083</v>
      </c>
      <c r="D20" s="501">
        <f>'[47]Sch B'!G67</f>
        <v>0</v>
      </c>
      <c r="E20" s="171">
        <f t="shared" si="0"/>
        <v>2083</v>
      </c>
      <c r="F20" s="171"/>
      <c r="G20" s="171">
        <f t="shared" si="1"/>
        <v>2083</v>
      </c>
      <c r="H20" s="172">
        <f t="shared" si="2"/>
        <v>3.1789587422128483E-4</v>
      </c>
      <c r="I20" s="472"/>
      <c r="J20" s="168"/>
      <c r="K20" s="168"/>
    </row>
    <row r="21" spans="1:11" s="167" customFormat="1">
      <c r="A21" s="169"/>
      <c r="B21" s="178" t="s">
        <v>77</v>
      </c>
      <c r="C21" s="501">
        <f>SUM(C11:C20)</f>
        <v>6012612</v>
      </c>
      <c r="D21" s="501">
        <f>SUM(D11:D20)</f>
        <v>0</v>
      </c>
      <c r="E21" s="171">
        <f>SUM(E11:E20)</f>
        <v>6012612</v>
      </c>
      <c r="F21" s="171">
        <f>SUM(F11:F20)</f>
        <v>539848</v>
      </c>
      <c r="G21" s="171">
        <f>SUM(G11:G20)</f>
        <v>6552460</v>
      </c>
      <c r="H21" s="172">
        <f t="shared" si="2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 t="s">
        <v>643</v>
      </c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'[47]Sch C'!D10</f>
        <v>125253</v>
      </c>
      <c r="D25" s="501">
        <f>'[47]Sch C'!F10</f>
        <v>7007</v>
      </c>
      <c r="E25" s="171">
        <f t="shared" ref="E25:E60" si="3">C25+D25</f>
        <v>132260</v>
      </c>
      <c r="F25" s="171"/>
      <c r="G25" s="182">
        <f>E25+F25</f>
        <v>132260</v>
      </c>
      <c r="H25" s="172">
        <f>IF($G$208=0,0,G25/$G$208)</f>
        <v>2.5200954076948844E-2</v>
      </c>
      <c r="I25" s="473"/>
      <c r="J25" s="183">
        <v>2152</v>
      </c>
      <c r="K25" s="183">
        <v>2272</v>
      </c>
    </row>
    <row r="26" spans="1:11" s="167" customFormat="1">
      <c r="A26" s="169" t="s">
        <v>84</v>
      </c>
      <c r="B26" s="170" t="s">
        <v>176</v>
      </c>
      <c r="C26" s="501">
        <f>'[47]Sch C'!D11</f>
        <v>0</v>
      </c>
      <c r="D26" s="501">
        <f>'[47]Sch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'[47]Sch C'!D12</f>
        <v>188647</v>
      </c>
      <c r="D27" s="501">
        <f>'[47]Sch C'!F12</f>
        <v>10551</v>
      </c>
      <c r="E27" s="171">
        <f t="shared" si="3"/>
        <v>199198</v>
      </c>
      <c r="F27" s="171"/>
      <c r="G27" s="171">
        <f t="shared" si="4"/>
        <v>199198</v>
      </c>
      <c r="H27" s="172">
        <f t="shared" si="5"/>
        <v>3.7955388252079662E-2</v>
      </c>
      <c r="I27" s="473"/>
      <c r="J27" s="183">
        <v>9316</v>
      </c>
      <c r="K27" s="183">
        <v>9837</v>
      </c>
    </row>
    <row r="28" spans="1:11" s="167" customFormat="1">
      <c r="A28" s="169" t="s">
        <v>86</v>
      </c>
      <c r="B28" s="170" t="s">
        <v>45</v>
      </c>
      <c r="C28" s="501">
        <f>'[47]Sch C'!D13</f>
        <v>509103</v>
      </c>
      <c r="D28" s="501">
        <f>'[47]Sch C'!F13</f>
        <v>-467156</v>
      </c>
      <c r="E28" s="171">
        <f t="shared" si="3"/>
        <v>41947</v>
      </c>
      <c r="F28" s="171"/>
      <c r="G28" s="171">
        <f t="shared" si="4"/>
        <v>41947</v>
      </c>
      <c r="H28" s="172">
        <f t="shared" si="5"/>
        <v>7.9926237763932647E-3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'[47]Sch C'!D14</f>
        <v>0</v>
      </c>
      <c r="D29" s="501">
        <f>'[47]Sch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'[47]Sch C'!D15</f>
        <v>0</v>
      </c>
      <c r="D30" s="501">
        <f>'[47]Sch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'[47]Sch C'!D16</f>
        <v>299401</v>
      </c>
      <c r="D31" s="501">
        <f>'[47]Sch C'!F16</f>
        <v>152758</v>
      </c>
      <c r="E31" s="171">
        <f t="shared" si="3"/>
        <v>452159</v>
      </c>
      <c r="F31" s="171">
        <v>-58987.149974249398</v>
      </c>
      <c r="G31" s="171">
        <f t="shared" si="4"/>
        <v>393171.85002575058</v>
      </c>
      <c r="H31" s="172">
        <f t="shared" si="5"/>
        <v>7.4915361687947671E-2</v>
      </c>
      <c r="I31" s="473" t="s">
        <v>402</v>
      </c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'[47]Sch C'!D17</f>
        <v>0</v>
      </c>
      <c r="D32" s="501">
        <f>'[47]Sch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'[47]Sch C'!D18</f>
        <v>13720</v>
      </c>
      <c r="D33" s="501">
        <f>'[47]Sch C'!F18</f>
        <v>0</v>
      </c>
      <c r="E33" s="171">
        <f t="shared" si="3"/>
        <v>13720</v>
      </c>
      <c r="F33" s="171"/>
      <c r="G33" s="171">
        <f t="shared" si="4"/>
        <v>13720</v>
      </c>
      <c r="H33" s="172">
        <f t="shared" si="5"/>
        <v>2.6142226669872838E-3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'[47]Sch C'!D19</f>
        <v>22659</v>
      </c>
      <c r="D34" s="501">
        <f>'[47]Sch C'!F19</f>
        <v>-1375</v>
      </c>
      <c r="E34" s="171">
        <f t="shared" si="3"/>
        <v>21284</v>
      </c>
      <c r="F34" s="171"/>
      <c r="G34" s="171">
        <f t="shared" si="4"/>
        <v>21284</v>
      </c>
      <c r="H34" s="172">
        <f t="shared" si="5"/>
        <v>4.0554748720231298E-3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'[47]Sch C'!D20</f>
        <v>22774</v>
      </c>
      <c r="D35" s="501">
        <f>'[47]Sch C'!F20</f>
        <v>0</v>
      </c>
      <c r="E35" s="171">
        <f t="shared" si="3"/>
        <v>22774</v>
      </c>
      <c r="F35" s="171">
        <v>-1624</v>
      </c>
      <c r="G35" s="171">
        <f t="shared" si="4"/>
        <v>21150</v>
      </c>
      <c r="H35" s="172">
        <f t="shared" si="5"/>
        <v>4.0299423765875397E-3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'[47]Sch C'!D21</f>
        <v>18546</v>
      </c>
      <c r="D36" s="501">
        <f>'[47]Sch C'!F21</f>
        <v>0</v>
      </c>
      <c r="E36" s="171">
        <f t="shared" si="3"/>
        <v>18546</v>
      </c>
      <c r="F36" s="171">
        <v>-13267</v>
      </c>
      <c r="G36" s="171">
        <f t="shared" si="4"/>
        <v>5279</v>
      </c>
      <c r="H36" s="172">
        <f t="shared" si="5"/>
        <v>1.0058659955558215E-3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'[47]Sch C'!D22</f>
        <v>0</v>
      </c>
      <c r="D37" s="501">
        <f>'[47]Sch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'[47]Sch C'!D23</f>
        <v>22489</v>
      </c>
      <c r="D38" s="501">
        <f>'[47]Sch C'!F23</f>
        <v>0</v>
      </c>
      <c r="E38" s="171">
        <f t="shared" si="3"/>
        <v>22489</v>
      </c>
      <c r="F38" s="171">
        <v>-6524</v>
      </c>
      <c r="G38" s="171">
        <f t="shared" si="4"/>
        <v>15965</v>
      </c>
      <c r="H38" s="172">
        <f t="shared" si="5"/>
        <v>3.0419872360387744E-3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'[47]Sch C'!D24</f>
        <v>51789</v>
      </c>
      <c r="D39" s="501">
        <f>'[47]Sch C'!F24</f>
        <v>-13680</v>
      </c>
      <c r="E39" s="171">
        <f t="shared" si="3"/>
        <v>38109</v>
      </c>
      <c r="F39" s="171"/>
      <c r="G39" s="171">
        <f t="shared" si="4"/>
        <v>38109</v>
      </c>
      <c r="H39" s="172">
        <f t="shared" si="5"/>
        <v>7.2613273772753929E-3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'[47]Sch C'!D25</f>
        <v>0</v>
      </c>
      <c r="D40" s="501">
        <f>'[47]Sch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'[47]Sch C'!D26</f>
        <v>288015</v>
      </c>
      <c r="D41" s="501">
        <f>'[47]Sch C'!F26</f>
        <v>0</v>
      </c>
      <c r="E41" s="171">
        <f t="shared" si="3"/>
        <v>288015</v>
      </c>
      <c r="F41" s="171"/>
      <c r="G41" s="171">
        <f t="shared" si="4"/>
        <v>288015</v>
      </c>
      <c r="H41" s="172">
        <f t="shared" si="5"/>
        <v>5.4878669200608056E-2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'[47]Sch C'!D27</f>
        <v>0</v>
      </c>
      <c r="D42" s="501">
        <f>'[47]Sch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'[47]Sch C'!D28</f>
        <v>0</v>
      </c>
      <c r="D43" s="501">
        <f>'[47]Sch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'[47]Sch C'!D29</f>
        <v>336096</v>
      </c>
      <c r="D44" s="501">
        <f>'[47]Sch C'!F29</f>
        <v>-336096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'[47]Sch C'!D30</f>
        <v>0</v>
      </c>
      <c r="D45" s="501">
        <f>'[47]Sch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'[47]Sch C'!D31</f>
        <v>62018</v>
      </c>
      <c r="D46" s="501">
        <f>'[47]Sch C'!F31</f>
        <v>0</v>
      </c>
      <c r="E46" s="171">
        <f t="shared" si="3"/>
        <v>62018</v>
      </c>
      <c r="F46" s="171"/>
      <c r="G46" s="171">
        <f t="shared" si="4"/>
        <v>62018</v>
      </c>
      <c r="H46" s="172">
        <f t="shared" si="5"/>
        <v>1.181697240242109E-2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'[47]Sch C'!D32</f>
        <v>109440</v>
      </c>
      <c r="D47" s="501">
        <f>'[47]Sch C'!F32</f>
        <v>-37406</v>
      </c>
      <c r="E47" s="171">
        <f t="shared" si="3"/>
        <v>72034</v>
      </c>
      <c r="F47" s="171"/>
      <c r="G47" s="171">
        <f t="shared" si="4"/>
        <v>72034</v>
      </c>
      <c r="H47" s="172">
        <f t="shared" si="5"/>
        <v>1.3725431165726092E-2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'[47]Sch C'!D33</f>
        <v>0</v>
      </c>
      <c r="D48" s="501">
        <f>'[47]Sch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'[47]Sch C'!D34</f>
        <v>0</v>
      </c>
      <c r="D49" s="501">
        <f>'[47]Sch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'[47]Sch C'!D35</f>
        <v>35</v>
      </c>
      <c r="D50" s="501">
        <f>'[47]Sch C'!F35</f>
        <v>-35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'[47]Sch C'!D36</f>
        <v>0</v>
      </c>
      <c r="D51" s="501">
        <f>'[47]Sch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'[47]Sch C'!D37</f>
        <v>0</v>
      </c>
      <c r="D52" s="501">
        <f>'[47]Sch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'[47]Sch C'!D38</f>
        <v>100</v>
      </c>
      <c r="D53" s="501">
        <f>'[47]Sch C'!F38</f>
        <v>-100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'[47]Sch C'!D39</f>
        <v>7370</v>
      </c>
      <c r="D54" s="501">
        <f>'[47]Sch C'!F39</f>
        <v>0</v>
      </c>
      <c r="E54" s="171">
        <f t="shared" si="3"/>
        <v>7370</v>
      </c>
      <c r="F54" s="171">
        <v>-1728</v>
      </c>
      <c r="G54" s="171">
        <f t="shared" si="4"/>
        <v>5642</v>
      </c>
      <c r="H54" s="172">
        <f t="shared" si="5"/>
        <v>1.0750323824447708E-3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'[47]Sch C'!D40</f>
        <v>13669</v>
      </c>
      <c r="D55" s="501">
        <f>'[47]Sch C'!F40</f>
        <v>0</v>
      </c>
      <c r="E55" s="171">
        <f t="shared" si="3"/>
        <v>13669</v>
      </c>
      <c r="F55" s="171">
        <f>-468-1995</f>
        <v>-2463</v>
      </c>
      <c r="G55" s="171">
        <f t="shared" si="4"/>
        <v>11206</v>
      </c>
      <c r="H55" s="172">
        <f t="shared" si="5"/>
        <v>2.1352025660538996E-3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'[47]Sch C'!D41</f>
        <v>42910</v>
      </c>
      <c r="D56" s="501">
        <f>'[47]Sch C'!F41</f>
        <v>0</v>
      </c>
      <c r="E56" s="171">
        <f t="shared" si="3"/>
        <v>42910</v>
      </c>
      <c r="F56" s="171">
        <v>-1147</v>
      </c>
      <c r="G56" s="171">
        <f t="shared" si="4"/>
        <v>41763</v>
      </c>
      <c r="H56" s="172">
        <f t="shared" si="5"/>
        <v>7.9575642304220064E-3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'[47]Sch C'!D42</f>
        <v>11105</v>
      </c>
      <c r="D57" s="501">
        <f>'[47]Sch C'!F42</f>
        <v>0</v>
      </c>
      <c r="E57" s="171">
        <f t="shared" si="3"/>
        <v>11105</v>
      </c>
      <c r="F57" s="171"/>
      <c r="G57" s="171">
        <f t="shared" si="4"/>
        <v>11105</v>
      </c>
      <c r="H57" s="172">
        <f t="shared" si="5"/>
        <v>2.1159579239718503E-3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'[47]Sch C'!D43</f>
        <v>8853</v>
      </c>
      <c r="D58" s="501">
        <f>'[47]Sch C'!F43</f>
        <v>0</v>
      </c>
      <c r="E58" s="171">
        <f t="shared" si="3"/>
        <v>8853</v>
      </c>
      <c r="F58" s="171"/>
      <c r="G58" s="171">
        <f t="shared" si="4"/>
        <v>8853</v>
      </c>
      <c r="H58" s="172">
        <f t="shared" si="5"/>
        <v>1.686859567845366E-3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'[47]Sch C'!D44</f>
        <v>0</v>
      </c>
      <c r="D59" s="501">
        <f>'[47]Sch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'[47]Sch C'!D45</f>
        <v>26386</v>
      </c>
      <c r="D60" s="501">
        <f>'[47]Sch C'!F45</f>
        <v>-1968</v>
      </c>
      <c r="E60" s="171">
        <f t="shared" si="3"/>
        <v>24418</v>
      </c>
      <c r="F60" s="171"/>
      <c r="G60" s="171">
        <f t="shared" si="4"/>
        <v>24418</v>
      </c>
      <c r="H60" s="172">
        <f t="shared" si="5"/>
        <v>4.6526303995987972E-3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2180378</v>
      </c>
      <c r="D61" s="501">
        <f>SUM(D25:D60)</f>
        <v>-687500</v>
      </c>
      <c r="E61" s="171">
        <f t="shared" ref="E61:F61" si="6">SUM(E25:E60)</f>
        <v>1492878</v>
      </c>
      <c r="F61" s="171">
        <f t="shared" si="6"/>
        <v>-85740.149974249391</v>
      </c>
      <c r="G61" s="171">
        <f>SUM(G25:G60)</f>
        <v>1407137.8500257507</v>
      </c>
      <c r="H61" s="186">
        <f t="shared" si="5"/>
        <v>0.26811746815692933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'[47]Sch C'!D57</f>
        <v>721199</v>
      </c>
      <c r="D64" s="501">
        <f>'[47]Sch C'!F57</f>
        <v>0</v>
      </c>
      <c r="E64" s="171">
        <f t="shared" ref="E64:E78" si="7">C64+D64</f>
        <v>721199</v>
      </c>
      <c r="F64" s="171">
        <v>-721199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'[47]Sch C'!D58</f>
        <v>15991</v>
      </c>
      <c r="D65" s="501">
        <f>'[47]Sch C'!F58</f>
        <v>0</v>
      </c>
      <c r="E65" s="171">
        <f t="shared" si="7"/>
        <v>15991</v>
      </c>
      <c r="F65" s="171">
        <v>273886</v>
      </c>
      <c r="G65" s="171">
        <f t="shared" si="8"/>
        <v>289877</v>
      </c>
      <c r="H65" s="172">
        <f t="shared" si="9"/>
        <v>5.5233456562556328E-2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'[47]Sch C'!D59</f>
        <v>0</v>
      </c>
      <c r="D66" s="501">
        <f>'[47]Sch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'[47]Sch C'!D60</f>
        <v>17223</v>
      </c>
      <c r="D67" s="501">
        <f>'[47]Sch C'!F60</f>
        <v>0</v>
      </c>
      <c r="E67" s="171">
        <f t="shared" si="7"/>
        <v>17223</v>
      </c>
      <c r="F67" s="171"/>
      <c r="G67" s="171">
        <f t="shared" si="8"/>
        <v>17223</v>
      </c>
      <c r="H67" s="172">
        <f t="shared" si="9"/>
        <v>3.2816878275161799E-3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'[47]Sch C'!D61</f>
        <v>9248</v>
      </c>
      <c r="D68" s="501">
        <f>'[47]Sch C'!F61</f>
        <v>0</v>
      </c>
      <c r="E68" s="171">
        <f t="shared" si="7"/>
        <v>9248</v>
      </c>
      <c r="F68" s="171">
        <v>-3000</v>
      </c>
      <c r="G68" s="171">
        <f t="shared" si="8"/>
        <v>6248</v>
      </c>
      <c r="H68" s="172">
        <f t="shared" si="9"/>
        <v>1.1905002349370663E-3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'[47]Sch C'!D62</f>
        <v>8919</v>
      </c>
      <c r="D69" s="501">
        <f>'[47]Sch C'!F62</f>
        <v>0</v>
      </c>
      <c r="E69" s="171">
        <f t="shared" si="7"/>
        <v>8919</v>
      </c>
      <c r="F69" s="171"/>
      <c r="G69" s="171">
        <f t="shared" si="8"/>
        <v>8919</v>
      </c>
      <c r="H69" s="172">
        <f t="shared" si="9"/>
        <v>1.6994352745524478E-3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'[47]Sch C'!D63</f>
        <v>0</v>
      </c>
      <c r="D70" s="501">
        <f>'[47]Sch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'[47]Sch C'!D64</f>
        <v>0</v>
      </c>
      <c r="D71" s="501">
        <f>'[47]Sch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'[47]Sch C'!D65</f>
        <v>5951</v>
      </c>
      <c r="D72" s="501">
        <f>'[47]Sch C'!F65</f>
        <v>0</v>
      </c>
      <c r="E72" s="171">
        <f t="shared" si="7"/>
        <v>5951</v>
      </c>
      <c r="F72" s="171"/>
      <c r="G72" s="171">
        <f t="shared" si="8"/>
        <v>5951</v>
      </c>
      <c r="H72" s="172">
        <f t="shared" si="9"/>
        <v>1.1339095547551986E-3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'[47]Sch C'!D66</f>
        <v>8160</v>
      </c>
      <c r="D73" s="501">
        <f>'[47]Sch C'!F66</f>
        <v>0</v>
      </c>
      <c r="E73" s="171">
        <f t="shared" si="7"/>
        <v>8160</v>
      </c>
      <c r="F73" s="171"/>
      <c r="G73" s="171">
        <f t="shared" si="8"/>
        <v>8160</v>
      </c>
      <c r="H73" s="172">
        <f t="shared" si="9"/>
        <v>1.5548146474210084E-3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'[47]Sch C'!D67</f>
        <v>66603</v>
      </c>
      <c r="D74" s="501">
        <f>'[47]Sch C'!F67</f>
        <v>0</v>
      </c>
      <c r="E74" s="171">
        <f t="shared" si="7"/>
        <v>66603</v>
      </c>
      <c r="F74" s="171"/>
      <c r="G74" s="171">
        <f t="shared" si="8"/>
        <v>66603</v>
      </c>
      <c r="H74" s="172">
        <f t="shared" si="9"/>
        <v>1.2690602936541841E-2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'[47]Sch C'!D68</f>
        <v>0</v>
      </c>
      <c r="D75" s="501">
        <f>'[47]Sch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'[47]Sch C'!D69</f>
        <v>6968</v>
      </c>
      <c r="D76" s="501">
        <f>'[47]Sch C'!F69</f>
        <v>0</v>
      </c>
      <c r="E76" s="171">
        <f t="shared" si="7"/>
        <v>6968</v>
      </c>
      <c r="F76" s="171"/>
      <c r="G76" s="171">
        <f t="shared" si="8"/>
        <v>6968</v>
      </c>
      <c r="H76" s="172">
        <f t="shared" si="9"/>
        <v>1.3276897626506845E-3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'[47]Sch C'!D70</f>
        <v>0</v>
      </c>
      <c r="D77" s="501">
        <f>'[47]Sch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'[47]Sch C'!D71</f>
        <v>0</v>
      </c>
      <c r="D78" s="501">
        <f>'[47]Sch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860262</v>
      </c>
      <c r="D79" s="501">
        <f>SUM(D64:D78)</f>
        <v>0</v>
      </c>
      <c r="E79" s="171">
        <f t="shared" ref="E79:F79" si="10">SUM(E64:E78)</f>
        <v>860262</v>
      </c>
      <c r="F79" s="171">
        <f t="shared" si="10"/>
        <v>-450313</v>
      </c>
      <c r="G79" s="171">
        <f>SUM(G64:G78)</f>
        <v>409949</v>
      </c>
      <c r="H79" s="172">
        <f t="shared" si="9"/>
        <v>7.8112096800930758E-2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'[47]Sch C'!D75</f>
        <v>46214</v>
      </c>
      <c r="D82" s="501">
        <f>'[47]Sch C'!F75</f>
        <v>2585</v>
      </c>
      <c r="E82" s="171">
        <f t="shared" ref="E82:E92" si="11">C82+D82</f>
        <v>48799</v>
      </c>
      <c r="F82" s="171"/>
      <c r="G82" s="171">
        <f t="shared" ref="G82:G92" si="12">E82+F82</f>
        <v>48799</v>
      </c>
      <c r="H82" s="172">
        <f t="shared" ref="H82:H93" si="13">IF($G$208=0,0,G82/$G$208)</f>
        <v>9.2982107818011996E-3</v>
      </c>
      <c r="I82" s="473"/>
      <c r="J82" s="183">
        <v>2089</v>
      </c>
      <c r="K82" s="183">
        <v>2206</v>
      </c>
    </row>
    <row r="83" spans="1:11" s="167" customFormat="1">
      <c r="A83" s="169" t="s">
        <v>86</v>
      </c>
      <c r="B83" s="199" t="s">
        <v>45</v>
      </c>
      <c r="C83" s="501">
        <f>'[47]Sch C'!D76</f>
        <v>0</v>
      </c>
      <c r="D83" s="501">
        <f>'[47]Sch C'!F76</f>
        <v>5838</v>
      </c>
      <c r="E83" s="171">
        <f t="shared" si="11"/>
        <v>5838</v>
      </c>
      <c r="F83" s="171"/>
      <c r="G83" s="171">
        <f t="shared" si="12"/>
        <v>5838</v>
      </c>
      <c r="H83" s="172">
        <f t="shared" si="13"/>
        <v>1.112378420544589E-3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'[47]Sch C'!D77</f>
        <v>16103</v>
      </c>
      <c r="D84" s="501">
        <f>'[47]Sch C'!F77</f>
        <v>0</v>
      </c>
      <c r="E84" s="171">
        <f t="shared" si="11"/>
        <v>16103</v>
      </c>
      <c r="F84" s="171"/>
      <c r="G84" s="171">
        <f t="shared" si="12"/>
        <v>16103</v>
      </c>
      <c r="H84" s="172">
        <f t="shared" si="13"/>
        <v>3.0682818955172181E-3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'[47]Sch C'!D78</f>
        <v>0</v>
      </c>
      <c r="D85" s="501">
        <f>'[47]Sch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'[47]Sch C'!D79</f>
        <v>10660</v>
      </c>
      <c r="D86" s="501">
        <f>'[47]Sch C'!F79</f>
        <v>0</v>
      </c>
      <c r="E86" s="171">
        <f t="shared" si="11"/>
        <v>10660</v>
      </c>
      <c r="F86" s="171"/>
      <c r="G86" s="171">
        <f>E86+F86</f>
        <v>10660</v>
      </c>
      <c r="H86" s="172">
        <f t="shared" si="13"/>
        <v>2.0311671742044056E-3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'[47]Sch C'!D80</f>
        <v>24393</v>
      </c>
      <c r="D87" s="501">
        <f>'[47]Sch C'!F80</f>
        <v>0</v>
      </c>
      <c r="E87" s="171">
        <f t="shared" si="11"/>
        <v>24393</v>
      </c>
      <c r="F87" s="171"/>
      <c r="G87" s="171">
        <f t="shared" si="12"/>
        <v>24393</v>
      </c>
      <c r="H87" s="172">
        <f t="shared" si="13"/>
        <v>4.6478668743309632E-3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'[47]Sch C'!D81</f>
        <v>13809</v>
      </c>
      <c r="D88" s="501">
        <f>'[47]Sch C'!F81</f>
        <v>0</v>
      </c>
      <c r="E88" s="171">
        <f t="shared" si="11"/>
        <v>13809</v>
      </c>
      <c r="F88" s="171"/>
      <c r="G88" s="171">
        <f t="shared" si="12"/>
        <v>13809</v>
      </c>
      <c r="H88" s="172">
        <f t="shared" si="13"/>
        <v>2.6311808169407727E-3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'[47]Sch C'!D82</f>
        <v>5001</v>
      </c>
      <c r="D89" s="501">
        <f>'[47]Sch C'!F82</f>
        <v>0</v>
      </c>
      <c r="E89" s="171">
        <f t="shared" si="11"/>
        <v>5001</v>
      </c>
      <c r="F89" s="171"/>
      <c r="G89" s="171">
        <f t="shared" si="12"/>
        <v>5001</v>
      </c>
      <c r="H89" s="172">
        <f t="shared" si="13"/>
        <v>9.5289559457750772E-4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'[47]Sch C'!D83</f>
        <v>0</v>
      </c>
      <c r="D90" s="501">
        <f>'[47]Sch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'[47]Sch C'!D84</f>
        <v>72347</v>
      </c>
      <c r="D91" s="501">
        <f>'[47]Sch C'!F84</f>
        <v>0</v>
      </c>
      <c r="E91" s="171">
        <f t="shared" si="11"/>
        <v>72347</v>
      </c>
      <c r="F91" s="171"/>
      <c r="G91" s="171">
        <f t="shared" si="12"/>
        <v>72347</v>
      </c>
      <c r="H91" s="172">
        <f t="shared" si="13"/>
        <v>1.3785070502079375E-2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'[47]Sch C'!D85</f>
        <v>0</v>
      </c>
      <c r="D92" s="501">
        <f>'[47]Sch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188527</v>
      </c>
      <c r="D93" s="501">
        <f>SUM(D82:D92)</f>
        <v>8423</v>
      </c>
      <c r="E93" s="171">
        <f t="shared" ref="E93:F93" si="14">SUM(E82:E92)</f>
        <v>196950</v>
      </c>
      <c r="F93" s="171">
        <f t="shared" si="14"/>
        <v>0</v>
      </c>
      <c r="G93" s="171">
        <f>SUM(G82:G92)</f>
        <v>196950</v>
      </c>
      <c r="H93" s="172">
        <f t="shared" si="13"/>
        <v>3.7527052059996027E-2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'[47]Sch C'!D89</f>
        <v>148595</v>
      </c>
      <c r="D96" s="501">
        <f>'[47]Sch C'!F89</f>
        <v>8313</v>
      </c>
      <c r="E96" s="171">
        <f t="shared" ref="E96:E101" si="15">C96+D96</f>
        <v>156908</v>
      </c>
      <c r="F96" s="171"/>
      <c r="G96" s="171">
        <f t="shared" ref="G96:G101" si="16">E96+F96</f>
        <v>156908</v>
      </c>
      <c r="H96" s="172">
        <f t="shared" ref="H96:H102" si="17">IF($G$208=0,0,G96/$G$208)</f>
        <v>2.9897408909011713E-2</v>
      </c>
      <c r="I96" s="473"/>
      <c r="J96" s="183">
        <v>10241</v>
      </c>
      <c r="K96" s="183">
        <v>10814</v>
      </c>
    </row>
    <row r="97" spans="1:11" s="167" customFormat="1">
      <c r="A97" s="169" t="s">
        <v>86</v>
      </c>
      <c r="B97" s="170" t="s">
        <v>45</v>
      </c>
      <c r="C97" s="501">
        <f>'[47]Sch C'!D90</f>
        <v>0</v>
      </c>
      <c r="D97" s="501">
        <f>'[47]Sch C'!F90</f>
        <v>18772</v>
      </c>
      <c r="E97" s="171">
        <f t="shared" si="15"/>
        <v>18772</v>
      </c>
      <c r="F97" s="171"/>
      <c r="G97" s="171">
        <f t="shared" si="16"/>
        <v>18772</v>
      </c>
      <c r="H97" s="172">
        <f t="shared" si="17"/>
        <v>3.5768358531111728E-3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'[47]Sch C'!D91</f>
        <v>18409</v>
      </c>
      <c r="D98" s="501">
        <f>'[47]Sch C'!F91</f>
        <v>0</v>
      </c>
      <c r="E98" s="171">
        <f t="shared" si="15"/>
        <v>18409</v>
      </c>
      <c r="F98" s="171"/>
      <c r="G98" s="171">
        <f t="shared" si="16"/>
        <v>18409</v>
      </c>
      <c r="H98" s="172">
        <f t="shared" si="17"/>
        <v>3.5076694662222233E-3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'[47]Sch C'!D92</f>
        <v>127539</v>
      </c>
      <c r="D99" s="501">
        <f>'[47]Sch C'!F92</f>
        <v>0</v>
      </c>
      <c r="E99" s="171">
        <f t="shared" si="15"/>
        <v>127539</v>
      </c>
      <c r="F99" s="171"/>
      <c r="G99" s="171">
        <f t="shared" si="16"/>
        <v>127539</v>
      </c>
      <c r="H99" s="172">
        <f t="shared" si="17"/>
        <v>2.4301409965371078E-2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'[47]Sch C'!D93</f>
        <v>13500</v>
      </c>
      <c r="D100" s="501">
        <f>'[47]Sch C'!F93</f>
        <v>0</v>
      </c>
      <c r="E100" s="171">
        <f t="shared" si="15"/>
        <v>13500</v>
      </c>
      <c r="F100" s="171"/>
      <c r="G100" s="171">
        <f t="shared" si="16"/>
        <v>13500</v>
      </c>
      <c r="H100" s="172">
        <f t="shared" si="17"/>
        <v>2.5723036446303449E-3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'[47]Sch C'!D94</f>
        <v>0</v>
      </c>
      <c r="D101" s="501">
        <f>'[47]Sch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308043</v>
      </c>
      <c r="D102" s="501">
        <f>SUM(D96:D101)</f>
        <v>27085</v>
      </c>
      <c r="E102" s="171">
        <f t="shared" ref="E102:F102" si="18">SUM(E96:E101)</f>
        <v>335128</v>
      </c>
      <c r="F102" s="171">
        <f t="shared" si="18"/>
        <v>0</v>
      </c>
      <c r="G102" s="171">
        <f>SUM(G96:G101)</f>
        <v>335128</v>
      </c>
      <c r="H102" s="172">
        <f t="shared" si="17"/>
        <v>6.3855627838346529E-2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'[47]Sch C'!D98</f>
        <v>0</v>
      </c>
      <c r="D105" s="501">
        <f>'[47]Sch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'[47]Sch C'!D99</f>
        <v>0</v>
      </c>
      <c r="D106" s="501">
        <f>'[47]Sch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523"/>
      <c r="K106" s="168"/>
    </row>
    <row r="107" spans="1:11" s="167" customFormat="1">
      <c r="A107" s="169">
        <v>110</v>
      </c>
      <c r="B107" s="170" t="s">
        <v>47</v>
      </c>
      <c r="C107" s="501">
        <f>'[47]Sch C'!D100</f>
        <v>3468</v>
      </c>
      <c r="D107" s="501">
        <f>'[47]Sch C'!F100</f>
        <v>0</v>
      </c>
      <c r="E107" s="171">
        <f t="shared" si="19"/>
        <v>3468</v>
      </c>
      <c r="F107" s="171"/>
      <c r="G107" s="171">
        <f t="shared" si="20"/>
        <v>3468</v>
      </c>
      <c r="H107" s="172">
        <f t="shared" si="21"/>
        <v>6.6079622515392855E-4</v>
      </c>
      <c r="I107" s="473"/>
      <c r="J107" s="523"/>
      <c r="K107" s="168"/>
    </row>
    <row r="108" spans="1:11" s="167" customFormat="1">
      <c r="A108" s="169">
        <v>310</v>
      </c>
      <c r="B108" s="170" t="s">
        <v>54</v>
      </c>
      <c r="C108" s="501">
        <f>'[47]Sch C'!D101</f>
        <v>710</v>
      </c>
      <c r="D108" s="501">
        <f>'[47]Sch C'!F101</f>
        <v>0</v>
      </c>
      <c r="E108" s="171">
        <f t="shared" si="19"/>
        <v>710</v>
      </c>
      <c r="F108" s="171"/>
      <c r="G108" s="171">
        <f t="shared" si="20"/>
        <v>710</v>
      </c>
      <c r="H108" s="172">
        <f t="shared" si="21"/>
        <v>1.352841176064848E-4</v>
      </c>
      <c r="I108" s="473"/>
      <c r="J108" s="523"/>
      <c r="K108" s="168"/>
    </row>
    <row r="109" spans="1:11" s="167" customFormat="1">
      <c r="A109" s="169">
        <v>410</v>
      </c>
      <c r="B109" s="170" t="s">
        <v>57</v>
      </c>
      <c r="C109" s="501">
        <f>'[47]Sch C'!D102</f>
        <v>7298</v>
      </c>
      <c r="D109" s="501">
        <f>'[47]Sch C'!F102</f>
        <v>0</v>
      </c>
      <c r="E109" s="171">
        <f t="shared" si="19"/>
        <v>7298</v>
      </c>
      <c r="F109" s="171"/>
      <c r="G109" s="171">
        <f t="shared" si="20"/>
        <v>7298</v>
      </c>
      <c r="H109" s="172">
        <f t="shared" si="21"/>
        <v>1.390568296186093E-3</v>
      </c>
      <c r="I109" s="473"/>
      <c r="J109" s="523"/>
      <c r="K109" s="168"/>
    </row>
    <row r="110" spans="1:11" s="167" customFormat="1">
      <c r="A110" s="169">
        <v>490</v>
      </c>
      <c r="B110" s="202" t="s">
        <v>312</v>
      </c>
      <c r="C110" s="501">
        <f>'[47]Sch C'!D103</f>
        <v>0</v>
      </c>
      <c r="D110" s="501">
        <f>'[47]Sch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567"/>
      <c r="K110" s="168"/>
    </row>
    <row r="111" spans="1:11" s="167" customFormat="1">
      <c r="A111" s="163"/>
      <c r="B111" s="170" t="s">
        <v>58</v>
      </c>
      <c r="C111" s="501">
        <f>SUM(C105:C110)</f>
        <v>11476</v>
      </c>
      <c r="D111" s="501">
        <f>SUM(D105:D110)</f>
        <v>0</v>
      </c>
      <c r="E111" s="171">
        <f t="shared" ref="E111:F111" si="22">SUM(E105:E110)</f>
        <v>11476</v>
      </c>
      <c r="F111" s="171">
        <f t="shared" si="22"/>
        <v>0</v>
      </c>
      <c r="G111" s="171">
        <f>SUM(G105:G110)</f>
        <v>11476</v>
      </c>
      <c r="H111" s="172">
        <f t="shared" si="21"/>
        <v>2.1866486389465062E-3</v>
      </c>
      <c r="I111" s="473"/>
      <c r="J111" s="567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567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'[47]Sch C'!D115</f>
        <v>75511</v>
      </c>
      <c r="D114" s="501">
        <f>'[47]Sch C'!F115</f>
        <v>4224</v>
      </c>
      <c r="E114" s="171">
        <f t="shared" ref="E114:E118" si="23">C114+D114</f>
        <v>79735</v>
      </c>
      <c r="F114" s="171"/>
      <c r="G114" s="171">
        <f>E114+F114</f>
        <v>79735</v>
      </c>
      <c r="H114" s="172">
        <f t="shared" ref="H114:H119" si="24">IF($G$208=0,0,G114/$G$208)</f>
        <v>1.519278748922967E-2</v>
      </c>
      <c r="I114" s="473"/>
      <c r="J114" s="183">
        <v>7254</v>
      </c>
      <c r="K114" s="183">
        <v>7660</v>
      </c>
    </row>
    <row r="115" spans="1:11" s="167" customFormat="1">
      <c r="A115" s="169" t="s">
        <v>86</v>
      </c>
      <c r="B115" s="170" t="s">
        <v>151</v>
      </c>
      <c r="C115" s="501">
        <f>'[47]Sch C'!D116</f>
        <v>0</v>
      </c>
      <c r="D115" s="501">
        <f>'[47]Sch C'!F116</f>
        <v>9539</v>
      </c>
      <c r="E115" s="171">
        <f t="shared" si="23"/>
        <v>9539</v>
      </c>
      <c r="F115" s="171"/>
      <c r="G115" s="171">
        <f>E115+F115</f>
        <v>9539</v>
      </c>
      <c r="H115" s="172">
        <f t="shared" si="24"/>
        <v>1.8175707011947302E-3</v>
      </c>
      <c r="I115" s="473" t="s">
        <v>402</v>
      </c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'[47]Sch C'!D117</f>
        <v>15662</v>
      </c>
      <c r="D116" s="501">
        <f>'[47]Sch C'!F117</f>
        <v>0</v>
      </c>
      <c r="E116" s="171">
        <f t="shared" si="23"/>
        <v>15662</v>
      </c>
      <c r="F116" s="171"/>
      <c r="G116" s="171">
        <f>E116+F116</f>
        <v>15662</v>
      </c>
      <c r="H116" s="172">
        <f t="shared" si="24"/>
        <v>2.9842533097926265E-3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'[47]Sch C'!D118</f>
        <v>6584</v>
      </c>
      <c r="D117" s="501">
        <f>'[47]Sch C'!F118</f>
        <v>0</v>
      </c>
      <c r="E117" s="171">
        <f t="shared" si="23"/>
        <v>6584</v>
      </c>
      <c r="F117" s="171"/>
      <c r="G117" s="171">
        <f>E117+F117</f>
        <v>6584</v>
      </c>
      <c r="H117" s="172">
        <f t="shared" si="24"/>
        <v>1.2545220145367547E-3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'[47]Sch C'!D119</f>
        <v>0</v>
      </c>
      <c r="D118" s="501">
        <f>'[47]Sch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97757</v>
      </c>
      <c r="D119" s="501">
        <f>SUM(D114:D118)</f>
        <v>13763</v>
      </c>
      <c r="E119" s="171">
        <f t="shared" ref="E119:F119" si="25">SUM(E114:E118)</f>
        <v>111520</v>
      </c>
      <c r="F119" s="171">
        <f t="shared" si="25"/>
        <v>0</v>
      </c>
      <c r="G119" s="171">
        <f>SUM(G114:G118)</f>
        <v>111520</v>
      </c>
      <c r="H119" s="172">
        <f t="shared" si="24"/>
        <v>2.1249133514753781E-2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'[47]Sch C'!D124</f>
        <v>0</v>
      </c>
      <c r="D123" s="501">
        <f>'[47]Sch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'[47]Sch C'!D125</f>
        <v>158080</v>
      </c>
      <c r="D124" s="501">
        <f>'[47]Sch C'!F125</f>
        <v>8844</v>
      </c>
      <c r="E124" s="171">
        <f t="shared" si="26"/>
        <v>166924</v>
      </c>
      <c r="F124" s="171">
        <v>54912.259746829812</v>
      </c>
      <c r="G124" s="171">
        <f>E124+F124</f>
        <v>221836.2597468298</v>
      </c>
      <c r="H124" s="172">
        <f>IF($G$208=0,0,G124/$G$208)</f>
        <v>4.2268905145032155E-2</v>
      </c>
      <c r="I124" s="473" t="s">
        <v>402</v>
      </c>
      <c r="J124" s="183">
        <v>4064</v>
      </c>
      <c r="K124" s="183">
        <v>4291</v>
      </c>
    </row>
    <row r="125" spans="1:11" s="167" customFormat="1">
      <c r="A125" s="163" t="s">
        <v>198</v>
      </c>
      <c r="B125" s="163" t="s">
        <v>195</v>
      </c>
      <c r="C125" s="501">
        <f>'[47]Sch C'!D126</f>
        <v>39012</v>
      </c>
      <c r="D125" s="501">
        <f>'[47]Sch C'!F126</f>
        <v>2183</v>
      </c>
      <c r="E125" s="171">
        <f t="shared" si="26"/>
        <v>41195</v>
      </c>
      <c r="F125" s="171"/>
      <c r="G125" s="171">
        <f>E125+F125</f>
        <v>41195</v>
      </c>
      <c r="H125" s="172">
        <f>IF($G$208=0,0,G125/$G$208)</f>
        <v>7.849336936336819E-3</v>
      </c>
      <c r="I125" s="473"/>
      <c r="J125" s="183">
        <v>1415</v>
      </c>
      <c r="K125" s="183">
        <v>1494</v>
      </c>
    </row>
    <row r="126" spans="1:11" s="167" customFormat="1">
      <c r="A126" s="169"/>
      <c r="B126" s="163" t="s">
        <v>196</v>
      </c>
      <c r="C126" s="501">
        <f>'[47]Sch C'!D127</f>
        <v>0</v>
      </c>
      <c r="D126" s="501">
        <f>'[47]Sch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'[47]Sch C'!D128</f>
        <v>30481</v>
      </c>
      <c r="D127" s="501">
        <f>'[47]Sch C'!F128</f>
        <v>1705</v>
      </c>
      <c r="E127" s="171">
        <f t="shared" si="26"/>
        <v>32186</v>
      </c>
      <c r="F127" s="171"/>
      <c r="G127" s="171">
        <f>E127+F127</f>
        <v>32186</v>
      </c>
      <c r="H127" s="172">
        <f>IF($G$208=0,0,G127/$G$208)</f>
        <v>6.1327529708201682E-3</v>
      </c>
      <c r="I127" s="473"/>
      <c r="J127" s="183">
        <v>1949</v>
      </c>
      <c r="K127" s="183">
        <v>2058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'[47]Sch C'!D130</f>
        <v>0</v>
      </c>
      <c r="D129" s="501">
        <f>'[47]Sch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'[47]Sch C'!D131</f>
        <v>0</v>
      </c>
      <c r="D130" s="501">
        <f>'[47]Sch C'!F131</f>
        <v>19970</v>
      </c>
      <c r="E130" s="171">
        <f t="shared" si="27"/>
        <v>19970</v>
      </c>
      <c r="F130" s="171">
        <f>4074.89022741962</f>
        <v>4074.8902274196198</v>
      </c>
      <c r="G130" s="171">
        <f>E130+F130</f>
        <v>24044.890227419619</v>
      </c>
      <c r="H130" s="172">
        <f>IF($G$208=0,0,G130/$G$208)</f>
        <v>4.5815376864242995E-3</v>
      </c>
      <c r="I130" s="473"/>
      <c r="J130" s="204"/>
      <c r="K130" s="204"/>
    </row>
    <row r="131" spans="1:11" s="167" customFormat="1">
      <c r="B131" s="163" t="s">
        <v>195</v>
      </c>
      <c r="C131" s="501">
        <f>'[47]Sch C'!D132</f>
        <v>0</v>
      </c>
      <c r="D131" s="501">
        <f>'[47]Sch C'!F132</f>
        <v>4928</v>
      </c>
      <c r="E131" s="171">
        <f t="shared" si="27"/>
        <v>4928</v>
      </c>
      <c r="F131" s="171"/>
      <c r="G131" s="171">
        <f>E131+F131</f>
        <v>4928</v>
      </c>
      <c r="H131" s="172">
        <f>IF($G$208=0,0,G131/$G$208)</f>
        <v>9.3898610079543249E-4</v>
      </c>
      <c r="I131" s="473"/>
      <c r="J131" s="168"/>
      <c r="K131" s="168"/>
    </row>
    <row r="132" spans="1:11" s="167" customFormat="1">
      <c r="B132" s="163" t="s">
        <v>196</v>
      </c>
      <c r="C132" s="501">
        <f>'[47]Sch C'!D133</f>
        <v>0</v>
      </c>
      <c r="D132" s="501">
        <f>'[47]Sch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'[47]Sch C'!D134</f>
        <v>0</v>
      </c>
      <c r="D133" s="501">
        <f>'[47]Sch C'!F134</f>
        <v>3851</v>
      </c>
      <c r="E133" s="171">
        <f t="shared" si="27"/>
        <v>3851</v>
      </c>
      <c r="F133" s="171"/>
      <c r="G133" s="171">
        <f>E133+F133</f>
        <v>3851</v>
      </c>
      <c r="H133" s="172">
        <f>IF($G$208=0,0,G133/$G$208)</f>
        <v>7.3377343225714496E-4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'[47]Sch C'!D136</f>
        <v>256218</v>
      </c>
      <c r="D135" s="501">
        <f>'[47]Sch C'!F136</f>
        <v>14334</v>
      </c>
      <c r="E135" s="171">
        <f t="shared" ref="E135:E138" si="28">C135+D135</f>
        <v>270552</v>
      </c>
      <c r="F135" s="171"/>
      <c r="G135" s="171">
        <f>E135+F135</f>
        <v>270552</v>
      </c>
      <c r="H135" s="172">
        <f>IF($G$208=0,0,G135/$G$208)</f>
        <v>5.1551251530520668E-2</v>
      </c>
      <c r="I135" s="473"/>
      <c r="J135" s="183">
        <v>8572</v>
      </c>
      <c r="K135" s="183">
        <v>9052</v>
      </c>
    </row>
    <row r="136" spans="1:11" s="167" customFormat="1">
      <c r="A136" s="169"/>
      <c r="B136" s="163" t="s">
        <v>195</v>
      </c>
      <c r="C136" s="501">
        <f>'[47]Sch C'!D137</f>
        <v>332983</v>
      </c>
      <c r="D136" s="501">
        <f>'[47]Sch C'!F137</f>
        <v>18629</v>
      </c>
      <c r="E136" s="171">
        <f t="shared" si="28"/>
        <v>351612</v>
      </c>
      <c r="F136" s="171"/>
      <c r="G136" s="171">
        <f>E136+F136</f>
        <v>351612</v>
      </c>
      <c r="H136" s="172">
        <f>IF($G$208=0,0,G136/$G$208)</f>
        <v>6.6996505858945538E-2</v>
      </c>
      <c r="I136" s="473"/>
      <c r="J136" s="183">
        <v>12513</v>
      </c>
      <c r="K136" s="183">
        <v>13213</v>
      </c>
    </row>
    <row r="137" spans="1:11" s="167" customFormat="1">
      <c r="A137" s="169"/>
      <c r="B137" s="163" t="s">
        <v>196</v>
      </c>
      <c r="C137" s="501">
        <f>'[47]Sch C'!D138</f>
        <v>528972</v>
      </c>
      <c r="D137" s="501">
        <f>'[47]Sch C'!F138</f>
        <v>29594</v>
      </c>
      <c r="E137" s="171">
        <f t="shared" si="28"/>
        <v>558566</v>
      </c>
      <c r="F137" s="171"/>
      <c r="G137" s="171">
        <f>E137+F137</f>
        <v>558566</v>
      </c>
      <c r="H137" s="172">
        <f>IF($G$208=0,0,G137/$G$208)</f>
        <v>0.106429730190118</v>
      </c>
      <c r="I137" s="473"/>
      <c r="J137" s="183">
        <v>41006</v>
      </c>
      <c r="K137" s="183">
        <v>43300</v>
      </c>
    </row>
    <row r="138" spans="1:11" s="167" customFormat="1">
      <c r="A138" s="169"/>
      <c r="B138" s="163" t="s">
        <v>197</v>
      </c>
      <c r="C138" s="501">
        <f>'[47]Sch C'!D139</f>
        <v>112416</v>
      </c>
      <c r="D138" s="501">
        <f>'[47]Sch C'!F139</f>
        <v>6289</v>
      </c>
      <c r="E138" s="171">
        <f t="shared" si="28"/>
        <v>118705</v>
      </c>
      <c r="F138" s="171"/>
      <c r="G138" s="171">
        <f>E138+F138</f>
        <v>118705</v>
      </c>
      <c r="H138" s="172">
        <f>IF($G$208=0,0,G138/$G$208)</f>
        <v>2.2618170676729263E-2</v>
      </c>
      <c r="I138" s="473"/>
      <c r="J138" s="183">
        <v>8321</v>
      </c>
      <c r="K138" s="183">
        <v>8787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'[47]Sch C'!D141</f>
        <v>0</v>
      </c>
      <c r="D140" s="501">
        <f>'[47]Sch C'!F141</f>
        <v>32367</v>
      </c>
      <c r="E140" s="171">
        <f t="shared" ref="E140:E143" si="29">C140+D140</f>
        <v>32367</v>
      </c>
      <c r="F140" s="171"/>
      <c r="G140" s="171">
        <f>E140+F140</f>
        <v>32367</v>
      </c>
      <c r="H140" s="172">
        <f>IF($G$208=0,0,G140/$G$208)</f>
        <v>6.1672408937592862E-3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'[47]Sch C'!D142</f>
        <v>0</v>
      </c>
      <c r="D141" s="501">
        <f>'[47]Sch C'!F142</f>
        <v>42066</v>
      </c>
      <c r="E141" s="171">
        <f t="shared" si="29"/>
        <v>42066</v>
      </c>
      <c r="F141" s="171"/>
      <c r="G141" s="171">
        <f>E141+F141</f>
        <v>42066</v>
      </c>
      <c r="H141" s="172">
        <f>IF($G$208=0,0,G141/$G$208)</f>
        <v>8.0152981566681547E-3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'[47]Sch C'!D143</f>
        <v>0</v>
      </c>
      <c r="D142" s="501">
        <f>'[47]Sch C'!F143</f>
        <v>66824</v>
      </c>
      <c r="E142" s="171">
        <f t="shared" si="29"/>
        <v>66824</v>
      </c>
      <c r="F142" s="171"/>
      <c r="G142" s="171">
        <f>E142+F142</f>
        <v>66824</v>
      </c>
      <c r="H142" s="172">
        <f>IF($G$208=0,0,G142/$G$208)</f>
        <v>1.2732712499909492E-2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'[47]Sch C'!D144</f>
        <v>0</v>
      </c>
      <c r="D143" s="501">
        <f>'[47]Sch C'!F144</f>
        <v>14202</v>
      </c>
      <c r="E143" s="171">
        <f t="shared" si="29"/>
        <v>14202</v>
      </c>
      <c r="F143" s="171"/>
      <c r="G143" s="171">
        <f>E143+F143</f>
        <v>14202</v>
      </c>
      <c r="H143" s="172">
        <f>IF($G$208=0,0,G143/$G$208)</f>
        <v>2.7060634341511225E-3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'[47]Sch C'!D146</f>
        <v>23163</v>
      </c>
      <c r="D145" s="501">
        <f>'[47]Sch C'!F146</f>
        <v>0</v>
      </c>
      <c r="E145" s="171">
        <f t="shared" ref="E145:E153" si="30">C145+D145</f>
        <v>23163</v>
      </c>
      <c r="F145" s="171"/>
      <c r="G145" s="171">
        <f t="shared" ref="G145:G153" si="31">E145+F145</f>
        <v>23163</v>
      </c>
      <c r="H145" s="172">
        <f t="shared" ref="H145:H153" si="32">IF($G$208=0,0,G145/$G$208)</f>
        <v>4.4135014311535315E-3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'[47]Sch C'!D147</f>
        <v>2448</v>
      </c>
      <c r="D146" s="501">
        <f>'[47]Sch C'!F147</f>
        <v>0</v>
      </c>
      <c r="E146" s="171">
        <f t="shared" si="30"/>
        <v>2448</v>
      </c>
      <c r="F146" s="171"/>
      <c r="G146" s="171">
        <f t="shared" si="31"/>
        <v>2448</v>
      </c>
      <c r="H146" s="172">
        <f t="shared" si="32"/>
        <v>4.6644439422630253E-4</v>
      </c>
      <c r="I146" s="473"/>
      <c r="J146" s="183">
        <v>45</v>
      </c>
      <c r="K146" s="183">
        <v>45</v>
      </c>
    </row>
    <row r="147" spans="1:11" s="167" customFormat="1">
      <c r="A147" s="169"/>
      <c r="B147" s="163" t="s">
        <v>195</v>
      </c>
      <c r="C147" s="501">
        <f>'[47]Sch C'!D148</f>
        <v>484</v>
      </c>
      <c r="D147" s="501">
        <f>'[47]Sch C'!F148</f>
        <v>0</v>
      </c>
      <c r="E147" s="171">
        <f t="shared" si="30"/>
        <v>484</v>
      </c>
      <c r="F147" s="171"/>
      <c r="G147" s="171">
        <f t="shared" si="31"/>
        <v>484</v>
      </c>
      <c r="H147" s="172">
        <f t="shared" si="32"/>
        <v>9.2221849185265695E-5</v>
      </c>
      <c r="I147" s="473"/>
      <c r="J147" s="183">
        <v>14</v>
      </c>
      <c r="K147" s="183">
        <v>14</v>
      </c>
    </row>
    <row r="148" spans="1:11" s="167" customFormat="1">
      <c r="A148" s="169"/>
      <c r="B148" s="163" t="s">
        <v>196</v>
      </c>
      <c r="C148" s="501">
        <f>'[47]Sch C'!D149</f>
        <v>14253</v>
      </c>
      <c r="D148" s="501">
        <f>'[47]Sch C'!F149</f>
        <v>0</v>
      </c>
      <c r="E148" s="171">
        <f t="shared" si="30"/>
        <v>14253</v>
      </c>
      <c r="F148" s="171"/>
      <c r="G148" s="171">
        <f t="shared" si="31"/>
        <v>14253</v>
      </c>
      <c r="H148" s="172">
        <f t="shared" si="32"/>
        <v>2.715781025697504E-3</v>
      </c>
      <c r="I148" s="473"/>
      <c r="J148" s="183">
        <v>713</v>
      </c>
      <c r="K148" s="183">
        <v>713</v>
      </c>
    </row>
    <row r="149" spans="1:11" s="167" customFormat="1">
      <c r="A149" s="169"/>
      <c r="B149" s="163" t="s">
        <v>197</v>
      </c>
      <c r="C149" s="501">
        <f>'[47]Sch C'!D150</f>
        <v>15300</v>
      </c>
      <c r="D149" s="501">
        <f>'[47]Sch C'!F150</f>
        <v>0</v>
      </c>
      <c r="E149" s="171">
        <f t="shared" si="30"/>
        <v>15300</v>
      </c>
      <c r="F149" s="171"/>
      <c r="G149" s="171">
        <f t="shared" si="31"/>
        <v>15300</v>
      </c>
      <c r="H149" s="172">
        <f t="shared" si="32"/>
        <v>2.9152774639143908E-3</v>
      </c>
      <c r="I149" s="473"/>
      <c r="J149" s="183">
        <v>1020</v>
      </c>
      <c r="K149" s="183">
        <v>1020</v>
      </c>
    </row>
    <row r="150" spans="1:11" s="167" customFormat="1">
      <c r="A150" s="169">
        <v>110</v>
      </c>
      <c r="B150" s="167" t="s">
        <v>65</v>
      </c>
      <c r="C150" s="501">
        <f>'[47]Sch C'!D151</f>
        <v>93111</v>
      </c>
      <c r="D150" s="501">
        <f>'[47]Sch C'!F151</f>
        <v>0</v>
      </c>
      <c r="E150" s="171">
        <f t="shared" si="30"/>
        <v>93111</v>
      </c>
      <c r="F150" s="171">
        <v>3000</v>
      </c>
      <c r="G150" s="171">
        <f t="shared" si="31"/>
        <v>96111</v>
      </c>
      <c r="H150" s="172">
        <f t="shared" si="32"/>
        <v>1.8313087080671635E-2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'[47]Sch C'!D152</f>
        <v>3253</v>
      </c>
      <c r="D151" s="501">
        <f>'[47]Sch C'!F152</f>
        <v>0</v>
      </c>
      <c r="E151" s="171">
        <f t="shared" si="30"/>
        <v>3253</v>
      </c>
      <c r="F151" s="171"/>
      <c r="G151" s="171">
        <f t="shared" si="31"/>
        <v>3253</v>
      </c>
      <c r="H151" s="172">
        <f t="shared" si="32"/>
        <v>6.1982990785055636E-4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'[47]Sch C'!D153</f>
        <v>56</v>
      </c>
      <c r="D152" s="501">
        <f>'[47]Sch C'!F153</f>
        <v>0</v>
      </c>
      <c r="E152" s="171">
        <f t="shared" si="30"/>
        <v>56</v>
      </c>
      <c r="F152" s="171"/>
      <c r="G152" s="171">
        <f t="shared" si="31"/>
        <v>56</v>
      </c>
      <c r="H152" s="172">
        <f t="shared" si="32"/>
        <v>1.0670296599948096E-5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'[47]Sch C'!D154</f>
        <v>0</v>
      </c>
      <c r="D153" s="501">
        <f>'[47]Sch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'[47]Sch C'!D156</f>
        <v>0</v>
      </c>
      <c r="D155" s="501">
        <f>'[47]Sch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'[47]Sch C'!D157</f>
        <v>0</v>
      </c>
      <c r="D156" s="501">
        <f>'[47]Sch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'[47]Sch C'!D158</f>
        <v>0</v>
      </c>
      <c r="D157" s="501">
        <f>'[47]Sch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'[47]Sch C'!D159</f>
        <v>0</v>
      </c>
      <c r="D158" s="501">
        <f>'[47]Sch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'[47]Sch C'!D160</f>
        <v>0</v>
      </c>
      <c r="D159" s="501">
        <f>'[47]Sch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'[47]Sch C'!D161</f>
        <v>9385</v>
      </c>
      <c r="D160" s="501">
        <f>'[47]Sch C'!F161</f>
        <v>0</v>
      </c>
      <c r="E160" s="171">
        <f t="shared" si="33"/>
        <v>9385</v>
      </c>
      <c r="F160" s="171"/>
      <c r="G160" s="171">
        <f t="shared" si="34"/>
        <v>9385</v>
      </c>
      <c r="H160" s="172">
        <f t="shared" si="35"/>
        <v>1.788227385544873E-3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1619615</v>
      </c>
      <c r="D161" s="501">
        <f>SUM(D123:D160)</f>
        <v>265786</v>
      </c>
      <c r="E161" s="171">
        <f t="shared" ref="E161:F161" si="36">SUM(E123:E160)</f>
        <v>1885401</v>
      </c>
      <c r="F161" s="171">
        <f t="shared" si="36"/>
        <v>61987.149974249434</v>
      </c>
      <c r="G161" s="171">
        <f>SUM(G123:G160)</f>
        <v>1947388.1499742493</v>
      </c>
      <c r="H161" s="172">
        <f t="shared" si="35"/>
        <v>0.37105730634731154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'[47]Sch C'!D175</f>
        <v>0</v>
      </c>
      <c r="D164" s="501">
        <f>'[47]Sch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'[47]Sch C'!D176</f>
        <v>0</v>
      </c>
      <c r="D165" s="501">
        <f>'[47]Sch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'[47]Sch C'!D177</f>
        <v>240142</v>
      </c>
      <c r="D166" s="501">
        <f>'[47]Sch C'!F177</f>
        <v>13435</v>
      </c>
      <c r="E166" s="171">
        <f t="shared" si="37"/>
        <v>253577</v>
      </c>
      <c r="F166" s="216"/>
      <c r="G166" s="171">
        <f t="shared" si="38"/>
        <v>253577</v>
      </c>
      <c r="H166" s="172">
        <f t="shared" si="39"/>
        <v>4.8316817873661405E-2</v>
      </c>
      <c r="I166" s="483"/>
      <c r="J166" s="183">
        <v>8193</v>
      </c>
      <c r="K166" s="183">
        <v>8651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'[47]Sch C'!D178</f>
        <v>0</v>
      </c>
      <c r="D167" s="501">
        <f>'[47]Sch C'!F178</f>
        <v>30337</v>
      </c>
      <c r="E167" s="171">
        <f t="shared" si="37"/>
        <v>30337</v>
      </c>
      <c r="F167" s="216"/>
      <c r="G167" s="171">
        <f t="shared" si="38"/>
        <v>30337</v>
      </c>
      <c r="H167" s="172">
        <f t="shared" si="39"/>
        <v>5.7804426420111684E-3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'[47]Sch C'!D179</f>
        <v>35520</v>
      </c>
      <c r="D168" s="501">
        <f>'[47]Sch C'!F179</f>
        <v>1987</v>
      </c>
      <c r="E168" s="171">
        <f t="shared" si="37"/>
        <v>37507</v>
      </c>
      <c r="F168" s="216"/>
      <c r="G168" s="171">
        <f t="shared" si="38"/>
        <v>37507</v>
      </c>
      <c r="H168" s="172">
        <f t="shared" si="39"/>
        <v>7.1466216888259508E-3</v>
      </c>
      <c r="I168" s="483"/>
      <c r="J168" s="183">
        <v>1081</v>
      </c>
      <c r="K168" s="183">
        <v>1141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'[47]Sch C'!D180</f>
        <v>0</v>
      </c>
      <c r="D169" s="501">
        <f>'[47]Sch C'!F180</f>
        <v>4487</v>
      </c>
      <c r="E169" s="171">
        <f t="shared" si="37"/>
        <v>4487</v>
      </c>
      <c r="F169" s="216"/>
      <c r="G169" s="171">
        <f t="shared" si="38"/>
        <v>4487</v>
      </c>
      <c r="H169" s="172">
        <f t="shared" si="39"/>
        <v>8.5495751507084128E-4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'[47]Sch C'!D181</f>
        <v>0</v>
      </c>
      <c r="D170" s="501">
        <f>'[47]Sch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'[47]Sch C'!D182</f>
        <v>0</v>
      </c>
      <c r="D171" s="501">
        <f>'[47]Sch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'[47]Sch C'!D183</f>
        <v>147425</v>
      </c>
      <c r="D172" s="501">
        <f>'[47]Sch C'!F183</f>
        <v>8248</v>
      </c>
      <c r="E172" s="171">
        <f t="shared" si="37"/>
        <v>155673</v>
      </c>
      <c r="F172" s="216"/>
      <c r="G172" s="171">
        <f t="shared" si="38"/>
        <v>155673</v>
      </c>
      <c r="H172" s="172">
        <f t="shared" si="39"/>
        <v>2.9662090760780715E-2</v>
      </c>
      <c r="I172" s="483"/>
      <c r="J172" s="183">
        <v>5006</v>
      </c>
      <c r="K172" s="183">
        <v>5286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'[47]Sch C'!D184</f>
        <v>0</v>
      </c>
      <c r="D173" s="501">
        <f>'[47]Sch C'!F184</f>
        <v>18624</v>
      </c>
      <c r="E173" s="171">
        <f t="shared" si="37"/>
        <v>18624</v>
      </c>
      <c r="F173" s="216"/>
      <c r="G173" s="171">
        <f t="shared" si="38"/>
        <v>18624</v>
      </c>
      <c r="H173" s="172">
        <f t="shared" si="39"/>
        <v>3.5486357835255956E-3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'[47]Sch C'!D185</f>
        <v>0</v>
      </c>
      <c r="D174" s="501">
        <f>'[47]Sch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'[47]Sch C'!D186</f>
        <v>0</v>
      </c>
      <c r="D175" s="501">
        <f>'[47]Sch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'[47]Sch C'!D187</f>
        <v>0</v>
      </c>
      <c r="D176" s="501">
        <f>'[47]Sch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'[47]Sch C'!D188</f>
        <v>830</v>
      </c>
      <c r="D177" s="501">
        <f>'[47]Sch C'!F188</f>
        <v>0</v>
      </c>
      <c r="E177" s="171">
        <f t="shared" si="37"/>
        <v>830</v>
      </c>
      <c r="F177" s="216"/>
      <c r="G177" s="171">
        <f t="shared" si="38"/>
        <v>830</v>
      </c>
      <c r="H177" s="172">
        <f t="shared" si="39"/>
        <v>1.5814903889208785E-4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'[47]Sch C'!D189</f>
        <v>0</v>
      </c>
      <c r="D178" s="501">
        <f>'[47]Sch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'[47]Sch C'!D190</f>
        <v>0</v>
      </c>
      <c r="D179" s="501">
        <f>'[47]Sch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'[47]Sch C'!D191</f>
        <v>0</v>
      </c>
      <c r="D180" s="501">
        <f>'[47]Sch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'[47]Sch C'!D192</f>
        <v>0</v>
      </c>
      <c r="D181" s="501">
        <f>'[47]Sch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'[47]Sch C'!D193</f>
        <v>0</v>
      </c>
      <c r="D182" s="501">
        <f>'[47]Sch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'[47]Sch C'!D194</f>
        <v>0</v>
      </c>
      <c r="D183" s="501">
        <f>'[47]Sch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'[47]Sch C'!D195</f>
        <v>3891</v>
      </c>
      <c r="D184" s="501">
        <f>'[47]Sch C'!F195</f>
        <v>0</v>
      </c>
      <c r="E184" s="171">
        <f t="shared" si="37"/>
        <v>3891</v>
      </c>
      <c r="F184" s="216"/>
      <c r="G184" s="171">
        <f t="shared" si="38"/>
        <v>3891</v>
      </c>
      <c r="H184" s="172">
        <f t="shared" si="39"/>
        <v>7.4139507268567936E-4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'[47]Sch C'!D196</f>
        <v>0</v>
      </c>
      <c r="D185" s="501">
        <f>'[47]Sch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'[47]Sch C'!D197</f>
        <v>0</v>
      </c>
      <c r="D186" s="501">
        <f>'[47]Sch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'[47]Sch C'!D198</f>
        <v>32573</v>
      </c>
      <c r="D187" s="501">
        <f>'[47]Sch C'!F198</f>
        <v>-2717</v>
      </c>
      <c r="E187" s="171">
        <f t="shared" si="37"/>
        <v>29856</v>
      </c>
      <c r="F187" s="216"/>
      <c r="G187" s="171">
        <f t="shared" si="38"/>
        <v>29856</v>
      </c>
      <c r="H187" s="172">
        <f t="shared" si="39"/>
        <v>5.6887924158580423E-3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'[47]Sch C'!D199</f>
        <v>0</v>
      </c>
      <c r="D188" s="501">
        <f>'[47]Sch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'[47]Sch C'!D200</f>
        <v>0</v>
      </c>
      <c r="D189" s="501">
        <f>'[47]Sch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'[47]Sch C'!D201</f>
        <v>0</v>
      </c>
      <c r="D190" s="501">
        <f>'[47]Sch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'[47]Sch C'!D202</f>
        <v>0</v>
      </c>
      <c r="D191" s="501">
        <f>'[47]Sch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'[47]Sch C'!D203</f>
        <v>0</v>
      </c>
      <c r="D192" s="501">
        <f>'[47]Sch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'[47]Sch C'!D204</f>
        <v>0</v>
      </c>
      <c r="D193" s="501">
        <f>'[47]Sch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'[47]Sch C'!D205</f>
        <v>181350</v>
      </c>
      <c r="D194" s="501">
        <f>'[47]Sch C'!F205</f>
        <v>0</v>
      </c>
      <c r="E194" s="171">
        <f t="shared" si="37"/>
        <v>181350</v>
      </c>
      <c r="F194" s="216"/>
      <c r="G194" s="171">
        <f t="shared" si="38"/>
        <v>181350</v>
      </c>
      <c r="H194" s="172">
        <f t="shared" si="39"/>
        <v>3.4554612292867631E-2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'[47]Sch C'!D206</f>
        <v>2232</v>
      </c>
      <c r="D195" s="501">
        <f>'[47]Sch C'!F206</f>
        <v>0</v>
      </c>
      <c r="E195" s="171">
        <f t="shared" si="37"/>
        <v>2232</v>
      </c>
      <c r="F195" s="216"/>
      <c r="G195" s="171">
        <f t="shared" si="38"/>
        <v>2232</v>
      </c>
      <c r="H195" s="172">
        <f t="shared" si="39"/>
        <v>4.25287535912217E-4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'[47]Sch C'!D207</f>
        <v>13723</v>
      </c>
      <c r="D196" s="501">
        <f>'[47]Sch C'!F207</f>
        <v>-599</v>
      </c>
      <c r="E196" s="171">
        <f t="shared" si="37"/>
        <v>13124</v>
      </c>
      <c r="F196" s="216"/>
      <c r="G196" s="171">
        <f t="shared" si="38"/>
        <v>13124</v>
      </c>
      <c r="H196" s="172">
        <f t="shared" si="39"/>
        <v>2.5006602246021217E-3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657686</v>
      </c>
      <c r="D197" s="501">
        <f>SUM(D164:D196)</f>
        <v>73802</v>
      </c>
      <c r="E197" s="171">
        <f t="shared" ref="E197:F197" si="40">SUM(E164:E196)</f>
        <v>731488</v>
      </c>
      <c r="F197" s="171">
        <f t="shared" si="40"/>
        <v>0</v>
      </c>
      <c r="G197" s="171">
        <f>SUM(G164:G196)</f>
        <v>731488</v>
      </c>
      <c r="H197" s="172">
        <f>IF($G$208=0,0,G197/$G$208)</f>
        <v>0.13937846284469346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'[47]Sch C'!D211</f>
        <v>76092</v>
      </c>
      <c r="D200" s="501">
        <f>'[47]Sch C'!F211</f>
        <v>4257</v>
      </c>
      <c r="E200" s="171">
        <f t="shared" ref="E200:E205" si="41">C200+D200</f>
        <v>80349</v>
      </c>
      <c r="F200" s="171"/>
      <c r="G200" s="171">
        <f t="shared" ref="G200:G205" si="42">E200+F200</f>
        <v>80349</v>
      </c>
      <c r="H200" s="172">
        <f t="shared" ref="H200:H206" si="43">IF($G$208=0,0,G200/$G$208)</f>
        <v>1.5309779669807672E-2</v>
      </c>
      <c r="I200" s="473"/>
      <c r="J200" s="183">
        <v>5486</v>
      </c>
      <c r="K200" s="183">
        <v>5793</v>
      </c>
    </row>
    <row r="201" spans="1:14" s="167" customFormat="1">
      <c r="A201" s="169" t="s">
        <v>86</v>
      </c>
      <c r="B201" s="170" t="s">
        <v>45</v>
      </c>
      <c r="C201" s="501">
        <f>'[47]Sch C'!D212</f>
        <v>0</v>
      </c>
      <c r="D201" s="501">
        <f>'[47]Sch C'!F212</f>
        <v>9613</v>
      </c>
      <c r="E201" s="171">
        <f t="shared" si="41"/>
        <v>9613</v>
      </c>
      <c r="F201" s="171"/>
      <c r="G201" s="171">
        <f t="shared" si="42"/>
        <v>9613</v>
      </c>
      <c r="H201" s="172">
        <f t="shared" si="43"/>
        <v>1.8316707359875188E-3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'[47]Sch C'!D213</f>
        <v>2598</v>
      </c>
      <c r="D202" s="501">
        <f>'[47]Sch C'!F213</f>
        <v>0</v>
      </c>
      <c r="E202" s="171">
        <f t="shared" si="41"/>
        <v>2598</v>
      </c>
      <c r="F202" s="171"/>
      <c r="G202" s="171">
        <f t="shared" si="42"/>
        <v>2598</v>
      </c>
      <c r="H202" s="172">
        <f t="shared" si="43"/>
        <v>4.9502554583330635E-4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'[47]Sch C'!D214</f>
        <v>0</v>
      </c>
      <c r="D203" s="501">
        <f>'[47]Sch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'[47]Sch C'!D215</f>
        <v>0</v>
      </c>
      <c r="D204" s="501">
        <f>'[47]Sch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'[47]Sch C'!D216</f>
        <v>4617</v>
      </c>
      <c r="D205" s="501">
        <f>'[47]Sch C'!F216</f>
        <v>0</v>
      </c>
      <c r="E205" s="171">
        <f t="shared" si="41"/>
        <v>4617</v>
      </c>
      <c r="F205" s="171"/>
      <c r="G205" s="171">
        <f t="shared" si="42"/>
        <v>4617</v>
      </c>
      <c r="H205" s="172">
        <f t="shared" si="43"/>
        <v>8.797278464635779E-4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83307</v>
      </c>
      <c r="D206" s="501">
        <f>SUM(D200:D205)</f>
        <v>13870</v>
      </c>
      <c r="E206" s="171">
        <f t="shared" ref="E206:F206" si="44">SUM(E200:E205)</f>
        <v>97177</v>
      </c>
      <c r="F206" s="171">
        <f t="shared" si="44"/>
        <v>0</v>
      </c>
      <c r="G206" s="171">
        <f>SUM(G200:G205)</f>
        <v>97177</v>
      </c>
      <c r="H206" s="172">
        <f t="shared" si="43"/>
        <v>1.8516203798092074E-2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6007051</v>
      </c>
      <c r="D208" s="501">
        <f>SUM(D25:D206)/2</f>
        <v>-284771</v>
      </c>
      <c r="E208" s="171">
        <f t="shared" ref="E208:F208" si="45">SUM(E25:E206)/2</f>
        <v>5722280</v>
      </c>
      <c r="F208" s="171">
        <f t="shared" si="45"/>
        <v>-474065.99999999994</v>
      </c>
      <c r="G208" s="171">
        <f>SUM(G25:G206)/2</f>
        <v>5248214</v>
      </c>
      <c r="H208" s="172">
        <f>IF($G$208=0,0,G208/$G$208)</f>
        <v>1</v>
      </c>
      <c r="I208" s="473"/>
      <c r="J208" s="183">
        <f>SUM(J25:J200)</f>
        <v>130450</v>
      </c>
      <c r="K208" s="183">
        <f>SUM(K25:K200)</f>
        <v>137647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'[47]Sch C'!D221</f>
        <v>6007051</v>
      </c>
      <c r="D211" s="196"/>
      <c r="E211" s="165"/>
      <c r="F211" s="409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09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5561</v>
      </c>
      <c r="D215" s="501">
        <f>D21-D208</f>
        <v>284771</v>
      </c>
      <c r="E215" s="171">
        <f t="shared" ref="E215:F215" si="46">E21-E208</f>
        <v>290332</v>
      </c>
      <c r="F215" s="171">
        <f t="shared" si="46"/>
        <v>1013914</v>
      </c>
      <c r="G215" s="171">
        <f>G21-G208</f>
        <v>1304246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'[47]Sch D'!C9</f>
        <v>12413</v>
      </c>
      <c r="D219" s="530"/>
      <c r="E219" s="234">
        <f t="shared" ref="E219:G227" si="47">C219+D219</f>
        <v>12413</v>
      </c>
      <c r="F219" s="233"/>
      <c r="G219" s="234">
        <f t="shared" si="47"/>
        <v>12413</v>
      </c>
      <c r="H219" s="172">
        <f t="shared" ref="H219:H228" si="48">IF($G$228=0,0,G219/$G$228)</f>
        <v>0.63202647657841138</v>
      </c>
      <c r="I219" s="473"/>
      <c r="J219" s="168"/>
      <c r="K219" s="168"/>
    </row>
    <row r="220" spans="1:11">
      <c r="A220" s="163"/>
      <c r="B220" s="170" t="s">
        <v>217</v>
      </c>
      <c r="C220" s="530">
        <f>'[47]Sch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'[47]Sch D'!E9</f>
        <v>1949</v>
      </c>
      <c r="D221" s="530"/>
      <c r="E221" s="234">
        <f t="shared" si="49"/>
        <v>1949</v>
      </c>
      <c r="F221" s="233"/>
      <c r="G221" s="234">
        <f t="shared" si="47"/>
        <v>1949</v>
      </c>
      <c r="H221" s="172">
        <f t="shared" si="48"/>
        <v>9.9236252545824841E-2</v>
      </c>
      <c r="I221" s="473"/>
      <c r="J221" s="168"/>
      <c r="K221" s="168"/>
    </row>
    <row r="222" spans="1:11">
      <c r="A222" s="163"/>
      <c r="B222" s="202" t="s">
        <v>334</v>
      </c>
      <c r="C222" s="530">
        <f>'[47]Sch D'!F9</f>
        <v>2323</v>
      </c>
      <c r="D222" s="530"/>
      <c r="E222" s="234">
        <f>C222+D222</f>
        <v>2323</v>
      </c>
      <c r="F222" s="233"/>
      <c r="G222" s="234">
        <f>E222+F222</f>
        <v>2323</v>
      </c>
      <c r="H222" s="172">
        <f t="shared" si="48"/>
        <v>0.11827902240325866</v>
      </c>
      <c r="I222" s="473"/>
      <c r="J222" s="168"/>
      <c r="K222" s="168"/>
    </row>
    <row r="223" spans="1:11">
      <c r="A223" s="163"/>
      <c r="B223" s="170" t="s">
        <v>73</v>
      </c>
      <c r="C223" s="530">
        <f>'[47]Sch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'[47]Sch D'!H9</f>
        <v>1756</v>
      </c>
      <c r="D224" s="530"/>
      <c r="E224" s="234">
        <f t="shared" si="49"/>
        <v>1756</v>
      </c>
      <c r="F224" s="233"/>
      <c r="G224" s="234">
        <f t="shared" si="47"/>
        <v>1756</v>
      </c>
      <c r="H224" s="172">
        <f t="shared" si="48"/>
        <v>8.9409368635437886E-2</v>
      </c>
      <c r="I224" s="473"/>
      <c r="J224" s="168"/>
      <c r="K224" s="168"/>
    </row>
    <row r="225" spans="1:11">
      <c r="A225" s="163"/>
      <c r="B225" s="170" t="s">
        <v>236</v>
      </c>
      <c r="C225" s="530">
        <f>'[47]Sch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'[47]Sch D'!J9</f>
        <v>1199</v>
      </c>
      <c r="D226" s="530"/>
      <c r="E226" s="234">
        <f>C226+D226</f>
        <v>1199</v>
      </c>
      <c r="F226" s="233"/>
      <c r="G226" s="234">
        <f>E226+F226</f>
        <v>1199</v>
      </c>
      <c r="H226" s="172">
        <f t="shared" si="48"/>
        <v>6.1048879837067208E-2</v>
      </c>
      <c r="I226" s="473"/>
      <c r="J226" s="168"/>
      <c r="K226" s="168"/>
    </row>
    <row r="227" spans="1:11">
      <c r="A227" s="163"/>
      <c r="B227" s="170" t="s">
        <v>179</v>
      </c>
      <c r="C227" s="530">
        <f>'[47]Sch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19640</v>
      </c>
      <c r="D228" s="530">
        <f>SUM(D219:D227)</f>
        <v>0</v>
      </c>
      <c r="E228" s="236">
        <f>SUM(E219:E227)</f>
        <v>19640</v>
      </c>
      <c r="F228" s="236">
        <f>SUM(F219:F227)</f>
        <v>0</v>
      </c>
      <c r="G228" s="236">
        <f>SUM(G219:G227)</f>
        <v>19640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'[47]Sch D'!N22</f>
        <v>120</v>
      </c>
      <c r="D231" s="502"/>
      <c r="E231" s="234">
        <f>C231+D231</f>
        <v>120</v>
      </c>
      <c r="F231" s="234"/>
      <c r="G231" s="234">
        <f>E231+F231</f>
        <v>120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'[47]Sch D'!N24</f>
        <v>120</v>
      </c>
      <c r="D232" s="502"/>
      <c r="E232" s="234">
        <f>C232+D232</f>
        <v>120</v>
      </c>
      <c r="F232" s="234"/>
      <c r="G232" s="234">
        <f>E232+F232</f>
        <v>120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'[47]Sch D'!N28</f>
        <v>43800</v>
      </c>
      <c r="D235" s="438"/>
      <c r="E235" s="233">
        <f>E231*E233</f>
        <v>43800</v>
      </c>
      <c r="F235" s="238"/>
      <c r="G235" s="233">
        <f>G231*G233</f>
        <v>43800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'[47]Sch D'!N30</f>
        <v>0.44840182648401827</v>
      </c>
      <c r="D236" s="238"/>
      <c r="E236" s="242">
        <f>E228/E235</f>
        <v>0.44840182648401827</v>
      </c>
      <c r="F236" s="243"/>
      <c r="G236" s="242">
        <f>G228/G235</f>
        <v>0.44840182648401827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'[47]Sch D'!N32</f>
        <v>0.28340182648401824</v>
      </c>
      <c r="D237" s="238"/>
      <c r="E237" s="242">
        <f>(E219+E220)/E235</f>
        <v>0.28340182648401824</v>
      </c>
      <c r="F237" s="243"/>
      <c r="G237" s="242">
        <f>(G219+G220)/G235</f>
        <v>0.28340182648401824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'[47]Sch D'!N34</f>
        <v>0.63202647657841138</v>
      </c>
      <c r="D238" s="238"/>
      <c r="E238" s="242">
        <f>(E237/E236)</f>
        <v>0.63202647657841138</v>
      </c>
      <c r="F238" s="243"/>
      <c r="G238" s="242">
        <f>(G237/G236)</f>
        <v>0.63202647657841138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'[47]Sch B'!C85</f>
        <v>205.81027667984191</v>
      </c>
      <c r="I241" s="475"/>
    </row>
    <row r="242" spans="2:9">
      <c r="F242" s="142" t="s">
        <v>341</v>
      </c>
      <c r="G242" s="501">
        <f>'[47]Sch B'!E85</f>
        <v>190.74178403755869</v>
      </c>
      <c r="I242" s="475"/>
    </row>
    <row r="243" spans="2:9">
      <c r="F243" s="142" t="s">
        <v>342</v>
      </c>
      <c r="G243" s="501">
        <f>'[47]Sch B'!G85</f>
        <v>201.21346153846153</v>
      </c>
      <c r="I243" s="475"/>
    </row>
    <row r="244" spans="2:9">
      <c r="F244" s="142" t="s">
        <v>343</v>
      </c>
      <c r="G244" s="501">
        <f>'[47]Sch B'!I85</f>
        <v>173.93357271095152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4">
    <tabColor rgb="FFE28CAB"/>
  </sheetPr>
  <dimension ref="A1:O246"/>
  <sheetViews>
    <sheetView showGridLines="0" zoomScaleNormal="100" workbookViewId="0">
      <pane xSplit="2" ySplit="10" topLeftCell="C195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664062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497</v>
      </c>
      <c r="D2" s="244"/>
      <c r="E2" s="599" t="s">
        <v>498</v>
      </c>
    </row>
    <row r="3" spans="1:11">
      <c r="A3" s="145"/>
      <c r="B3" s="140" t="s">
        <v>79</v>
      </c>
      <c r="C3" s="441">
        <v>42552</v>
      </c>
      <c r="D3" s="144"/>
      <c r="E3" s="147"/>
      <c r="F3" s="409"/>
    </row>
    <row r="4" spans="1:11">
      <c r="A4" s="145"/>
      <c r="B4" s="148" t="s">
        <v>80</v>
      </c>
      <c r="C4" s="441">
        <v>42916</v>
      </c>
      <c r="D4" s="144"/>
      <c r="E4" s="149"/>
      <c r="F4" s="409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'[48]Sch B'!E10</f>
        <v>3555849</v>
      </c>
      <c r="D11" s="501">
        <f>'[48]Sch B'!G10</f>
        <v>0</v>
      </c>
      <c r="E11" s="171">
        <f>C11+D11</f>
        <v>3555849</v>
      </c>
      <c r="F11" s="660">
        <f>668020+90358</f>
        <v>758378</v>
      </c>
      <c r="G11" s="171">
        <f t="shared" ref="G11:G20" si="0">E11+F11</f>
        <v>4314227</v>
      </c>
      <c r="H11" s="172">
        <f t="shared" ref="H11:H21" si="1">IF($G$21=0,0,G11/$G$21)</f>
        <v>0.73492883200332526</v>
      </c>
      <c r="I11" s="473"/>
      <c r="J11" s="336" t="s">
        <v>344</v>
      </c>
      <c r="K11" s="337">
        <f>G21</f>
        <v>5870265</v>
      </c>
    </row>
    <row r="12" spans="1:11" s="167" customFormat="1">
      <c r="A12" s="169" t="s">
        <v>15</v>
      </c>
      <c r="B12" s="170" t="s">
        <v>212</v>
      </c>
      <c r="C12" s="501">
        <f>'[48]Sch B'!E15</f>
        <v>0</v>
      </c>
      <c r="D12" s="501">
        <f>'[48]Sch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4441657</v>
      </c>
    </row>
    <row r="13" spans="1:11" s="167" customFormat="1">
      <c r="A13" s="169" t="s">
        <v>16</v>
      </c>
      <c r="B13" s="170" t="s">
        <v>170</v>
      </c>
      <c r="C13" s="501">
        <f>'[48]Sch B'!E21</f>
        <v>497575</v>
      </c>
      <c r="D13" s="501">
        <f>'[48]Sch B'!G21</f>
        <v>0</v>
      </c>
      <c r="E13" s="171">
        <f t="shared" si="2"/>
        <v>497575</v>
      </c>
      <c r="F13" s="171"/>
      <c r="G13" s="171">
        <f t="shared" si="0"/>
        <v>497575</v>
      </c>
      <c r="H13" s="172">
        <f t="shared" si="1"/>
        <v>8.4761931531200041E-2</v>
      </c>
      <c r="I13" s="473"/>
      <c r="J13" s="338" t="s">
        <v>346</v>
      </c>
      <c r="K13" s="339">
        <f>G228</f>
        <v>19520</v>
      </c>
    </row>
    <row r="14" spans="1:11" s="167" customFormat="1">
      <c r="A14" s="173" t="s">
        <v>18</v>
      </c>
      <c r="B14" s="174" t="s">
        <v>306</v>
      </c>
      <c r="C14" s="501">
        <f>'[48]Sch B'!E27</f>
        <v>501511</v>
      </c>
      <c r="D14" s="501">
        <f>'[48]Sch B'!G27</f>
        <v>0</v>
      </c>
      <c r="E14" s="171">
        <f t="shared" si="2"/>
        <v>501511</v>
      </c>
      <c r="F14" s="175"/>
      <c r="G14" s="175">
        <f>E14+F14</f>
        <v>501511</v>
      </c>
      <c r="H14" s="176">
        <f t="shared" si="1"/>
        <v>8.5432429370735391E-2</v>
      </c>
      <c r="I14" s="479"/>
      <c r="J14" s="338" t="s">
        <v>347</v>
      </c>
      <c r="K14" s="339">
        <f>G231</f>
        <v>99</v>
      </c>
    </row>
    <row r="15" spans="1:11" s="167" customFormat="1">
      <c r="A15" s="169" t="s">
        <v>19</v>
      </c>
      <c r="B15" s="170" t="s">
        <v>171</v>
      </c>
      <c r="C15" s="501">
        <f>'[48]Sch B'!E32</f>
        <v>0</v>
      </c>
      <c r="D15" s="501">
        <f>'[48]Sch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36135</v>
      </c>
    </row>
    <row r="16" spans="1:11" s="167" customFormat="1">
      <c r="A16" s="169" t="s">
        <v>21</v>
      </c>
      <c r="B16" s="170" t="s">
        <v>172</v>
      </c>
      <c r="C16" s="501">
        <f>'[48]Sch B'!E37</f>
        <v>310257</v>
      </c>
      <c r="D16" s="501">
        <f>'[48]Sch B'!G37</f>
        <v>0</v>
      </c>
      <c r="E16" s="171">
        <f t="shared" si="2"/>
        <v>310257</v>
      </c>
      <c r="F16" s="171"/>
      <c r="G16" s="171">
        <f t="shared" si="0"/>
        <v>310257</v>
      </c>
      <c r="H16" s="172">
        <f t="shared" si="1"/>
        <v>5.2852298831483756E-2</v>
      </c>
      <c r="I16" s="473"/>
      <c r="J16" s="340"/>
      <c r="K16" s="339"/>
    </row>
    <row r="17" spans="1:12" s="167" customFormat="1">
      <c r="A17" s="169" t="s">
        <v>215</v>
      </c>
      <c r="B17" s="170" t="s">
        <v>228</v>
      </c>
      <c r="C17" s="501">
        <f>'[48]Sch B'!E42</f>
        <v>0</v>
      </c>
      <c r="D17" s="501">
        <f>'[48]Sch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112187</v>
      </c>
    </row>
    <row r="18" spans="1:12" s="167" customFormat="1" ht="13.5" thickBot="1">
      <c r="A18" s="169" t="s">
        <v>216</v>
      </c>
      <c r="B18" s="170" t="s">
        <v>229</v>
      </c>
      <c r="C18" s="501">
        <f>'[48]Sch B'!E47</f>
        <v>233719</v>
      </c>
      <c r="D18" s="501">
        <f>'[48]Sch B'!G47</f>
        <v>0</v>
      </c>
      <c r="E18" s="171">
        <f t="shared" si="2"/>
        <v>233719</v>
      </c>
      <c r="F18" s="171"/>
      <c r="G18" s="171">
        <f>E18+F18</f>
        <v>233719</v>
      </c>
      <c r="H18" s="172">
        <f t="shared" si="1"/>
        <v>3.9814045873567891E-2</v>
      </c>
      <c r="I18" s="473"/>
      <c r="J18" s="341" t="s">
        <v>252</v>
      </c>
      <c r="K18" s="342">
        <f>K208</f>
        <v>118192</v>
      </c>
    </row>
    <row r="19" spans="1:12" s="167" customFormat="1">
      <c r="A19" s="169" t="s">
        <v>227</v>
      </c>
      <c r="B19" s="177" t="s">
        <v>173</v>
      </c>
      <c r="C19" s="501">
        <f>'[48]Sch B'!E52</f>
        <v>176</v>
      </c>
      <c r="D19" s="501">
        <f>'[48]Sch B'!G52</f>
        <v>0</v>
      </c>
      <c r="E19" s="171">
        <f t="shared" si="2"/>
        <v>176</v>
      </c>
      <c r="F19" s="171"/>
      <c r="G19" s="171">
        <f t="shared" si="0"/>
        <v>176</v>
      </c>
      <c r="H19" s="172">
        <f t="shared" si="1"/>
        <v>2.9981610710930428E-5</v>
      </c>
      <c r="I19" s="473"/>
      <c r="J19" s="168"/>
      <c r="K19" s="168"/>
    </row>
    <row r="20" spans="1:12" s="167" customFormat="1">
      <c r="A20" s="169" t="s">
        <v>183</v>
      </c>
      <c r="B20" s="23" t="s">
        <v>180</v>
      </c>
      <c r="C20" s="501">
        <f>'[48]Sch B'!E67</f>
        <v>12800</v>
      </c>
      <c r="D20" s="501">
        <f>'[48]Sch B'!G67</f>
        <v>0</v>
      </c>
      <c r="E20" s="171">
        <f t="shared" si="2"/>
        <v>12800</v>
      </c>
      <c r="F20" s="171"/>
      <c r="G20" s="171">
        <f t="shared" si="0"/>
        <v>12800</v>
      </c>
      <c r="H20" s="172">
        <f t="shared" si="1"/>
        <v>2.1804807789767584E-3</v>
      </c>
      <c r="I20" s="473"/>
      <c r="J20" s="168"/>
      <c r="K20" s="168"/>
    </row>
    <row r="21" spans="1:12" s="167" customFormat="1">
      <c r="A21" s="169"/>
      <c r="B21" s="178" t="s">
        <v>77</v>
      </c>
      <c r="C21" s="501">
        <f>SUM(C11:C20)</f>
        <v>5111887</v>
      </c>
      <c r="D21" s="501">
        <f>SUM(D11:D20)</f>
        <v>0</v>
      </c>
      <c r="E21" s="171">
        <f>SUM(E11:E20)</f>
        <v>5111887</v>
      </c>
      <c r="F21" s="171">
        <f>SUM(F11:F20)</f>
        <v>758378</v>
      </c>
      <c r="G21" s="171">
        <f>SUM(G11:G20)</f>
        <v>5870265</v>
      </c>
      <c r="H21" s="172">
        <f t="shared" si="1"/>
        <v>1</v>
      </c>
      <c r="I21" s="473"/>
      <c r="J21" s="168"/>
      <c r="K21" s="168"/>
    </row>
    <row r="22" spans="1:12" ht="12" customHeight="1">
      <c r="A22" s="145"/>
      <c r="B22" s="179"/>
      <c r="C22" s="151"/>
      <c r="D22" s="144"/>
      <c r="F22" s="144"/>
      <c r="G22" s="144"/>
      <c r="I22" s="475"/>
    </row>
    <row r="23" spans="1:12" ht="26">
      <c r="A23" s="180" t="s">
        <v>231</v>
      </c>
      <c r="B23" s="179" t="s">
        <v>222</v>
      </c>
      <c r="C23" s="151"/>
      <c r="D23" s="144"/>
      <c r="F23" s="144" t="s">
        <v>643</v>
      </c>
      <c r="G23" s="144"/>
      <c r="I23" s="475"/>
    </row>
    <row r="24" spans="1:12">
      <c r="A24" s="181" t="s">
        <v>161</v>
      </c>
      <c r="B24" s="148" t="s">
        <v>12</v>
      </c>
      <c r="I24" s="475"/>
      <c r="L24" s="546"/>
    </row>
    <row r="25" spans="1:12" s="167" customFormat="1">
      <c r="A25" s="169" t="s">
        <v>83</v>
      </c>
      <c r="B25" s="170" t="s">
        <v>14</v>
      </c>
      <c r="C25" s="501">
        <f>'[48]Sch C'!D10</f>
        <v>124049</v>
      </c>
      <c r="D25" s="501">
        <f>'[48]Sch C'!F10</f>
        <v>6834</v>
      </c>
      <c r="E25" s="171">
        <f t="shared" ref="E25:E60" si="3">C25+D25</f>
        <v>130883</v>
      </c>
      <c r="F25" s="171"/>
      <c r="G25" s="182">
        <f>E25+F25</f>
        <v>130883</v>
      </c>
      <c r="H25" s="172">
        <f>IF($G$208=0,0,G25/$G$208)</f>
        <v>2.9467156063604193E-2</v>
      </c>
      <c r="I25" s="473"/>
      <c r="J25" s="183">
        <v>2632</v>
      </c>
      <c r="K25" s="183">
        <v>2777</v>
      </c>
      <c r="L25" s="547"/>
    </row>
    <row r="26" spans="1:12" s="167" customFormat="1">
      <c r="A26" s="169" t="s">
        <v>84</v>
      </c>
      <c r="B26" s="170" t="s">
        <v>176</v>
      </c>
      <c r="C26" s="501">
        <f>'[48]Sch C'!D11</f>
        <v>0</v>
      </c>
      <c r="D26" s="501">
        <f>'[48]Sch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  <c r="L26" s="547"/>
    </row>
    <row r="27" spans="1:12" s="167" customFormat="1">
      <c r="A27" s="169" t="s">
        <v>85</v>
      </c>
      <c r="B27" s="170" t="s">
        <v>17</v>
      </c>
      <c r="C27" s="501">
        <f>'[48]Sch C'!D12</f>
        <v>217488</v>
      </c>
      <c r="D27" s="501">
        <f>'[48]Sch C'!F12</f>
        <v>11979</v>
      </c>
      <c r="E27" s="171">
        <f t="shared" si="3"/>
        <v>229467</v>
      </c>
      <c r="F27" s="171"/>
      <c r="G27" s="171">
        <f t="shared" si="4"/>
        <v>229467</v>
      </c>
      <c r="H27" s="172">
        <f t="shared" si="5"/>
        <v>5.1662476413644728E-2</v>
      </c>
      <c r="I27" s="473"/>
      <c r="J27" s="183">
        <v>9472</v>
      </c>
      <c r="K27" s="183">
        <v>9994</v>
      </c>
      <c r="L27" s="547"/>
    </row>
    <row r="28" spans="1:12" s="167" customFormat="1">
      <c r="A28" s="169" t="s">
        <v>86</v>
      </c>
      <c r="B28" s="170" t="s">
        <v>45</v>
      </c>
      <c r="C28" s="501">
        <f>'[48]Sch C'!D13</f>
        <v>446494</v>
      </c>
      <c r="D28" s="501">
        <f>'[48]Sch C'!F13</f>
        <v>-403599</v>
      </c>
      <c r="E28" s="171">
        <f t="shared" si="3"/>
        <v>42895</v>
      </c>
      <c r="F28" s="171"/>
      <c r="G28" s="171">
        <f t="shared" si="4"/>
        <v>42895</v>
      </c>
      <c r="H28" s="172">
        <f t="shared" si="5"/>
        <v>9.6574318998517896E-3</v>
      </c>
      <c r="I28" s="473"/>
      <c r="J28" s="168"/>
      <c r="K28" s="168"/>
      <c r="L28" s="547"/>
    </row>
    <row r="29" spans="1:12" s="167" customFormat="1">
      <c r="A29" s="169" t="s">
        <v>175</v>
      </c>
      <c r="B29" s="170" t="s">
        <v>20</v>
      </c>
      <c r="C29" s="501">
        <f>'[48]Sch C'!D14</f>
        <v>0</v>
      </c>
      <c r="D29" s="501">
        <f>'[48]Sch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  <c r="L29" s="547"/>
    </row>
    <row r="30" spans="1:12" s="167" customFormat="1">
      <c r="A30" s="169" t="s">
        <v>88</v>
      </c>
      <c r="B30" s="170" t="s">
        <v>22</v>
      </c>
      <c r="C30" s="501">
        <f>'[48]Sch C'!D15</f>
        <v>0</v>
      </c>
      <c r="D30" s="501">
        <f>'[48]Sch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  <c r="L30" s="547"/>
    </row>
    <row r="31" spans="1:12" s="167" customFormat="1">
      <c r="A31" s="169" t="s">
        <v>89</v>
      </c>
      <c r="B31" s="170" t="s">
        <v>148</v>
      </c>
      <c r="C31" s="501">
        <f>'[48]Sch C'!D16</f>
        <v>253853</v>
      </c>
      <c r="D31" s="501">
        <f>'[48]Sch C'!F16</f>
        <v>117972</v>
      </c>
      <c r="E31" s="171">
        <f t="shared" si="3"/>
        <v>371825</v>
      </c>
      <c r="F31" s="171">
        <v>-28315.677944279501</v>
      </c>
      <c r="G31" s="171">
        <f t="shared" si="4"/>
        <v>343509.32205572049</v>
      </c>
      <c r="H31" s="172">
        <f t="shared" si="5"/>
        <v>7.7338101986650587E-2</v>
      </c>
      <c r="I31" s="473" t="s">
        <v>402</v>
      </c>
      <c r="J31" s="168"/>
      <c r="K31" s="168"/>
      <c r="L31" s="547"/>
    </row>
    <row r="32" spans="1:12" s="167" customFormat="1">
      <c r="A32" s="169" t="s">
        <v>90</v>
      </c>
      <c r="B32" s="170" t="s">
        <v>23</v>
      </c>
      <c r="C32" s="501">
        <f>'[48]Sch C'!D17</f>
        <v>0</v>
      </c>
      <c r="D32" s="501">
        <f>'[48]Sch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  <c r="L32" s="547"/>
    </row>
    <row r="33" spans="1:12" s="167" customFormat="1">
      <c r="A33" s="169" t="s">
        <v>91</v>
      </c>
      <c r="B33" s="170" t="s">
        <v>24</v>
      </c>
      <c r="C33" s="501">
        <f>'[48]Sch C'!D18</f>
        <v>10258</v>
      </c>
      <c r="D33" s="501">
        <f>'[48]Sch C'!F18</f>
        <v>0</v>
      </c>
      <c r="E33" s="171">
        <f t="shared" si="3"/>
        <v>10258</v>
      </c>
      <c r="F33" s="171"/>
      <c r="G33" s="171">
        <f t="shared" si="4"/>
        <v>10258</v>
      </c>
      <c r="H33" s="172">
        <f t="shared" si="5"/>
        <v>2.3094984596964603E-3</v>
      </c>
      <c r="I33" s="473"/>
      <c r="J33" s="168"/>
      <c r="K33" s="168"/>
      <c r="L33" s="547"/>
    </row>
    <row r="34" spans="1:12" s="167" customFormat="1">
      <c r="A34" s="169" t="s">
        <v>92</v>
      </c>
      <c r="B34" s="170" t="s">
        <v>25</v>
      </c>
      <c r="C34" s="501">
        <f>'[48]Sch C'!D19</f>
        <v>16736</v>
      </c>
      <c r="D34" s="501">
        <f>'[48]Sch C'!F19</f>
        <v>-780</v>
      </c>
      <c r="E34" s="171">
        <f t="shared" si="3"/>
        <v>15956</v>
      </c>
      <c r="F34" s="171"/>
      <c r="G34" s="171">
        <f t="shared" si="4"/>
        <v>15956</v>
      </c>
      <c r="H34" s="172">
        <f t="shared" si="5"/>
        <v>3.5923530340141079E-3</v>
      </c>
      <c r="I34" s="473"/>
      <c r="J34" s="168"/>
      <c r="K34" s="168"/>
      <c r="L34" s="547"/>
    </row>
    <row r="35" spans="1:12" s="167" customFormat="1">
      <c r="A35" s="169" t="s">
        <v>93</v>
      </c>
      <c r="B35" s="170" t="s">
        <v>26</v>
      </c>
      <c r="C35" s="501">
        <f>'[48]Sch C'!D20</f>
        <v>15034</v>
      </c>
      <c r="D35" s="501">
        <f>'[48]Sch C'!F20</f>
        <v>0</v>
      </c>
      <c r="E35" s="171">
        <f t="shared" si="3"/>
        <v>15034</v>
      </c>
      <c r="F35" s="171"/>
      <c r="G35" s="171">
        <f t="shared" si="4"/>
        <v>15034</v>
      </c>
      <c r="H35" s="172">
        <f t="shared" si="5"/>
        <v>3.3847728449090059E-3</v>
      </c>
      <c r="I35" s="473"/>
      <c r="J35" s="168"/>
      <c r="K35" s="168"/>
      <c r="L35" s="547"/>
    </row>
    <row r="36" spans="1:12" s="167" customFormat="1">
      <c r="A36" s="169" t="s">
        <v>94</v>
      </c>
      <c r="B36" s="170" t="s">
        <v>27</v>
      </c>
      <c r="C36" s="501">
        <f>'[48]Sch C'!D21</f>
        <v>19610</v>
      </c>
      <c r="D36" s="501">
        <f>'[48]Sch C'!F21</f>
        <v>0</v>
      </c>
      <c r="E36" s="171">
        <f t="shared" si="3"/>
        <v>19610</v>
      </c>
      <c r="F36" s="171"/>
      <c r="G36" s="171">
        <f t="shared" si="4"/>
        <v>19610</v>
      </c>
      <c r="H36" s="172">
        <f t="shared" si="5"/>
        <v>4.4150189895347611E-3</v>
      </c>
      <c r="I36" s="473"/>
      <c r="J36" s="168"/>
      <c r="K36" s="168"/>
      <c r="L36" s="547"/>
    </row>
    <row r="37" spans="1:12" s="167" customFormat="1">
      <c r="A37" s="163">
        <v>130</v>
      </c>
      <c r="B37" s="170" t="s">
        <v>28</v>
      </c>
      <c r="C37" s="501">
        <f>'[48]Sch C'!D22</f>
        <v>0</v>
      </c>
      <c r="D37" s="501">
        <f>'[48]Sch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  <c r="L37" s="547"/>
    </row>
    <row r="38" spans="1:12" s="167" customFormat="1">
      <c r="A38" s="163">
        <v>140</v>
      </c>
      <c r="B38" s="170" t="s">
        <v>149</v>
      </c>
      <c r="C38" s="501">
        <f>'[48]Sch C'!D23</f>
        <v>5166</v>
      </c>
      <c r="D38" s="501">
        <f>'[48]Sch C'!F23</f>
        <v>0</v>
      </c>
      <c r="E38" s="171">
        <f t="shared" si="3"/>
        <v>5166</v>
      </c>
      <c r="F38" s="171"/>
      <c r="G38" s="171">
        <f t="shared" si="4"/>
        <v>5166</v>
      </c>
      <c r="H38" s="172">
        <f t="shared" si="5"/>
        <v>1.1630794543567862E-3</v>
      </c>
      <c r="I38" s="473"/>
      <c r="J38" s="168"/>
      <c r="K38" s="168"/>
      <c r="L38" s="547"/>
    </row>
    <row r="39" spans="1:12" s="167" customFormat="1">
      <c r="A39" s="163">
        <v>150</v>
      </c>
      <c r="B39" s="170" t="s">
        <v>29</v>
      </c>
      <c r="C39" s="501">
        <f>'[48]Sch C'!D24</f>
        <v>40572</v>
      </c>
      <c r="D39" s="501">
        <f>'[48]Sch C'!F24</f>
        <v>-10200</v>
      </c>
      <c r="E39" s="171">
        <f t="shared" si="3"/>
        <v>30372</v>
      </c>
      <c r="F39" s="171"/>
      <c r="G39" s="171">
        <f t="shared" si="4"/>
        <v>30372</v>
      </c>
      <c r="H39" s="172">
        <f t="shared" si="5"/>
        <v>6.8379886155099327E-3</v>
      </c>
      <c r="I39" s="473"/>
      <c r="J39" s="168"/>
      <c r="K39" s="168"/>
      <c r="L39" s="547"/>
    </row>
    <row r="40" spans="1:12" s="167" customFormat="1">
      <c r="A40" s="163">
        <v>160</v>
      </c>
      <c r="B40" s="170" t="s">
        <v>30</v>
      </c>
      <c r="C40" s="501">
        <f>'[48]Sch C'!D25</f>
        <v>0</v>
      </c>
      <c r="D40" s="501">
        <f>'[48]Sch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  <c r="L40" s="547"/>
    </row>
    <row r="41" spans="1:12" s="167" customFormat="1">
      <c r="A41" s="163">
        <v>170</v>
      </c>
      <c r="B41" s="170" t="s">
        <v>31</v>
      </c>
      <c r="C41" s="501">
        <f>'[48]Sch C'!D26</f>
        <v>338429</v>
      </c>
      <c r="D41" s="501">
        <f>'[48]Sch C'!F26</f>
        <v>0</v>
      </c>
      <c r="E41" s="171">
        <f t="shared" si="3"/>
        <v>338429</v>
      </c>
      <c r="F41" s="171"/>
      <c r="G41" s="171">
        <f t="shared" si="4"/>
        <v>338429</v>
      </c>
      <c r="H41" s="172">
        <f t="shared" si="5"/>
        <v>7.6194312167733799E-2</v>
      </c>
      <c r="I41" s="473"/>
      <c r="J41" s="168"/>
      <c r="K41" s="168"/>
      <c r="L41" s="547"/>
    </row>
    <row r="42" spans="1:12" s="167" customFormat="1">
      <c r="A42" s="163">
        <v>180</v>
      </c>
      <c r="B42" s="170" t="s">
        <v>32</v>
      </c>
      <c r="C42" s="501">
        <f>'[48]Sch C'!D27</f>
        <v>0</v>
      </c>
      <c r="D42" s="501">
        <f>'[48]Sch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  <c r="L42" s="547"/>
    </row>
    <row r="43" spans="1:12" s="167" customFormat="1">
      <c r="A43" s="163">
        <v>190</v>
      </c>
      <c r="B43" s="170" t="s">
        <v>33</v>
      </c>
      <c r="C43" s="501">
        <f>'[48]Sch C'!D28</f>
        <v>0</v>
      </c>
      <c r="D43" s="501">
        <f>'[48]Sch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  <c r="L43" s="547"/>
    </row>
    <row r="44" spans="1:12" s="167" customFormat="1">
      <c r="A44" s="163">
        <v>200</v>
      </c>
      <c r="B44" s="170" t="s">
        <v>34</v>
      </c>
      <c r="C44" s="501">
        <f>'[48]Sch C'!D29</f>
        <v>115207</v>
      </c>
      <c r="D44" s="501">
        <f>'[48]Sch C'!F29</f>
        <v>-115207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  <c r="L44" s="547"/>
    </row>
    <row r="45" spans="1:12" s="167" customFormat="1">
      <c r="A45" s="163">
        <v>210</v>
      </c>
      <c r="B45" s="170" t="s">
        <v>35</v>
      </c>
      <c r="C45" s="501">
        <f>'[48]Sch C'!D30</f>
        <v>0</v>
      </c>
      <c r="D45" s="501">
        <f>'[48]Sch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  <c r="L45" s="547"/>
    </row>
    <row r="46" spans="1:12" s="167" customFormat="1">
      <c r="A46" s="163">
        <v>220</v>
      </c>
      <c r="B46" s="170" t="s">
        <v>190</v>
      </c>
      <c r="C46" s="501">
        <f>'[48]Sch C'!D31</f>
        <v>53595</v>
      </c>
      <c r="D46" s="501">
        <f>'[48]Sch C'!F31</f>
        <v>0</v>
      </c>
      <c r="E46" s="171">
        <f t="shared" si="3"/>
        <v>53595</v>
      </c>
      <c r="F46" s="171"/>
      <c r="G46" s="171">
        <f t="shared" si="4"/>
        <v>53595</v>
      </c>
      <c r="H46" s="172">
        <f t="shared" si="5"/>
        <v>1.2066442771245056E-2</v>
      </c>
      <c r="I46" s="473"/>
      <c r="J46" s="168"/>
      <c r="K46" s="168"/>
      <c r="L46" s="547"/>
    </row>
    <row r="47" spans="1:12" s="167" customFormat="1">
      <c r="A47" s="163">
        <v>230</v>
      </c>
      <c r="B47" s="170" t="s">
        <v>191</v>
      </c>
      <c r="C47" s="501">
        <f>'[48]Sch C'!D32</f>
        <v>86105</v>
      </c>
      <c r="D47" s="501">
        <f>'[48]Sch C'!F32</f>
        <v>-29430</v>
      </c>
      <c r="E47" s="171">
        <f t="shared" si="3"/>
        <v>56675</v>
      </c>
      <c r="F47" s="171"/>
      <c r="G47" s="171">
        <f t="shared" si="4"/>
        <v>56675</v>
      </c>
      <c r="H47" s="172">
        <f t="shared" si="5"/>
        <v>1.2759877676281622E-2</v>
      </c>
      <c r="I47" s="473"/>
      <c r="J47" s="168"/>
      <c r="K47" s="168"/>
      <c r="L47" s="547"/>
    </row>
    <row r="48" spans="1:12" s="167" customFormat="1">
      <c r="A48" s="163">
        <v>240</v>
      </c>
      <c r="B48" s="170" t="s">
        <v>201</v>
      </c>
      <c r="C48" s="501">
        <f>'[48]Sch C'!D33</f>
        <v>0</v>
      </c>
      <c r="D48" s="501">
        <f>'[48]Sch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  <c r="L48" s="547"/>
    </row>
    <row r="49" spans="1:12" s="167" customFormat="1">
      <c r="A49" s="163">
        <v>250</v>
      </c>
      <c r="B49" s="170" t="s">
        <v>202</v>
      </c>
      <c r="C49" s="501">
        <f>'[48]Sch C'!D34</f>
        <v>0</v>
      </c>
      <c r="D49" s="501">
        <f>'[48]Sch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  <c r="L49" s="547"/>
    </row>
    <row r="50" spans="1:12" s="167" customFormat="1">
      <c r="A50" s="163">
        <v>270</v>
      </c>
      <c r="B50" s="170" t="s">
        <v>203</v>
      </c>
      <c r="C50" s="501">
        <f>'[48]Sch C'!D35</f>
        <v>24</v>
      </c>
      <c r="D50" s="501">
        <f>'[48]Sch C'!F35</f>
        <v>-24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  <c r="L50" s="547"/>
    </row>
    <row r="51" spans="1:12" s="167" customFormat="1">
      <c r="A51" s="163">
        <v>280</v>
      </c>
      <c r="B51" s="170" t="s">
        <v>204</v>
      </c>
      <c r="C51" s="501">
        <f>'[48]Sch C'!D36</f>
        <v>0</v>
      </c>
      <c r="D51" s="501">
        <f>'[48]Sch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  <c r="L51" s="547"/>
    </row>
    <row r="52" spans="1:12" s="167" customFormat="1">
      <c r="A52" s="163">
        <v>290</v>
      </c>
      <c r="B52" s="170" t="s">
        <v>205</v>
      </c>
      <c r="C52" s="501">
        <f>'[48]Sch C'!D37</f>
        <v>0</v>
      </c>
      <c r="D52" s="501">
        <f>'[48]Sch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  <c r="L52" s="547"/>
    </row>
    <row r="53" spans="1:12" s="167" customFormat="1">
      <c r="A53" s="163">
        <v>300</v>
      </c>
      <c r="B53" s="170" t="s">
        <v>206</v>
      </c>
      <c r="C53" s="501">
        <f>'[48]Sch C'!D38</f>
        <v>0</v>
      </c>
      <c r="D53" s="501">
        <f>'[48]Sch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  <c r="L53" s="547"/>
    </row>
    <row r="54" spans="1:12" s="167" customFormat="1">
      <c r="A54" s="163">
        <v>310</v>
      </c>
      <c r="B54" s="170" t="s">
        <v>207</v>
      </c>
      <c r="C54" s="501">
        <f>'[48]Sch C'!D39</f>
        <v>10172</v>
      </c>
      <c r="D54" s="501">
        <f>'[48]Sch C'!F39</f>
        <v>0</v>
      </c>
      <c r="E54" s="171">
        <f t="shared" si="3"/>
        <v>10172</v>
      </c>
      <c r="F54" s="171"/>
      <c r="G54" s="171">
        <f t="shared" si="4"/>
        <v>10172</v>
      </c>
      <c r="H54" s="172">
        <f t="shared" si="5"/>
        <v>2.2901363162441406E-3</v>
      </c>
      <c r="I54" s="473"/>
      <c r="J54" s="168"/>
      <c r="K54" s="168"/>
      <c r="L54" s="547"/>
    </row>
    <row r="55" spans="1:12" s="167" customFormat="1">
      <c r="A55" s="163">
        <v>320</v>
      </c>
      <c r="B55" s="170" t="s">
        <v>208</v>
      </c>
      <c r="C55" s="501">
        <f>'[48]Sch C'!D40</f>
        <v>8234</v>
      </c>
      <c r="D55" s="501">
        <f>'[48]Sch C'!F40</f>
        <v>0</v>
      </c>
      <c r="E55" s="171">
        <f t="shared" si="3"/>
        <v>8234</v>
      </c>
      <c r="F55" s="171"/>
      <c r="G55" s="171">
        <f t="shared" si="4"/>
        <v>8234</v>
      </c>
      <c r="H55" s="172">
        <f t="shared" si="5"/>
        <v>1.8538126649581452E-3</v>
      </c>
      <c r="I55" s="473"/>
      <c r="J55" s="168"/>
      <c r="K55" s="168"/>
      <c r="L55" s="547"/>
    </row>
    <row r="56" spans="1:12" s="167" customFormat="1">
      <c r="A56" s="163">
        <v>330</v>
      </c>
      <c r="B56" s="170" t="s">
        <v>48</v>
      </c>
      <c r="C56" s="501">
        <f>'[48]Sch C'!D41</f>
        <v>18357</v>
      </c>
      <c r="D56" s="501">
        <f>'[48]Sch C'!F41</f>
        <v>0</v>
      </c>
      <c r="E56" s="171">
        <f t="shared" si="3"/>
        <v>18357</v>
      </c>
      <c r="F56" s="660">
        <v>5065</v>
      </c>
      <c r="G56" s="171">
        <f t="shared" si="4"/>
        <v>23422</v>
      </c>
      <c r="H56" s="172">
        <f t="shared" si="5"/>
        <v>5.2732572551189788E-3</v>
      </c>
      <c r="I56" s="473"/>
      <c r="J56" s="168"/>
      <c r="K56" s="168"/>
      <c r="L56" s="547"/>
    </row>
    <row r="57" spans="1:12" s="167" customFormat="1">
      <c r="A57" s="163">
        <v>340</v>
      </c>
      <c r="B57" s="170" t="s">
        <v>209</v>
      </c>
      <c r="C57" s="501">
        <f>'[48]Sch C'!D42</f>
        <v>5129</v>
      </c>
      <c r="D57" s="501">
        <f>'[48]Sch C'!F42</f>
        <v>0</v>
      </c>
      <c r="E57" s="171">
        <f t="shared" si="3"/>
        <v>5129</v>
      </c>
      <c r="F57" s="171"/>
      <c r="G57" s="171">
        <f t="shared" si="4"/>
        <v>5129</v>
      </c>
      <c r="H57" s="172">
        <f t="shared" si="5"/>
        <v>1.1547492298482301E-3</v>
      </c>
      <c r="I57" s="473"/>
      <c r="J57" s="168"/>
      <c r="K57" s="168"/>
      <c r="L57" s="547"/>
    </row>
    <row r="58" spans="1:12" s="167" customFormat="1">
      <c r="A58" s="163">
        <v>350</v>
      </c>
      <c r="B58" s="170" t="s">
        <v>210</v>
      </c>
      <c r="C58" s="501">
        <f>'[48]Sch C'!D43</f>
        <v>6722</v>
      </c>
      <c r="D58" s="501">
        <f>'[48]Sch C'!F43</f>
        <v>0</v>
      </c>
      <c r="E58" s="171">
        <f t="shared" si="3"/>
        <v>6722</v>
      </c>
      <c r="F58" s="171"/>
      <c r="G58" s="171">
        <f t="shared" si="4"/>
        <v>6722</v>
      </c>
      <c r="H58" s="172">
        <f t="shared" si="5"/>
        <v>1.5133991661220125E-3</v>
      </c>
      <c r="I58" s="473"/>
      <c r="J58" s="168"/>
      <c r="K58" s="168"/>
      <c r="L58" s="547"/>
    </row>
    <row r="59" spans="1:12" s="167" customFormat="1">
      <c r="A59" s="163">
        <v>360</v>
      </c>
      <c r="B59" s="170" t="s">
        <v>211</v>
      </c>
      <c r="C59" s="501">
        <f>'[48]Sch C'!D44</f>
        <v>0</v>
      </c>
      <c r="D59" s="501">
        <f>'[48]Sch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  <c r="L59" s="547"/>
    </row>
    <row r="60" spans="1:12" s="167" customFormat="1">
      <c r="A60" s="163">
        <v>490</v>
      </c>
      <c r="B60" s="170" t="s">
        <v>36</v>
      </c>
      <c r="C60" s="501">
        <f>'[48]Sch C'!D45</f>
        <v>9642</v>
      </c>
      <c r="D60" s="501">
        <f>'[48]Sch C'!F45</f>
        <v>-10830</v>
      </c>
      <c r="E60" s="171">
        <f t="shared" si="3"/>
        <v>-1188</v>
      </c>
      <c r="F60" s="171"/>
      <c r="G60" s="171">
        <f t="shared" si="4"/>
        <v>-1188</v>
      </c>
      <c r="H60" s="172">
        <f t="shared" si="5"/>
        <v>-2.6746774908553272E-4</v>
      </c>
      <c r="I60" s="473"/>
      <c r="J60" s="168"/>
      <c r="K60" s="168"/>
      <c r="L60" s="547"/>
    </row>
    <row r="61" spans="1:12" s="167" customFormat="1">
      <c r="A61" s="163"/>
      <c r="B61" s="170" t="s">
        <v>177</v>
      </c>
      <c r="C61" s="501">
        <f>SUM(C25:C60)</f>
        <v>1800876</v>
      </c>
      <c r="D61" s="501">
        <f>SUM(D25:D60)</f>
        <v>-433285</v>
      </c>
      <c r="E61" s="171">
        <f t="shared" ref="E61:F61" si="6">SUM(E25:E60)</f>
        <v>1367591</v>
      </c>
      <c r="F61" s="171">
        <f t="shared" si="6"/>
        <v>-23250.677944279501</v>
      </c>
      <c r="G61" s="171">
        <f>SUM(G25:G60)</f>
        <v>1344340.3220557205</v>
      </c>
      <c r="H61" s="186">
        <f t="shared" si="5"/>
        <v>0.30266639726023881</v>
      </c>
      <c r="I61" s="480"/>
      <c r="J61" s="168"/>
      <c r="K61" s="168"/>
      <c r="L61" s="547"/>
    </row>
    <row r="62" spans="1:12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  <c r="L62" s="547"/>
    </row>
    <row r="63" spans="1:12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  <c r="L63" s="547"/>
    </row>
    <row r="64" spans="1:12" s="167" customFormat="1">
      <c r="A64" s="188">
        <v>230</v>
      </c>
      <c r="B64" s="189" t="s">
        <v>253</v>
      </c>
      <c r="C64" s="501">
        <f>'[48]Sch C'!D57</f>
        <v>278788</v>
      </c>
      <c r="D64" s="501">
        <f>'[48]Sch C'!F57</f>
        <v>0</v>
      </c>
      <c r="E64" s="171">
        <f t="shared" ref="E64:E78" si="7">C64+D64</f>
        <v>278788</v>
      </c>
      <c r="F64" s="660">
        <v>-278788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  <c r="L64" s="547"/>
    </row>
    <row r="65" spans="1:12" s="167" customFormat="1">
      <c r="A65" s="191">
        <v>240</v>
      </c>
      <c r="B65" s="189" t="s">
        <v>254</v>
      </c>
      <c r="C65" s="501">
        <f>'[48]Sch C'!D58</f>
        <v>943</v>
      </c>
      <c r="D65" s="501">
        <f>'[48]Sch C'!F58</f>
        <v>0</v>
      </c>
      <c r="E65" s="171">
        <f t="shared" si="7"/>
        <v>943</v>
      </c>
      <c r="F65" s="660">
        <v>134465</v>
      </c>
      <c r="G65" s="171">
        <f t="shared" si="8"/>
        <v>135408</v>
      </c>
      <c r="H65" s="172">
        <f t="shared" si="9"/>
        <v>3.0485920006880315E-2</v>
      </c>
      <c r="I65" s="473"/>
      <c r="J65" s="190"/>
      <c r="K65" s="168"/>
      <c r="L65" s="547"/>
    </row>
    <row r="66" spans="1:12" s="167" customFormat="1">
      <c r="A66" s="142">
        <v>250</v>
      </c>
      <c r="B66" s="189" t="s">
        <v>307</v>
      </c>
      <c r="C66" s="501">
        <f>'[48]Sch C'!D59</f>
        <v>0</v>
      </c>
      <c r="D66" s="501">
        <f>'[48]Sch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  <c r="L66" s="547"/>
    </row>
    <row r="67" spans="1:12" s="167" customFormat="1">
      <c r="A67" s="142">
        <v>260</v>
      </c>
      <c r="B67" s="192" t="s">
        <v>308</v>
      </c>
      <c r="C67" s="501">
        <f>'[48]Sch C'!D60</f>
        <v>22413</v>
      </c>
      <c r="D67" s="501">
        <f>'[48]Sch C'!F60</f>
        <v>0</v>
      </c>
      <c r="E67" s="171">
        <f t="shared" si="7"/>
        <v>22413</v>
      </c>
      <c r="F67" s="171"/>
      <c r="G67" s="171">
        <f t="shared" si="8"/>
        <v>22413</v>
      </c>
      <c r="H67" s="172">
        <f t="shared" si="9"/>
        <v>5.0460897813586238E-3</v>
      </c>
      <c r="I67" s="473"/>
      <c r="J67" s="193"/>
      <c r="K67" s="168"/>
      <c r="L67" s="547"/>
    </row>
    <row r="68" spans="1:12" s="167" customFormat="1">
      <c r="A68" s="142">
        <v>270</v>
      </c>
      <c r="B68" s="192" t="s">
        <v>309</v>
      </c>
      <c r="C68" s="501">
        <f>'[48]Sch C'!D61</f>
        <v>5790</v>
      </c>
      <c r="D68" s="501">
        <f>'[48]Sch C'!F61</f>
        <v>0</v>
      </c>
      <c r="E68" s="171">
        <f t="shared" si="7"/>
        <v>5790</v>
      </c>
      <c r="F68" s="171"/>
      <c r="G68" s="171">
        <f t="shared" si="8"/>
        <v>5790</v>
      </c>
      <c r="H68" s="172">
        <f t="shared" si="9"/>
        <v>1.3035675649875711E-3</v>
      </c>
      <c r="I68" s="473"/>
      <c r="J68" s="193"/>
      <c r="K68" s="168"/>
      <c r="L68" s="547"/>
    </row>
    <row r="69" spans="1:12" s="167" customFormat="1">
      <c r="A69" s="142">
        <v>280</v>
      </c>
      <c r="B69" s="194" t="s">
        <v>258</v>
      </c>
      <c r="C69" s="501">
        <f>'[48]Sch C'!D62</f>
        <v>10084</v>
      </c>
      <c r="D69" s="501">
        <f>'[48]Sch C'!F62</f>
        <v>0</v>
      </c>
      <c r="E69" s="171">
        <f t="shared" si="7"/>
        <v>10084</v>
      </c>
      <c r="F69" s="171"/>
      <c r="G69" s="171">
        <f t="shared" si="8"/>
        <v>10084</v>
      </c>
      <c r="H69" s="172">
        <f t="shared" si="9"/>
        <v>2.2703238903859528E-3</v>
      </c>
      <c r="I69" s="473"/>
      <c r="J69" s="195"/>
      <c r="K69" s="168"/>
      <c r="L69" s="547"/>
    </row>
    <row r="70" spans="1:12" s="167" customFormat="1">
      <c r="A70" s="142">
        <v>290</v>
      </c>
      <c r="B70" s="194" t="s">
        <v>259</v>
      </c>
      <c r="C70" s="501">
        <f>'[48]Sch C'!D63</f>
        <v>0</v>
      </c>
      <c r="D70" s="501">
        <f>'[48]Sch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  <c r="L70" s="547"/>
    </row>
    <row r="71" spans="1:12" s="167" customFormat="1">
      <c r="A71" s="142">
        <v>300</v>
      </c>
      <c r="B71" s="194" t="s">
        <v>260</v>
      </c>
      <c r="C71" s="501">
        <f>'[48]Sch C'!D64</f>
        <v>0</v>
      </c>
      <c r="D71" s="501">
        <f>'[48]Sch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  <c r="L71" s="547"/>
    </row>
    <row r="72" spans="1:12" s="167" customFormat="1">
      <c r="A72" s="142">
        <v>310</v>
      </c>
      <c r="B72" s="194" t="s">
        <v>310</v>
      </c>
      <c r="C72" s="501">
        <f>'[48]Sch C'!D65</f>
        <v>7895</v>
      </c>
      <c r="D72" s="501">
        <f>'[48]Sch C'!F65</f>
        <v>0</v>
      </c>
      <c r="E72" s="171">
        <f t="shared" si="7"/>
        <v>7895</v>
      </c>
      <c r="F72" s="171"/>
      <c r="G72" s="171">
        <f t="shared" si="8"/>
        <v>7895</v>
      </c>
      <c r="H72" s="172">
        <f t="shared" si="9"/>
        <v>1.7774897971635361E-3</v>
      </c>
      <c r="I72" s="473"/>
      <c r="J72" s="195"/>
      <c r="K72" s="168"/>
      <c r="L72" s="547"/>
    </row>
    <row r="73" spans="1:12" s="167" customFormat="1">
      <c r="A73" s="142">
        <v>320</v>
      </c>
      <c r="B73" s="194" t="s">
        <v>262</v>
      </c>
      <c r="C73" s="501">
        <f>'[48]Sch C'!D66</f>
        <v>4577</v>
      </c>
      <c r="D73" s="501">
        <f>'[48]Sch C'!F66</f>
        <v>0</v>
      </c>
      <c r="E73" s="171">
        <f t="shared" si="7"/>
        <v>4577</v>
      </c>
      <c r="F73" s="171"/>
      <c r="G73" s="171">
        <f t="shared" si="8"/>
        <v>4577</v>
      </c>
      <c r="H73" s="172">
        <f t="shared" si="9"/>
        <v>1.0304712858286895E-3</v>
      </c>
      <c r="I73" s="473"/>
      <c r="J73" s="195"/>
      <c r="K73" s="168"/>
      <c r="L73" s="547"/>
    </row>
    <row r="74" spans="1:12" s="167" customFormat="1">
      <c r="A74" s="142">
        <v>330</v>
      </c>
      <c r="B74" s="194" t="s">
        <v>263</v>
      </c>
      <c r="C74" s="501">
        <f>'[48]Sch C'!D67</f>
        <v>49359</v>
      </c>
      <c r="D74" s="501">
        <f>'[48]Sch C'!F67</f>
        <v>0</v>
      </c>
      <c r="E74" s="171">
        <f t="shared" si="7"/>
        <v>49359</v>
      </c>
      <c r="F74" s="171"/>
      <c r="G74" s="171">
        <f t="shared" si="8"/>
        <v>49359</v>
      </c>
      <c r="H74" s="172">
        <f t="shared" si="9"/>
        <v>1.1112744635616843E-2</v>
      </c>
      <c r="I74" s="473"/>
      <c r="J74" s="195"/>
      <c r="K74" s="168"/>
      <c r="L74" s="547"/>
    </row>
    <row r="75" spans="1:12" s="167" customFormat="1">
      <c r="A75" s="142">
        <v>340</v>
      </c>
      <c r="B75" s="194" t="s">
        <v>264</v>
      </c>
      <c r="C75" s="501">
        <f>'[48]Sch C'!D68</f>
        <v>0</v>
      </c>
      <c r="D75" s="501">
        <f>'[48]Sch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  <c r="L75" s="547"/>
    </row>
    <row r="76" spans="1:12" s="167" customFormat="1">
      <c r="A76" s="167">
        <v>350</v>
      </c>
      <c r="B76" s="194" t="s">
        <v>311</v>
      </c>
      <c r="C76" s="501">
        <f>'[48]Sch C'!D69</f>
        <v>6585</v>
      </c>
      <c r="D76" s="501">
        <f>'[48]Sch C'!F69</f>
        <v>0</v>
      </c>
      <c r="E76" s="171">
        <f t="shared" si="7"/>
        <v>6585</v>
      </c>
      <c r="F76" s="171"/>
      <c r="G76" s="171">
        <f t="shared" si="8"/>
        <v>6585</v>
      </c>
      <c r="H76" s="172">
        <f t="shared" si="9"/>
        <v>1.4825548213200615E-3</v>
      </c>
      <c r="I76" s="473"/>
      <c r="J76" s="195"/>
      <c r="K76" s="168"/>
      <c r="L76" s="547"/>
    </row>
    <row r="77" spans="1:12" s="167" customFormat="1">
      <c r="A77" s="142">
        <v>360</v>
      </c>
      <c r="B77" s="194" t="s">
        <v>192</v>
      </c>
      <c r="C77" s="501">
        <f>'[48]Sch C'!D70</f>
        <v>0</v>
      </c>
      <c r="D77" s="501">
        <f>'[48]Sch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  <c r="L77" s="547"/>
    </row>
    <row r="78" spans="1:12" s="167" customFormat="1">
      <c r="A78" s="142">
        <v>490</v>
      </c>
      <c r="B78" s="194" t="s">
        <v>312</v>
      </c>
      <c r="C78" s="501">
        <f>'[48]Sch C'!D71</f>
        <v>0</v>
      </c>
      <c r="D78" s="501">
        <f>'[48]Sch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  <c r="L78" s="547"/>
    </row>
    <row r="79" spans="1:12" s="167" customFormat="1">
      <c r="A79" s="163"/>
      <c r="B79" s="170" t="s">
        <v>150</v>
      </c>
      <c r="C79" s="501">
        <f>SUM(C64:C78)</f>
        <v>386434</v>
      </c>
      <c r="D79" s="501">
        <f>SUM(D64:D78)</f>
        <v>0</v>
      </c>
      <c r="E79" s="171">
        <f t="shared" ref="E79:F79" si="10">SUM(E64:E78)</f>
        <v>386434</v>
      </c>
      <c r="F79" s="171">
        <f t="shared" si="10"/>
        <v>-144323</v>
      </c>
      <c r="G79" s="171">
        <f>SUM(G64:G78)</f>
        <v>242111</v>
      </c>
      <c r="H79" s="172">
        <f t="shared" si="9"/>
        <v>5.4509161783541593E-2</v>
      </c>
      <c r="I79" s="473"/>
      <c r="J79" s="195"/>
      <c r="K79" s="168"/>
      <c r="L79" s="547"/>
    </row>
    <row r="80" spans="1:12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  <c r="L80" s="547"/>
    </row>
    <row r="81" spans="1:12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  <c r="L81" s="547"/>
    </row>
    <row r="82" spans="1:12" s="167" customFormat="1">
      <c r="A82" s="169" t="s">
        <v>85</v>
      </c>
      <c r="B82" s="148" t="s">
        <v>44</v>
      </c>
      <c r="C82" s="501">
        <f>'[48]Sch C'!D75</f>
        <v>55600</v>
      </c>
      <c r="D82" s="501">
        <f>'[48]Sch C'!F75</f>
        <v>3063</v>
      </c>
      <c r="E82" s="171">
        <f t="shared" ref="E82:E92" si="11">C82+D82</f>
        <v>58663</v>
      </c>
      <c r="F82" s="171"/>
      <c r="G82" s="171">
        <f t="shared" ref="G82:G92" si="12">E82+F82</f>
        <v>58663</v>
      </c>
      <c r="H82" s="172">
        <f t="shared" ref="H82:H93" si="13">IF($G$208=0,0,G82/$G$208)</f>
        <v>1.3207458387714316E-2</v>
      </c>
      <c r="I82" s="473"/>
      <c r="J82" s="183">
        <v>2444</v>
      </c>
      <c r="K82" s="183">
        <v>2579</v>
      </c>
      <c r="L82" s="547"/>
    </row>
    <row r="83" spans="1:12" s="167" customFormat="1">
      <c r="A83" s="169" t="s">
        <v>86</v>
      </c>
      <c r="B83" s="199" t="s">
        <v>45</v>
      </c>
      <c r="C83" s="501">
        <f>'[48]Sch C'!D76</f>
        <v>0</v>
      </c>
      <c r="D83" s="501">
        <f>'[48]Sch C'!F76</f>
        <v>6982</v>
      </c>
      <c r="E83" s="171">
        <f t="shared" si="11"/>
        <v>6982</v>
      </c>
      <c r="F83" s="171"/>
      <c r="G83" s="171">
        <f t="shared" si="12"/>
        <v>6982</v>
      </c>
      <c r="H83" s="172">
        <f t="shared" si="13"/>
        <v>1.5719358788848397E-3</v>
      </c>
      <c r="I83" s="473"/>
      <c r="J83" s="168"/>
      <c r="K83" s="168"/>
      <c r="L83" s="547"/>
    </row>
    <row r="84" spans="1:12" s="167" customFormat="1">
      <c r="A84" s="169" t="s">
        <v>93</v>
      </c>
      <c r="B84" s="199" t="s">
        <v>47</v>
      </c>
      <c r="C84" s="501">
        <f>'[48]Sch C'!D77</f>
        <v>11581</v>
      </c>
      <c r="D84" s="501">
        <f>'[48]Sch C'!F77</f>
        <v>0</v>
      </c>
      <c r="E84" s="171">
        <f t="shared" si="11"/>
        <v>11581</v>
      </c>
      <c r="F84" s="171"/>
      <c r="G84" s="171">
        <f t="shared" si="12"/>
        <v>11581</v>
      </c>
      <c r="H84" s="172">
        <f t="shared" si="13"/>
        <v>2.6073602711780761E-3</v>
      </c>
      <c r="I84" s="473"/>
      <c r="J84" s="168"/>
      <c r="K84" s="168"/>
      <c r="L84" s="547"/>
    </row>
    <row r="85" spans="1:12" s="167" customFormat="1">
      <c r="A85" s="169">
        <v>230</v>
      </c>
      <c r="B85" s="199" t="s">
        <v>46</v>
      </c>
      <c r="C85" s="501">
        <f>'[48]Sch C'!D78</f>
        <v>0</v>
      </c>
      <c r="D85" s="501">
        <f>'[48]Sch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  <c r="L85" s="547"/>
    </row>
    <row r="86" spans="1:12" s="167" customFormat="1">
      <c r="A86" s="169">
        <v>240</v>
      </c>
      <c r="B86" s="200" t="s">
        <v>267</v>
      </c>
      <c r="C86" s="501">
        <f>'[48]Sch C'!D79</f>
        <v>6288</v>
      </c>
      <c r="D86" s="501">
        <f>'[48]Sch C'!F79</f>
        <v>0</v>
      </c>
      <c r="E86" s="171">
        <f t="shared" si="11"/>
        <v>6288</v>
      </c>
      <c r="F86" s="171"/>
      <c r="G86" s="171">
        <f>E86+F86</f>
        <v>6288</v>
      </c>
      <c r="H86" s="172">
        <f t="shared" si="13"/>
        <v>1.4156878840486783E-3</v>
      </c>
      <c r="I86" s="473"/>
      <c r="J86" s="168"/>
      <c r="K86" s="168"/>
      <c r="L86" s="547"/>
    </row>
    <row r="87" spans="1:12" s="167" customFormat="1">
      <c r="A87" s="169">
        <v>310</v>
      </c>
      <c r="B87" s="199" t="s">
        <v>54</v>
      </c>
      <c r="C87" s="501">
        <f>'[48]Sch C'!D80</f>
        <v>17274</v>
      </c>
      <c r="D87" s="501">
        <f>'[48]Sch C'!F80</f>
        <v>0</v>
      </c>
      <c r="E87" s="171">
        <f t="shared" si="11"/>
        <v>17274</v>
      </c>
      <c r="F87" s="171"/>
      <c r="G87" s="171">
        <f t="shared" si="12"/>
        <v>17274</v>
      </c>
      <c r="H87" s="172">
        <f t="shared" si="13"/>
        <v>3.889089139481054E-3</v>
      </c>
      <c r="I87" s="473"/>
      <c r="J87" s="168"/>
      <c r="K87" s="168"/>
      <c r="L87" s="547"/>
    </row>
    <row r="88" spans="1:12" s="167" customFormat="1">
      <c r="A88" s="169">
        <v>320</v>
      </c>
      <c r="B88" s="201" t="s">
        <v>313</v>
      </c>
      <c r="C88" s="501">
        <f>'[48]Sch C'!D81</f>
        <v>4068</v>
      </c>
      <c r="D88" s="501">
        <f>'[48]Sch C'!F81</f>
        <v>0</v>
      </c>
      <c r="E88" s="171">
        <f t="shared" si="11"/>
        <v>4068</v>
      </c>
      <c r="F88" s="171"/>
      <c r="G88" s="171">
        <f t="shared" si="12"/>
        <v>4068</v>
      </c>
      <c r="H88" s="172">
        <f t="shared" si="13"/>
        <v>9.1587441353530898E-4</v>
      </c>
      <c r="I88" s="473"/>
      <c r="J88" s="168"/>
      <c r="K88" s="168"/>
      <c r="L88" s="547"/>
    </row>
    <row r="89" spans="1:12" s="167" customFormat="1">
      <c r="A89" s="169">
        <v>330</v>
      </c>
      <c r="B89" s="201" t="s">
        <v>314</v>
      </c>
      <c r="C89" s="501">
        <f>'[48]Sch C'!D82</f>
        <v>1260</v>
      </c>
      <c r="D89" s="501">
        <f>'[48]Sch C'!F82</f>
        <v>0</v>
      </c>
      <c r="E89" s="171">
        <f t="shared" si="11"/>
        <v>1260</v>
      </c>
      <c r="F89" s="171"/>
      <c r="G89" s="171">
        <f t="shared" si="12"/>
        <v>1260</v>
      </c>
      <c r="H89" s="172">
        <f t="shared" si="13"/>
        <v>2.8367791569677711E-4</v>
      </c>
      <c r="I89" s="473"/>
      <c r="J89" s="168"/>
      <c r="K89" s="168"/>
      <c r="L89" s="547"/>
    </row>
    <row r="90" spans="1:12" s="167" customFormat="1">
      <c r="A90" s="163">
        <v>340</v>
      </c>
      <c r="B90" s="201" t="s">
        <v>300</v>
      </c>
      <c r="C90" s="501">
        <f>'[48]Sch C'!D83</f>
        <v>0</v>
      </c>
      <c r="D90" s="501">
        <f>'[48]Sch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  <c r="L90" s="547"/>
    </row>
    <row r="91" spans="1:12" s="167" customFormat="1">
      <c r="A91" s="163">
        <v>350</v>
      </c>
      <c r="B91" s="199" t="s">
        <v>49</v>
      </c>
      <c r="C91" s="501">
        <f>'[48]Sch C'!D84</f>
        <v>54915</v>
      </c>
      <c r="D91" s="501">
        <f>'[48]Sch C'!F84</f>
        <v>0</v>
      </c>
      <c r="E91" s="171">
        <f t="shared" si="11"/>
        <v>54915</v>
      </c>
      <c r="F91" s="171"/>
      <c r="G91" s="171">
        <f t="shared" si="12"/>
        <v>54915</v>
      </c>
      <c r="H91" s="172">
        <f t="shared" si="13"/>
        <v>1.2363629159117869E-2</v>
      </c>
      <c r="I91" s="473"/>
      <c r="J91" s="168"/>
      <c r="K91" s="168"/>
      <c r="L91" s="547"/>
    </row>
    <row r="92" spans="1:12" s="167" customFormat="1">
      <c r="A92" s="163">
        <v>490</v>
      </c>
      <c r="B92" s="148" t="s">
        <v>312</v>
      </c>
      <c r="C92" s="501">
        <f>'[48]Sch C'!D85</f>
        <v>0</v>
      </c>
      <c r="D92" s="501">
        <f>'[48]Sch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  <c r="L92" s="547"/>
    </row>
    <row r="93" spans="1:12" s="167" customFormat="1">
      <c r="A93" s="163"/>
      <c r="B93" s="170" t="s">
        <v>50</v>
      </c>
      <c r="C93" s="501">
        <f>SUM(C82:C92)</f>
        <v>150986</v>
      </c>
      <c r="D93" s="501">
        <f>SUM(D82:D92)</f>
        <v>10045</v>
      </c>
      <c r="E93" s="171">
        <f t="shared" ref="E93:F93" si="14">SUM(E82:E92)</f>
        <v>161031</v>
      </c>
      <c r="F93" s="171">
        <f t="shared" si="14"/>
        <v>0</v>
      </c>
      <c r="G93" s="171">
        <f>SUM(G82:G92)</f>
        <v>161031</v>
      </c>
      <c r="H93" s="172">
        <f t="shared" si="13"/>
        <v>3.6254713049656918E-2</v>
      </c>
      <c r="I93" s="473"/>
      <c r="J93" s="168"/>
      <c r="K93" s="168"/>
      <c r="L93" s="547"/>
    </row>
    <row r="94" spans="1:12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  <c r="L94" s="547"/>
    </row>
    <row r="95" spans="1:12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  <c r="L95" s="547"/>
    </row>
    <row r="96" spans="1:12" s="167" customFormat="1">
      <c r="A96" s="169" t="s">
        <v>85</v>
      </c>
      <c r="B96" s="170" t="s">
        <v>44</v>
      </c>
      <c r="C96" s="501">
        <f>'[48]Sch C'!D89</f>
        <v>140822</v>
      </c>
      <c r="D96" s="501">
        <f>'[48]Sch C'!F89</f>
        <v>7758</v>
      </c>
      <c r="E96" s="171">
        <f t="shared" ref="E96:E101" si="15">C96+D96</f>
        <v>148580</v>
      </c>
      <c r="F96" s="171"/>
      <c r="G96" s="171">
        <f t="shared" ref="G96:G101" si="16">E96+F96</f>
        <v>148580</v>
      </c>
      <c r="H96" s="172">
        <f t="shared" ref="H96:H102" si="17">IF($G$208=0,0,G96/$G$208)</f>
        <v>3.3451479931926306E-2</v>
      </c>
      <c r="I96" s="473"/>
      <c r="J96" s="183">
        <v>11176</v>
      </c>
      <c r="K96" s="183">
        <v>11792</v>
      </c>
      <c r="L96" s="547"/>
    </row>
    <row r="97" spans="1:12" s="167" customFormat="1">
      <c r="A97" s="169" t="s">
        <v>86</v>
      </c>
      <c r="B97" s="170" t="s">
        <v>45</v>
      </c>
      <c r="C97" s="501">
        <f>'[48]Sch C'!D90</f>
        <v>0</v>
      </c>
      <c r="D97" s="501">
        <f>'[48]Sch C'!F90</f>
        <v>17685</v>
      </c>
      <c r="E97" s="171">
        <f t="shared" si="15"/>
        <v>17685</v>
      </c>
      <c r="F97" s="171"/>
      <c r="G97" s="171">
        <f t="shared" si="16"/>
        <v>17685</v>
      </c>
      <c r="H97" s="172">
        <f t="shared" si="17"/>
        <v>3.9816221738869072E-3</v>
      </c>
      <c r="I97" s="473"/>
      <c r="J97" s="168"/>
      <c r="K97" s="168"/>
      <c r="L97" s="547"/>
    </row>
    <row r="98" spans="1:12" s="167" customFormat="1">
      <c r="A98" s="169">
        <v>310</v>
      </c>
      <c r="B98" s="170" t="s">
        <v>54</v>
      </c>
      <c r="C98" s="501">
        <f>'[48]Sch C'!D91</f>
        <v>16939</v>
      </c>
      <c r="D98" s="501">
        <f>'[48]Sch C'!F91</f>
        <v>0</v>
      </c>
      <c r="E98" s="171">
        <f t="shared" si="15"/>
        <v>16939</v>
      </c>
      <c r="F98" s="171"/>
      <c r="G98" s="171">
        <f t="shared" si="16"/>
        <v>16939</v>
      </c>
      <c r="H98" s="172">
        <f t="shared" si="17"/>
        <v>3.8136668364981809E-3</v>
      </c>
      <c r="I98" s="473"/>
      <c r="J98" s="168"/>
      <c r="K98" s="168"/>
      <c r="L98" s="547"/>
    </row>
    <row r="99" spans="1:12" s="167" customFormat="1">
      <c r="A99" s="169">
        <v>380</v>
      </c>
      <c r="B99" s="170" t="s">
        <v>52</v>
      </c>
      <c r="C99" s="501">
        <f>'[48]Sch C'!D92</f>
        <v>110747</v>
      </c>
      <c r="D99" s="501">
        <f>'[48]Sch C'!F92</f>
        <v>0</v>
      </c>
      <c r="E99" s="171">
        <f t="shared" si="15"/>
        <v>110747</v>
      </c>
      <c r="F99" s="171"/>
      <c r="G99" s="171">
        <f t="shared" si="16"/>
        <v>110747</v>
      </c>
      <c r="H99" s="172">
        <f t="shared" si="17"/>
        <v>2.4933712801326172E-2</v>
      </c>
      <c r="I99" s="473"/>
      <c r="J99" s="168"/>
      <c r="K99" s="168"/>
      <c r="L99" s="547"/>
    </row>
    <row r="100" spans="1:12" s="167" customFormat="1">
      <c r="A100" s="169">
        <v>390</v>
      </c>
      <c r="B100" s="170" t="s">
        <v>53</v>
      </c>
      <c r="C100" s="501">
        <f>'[48]Sch C'!D93</f>
        <v>6912</v>
      </c>
      <c r="D100" s="501">
        <f>'[48]Sch C'!F93</f>
        <v>0</v>
      </c>
      <c r="E100" s="171">
        <f t="shared" si="15"/>
        <v>6912</v>
      </c>
      <c r="F100" s="171"/>
      <c r="G100" s="171">
        <f t="shared" si="16"/>
        <v>6912</v>
      </c>
      <c r="H100" s="172">
        <f t="shared" si="17"/>
        <v>1.5561759946794631E-3</v>
      </c>
      <c r="I100" s="473"/>
      <c r="J100" s="168"/>
      <c r="K100" s="168"/>
      <c r="L100" s="547"/>
    </row>
    <row r="101" spans="1:12" s="167" customFormat="1">
      <c r="A101" s="169">
        <v>490</v>
      </c>
      <c r="B101" s="202" t="s">
        <v>312</v>
      </c>
      <c r="C101" s="501">
        <f>'[48]Sch C'!D94</f>
        <v>0</v>
      </c>
      <c r="D101" s="501">
        <f>'[48]Sch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  <c r="L101" s="547"/>
    </row>
    <row r="102" spans="1:12" s="167" customFormat="1">
      <c r="A102" s="169"/>
      <c r="B102" s="170" t="s">
        <v>55</v>
      </c>
      <c r="C102" s="501">
        <f>SUM(C96:C101)</f>
        <v>275420</v>
      </c>
      <c r="D102" s="501">
        <f>SUM(D96:D101)</f>
        <v>25443</v>
      </c>
      <c r="E102" s="171">
        <f t="shared" ref="E102:F102" si="18">SUM(E96:E101)</f>
        <v>300863</v>
      </c>
      <c r="F102" s="171">
        <f t="shared" si="18"/>
        <v>0</v>
      </c>
      <c r="G102" s="171">
        <f>SUM(G96:G101)</f>
        <v>300863</v>
      </c>
      <c r="H102" s="172">
        <f t="shared" si="17"/>
        <v>6.7736657738317024E-2</v>
      </c>
      <c r="I102" s="473"/>
      <c r="J102" s="168"/>
      <c r="K102" s="168"/>
      <c r="L102" s="547"/>
    </row>
    <row r="103" spans="1:12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  <c r="L103" s="547"/>
    </row>
    <row r="104" spans="1:12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  <c r="L104" s="547"/>
    </row>
    <row r="105" spans="1:12" s="167" customFormat="1">
      <c r="A105" s="169" t="s">
        <v>85</v>
      </c>
      <c r="B105" s="170" t="s">
        <v>44</v>
      </c>
      <c r="C105" s="501">
        <f>'[48]Sch C'!D98</f>
        <v>25170</v>
      </c>
      <c r="D105" s="501">
        <f>'[48]Sch C'!F98</f>
        <v>1387</v>
      </c>
      <c r="E105" s="171">
        <f t="shared" ref="E105:E110" si="19">C105+D105</f>
        <v>26557</v>
      </c>
      <c r="F105" s="171"/>
      <c r="G105" s="171">
        <f t="shared" ref="G105:G110" si="20">E105+F105</f>
        <v>26557</v>
      </c>
      <c r="H105" s="172">
        <f t="shared" ref="H105:H111" si="21">IF($G$208=0,0,G105/$G$208)</f>
        <v>5.979074926316913E-3</v>
      </c>
      <c r="I105" s="473"/>
      <c r="J105" s="183">
        <v>2137</v>
      </c>
      <c r="K105" s="183">
        <v>2255</v>
      </c>
      <c r="L105" s="547"/>
    </row>
    <row r="106" spans="1:12" s="167" customFormat="1">
      <c r="A106" s="169" t="s">
        <v>86</v>
      </c>
      <c r="B106" s="170" t="s">
        <v>45</v>
      </c>
      <c r="C106" s="501">
        <f>'[48]Sch C'!D99</f>
        <v>0</v>
      </c>
      <c r="D106" s="501">
        <f>'[48]Sch C'!F99</f>
        <v>3161</v>
      </c>
      <c r="E106" s="171">
        <f t="shared" si="19"/>
        <v>3161</v>
      </c>
      <c r="F106" s="171"/>
      <c r="G106" s="171">
        <f t="shared" si="20"/>
        <v>3161</v>
      </c>
      <c r="H106" s="172">
        <f t="shared" si="21"/>
        <v>7.1167134247421629E-4</v>
      </c>
      <c r="I106" s="473"/>
      <c r="J106" s="168"/>
      <c r="K106" s="168"/>
      <c r="L106" s="547"/>
    </row>
    <row r="107" spans="1:12" s="167" customFormat="1">
      <c r="A107" s="169">
        <v>110</v>
      </c>
      <c r="B107" s="170" t="s">
        <v>47</v>
      </c>
      <c r="C107" s="501">
        <f>'[48]Sch C'!D100</f>
        <v>3250</v>
      </c>
      <c r="D107" s="501">
        <f>'[48]Sch C'!F100</f>
        <v>0</v>
      </c>
      <c r="E107" s="171">
        <f t="shared" si="19"/>
        <v>3250</v>
      </c>
      <c r="F107" s="171"/>
      <c r="G107" s="171">
        <f t="shared" si="20"/>
        <v>3250</v>
      </c>
      <c r="H107" s="172">
        <f t="shared" si="21"/>
        <v>7.3170890953533786E-4</v>
      </c>
      <c r="I107" s="473"/>
      <c r="J107" s="168"/>
      <c r="K107" s="168"/>
      <c r="L107" s="547"/>
    </row>
    <row r="108" spans="1:12" s="167" customFormat="1">
      <c r="A108" s="169">
        <v>310</v>
      </c>
      <c r="B108" s="170" t="s">
        <v>54</v>
      </c>
      <c r="C108" s="501">
        <f>'[48]Sch C'!D101</f>
        <v>4353</v>
      </c>
      <c r="D108" s="501">
        <f>'[48]Sch C'!F101</f>
        <v>0</v>
      </c>
      <c r="E108" s="171">
        <f t="shared" si="19"/>
        <v>4353</v>
      </c>
      <c r="F108" s="171"/>
      <c r="G108" s="171">
        <f t="shared" si="20"/>
        <v>4353</v>
      </c>
      <c r="H108" s="172">
        <f t="shared" si="21"/>
        <v>9.8003965637148477E-4</v>
      </c>
      <c r="I108" s="473"/>
      <c r="J108" s="168"/>
      <c r="K108" s="168"/>
      <c r="L108" s="547"/>
    </row>
    <row r="109" spans="1:12" s="167" customFormat="1">
      <c r="A109" s="169">
        <v>410</v>
      </c>
      <c r="B109" s="170" t="s">
        <v>57</v>
      </c>
      <c r="C109" s="501">
        <f>'[48]Sch C'!D102</f>
        <v>3933</v>
      </c>
      <c r="D109" s="501">
        <f>'[48]Sch C'!F102</f>
        <v>0</v>
      </c>
      <c r="E109" s="171">
        <f t="shared" si="19"/>
        <v>3933</v>
      </c>
      <c r="F109" s="171"/>
      <c r="G109" s="171">
        <f t="shared" si="20"/>
        <v>3933</v>
      </c>
      <c r="H109" s="172">
        <f t="shared" si="21"/>
        <v>8.8548035113922578E-4</v>
      </c>
      <c r="I109" s="473"/>
      <c r="J109" s="168"/>
      <c r="K109" s="168"/>
      <c r="L109" s="547"/>
    </row>
    <row r="110" spans="1:12" s="167" customFormat="1">
      <c r="A110" s="169">
        <v>490</v>
      </c>
      <c r="B110" s="202" t="s">
        <v>312</v>
      </c>
      <c r="C110" s="501">
        <f>'[48]Sch C'!D103</f>
        <v>0</v>
      </c>
      <c r="D110" s="501">
        <f>'[48]Sch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  <c r="L110" s="547"/>
    </row>
    <row r="111" spans="1:12" s="167" customFormat="1">
      <c r="A111" s="163"/>
      <c r="B111" s="170" t="s">
        <v>58</v>
      </c>
      <c r="C111" s="501">
        <f>SUM(C105:C110)</f>
        <v>36706</v>
      </c>
      <c r="D111" s="501">
        <f>SUM(D105:D110)</f>
        <v>4548</v>
      </c>
      <c r="E111" s="171">
        <f t="shared" ref="E111:F111" si="22">SUM(E105:E110)</f>
        <v>41254</v>
      </c>
      <c r="F111" s="171">
        <f t="shared" si="22"/>
        <v>0</v>
      </c>
      <c r="G111" s="171">
        <f>SUM(G105:G110)</f>
        <v>41254</v>
      </c>
      <c r="H111" s="172">
        <f t="shared" si="21"/>
        <v>9.2879751858371776E-3</v>
      </c>
      <c r="I111" s="473"/>
      <c r="J111" s="168"/>
      <c r="K111" s="168"/>
      <c r="L111" s="547"/>
    </row>
    <row r="112" spans="1:12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  <c r="L112" s="547"/>
    </row>
    <row r="113" spans="1:12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  <c r="L113" s="547"/>
    </row>
    <row r="114" spans="1:12" s="167" customFormat="1">
      <c r="A114" s="169" t="s">
        <v>85</v>
      </c>
      <c r="B114" s="170" t="s">
        <v>44</v>
      </c>
      <c r="C114" s="501">
        <f>'[48]Sch C'!D115</f>
        <v>74916</v>
      </c>
      <c r="D114" s="501">
        <f>'[48]Sch C'!F115</f>
        <v>4127</v>
      </c>
      <c r="E114" s="171">
        <f t="shared" ref="E114:E118" si="23">C114+D114</f>
        <v>79043</v>
      </c>
      <c r="F114" s="171"/>
      <c r="G114" s="171">
        <f>E114+F114</f>
        <v>79043</v>
      </c>
      <c r="H114" s="172">
        <f t="shared" ref="H114:H119" si="24">IF($G$208=0,0,G114/$G$208)</f>
        <v>1.7795836103508218E-2</v>
      </c>
      <c r="I114" s="473"/>
      <c r="J114" s="183">
        <v>6022</v>
      </c>
      <c r="K114" s="183">
        <v>6354</v>
      </c>
      <c r="L114" s="547"/>
    </row>
    <row r="115" spans="1:12" s="167" customFormat="1">
      <c r="A115" s="169" t="s">
        <v>86</v>
      </c>
      <c r="B115" s="170" t="s">
        <v>151</v>
      </c>
      <c r="C115" s="501">
        <f>'[48]Sch C'!D116</f>
        <v>0</v>
      </c>
      <c r="D115" s="501">
        <f>'[48]Sch C'!F116</f>
        <v>9409</v>
      </c>
      <c r="E115" s="171">
        <f t="shared" si="23"/>
        <v>9409</v>
      </c>
      <c r="F115" s="171"/>
      <c r="G115" s="171">
        <f>E115+F115</f>
        <v>9409</v>
      </c>
      <c r="H115" s="172">
        <f t="shared" si="24"/>
        <v>2.1183535784055365E-3</v>
      </c>
      <c r="I115" s="473"/>
      <c r="J115" s="168"/>
      <c r="K115" s="168"/>
      <c r="L115" s="547"/>
    </row>
    <row r="116" spans="1:12" s="167" customFormat="1">
      <c r="A116" s="169" t="s">
        <v>93</v>
      </c>
      <c r="B116" s="170" t="s">
        <v>47</v>
      </c>
      <c r="C116" s="501">
        <f>'[48]Sch C'!D117</f>
        <v>17219</v>
      </c>
      <c r="D116" s="501">
        <f>'[48]Sch C'!F117</f>
        <v>0</v>
      </c>
      <c r="E116" s="171">
        <f t="shared" si="23"/>
        <v>17219</v>
      </c>
      <c r="F116" s="171"/>
      <c r="G116" s="171">
        <f>E116+F116</f>
        <v>17219</v>
      </c>
      <c r="H116" s="172">
        <f t="shared" si="24"/>
        <v>3.876706373319687E-3</v>
      </c>
      <c r="I116" s="473"/>
      <c r="J116" s="168"/>
      <c r="K116" s="168"/>
      <c r="L116" s="547"/>
    </row>
    <row r="117" spans="1:12" s="167" customFormat="1">
      <c r="A117" s="169">
        <v>310</v>
      </c>
      <c r="B117" s="170" t="s">
        <v>60</v>
      </c>
      <c r="C117" s="501">
        <f>'[48]Sch C'!D118</f>
        <v>914</v>
      </c>
      <c r="D117" s="501">
        <f>'[48]Sch C'!F118</f>
        <v>0</v>
      </c>
      <c r="E117" s="171">
        <f t="shared" si="23"/>
        <v>914</v>
      </c>
      <c r="F117" s="171"/>
      <c r="G117" s="171">
        <f>E117+F117</f>
        <v>914</v>
      </c>
      <c r="H117" s="172">
        <f t="shared" si="24"/>
        <v>2.0577905948163038E-4</v>
      </c>
      <c r="I117" s="473"/>
      <c r="J117" s="168"/>
      <c r="K117" s="168"/>
      <c r="L117" s="547"/>
    </row>
    <row r="118" spans="1:12" s="167" customFormat="1">
      <c r="A118" s="169">
        <v>490</v>
      </c>
      <c r="B118" s="202" t="s">
        <v>312</v>
      </c>
      <c r="C118" s="501">
        <f>'[48]Sch C'!D119</f>
        <v>0</v>
      </c>
      <c r="D118" s="501">
        <f>'[48]Sch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  <c r="L118" s="547"/>
    </row>
    <row r="119" spans="1:12" s="167" customFormat="1">
      <c r="A119" s="163"/>
      <c r="B119" s="170" t="s">
        <v>61</v>
      </c>
      <c r="C119" s="501">
        <f>SUM(C114:C118)</f>
        <v>93049</v>
      </c>
      <c r="D119" s="501">
        <f>SUM(D114:D118)</f>
        <v>13536</v>
      </c>
      <c r="E119" s="171">
        <f t="shared" ref="E119:F119" si="25">SUM(E114:E118)</f>
        <v>106585</v>
      </c>
      <c r="F119" s="171">
        <f t="shared" si="25"/>
        <v>0</v>
      </c>
      <c r="G119" s="171">
        <f>SUM(G114:G118)</f>
        <v>106585</v>
      </c>
      <c r="H119" s="172">
        <f t="shared" si="24"/>
        <v>2.3996675114715073E-2</v>
      </c>
      <c r="I119" s="473"/>
      <c r="J119" s="168"/>
      <c r="K119" s="168"/>
      <c r="L119" s="547"/>
    </row>
    <row r="120" spans="1:12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  <c r="L120" s="547"/>
    </row>
    <row r="121" spans="1:12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  <c r="L121" s="547"/>
    </row>
    <row r="122" spans="1:12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  <c r="L122" s="547"/>
    </row>
    <row r="123" spans="1:12" s="167" customFormat="1">
      <c r="B123" s="163" t="s">
        <v>232</v>
      </c>
      <c r="C123" s="501">
        <f>'[48]Sch C'!D124</f>
        <v>0</v>
      </c>
      <c r="D123" s="501">
        <f>'[48]Sch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  <c r="L123" s="547"/>
    </row>
    <row r="124" spans="1:12" s="167" customFormat="1">
      <c r="B124" s="163" t="s">
        <v>194</v>
      </c>
      <c r="C124" s="501">
        <f>'[48]Sch C'!D125</f>
        <v>131491</v>
      </c>
      <c r="D124" s="501">
        <f>'[48]Sch C'!F125</f>
        <v>7244</v>
      </c>
      <c r="E124" s="171">
        <f t="shared" si="26"/>
        <v>138735</v>
      </c>
      <c r="F124" s="171">
        <v>25150.735983868726</v>
      </c>
      <c r="G124" s="171">
        <f>E124+F124</f>
        <v>163885.73598386871</v>
      </c>
      <c r="H124" s="172">
        <f>IF($G$208=0,0,G124/$G$208)</f>
        <v>3.6897431743123953E-2</v>
      </c>
      <c r="I124" s="473" t="s">
        <v>402</v>
      </c>
      <c r="J124" s="183">
        <v>3627</v>
      </c>
      <c r="K124" s="183">
        <v>3827</v>
      </c>
      <c r="L124" s="547"/>
    </row>
    <row r="125" spans="1:12" s="167" customFormat="1">
      <c r="A125" s="163" t="s">
        <v>198</v>
      </c>
      <c r="B125" s="163" t="s">
        <v>195</v>
      </c>
      <c r="C125" s="501">
        <f>'[48]Sch C'!D126</f>
        <v>55462</v>
      </c>
      <c r="D125" s="501">
        <f>'[48]Sch C'!F126</f>
        <v>3055</v>
      </c>
      <c r="E125" s="171">
        <f t="shared" si="26"/>
        <v>58517</v>
      </c>
      <c r="F125" s="171"/>
      <c r="G125" s="171">
        <f>E125+F125</f>
        <v>58517</v>
      </c>
      <c r="H125" s="172">
        <f>IF($G$208=0,0,G125/$G$208)</f>
        <v>1.3174587772085957E-2</v>
      </c>
      <c r="I125" s="473"/>
      <c r="J125" s="183">
        <v>1629</v>
      </c>
      <c r="K125" s="183">
        <v>1719</v>
      </c>
      <c r="L125" s="547"/>
    </row>
    <row r="126" spans="1:12" s="167" customFormat="1">
      <c r="A126" s="169"/>
      <c r="B126" s="163" t="s">
        <v>196</v>
      </c>
      <c r="C126" s="501">
        <f>'[48]Sch C'!D127</f>
        <v>0</v>
      </c>
      <c r="D126" s="501">
        <f>'[48]Sch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  <c r="L126" s="547"/>
    </row>
    <row r="127" spans="1:12" s="167" customFormat="1">
      <c r="A127" s="169"/>
      <c r="B127" s="163" t="s">
        <v>197</v>
      </c>
      <c r="C127" s="501">
        <f>'[48]Sch C'!D128</f>
        <v>28293</v>
      </c>
      <c r="D127" s="501">
        <f>'[48]Sch C'!F128</f>
        <v>1559</v>
      </c>
      <c r="E127" s="171">
        <f t="shared" si="26"/>
        <v>29852</v>
      </c>
      <c r="F127" s="171"/>
      <c r="G127" s="171">
        <f>E127+F127</f>
        <v>29852</v>
      </c>
      <c r="H127" s="172">
        <f>IF($G$208=0,0,G127/$G$208)</f>
        <v>6.7209151899842784E-3</v>
      </c>
      <c r="I127" s="473"/>
      <c r="J127" s="183">
        <v>1681</v>
      </c>
      <c r="K127" s="183">
        <v>1774</v>
      </c>
      <c r="L127" s="547"/>
    </row>
    <row r="128" spans="1:12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  <c r="L128" s="547"/>
    </row>
    <row r="129" spans="1:12" s="167" customFormat="1">
      <c r="A129" s="169"/>
      <c r="B129" s="163" t="s">
        <v>232</v>
      </c>
      <c r="C129" s="501">
        <f>'[48]Sch C'!D130</f>
        <v>0</v>
      </c>
      <c r="D129" s="501">
        <f>'[48]Sch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  <c r="L129" s="547"/>
    </row>
    <row r="130" spans="1:12" s="167" customFormat="1">
      <c r="A130" s="169"/>
      <c r="B130" s="163" t="s">
        <v>194</v>
      </c>
      <c r="C130" s="501">
        <f>'[48]Sch C'!D131</f>
        <v>0</v>
      </c>
      <c r="D130" s="501">
        <f>'[48]Sch C'!F131</f>
        <v>16513</v>
      </c>
      <c r="E130" s="171">
        <f t="shared" si="27"/>
        <v>16513</v>
      </c>
      <c r="F130" s="171">
        <v>3164.9419604107793</v>
      </c>
      <c r="G130" s="171">
        <f>E130+F130</f>
        <v>19677.941960410779</v>
      </c>
      <c r="H130" s="172">
        <f>IF($G$208=0,0,G130/$G$208)</f>
        <v>4.4303155242313352E-3</v>
      </c>
      <c r="I130" s="473" t="s">
        <v>402</v>
      </c>
      <c r="J130" s="204"/>
      <c r="K130" s="204"/>
      <c r="L130" s="547"/>
    </row>
    <row r="131" spans="1:12" s="167" customFormat="1">
      <c r="B131" s="163" t="s">
        <v>195</v>
      </c>
      <c r="C131" s="501">
        <f>'[48]Sch C'!D132</f>
        <v>0</v>
      </c>
      <c r="D131" s="501">
        <f>'[48]Sch C'!F132</f>
        <v>6965</v>
      </c>
      <c r="E131" s="171">
        <f t="shared" si="27"/>
        <v>6965</v>
      </c>
      <c r="F131" s="171"/>
      <c r="G131" s="171">
        <f>E131+F131</f>
        <v>6965</v>
      </c>
      <c r="H131" s="172">
        <f>IF($G$208=0,0,G131/$G$208)</f>
        <v>1.5681084784349624E-3</v>
      </c>
      <c r="I131" s="473"/>
      <c r="J131" s="168"/>
      <c r="K131" s="168"/>
      <c r="L131" s="547"/>
    </row>
    <row r="132" spans="1:12" s="167" customFormat="1">
      <c r="B132" s="163" t="s">
        <v>196</v>
      </c>
      <c r="C132" s="501">
        <f>'[48]Sch C'!D133</f>
        <v>0</v>
      </c>
      <c r="D132" s="501">
        <f>'[48]Sch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  <c r="L132" s="547"/>
    </row>
    <row r="133" spans="1:12" s="167" customFormat="1">
      <c r="B133" s="163" t="s">
        <v>197</v>
      </c>
      <c r="C133" s="501">
        <f>'[48]Sch C'!D134</f>
        <v>0</v>
      </c>
      <c r="D133" s="501">
        <f>'[48]Sch C'!F134</f>
        <v>3553</v>
      </c>
      <c r="E133" s="171">
        <f t="shared" si="27"/>
        <v>3553</v>
      </c>
      <c r="F133" s="171"/>
      <c r="G133" s="171">
        <f>E133+F133</f>
        <v>3553</v>
      </c>
      <c r="H133" s="172">
        <f>IF($G$208=0,0,G133/$G$208)</f>
        <v>7.9992669402432473E-4</v>
      </c>
      <c r="I133" s="473"/>
      <c r="J133" s="168"/>
      <c r="K133" s="168"/>
      <c r="L133" s="547"/>
    </row>
    <row r="134" spans="1:12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  <c r="L134" s="547"/>
    </row>
    <row r="135" spans="1:12" s="167" customFormat="1">
      <c r="A135" s="169"/>
      <c r="B135" s="163" t="s">
        <v>194</v>
      </c>
      <c r="C135" s="501">
        <f>'[48]Sch C'!D136</f>
        <v>374904</v>
      </c>
      <c r="D135" s="501">
        <f>'[48]Sch C'!F136</f>
        <v>20654</v>
      </c>
      <c r="E135" s="171">
        <f t="shared" ref="E135:E138" si="28">C135+D135</f>
        <v>395558</v>
      </c>
      <c r="F135" s="171"/>
      <c r="G135" s="171">
        <f>E135+F135</f>
        <v>395558</v>
      </c>
      <c r="H135" s="172">
        <f>IF($G$208=0,0,G135/$G$208)</f>
        <v>8.9056403950147439E-2</v>
      </c>
      <c r="I135" s="473"/>
      <c r="J135" s="183">
        <v>12752</v>
      </c>
      <c r="K135" s="183">
        <v>13455</v>
      </c>
      <c r="L135" s="547"/>
    </row>
    <row r="136" spans="1:12" s="167" customFormat="1">
      <c r="A136" s="169"/>
      <c r="B136" s="163" t="s">
        <v>195</v>
      </c>
      <c r="C136" s="501">
        <f>'[48]Sch C'!D137</f>
        <v>163865</v>
      </c>
      <c r="D136" s="501">
        <f>'[48]Sch C'!F137</f>
        <v>9028</v>
      </c>
      <c r="E136" s="171">
        <f t="shared" si="28"/>
        <v>172893</v>
      </c>
      <c r="F136" s="171"/>
      <c r="G136" s="171">
        <f>E136+F136</f>
        <v>172893</v>
      </c>
      <c r="H136" s="172">
        <f>IF($G$208=0,0,G136/$G$208)</f>
        <v>3.8925337998859437E-2</v>
      </c>
      <c r="I136" s="473"/>
      <c r="J136" s="183">
        <v>6146</v>
      </c>
      <c r="K136" s="183">
        <v>6485</v>
      </c>
      <c r="L136" s="547"/>
    </row>
    <row r="137" spans="1:12" s="167" customFormat="1">
      <c r="A137" s="169"/>
      <c r="B137" s="163" t="s">
        <v>196</v>
      </c>
      <c r="C137" s="501">
        <f>'[48]Sch C'!D138</f>
        <v>484581</v>
      </c>
      <c r="D137" s="501">
        <f>'[48]Sch C'!F138</f>
        <v>26696</v>
      </c>
      <c r="E137" s="171">
        <f t="shared" si="28"/>
        <v>511277</v>
      </c>
      <c r="F137" s="171"/>
      <c r="G137" s="171">
        <f>E137+F137</f>
        <v>511277</v>
      </c>
      <c r="H137" s="172">
        <f>IF($G$208=0,0,G137/$G$208)</f>
        <v>0.1151095188124612</v>
      </c>
      <c r="I137" s="473"/>
      <c r="J137" s="183">
        <v>35294</v>
      </c>
      <c r="K137" s="183">
        <v>37238</v>
      </c>
      <c r="L137" s="547"/>
    </row>
    <row r="138" spans="1:12" s="167" customFormat="1">
      <c r="A138" s="169"/>
      <c r="B138" s="163" t="s">
        <v>197</v>
      </c>
      <c r="C138" s="501">
        <f>'[48]Sch C'!D139</f>
        <v>27208</v>
      </c>
      <c r="D138" s="501">
        <f>'[48]Sch C'!F139</f>
        <v>1499</v>
      </c>
      <c r="E138" s="171">
        <f t="shared" si="28"/>
        <v>28707</v>
      </c>
      <c r="F138" s="171"/>
      <c r="G138" s="171">
        <f>E138+F138</f>
        <v>28707</v>
      </c>
      <c r="H138" s="172">
        <f>IF($G$208=0,0,G138/$G$208)</f>
        <v>6.4631285126249055E-3</v>
      </c>
      <c r="I138" s="473"/>
      <c r="J138" s="183">
        <v>2560</v>
      </c>
      <c r="K138" s="183">
        <v>2701</v>
      </c>
      <c r="L138" s="547"/>
    </row>
    <row r="139" spans="1:12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  <c r="L139" s="547"/>
    </row>
    <row r="140" spans="1:12" s="167" customFormat="1">
      <c r="A140" s="169"/>
      <c r="B140" s="163" t="s">
        <v>194</v>
      </c>
      <c r="C140" s="501">
        <f>'[48]Sch C'!D141</f>
        <v>0</v>
      </c>
      <c r="D140" s="501">
        <f>'[48]Sch C'!F141</f>
        <v>47084</v>
      </c>
      <c r="E140" s="171">
        <f t="shared" ref="E140:E143" si="29">C140+D140</f>
        <v>47084</v>
      </c>
      <c r="F140" s="171"/>
      <c r="G140" s="171">
        <f>E140+F140</f>
        <v>47084</v>
      </c>
      <c r="H140" s="172">
        <f>IF($G$208=0,0,G140/$G$208)</f>
        <v>1.0600548398942106E-2</v>
      </c>
      <c r="I140" s="473"/>
      <c r="J140" s="168"/>
      <c r="K140" s="168"/>
      <c r="L140" s="547"/>
    </row>
    <row r="141" spans="1:12" s="167" customFormat="1">
      <c r="A141" s="169"/>
      <c r="B141" s="163" t="s">
        <v>195</v>
      </c>
      <c r="C141" s="501">
        <f>'[48]Sch C'!D142</f>
        <v>0</v>
      </c>
      <c r="D141" s="501">
        <f>'[48]Sch C'!F142</f>
        <v>20580</v>
      </c>
      <c r="E141" s="171">
        <f t="shared" si="29"/>
        <v>20580</v>
      </c>
      <c r="F141" s="171"/>
      <c r="G141" s="171">
        <f>E141+F141</f>
        <v>20580</v>
      </c>
      <c r="H141" s="172">
        <f>IF($G$208=0,0,G141/$G$208)</f>
        <v>4.6334059563806927E-3</v>
      </c>
      <c r="I141" s="473"/>
      <c r="J141" s="168"/>
      <c r="K141" s="168"/>
      <c r="L141" s="547"/>
    </row>
    <row r="142" spans="1:12" s="167" customFormat="1">
      <c r="A142" s="169"/>
      <c r="B142" s="163" t="s">
        <v>196</v>
      </c>
      <c r="C142" s="501">
        <f>'[48]Sch C'!D143</f>
        <v>0</v>
      </c>
      <c r="D142" s="501">
        <f>'[48]Sch C'!F143</f>
        <v>60858</v>
      </c>
      <c r="E142" s="171">
        <f t="shared" si="29"/>
        <v>60858</v>
      </c>
      <c r="F142" s="171"/>
      <c r="G142" s="171">
        <f>E142+F142</f>
        <v>60858</v>
      </c>
      <c r="H142" s="172">
        <f>IF($G$208=0,0,G142/$G$208)</f>
        <v>1.3701643328154335E-2</v>
      </c>
      <c r="I142" s="473"/>
      <c r="J142" s="168"/>
      <c r="K142" s="168"/>
      <c r="L142" s="547"/>
    </row>
    <row r="143" spans="1:12" s="167" customFormat="1">
      <c r="A143" s="169"/>
      <c r="B143" s="163" t="s">
        <v>197</v>
      </c>
      <c r="C143" s="501">
        <f>'[48]Sch C'!D144</f>
        <v>0</v>
      </c>
      <c r="D143" s="501">
        <f>'[48]Sch C'!F144</f>
        <v>3417</v>
      </c>
      <c r="E143" s="171">
        <f t="shared" si="29"/>
        <v>3417</v>
      </c>
      <c r="F143" s="171"/>
      <c r="G143" s="171">
        <f>E143+F143</f>
        <v>3417</v>
      </c>
      <c r="H143" s="172">
        <f>IF($G$208=0,0,G143/$G$208)</f>
        <v>7.6930749042530746E-4</v>
      </c>
      <c r="I143" s="473"/>
      <c r="J143" s="168"/>
      <c r="K143" s="168"/>
      <c r="L143" s="547"/>
    </row>
    <row r="144" spans="1:12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  <c r="L144" s="547"/>
    </row>
    <row r="145" spans="1:12" s="167" customFormat="1">
      <c r="A145" s="169"/>
      <c r="B145" s="163" t="s">
        <v>232</v>
      </c>
      <c r="C145" s="501">
        <f>'[48]Sch C'!D146</f>
        <v>25706</v>
      </c>
      <c r="D145" s="501">
        <f>'[48]Sch C'!F146</f>
        <v>0</v>
      </c>
      <c r="E145" s="171">
        <f t="shared" ref="E145:E153" si="30">C145+D145</f>
        <v>25706</v>
      </c>
      <c r="F145" s="171"/>
      <c r="G145" s="171">
        <f t="shared" ref="G145:G153" si="31">E145+F145</f>
        <v>25706</v>
      </c>
      <c r="H145" s="172">
        <f t="shared" ref="H145:H153" si="32">IF($G$208=0,0,G145/$G$208)</f>
        <v>5.7874797626201215E-3</v>
      </c>
      <c r="I145" s="473"/>
      <c r="J145" s="183">
        <v>0</v>
      </c>
      <c r="K145" s="183">
        <v>0</v>
      </c>
      <c r="L145" s="547"/>
    </row>
    <row r="146" spans="1:12" s="167" customFormat="1">
      <c r="A146" s="169"/>
      <c r="B146" s="163" t="s">
        <v>194</v>
      </c>
      <c r="C146" s="501">
        <f>'[48]Sch C'!D147</f>
        <v>40477</v>
      </c>
      <c r="D146" s="501">
        <f>'[48]Sch C'!F147</f>
        <v>0</v>
      </c>
      <c r="E146" s="171">
        <f t="shared" si="30"/>
        <v>40477</v>
      </c>
      <c r="F146" s="171"/>
      <c r="G146" s="171">
        <f t="shared" si="31"/>
        <v>40477</v>
      </c>
      <c r="H146" s="172">
        <f t="shared" si="32"/>
        <v>9.1130404711574978E-3</v>
      </c>
      <c r="I146" s="473"/>
      <c r="J146" s="183">
        <v>767</v>
      </c>
      <c r="K146" s="183">
        <v>767</v>
      </c>
      <c r="L146" s="547"/>
    </row>
    <row r="147" spans="1:12" s="167" customFormat="1">
      <c r="A147" s="169"/>
      <c r="B147" s="163" t="s">
        <v>195</v>
      </c>
      <c r="C147" s="501">
        <f>'[48]Sch C'!D148</f>
        <v>4189</v>
      </c>
      <c r="D147" s="501">
        <f>'[48]Sch C'!F148</f>
        <v>0</v>
      </c>
      <c r="E147" s="171">
        <f t="shared" si="30"/>
        <v>4189</v>
      </c>
      <c r="F147" s="171"/>
      <c r="G147" s="171">
        <f t="shared" si="31"/>
        <v>4189</v>
      </c>
      <c r="H147" s="172">
        <f t="shared" si="32"/>
        <v>9.4311649909031695E-4</v>
      </c>
      <c r="I147" s="473"/>
      <c r="J147" s="183">
        <v>112</v>
      </c>
      <c r="K147" s="183">
        <v>112</v>
      </c>
      <c r="L147" s="547"/>
    </row>
    <row r="148" spans="1:12" s="167" customFormat="1">
      <c r="A148" s="169"/>
      <c r="B148" s="163" t="s">
        <v>196</v>
      </c>
      <c r="C148" s="501">
        <f>'[48]Sch C'!D149</f>
        <v>14749</v>
      </c>
      <c r="D148" s="501">
        <f>'[48]Sch C'!F149</f>
        <v>0</v>
      </c>
      <c r="E148" s="171">
        <f t="shared" si="30"/>
        <v>14749</v>
      </c>
      <c r="F148" s="171"/>
      <c r="G148" s="171">
        <f t="shared" si="31"/>
        <v>14749</v>
      </c>
      <c r="H148" s="172">
        <f t="shared" si="32"/>
        <v>3.3206076020728301E-3</v>
      </c>
      <c r="I148" s="473"/>
      <c r="J148" s="183">
        <v>621</v>
      </c>
      <c r="K148" s="183">
        <v>621</v>
      </c>
      <c r="L148" s="547"/>
    </row>
    <row r="149" spans="1:12" s="167" customFormat="1">
      <c r="A149" s="169"/>
      <c r="B149" s="163" t="s">
        <v>197</v>
      </c>
      <c r="C149" s="501">
        <f>'[48]Sch C'!D150</f>
        <v>26081</v>
      </c>
      <c r="D149" s="501">
        <f>'[48]Sch C'!F150</f>
        <v>0</v>
      </c>
      <c r="E149" s="171">
        <f t="shared" si="30"/>
        <v>26081</v>
      </c>
      <c r="F149" s="171"/>
      <c r="G149" s="171">
        <f t="shared" si="31"/>
        <v>26081</v>
      </c>
      <c r="H149" s="172">
        <f t="shared" si="32"/>
        <v>5.8719077137203528E-3</v>
      </c>
      <c r="I149" s="473"/>
      <c r="J149" s="183">
        <v>1739</v>
      </c>
      <c r="K149" s="183">
        <v>1739</v>
      </c>
      <c r="L149" s="547"/>
    </row>
    <row r="150" spans="1:12" s="167" customFormat="1">
      <c r="A150" s="169">
        <v>110</v>
      </c>
      <c r="B150" s="167" t="s">
        <v>65</v>
      </c>
      <c r="C150" s="501">
        <f>'[48]Sch C'!D151</f>
        <v>79380</v>
      </c>
      <c r="D150" s="501">
        <f>'[48]Sch C'!F151</f>
        <v>0</v>
      </c>
      <c r="E150" s="171">
        <f t="shared" si="30"/>
        <v>79380</v>
      </c>
      <c r="F150" s="171"/>
      <c r="G150" s="171">
        <f t="shared" si="31"/>
        <v>79380</v>
      </c>
      <c r="H150" s="172">
        <f t="shared" si="32"/>
        <v>1.787170868889696E-2</v>
      </c>
      <c r="I150" s="473"/>
      <c r="J150" s="168"/>
      <c r="K150" s="168"/>
      <c r="L150" s="547"/>
    </row>
    <row r="151" spans="1:12" s="167" customFormat="1">
      <c r="A151" s="169">
        <v>111</v>
      </c>
      <c r="B151" s="170" t="s">
        <v>97</v>
      </c>
      <c r="C151" s="501">
        <f>'[48]Sch C'!D152</f>
        <v>6313</v>
      </c>
      <c r="D151" s="501">
        <f>'[48]Sch C'!F152</f>
        <v>0</v>
      </c>
      <c r="E151" s="171">
        <f t="shared" si="30"/>
        <v>6313</v>
      </c>
      <c r="F151" s="660">
        <v>-5065</v>
      </c>
      <c r="G151" s="171">
        <f t="shared" si="31"/>
        <v>1248</v>
      </c>
      <c r="H151" s="172">
        <f t="shared" si="32"/>
        <v>2.8097622126156972E-4</v>
      </c>
      <c r="I151" s="473"/>
      <c r="J151" s="168"/>
      <c r="K151" s="168"/>
      <c r="L151" s="547"/>
    </row>
    <row r="152" spans="1:12" s="167" customFormat="1">
      <c r="A152" s="169">
        <v>230</v>
      </c>
      <c r="B152" s="170" t="s">
        <v>66</v>
      </c>
      <c r="C152" s="501">
        <f>'[48]Sch C'!D153</f>
        <v>0</v>
      </c>
      <c r="D152" s="501">
        <f>'[48]Sch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  <c r="L152" s="547"/>
    </row>
    <row r="153" spans="1:12" s="167" customFormat="1">
      <c r="A153" s="169">
        <v>430</v>
      </c>
      <c r="B153" s="170" t="s">
        <v>99</v>
      </c>
      <c r="C153" s="501">
        <f>'[48]Sch C'!D154</f>
        <v>0</v>
      </c>
      <c r="D153" s="501">
        <f>'[48]Sch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  <c r="L153" s="547"/>
    </row>
    <row r="154" spans="1:12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  <c r="L154" s="547"/>
    </row>
    <row r="155" spans="1:12" s="167" customFormat="1">
      <c r="A155" s="169">
        <v>440.1</v>
      </c>
      <c r="B155" s="163" t="s">
        <v>223</v>
      </c>
      <c r="C155" s="501">
        <f>'[48]Sch C'!D156</f>
        <v>0</v>
      </c>
      <c r="D155" s="501">
        <f>'[48]Sch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  <c r="L155" s="547"/>
    </row>
    <row r="156" spans="1:12" s="167" customFormat="1">
      <c r="A156" s="169">
        <v>440.2</v>
      </c>
      <c r="B156" s="163" t="s">
        <v>224</v>
      </c>
      <c r="C156" s="501">
        <f>'[48]Sch C'!D157</f>
        <v>0</v>
      </c>
      <c r="D156" s="501">
        <f>'[48]Sch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  <c r="L156" s="547"/>
    </row>
    <row r="157" spans="1:12" s="167" customFormat="1">
      <c r="A157" s="169">
        <v>440.3</v>
      </c>
      <c r="B157" s="163" t="s">
        <v>225</v>
      </c>
      <c r="C157" s="501">
        <f>'[48]Sch C'!D158</f>
        <v>0</v>
      </c>
      <c r="D157" s="501">
        <f>'[48]Sch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  <c r="L157" s="547"/>
    </row>
    <row r="158" spans="1:12" s="167" customFormat="1">
      <c r="A158" s="169">
        <v>440.4</v>
      </c>
      <c r="B158" s="163" t="s">
        <v>226</v>
      </c>
      <c r="C158" s="501">
        <f>'[48]Sch C'!D159</f>
        <v>0</v>
      </c>
      <c r="D158" s="501">
        <f>'[48]Sch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  <c r="L158" s="547"/>
    </row>
    <row r="159" spans="1:12" s="167" customFormat="1">
      <c r="A159" s="169">
        <v>440.5</v>
      </c>
      <c r="B159" s="163" t="s">
        <v>301</v>
      </c>
      <c r="C159" s="501">
        <f>'[48]Sch C'!D160</f>
        <v>0</v>
      </c>
      <c r="D159" s="501">
        <f>'[48]Sch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  <c r="L159" s="547"/>
    </row>
    <row r="160" spans="1:12" s="167" customFormat="1">
      <c r="A160" s="169">
        <v>490</v>
      </c>
      <c r="B160" s="202" t="s">
        <v>315</v>
      </c>
      <c r="C160" s="501">
        <f>'[48]Sch C'!D161</f>
        <v>1717</v>
      </c>
      <c r="D160" s="501">
        <f>'[48]Sch C'!F161</f>
        <v>0</v>
      </c>
      <c r="E160" s="171">
        <f t="shared" si="33"/>
        <v>1717</v>
      </c>
      <c r="F160" s="171"/>
      <c r="G160" s="171">
        <f t="shared" si="34"/>
        <v>1717</v>
      </c>
      <c r="H160" s="172">
        <f t="shared" si="35"/>
        <v>3.8656744543759234E-4</v>
      </c>
      <c r="I160" s="473"/>
      <c r="J160" s="168"/>
      <c r="K160" s="168"/>
      <c r="L160" s="547"/>
    </row>
    <row r="161" spans="1:15" s="167" customFormat="1">
      <c r="A161" s="169"/>
      <c r="B161" s="170" t="s">
        <v>233</v>
      </c>
      <c r="C161" s="501">
        <f>SUM(C123:C160)</f>
        <v>1464416</v>
      </c>
      <c r="D161" s="501">
        <f>SUM(D123:D160)</f>
        <v>228705</v>
      </c>
      <c r="E161" s="171">
        <f t="shared" ref="E161:F161" si="36">SUM(E123:E160)</f>
        <v>1693121</v>
      </c>
      <c r="F161" s="171">
        <f t="shared" si="36"/>
        <v>23250.677944279505</v>
      </c>
      <c r="G161" s="171">
        <f>SUM(G123:G160)</f>
        <v>1716371.6779442795</v>
      </c>
      <c r="H161" s="172">
        <f t="shared" si="35"/>
        <v>0.38642598425413749</v>
      </c>
      <c r="I161" s="473"/>
      <c r="J161" s="168"/>
      <c r="K161" s="168"/>
      <c r="L161" s="547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  <c r="L162" s="547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  <c r="L163" s="547"/>
    </row>
    <row r="164" spans="1:15" s="221" customFormat="1">
      <c r="A164" s="215" t="s">
        <v>95</v>
      </c>
      <c r="B164" s="148" t="s">
        <v>102</v>
      </c>
      <c r="C164" s="501">
        <f>'[48]Sch C'!D175</f>
        <v>0</v>
      </c>
      <c r="D164" s="501">
        <f>'[48]Sch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54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'[48]Sch C'!D176</f>
        <v>0</v>
      </c>
      <c r="D165" s="501">
        <f>'[48]Sch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54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'[48]Sch C'!D177</f>
        <v>95286</v>
      </c>
      <c r="D166" s="501">
        <f>'[48]Sch C'!F177</f>
        <v>5249</v>
      </c>
      <c r="E166" s="171">
        <f t="shared" si="37"/>
        <v>100535</v>
      </c>
      <c r="F166" s="216"/>
      <c r="G166" s="171">
        <f t="shared" si="38"/>
        <v>100535</v>
      </c>
      <c r="H166" s="172">
        <f t="shared" si="39"/>
        <v>2.2634570836964674E-2</v>
      </c>
      <c r="I166" s="483"/>
      <c r="J166" s="183">
        <v>2906</v>
      </c>
      <c r="K166" s="183">
        <v>3066</v>
      </c>
      <c r="L166" s="54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'[48]Sch C'!D178</f>
        <v>0</v>
      </c>
      <c r="D167" s="501">
        <f>'[48]Sch C'!F178</f>
        <v>11967</v>
      </c>
      <c r="E167" s="171">
        <f t="shared" si="37"/>
        <v>11967</v>
      </c>
      <c r="F167" s="216"/>
      <c r="G167" s="171">
        <f t="shared" si="38"/>
        <v>11967</v>
      </c>
      <c r="H167" s="172">
        <f t="shared" si="39"/>
        <v>2.6942647755105807E-3</v>
      </c>
      <c r="I167" s="484"/>
      <c r="J167" s="222"/>
      <c r="K167" s="222"/>
      <c r="L167" s="54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'[48]Sch C'!D179</f>
        <v>20380</v>
      </c>
      <c r="D168" s="501">
        <f>'[48]Sch C'!F179</f>
        <v>1123</v>
      </c>
      <c r="E168" s="171">
        <f t="shared" si="37"/>
        <v>21503</v>
      </c>
      <c r="F168" s="216"/>
      <c r="G168" s="171">
        <f t="shared" si="38"/>
        <v>21503</v>
      </c>
      <c r="H168" s="172">
        <f t="shared" si="39"/>
        <v>4.841211286688729E-3</v>
      </c>
      <c r="I168" s="483"/>
      <c r="J168" s="183">
        <v>628</v>
      </c>
      <c r="K168" s="183">
        <v>663</v>
      </c>
      <c r="L168" s="54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'[48]Sch C'!D180</f>
        <v>0</v>
      </c>
      <c r="D169" s="501">
        <f>'[48]Sch C'!F180</f>
        <v>2560</v>
      </c>
      <c r="E169" s="171">
        <f t="shared" si="37"/>
        <v>2560</v>
      </c>
      <c r="F169" s="216"/>
      <c r="G169" s="171">
        <f t="shared" si="38"/>
        <v>2560</v>
      </c>
      <c r="H169" s="172">
        <f t="shared" si="39"/>
        <v>5.7636147951091227E-4</v>
      </c>
      <c r="I169" s="484"/>
      <c r="J169" s="222"/>
      <c r="K169" s="222"/>
      <c r="L169" s="54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'[48]Sch C'!D181</f>
        <v>0</v>
      </c>
      <c r="D170" s="501">
        <f>'[48]Sch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54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'[48]Sch C'!D182</f>
        <v>0</v>
      </c>
      <c r="D171" s="501">
        <f>'[48]Sch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54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'[48]Sch C'!D183</f>
        <v>106732</v>
      </c>
      <c r="D172" s="501">
        <f>'[48]Sch C'!F183</f>
        <v>5880</v>
      </c>
      <c r="E172" s="171">
        <f t="shared" si="37"/>
        <v>112612</v>
      </c>
      <c r="F172" s="216"/>
      <c r="G172" s="171">
        <f t="shared" si="38"/>
        <v>112612</v>
      </c>
      <c r="H172" s="172">
        <f t="shared" si="39"/>
        <v>2.5353601144797989E-2</v>
      </c>
      <c r="I172" s="483"/>
      <c r="J172" s="183">
        <v>2981</v>
      </c>
      <c r="K172" s="183">
        <v>3145</v>
      </c>
      <c r="L172" s="54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'[48]Sch C'!D184</f>
        <v>0</v>
      </c>
      <c r="D173" s="501">
        <f>'[48]Sch C'!F184</f>
        <v>13404</v>
      </c>
      <c r="E173" s="171">
        <f t="shared" si="37"/>
        <v>13404</v>
      </c>
      <c r="F173" s="216"/>
      <c r="G173" s="171">
        <f t="shared" si="38"/>
        <v>13404</v>
      </c>
      <c r="H173" s="172">
        <f t="shared" si="39"/>
        <v>3.0177926841266673E-3</v>
      </c>
      <c r="I173" s="484"/>
      <c r="J173" s="222"/>
      <c r="K173" s="222"/>
      <c r="L173" s="54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'[48]Sch C'!D185</f>
        <v>0</v>
      </c>
      <c r="D174" s="501">
        <f>'[48]Sch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54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'[48]Sch C'!D186</f>
        <v>0</v>
      </c>
      <c r="D175" s="501">
        <f>'[48]Sch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549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'[48]Sch C'!D187</f>
        <v>0</v>
      </c>
      <c r="D176" s="501">
        <f>'[48]Sch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549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'[48]Sch C'!D188</f>
        <v>2214</v>
      </c>
      <c r="D177" s="501">
        <f>'[48]Sch C'!F188</f>
        <v>0</v>
      </c>
      <c r="E177" s="171">
        <f t="shared" si="37"/>
        <v>2214</v>
      </c>
      <c r="F177" s="216"/>
      <c r="G177" s="171">
        <f t="shared" si="38"/>
        <v>2214</v>
      </c>
      <c r="H177" s="172">
        <f t="shared" si="39"/>
        <v>4.9846262329576556E-4</v>
      </c>
      <c r="I177" s="473"/>
      <c r="J177" s="223"/>
      <c r="K177" s="218"/>
      <c r="L177" s="549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'[48]Sch C'!D189</f>
        <v>0</v>
      </c>
      <c r="D178" s="501">
        <f>'[48]Sch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549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'[48]Sch C'!D190</f>
        <v>0</v>
      </c>
      <c r="D179" s="501">
        <f>'[48]Sch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549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'[48]Sch C'!D191</f>
        <v>0</v>
      </c>
      <c r="D180" s="501">
        <f>'[48]Sch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549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'[48]Sch C'!D192</f>
        <v>0</v>
      </c>
      <c r="D181" s="501">
        <f>'[48]Sch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549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'[48]Sch C'!D193</f>
        <v>0</v>
      </c>
      <c r="D182" s="501">
        <f>'[48]Sch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549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'[48]Sch C'!D194</f>
        <v>0</v>
      </c>
      <c r="D183" s="501">
        <f>'[48]Sch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L183" s="550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'[48]Sch C'!D195</f>
        <v>1079</v>
      </c>
      <c r="D184" s="501">
        <f>'[48]Sch C'!F195</f>
        <v>0</v>
      </c>
      <c r="E184" s="171">
        <f t="shared" si="37"/>
        <v>1079</v>
      </c>
      <c r="F184" s="216"/>
      <c r="G184" s="171">
        <f t="shared" si="38"/>
        <v>1079</v>
      </c>
      <c r="H184" s="172">
        <f t="shared" si="39"/>
        <v>2.4292735796573216E-4</v>
      </c>
      <c r="I184" s="473"/>
      <c r="J184" s="223"/>
      <c r="K184" s="218"/>
      <c r="L184" s="550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'[48]Sch C'!D196</f>
        <v>0</v>
      </c>
      <c r="D185" s="501">
        <f>'[48]Sch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L185" s="550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'[48]Sch C'!D197</f>
        <v>0</v>
      </c>
      <c r="D186" s="501">
        <f>'[48]Sch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L186" s="550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'[48]Sch C'!D198</f>
        <v>26843</v>
      </c>
      <c r="D187" s="501">
        <f>'[48]Sch C'!F198</f>
        <v>-3968</v>
      </c>
      <c r="E187" s="171">
        <f t="shared" si="37"/>
        <v>22875</v>
      </c>
      <c r="F187" s="216"/>
      <c r="G187" s="171">
        <f t="shared" si="38"/>
        <v>22875</v>
      </c>
      <c r="H187" s="172">
        <f t="shared" si="39"/>
        <v>5.1501050171141082E-3</v>
      </c>
      <c r="I187" s="473"/>
      <c r="J187" s="223"/>
      <c r="K187" s="218"/>
      <c r="L187" s="550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'[48]Sch C'!D199</f>
        <v>0</v>
      </c>
      <c r="D188" s="501">
        <f>'[48]Sch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L188" s="550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'[48]Sch C'!D200</f>
        <v>0</v>
      </c>
      <c r="D189" s="501">
        <f>'[48]Sch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L189" s="550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'[48]Sch C'!D201</f>
        <v>0</v>
      </c>
      <c r="D190" s="501">
        <f>'[48]Sch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L190" s="550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'[48]Sch C'!D202</f>
        <v>0</v>
      </c>
      <c r="D191" s="501">
        <f>'[48]Sch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L191" s="550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'[48]Sch C'!D203</f>
        <v>0</v>
      </c>
      <c r="D192" s="501">
        <f>'[48]Sch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L192" s="550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'[48]Sch C'!D204</f>
        <v>0</v>
      </c>
      <c r="D193" s="501">
        <f>'[48]Sch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L193" s="550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'[48]Sch C'!D205</f>
        <v>81774</v>
      </c>
      <c r="D194" s="501">
        <f>'[48]Sch C'!F205</f>
        <v>-5</v>
      </c>
      <c r="E194" s="171">
        <f t="shared" si="37"/>
        <v>81769</v>
      </c>
      <c r="F194" s="216"/>
      <c r="G194" s="171">
        <f t="shared" si="38"/>
        <v>81769</v>
      </c>
      <c r="H194" s="172">
        <f t="shared" si="39"/>
        <v>1.8409571022706166E-2</v>
      </c>
      <c r="I194" s="473"/>
      <c r="J194" s="223"/>
      <c r="K194" s="218"/>
      <c r="L194" s="550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'[48]Sch C'!D206</f>
        <v>685</v>
      </c>
      <c r="D195" s="501">
        <f>'[48]Sch C'!F206</f>
        <v>0</v>
      </c>
      <c r="E195" s="171">
        <f t="shared" si="37"/>
        <v>685</v>
      </c>
      <c r="F195" s="216"/>
      <c r="G195" s="171">
        <f t="shared" si="38"/>
        <v>685</v>
      </c>
      <c r="H195" s="172">
        <f t="shared" si="39"/>
        <v>1.5422172400975581E-4</v>
      </c>
      <c r="I195" s="473"/>
      <c r="J195" s="223"/>
      <c r="K195" s="218"/>
      <c r="L195" s="550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'[48]Sch C'!D207</f>
        <v>28259</v>
      </c>
      <c r="D196" s="501">
        <f>'[48]Sch C'!F207</f>
        <v>-553</v>
      </c>
      <c r="E196" s="171">
        <f t="shared" si="37"/>
        <v>27706</v>
      </c>
      <c r="F196" s="216"/>
      <c r="G196" s="171">
        <f t="shared" si="38"/>
        <v>27706</v>
      </c>
      <c r="H196" s="172">
        <f t="shared" si="39"/>
        <v>6.2377621684880213E-3</v>
      </c>
      <c r="I196" s="473"/>
      <c r="J196" s="223"/>
      <c r="K196" s="218"/>
      <c r="L196" s="550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363252</v>
      </c>
      <c r="D197" s="501">
        <f>SUM(D164:D196)</f>
        <v>35657</v>
      </c>
      <c r="E197" s="171">
        <f t="shared" ref="E197:F197" si="40">SUM(E164:E196)</f>
        <v>398909</v>
      </c>
      <c r="F197" s="171">
        <f t="shared" si="40"/>
        <v>0</v>
      </c>
      <c r="G197" s="171">
        <f>SUM(G164:G196)</f>
        <v>398909</v>
      </c>
      <c r="H197" s="172">
        <f>IF($G$208=0,0,G197/$G$208)</f>
        <v>8.9810852121179105E-2</v>
      </c>
      <c r="I197" s="473"/>
      <c r="J197" s="168"/>
      <c r="K197" s="168"/>
      <c r="L197" s="547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  <c r="L198" s="547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  <c r="L199" s="547"/>
    </row>
    <row r="200" spans="1:14" s="167" customFormat="1">
      <c r="A200" s="169" t="s">
        <v>85</v>
      </c>
      <c r="B200" s="170" t="s">
        <v>69</v>
      </c>
      <c r="C200" s="501">
        <f>'[48]Sch C'!D211</f>
        <v>106548</v>
      </c>
      <c r="D200" s="501">
        <f>'[48]Sch C'!F211</f>
        <v>5870</v>
      </c>
      <c r="E200" s="171">
        <f t="shared" ref="E200:E205" si="41">C200+D200</f>
        <v>112418</v>
      </c>
      <c r="F200" s="171"/>
      <c r="G200" s="171">
        <f t="shared" ref="G200:G205" si="42">E200+F200</f>
        <v>112418</v>
      </c>
      <c r="H200" s="172">
        <f t="shared" ref="H200:H206" si="43">IF($G$208=0,0,G200/$G$208)</f>
        <v>2.5309923751428803E-2</v>
      </c>
      <c r="I200" s="473"/>
      <c r="J200" s="183">
        <v>4861</v>
      </c>
      <c r="K200" s="183">
        <v>5129</v>
      </c>
      <c r="L200" s="547"/>
    </row>
    <row r="201" spans="1:14" s="167" customFormat="1">
      <c r="A201" s="169" t="s">
        <v>86</v>
      </c>
      <c r="B201" s="170" t="s">
        <v>45</v>
      </c>
      <c r="C201" s="501">
        <f>'[48]Sch C'!D212</f>
        <v>0</v>
      </c>
      <c r="D201" s="501">
        <f>'[48]Sch C'!F212</f>
        <v>13382</v>
      </c>
      <c r="E201" s="171">
        <f t="shared" si="41"/>
        <v>13382</v>
      </c>
      <c r="F201" s="171"/>
      <c r="G201" s="171">
        <f t="shared" si="42"/>
        <v>13382</v>
      </c>
      <c r="H201" s="172">
        <f t="shared" si="43"/>
        <v>3.0128395776621202E-3</v>
      </c>
      <c r="I201" s="473"/>
      <c r="J201" s="168"/>
      <c r="K201" s="168"/>
      <c r="L201" s="547"/>
    </row>
    <row r="202" spans="1:14" s="167" customFormat="1">
      <c r="A202" s="169" t="s">
        <v>140</v>
      </c>
      <c r="B202" s="170" t="s">
        <v>54</v>
      </c>
      <c r="C202" s="501">
        <f>'[48]Sch C'!D213</f>
        <v>2359</v>
      </c>
      <c r="D202" s="501">
        <f>'[48]Sch C'!F213</f>
        <v>0</v>
      </c>
      <c r="E202" s="171">
        <f t="shared" si="41"/>
        <v>2359</v>
      </c>
      <c r="F202" s="171"/>
      <c r="G202" s="171">
        <f t="shared" si="42"/>
        <v>2359</v>
      </c>
      <c r="H202" s="172">
        <f t="shared" si="43"/>
        <v>5.3110809772118832E-4</v>
      </c>
      <c r="I202" s="473"/>
      <c r="J202" s="168"/>
      <c r="K202" s="168"/>
      <c r="L202" s="547"/>
    </row>
    <row r="203" spans="1:14" s="167" customFormat="1">
      <c r="A203" s="169" t="s">
        <v>141</v>
      </c>
      <c r="B203" s="170" t="s">
        <v>70</v>
      </c>
      <c r="C203" s="501">
        <f>'[48]Sch C'!D214</f>
        <v>0</v>
      </c>
      <c r="D203" s="501">
        <f>'[48]Sch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  <c r="L203" s="547"/>
    </row>
    <row r="204" spans="1:14" s="167" customFormat="1">
      <c r="A204" s="169" t="s">
        <v>142</v>
      </c>
      <c r="B204" s="202" t="s">
        <v>71</v>
      </c>
      <c r="C204" s="501">
        <f>'[48]Sch C'!D215</f>
        <v>0</v>
      </c>
      <c r="D204" s="501">
        <f>'[48]Sch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  <c r="L204" s="547"/>
    </row>
    <row r="205" spans="1:14" s="167" customFormat="1">
      <c r="A205" s="169" t="s">
        <v>143</v>
      </c>
      <c r="B205" s="170" t="s">
        <v>312</v>
      </c>
      <c r="C205" s="501">
        <f>'[48]Sch C'!D216</f>
        <v>2033</v>
      </c>
      <c r="D205" s="501">
        <f>'[48]Sch C'!F216</f>
        <v>0</v>
      </c>
      <c r="E205" s="171">
        <f t="shared" si="41"/>
        <v>2033</v>
      </c>
      <c r="F205" s="171"/>
      <c r="G205" s="171">
        <f t="shared" si="42"/>
        <v>2033</v>
      </c>
      <c r="H205" s="172">
        <f t="shared" si="43"/>
        <v>4.5771206556472057E-4</v>
      </c>
      <c r="I205" s="473"/>
      <c r="J205" s="168"/>
      <c r="K205" s="168"/>
      <c r="L205" s="547"/>
    </row>
    <row r="206" spans="1:14" s="167" customFormat="1">
      <c r="A206" s="163"/>
      <c r="B206" s="170" t="s">
        <v>144</v>
      </c>
      <c r="C206" s="501">
        <f>SUM(C200:C205)</f>
        <v>110940</v>
      </c>
      <c r="D206" s="501">
        <f>SUM(D200:D205)</f>
        <v>19252</v>
      </c>
      <c r="E206" s="171">
        <f t="shared" ref="E206:F206" si="44">SUM(E200:E205)</f>
        <v>130192</v>
      </c>
      <c r="F206" s="171">
        <f t="shared" si="44"/>
        <v>0</v>
      </c>
      <c r="G206" s="171">
        <f>SUM(G200:G205)</f>
        <v>130192</v>
      </c>
      <c r="H206" s="172">
        <f t="shared" si="43"/>
        <v>2.9311583492376832E-2</v>
      </c>
      <c r="I206" s="473"/>
      <c r="J206" s="168"/>
      <c r="K206" s="168"/>
      <c r="L206" s="547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  <c r="L207" s="547"/>
    </row>
    <row r="208" spans="1:14" s="167" customFormat="1">
      <c r="A208" s="227"/>
      <c r="B208" s="228" t="s">
        <v>145</v>
      </c>
      <c r="C208" s="501">
        <f>SUM(C25:C206)/2</f>
        <v>4682079</v>
      </c>
      <c r="D208" s="501">
        <f>SUM(D25:D206)/2</f>
        <v>-96099</v>
      </c>
      <c r="E208" s="171">
        <f t="shared" ref="E208:F208" si="45">SUM(E25:E206)/2</f>
        <v>4585980</v>
      </c>
      <c r="F208" s="171">
        <f t="shared" si="45"/>
        <v>-144323</v>
      </c>
      <c r="G208" s="171">
        <f>SUM(G25:G206)/2</f>
        <v>4441657</v>
      </c>
      <c r="H208" s="172">
        <f>IF($G$208=0,0,G208/$G$208)</f>
        <v>1</v>
      </c>
      <c r="I208" s="473"/>
      <c r="J208" s="183">
        <f>SUM(J25:J200)</f>
        <v>112187</v>
      </c>
      <c r="K208" s="183">
        <f>SUM(K25:K200)</f>
        <v>118192</v>
      </c>
      <c r="L208" s="547"/>
    </row>
    <row r="209" spans="1:12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  <c r="L209" s="547"/>
    </row>
    <row r="210" spans="1:12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  <c r="L210" s="547"/>
    </row>
    <row r="211" spans="1:12" s="167" customFormat="1" ht="15.5">
      <c r="A211" s="163"/>
      <c r="B211" s="228" t="s">
        <v>181</v>
      </c>
      <c r="C211" s="501">
        <f>'[48]Sch C'!D221</f>
        <v>4682079</v>
      </c>
      <c r="D211" s="196"/>
      <c r="E211" s="165"/>
      <c r="F211" s="409"/>
      <c r="G211"/>
      <c r="I211" s="475"/>
      <c r="J211" s="168"/>
      <c r="K211" s="168"/>
      <c r="L211" s="547"/>
    </row>
    <row r="212" spans="1:12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09"/>
      <c r="G212"/>
      <c r="I212" s="475"/>
      <c r="J212" s="168"/>
      <c r="K212" s="168"/>
      <c r="L212" s="547"/>
    </row>
    <row r="213" spans="1:12" s="167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/>
      <c r="L213" s="547"/>
    </row>
    <row r="214" spans="1:12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2" s="167" customFormat="1">
      <c r="A215" s="163"/>
      <c r="B215" s="228" t="s">
        <v>78</v>
      </c>
      <c r="C215" s="501">
        <f>C21-C208</f>
        <v>429808</v>
      </c>
      <c r="D215" s="501">
        <f>D21-D208</f>
        <v>96099</v>
      </c>
      <c r="E215" s="171">
        <f t="shared" ref="E215:F215" si="46">E21-E208</f>
        <v>525907</v>
      </c>
      <c r="F215" s="171">
        <f t="shared" si="46"/>
        <v>902701</v>
      </c>
      <c r="G215" s="171">
        <f>G21-G208</f>
        <v>1428608</v>
      </c>
      <c r="I215" s="475"/>
      <c r="J215" s="168"/>
      <c r="K215" s="168"/>
    </row>
    <row r="216" spans="1:12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2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2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2">
      <c r="A219" s="163"/>
      <c r="B219" s="170" t="s">
        <v>218</v>
      </c>
      <c r="C219" s="530">
        <f>'[48]Sch D'!C9</f>
        <v>14640</v>
      </c>
      <c r="D219" s="530"/>
      <c r="E219" s="234">
        <f t="shared" ref="E219:G227" si="47">C219+D219</f>
        <v>14640</v>
      </c>
      <c r="F219" s="233"/>
      <c r="G219" s="234">
        <f t="shared" si="47"/>
        <v>14640</v>
      </c>
      <c r="H219" s="172">
        <f t="shared" ref="H219:H228" si="48">IF($G$228=0,0,G219/$G$228)</f>
        <v>0.75</v>
      </c>
      <c r="I219" s="473"/>
      <c r="J219" s="168"/>
      <c r="K219" s="168"/>
    </row>
    <row r="220" spans="1:12">
      <c r="A220" s="163"/>
      <c r="B220" s="170" t="s">
        <v>217</v>
      </c>
      <c r="C220" s="530">
        <f>'[48]Sch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2">
      <c r="A221" s="163"/>
      <c r="B221" s="170" t="s">
        <v>72</v>
      </c>
      <c r="C221" s="530">
        <f>'[48]Sch D'!E9</f>
        <v>849</v>
      </c>
      <c r="D221" s="530"/>
      <c r="E221" s="234">
        <f t="shared" si="49"/>
        <v>849</v>
      </c>
      <c r="F221" s="233"/>
      <c r="G221" s="234">
        <f t="shared" si="47"/>
        <v>849</v>
      </c>
      <c r="H221" s="172">
        <f t="shared" si="48"/>
        <v>4.3493852459016394E-2</v>
      </c>
      <c r="I221" s="473"/>
      <c r="J221" s="168"/>
      <c r="K221" s="168"/>
    </row>
    <row r="222" spans="1:12">
      <c r="A222" s="163"/>
      <c r="B222" s="202" t="s">
        <v>334</v>
      </c>
      <c r="C222" s="530">
        <f>'[48]Sch D'!F9</f>
        <v>1358</v>
      </c>
      <c r="D222" s="530"/>
      <c r="E222" s="234">
        <f>C222+D222</f>
        <v>1358</v>
      </c>
      <c r="F222" s="233"/>
      <c r="G222" s="234">
        <f>E222+F222</f>
        <v>1358</v>
      </c>
      <c r="H222" s="172">
        <f t="shared" si="48"/>
        <v>6.9569672131147536E-2</v>
      </c>
      <c r="I222" s="473"/>
      <c r="J222" s="168"/>
      <c r="K222" s="168"/>
    </row>
    <row r="223" spans="1:12">
      <c r="A223" s="163"/>
      <c r="B223" s="170" t="s">
        <v>73</v>
      </c>
      <c r="C223" s="530">
        <f>'[48]Sch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2">
      <c r="A224" s="163"/>
      <c r="B224" s="170" t="s">
        <v>74</v>
      </c>
      <c r="C224" s="530">
        <f>'[48]Sch D'!H9</f>
        <v>1367</v>
      </c>
      <c r="D224" s="530"/>
      <c r="E224" s="234">
        <f t="shared" si="49"/>
        <v>1367</v>
      </c>
      <c r="F224" s="233"/>
      <c r="G224" s="234">
        <f t="shared" si="47"/>
        <v>1367</v>
      </c>
      <c r="H224" s="172">
        <f t="shared" si="48"/>
        <v>7.0030737704918036E-2</v>
      </c>
      <c r="I224" s="473"/>
      <c r="J224" s="168"/>
      <c r="K224" s="168"/>
    </row>
    <row r="225" spans="1:11">
      <c r="A225" s="163"/>
      <c r="B225" s="170" t="s">
        <v>236</v>
      </c>
      <c r="C225" s="530">
        <f>'[48]Sch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'[48]Sch D'!J9</f>
        <v>1306</v>
      </c>
      <c r="D226" s="530"/>
      <c r="E226" s="234">
        <f>C226+D226</f>
        <v>1306</v>
      </c>
      <c r="F226" s="233"/>
      <c r="G226" s="234">
        <f>E226+F226</f>
        <v>1306</v>
      </c>
      <c r="H226" s="172">
        <f t="shared" si="48"/>
        <v>6.6905737704918034E-2</v>
      </c>
      <c r="I226" s="473"/>
      <c r="J226" s="168"/>
      <c r="K226" s="168"/>
    </row>
    <row r="227" spans="1:11">
      <c r="A227" s="163"/>
      <c r="B227" s="170" t="s">
        <v>179</v>
      </c>
      <c r="C227" s="530">
        <f>'[48]Sch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19520</v>
      </c>
      <c r="D228" s="530">
        <f>SUM(D219:D227)</f>
        <v>0</v>
      </c>
      <c r="E228" s="236">
        <f>SUM(E219:E227)</f>
        <v>19520</v>
      </c>
      <c r="F228" s="236">
        <f>SUM(F219:F227)</f>
        <v>0</v>
      </c>
      <c r="G228" s="236">
        <f>SUM(G219:G227)</f>
        <v>19520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'[48]Sch D'!N22</f>
        <v>99</v>
      </c>
      <c r="D231" s="502"/>
      <c r="E231" s="234">
        <f>C231+D231</f>
        <v>99</v>
      </c>
      <c r="F231" s="234"/>
      <c r="G231" s="234">
        <f>E231+F231</f>
        <v>99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'[48]Sch D'!N24</f>
        <v>99</v>
      </c>
      <c r="D232" s="502"/>
      <c r="E232" s="234">
        <f>C232+D232</f>
        <v>99</v>
      </c>
      <c r="F232" s="234"/>
      <c r="G232" s="234">
        <f>E232+F232</f>
        <v>99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'[48]Sch D'!N28</f>
        <v>36135</v>
      </c>
      <c r="D235" s="438"/>
      <c r="E235" s="233">
        <f>E231*E233</f>
        <v>36135</v>
      </c>
      <c r="F235" s="238"/>
      <c r="G235" s="233">
        <f>G231*G233</f>
        <v>36135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'[48]Sch D'!N30</f>
        <v>0.54019648540196485</v>
      </c>
      <c r="D236" s="238"/>
      <c r="E236" s="242">
        <f>E228/E235</f>
        <v>0.54019648540196485</v>
      </c>
      <c r="F236" s="243"/>
      <c r="G236" s="242">
        <f>G228/G235</f>
        <v>0.54019648540196485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'[48]Sch D'!N32</f>
        <v>0.40514736405147361</v>
      </c>
      <c r="D237" s="238"/>
      <c r="E237" s="242">
        <f>(E219+E220)/E235</f>
        <v>0.40514736405147361</v>
      </c>
      <c r="F237" s="243"/>
      <c r="G237" s="242">
        <f>(G219+G220)/G235</f>
        <v>0.40514736405147361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'[48]Sch D'!N34</f>
        <v>0.75</v>
      </c>
      <c r="D238" s="238"/>
      <c r="E238" s="242">
        <f>(E237/E236)</f>
        <v>0.75</v>
      </c>
      <c r="F238" s="243"/>
      <c r="G238" s="242">
        <f>(G237/G236)</f>
        <v>0.75</v>
      </c>
      <c r="H238" s="167"/>
      <c r="I238" s="475"/>
      <c r="J238" s="168"/>
      <c r="K238" s="168"/>
    </row>
    <row r="239" spans="1:11">
      <c r="I239" s="475"/>
    </row>
    <row r="240" spans="1:11" ht="15.5">
      <c r="D240"/>
      <c r="E240"/>
      <c r="I240" s="475"/>
    </row>
    <row r="241" spans="2:9" ht="15.5">
      <c r="B241" s="148" t="s">
        <v>339</v>
      </c>
      <c r="D241"/>
      <c r="E241"/>
      <c r="F241" s="142" t="s">
        <v>340</v>
      </c>
      <c r="G241" s="501">
        <f>'[48]Sch B'!C85</f>
        <v>199.75922953451044</v>
      </c>
      <c r="I241" s="475"/>
    </row>
    <row r="242" spans="2:9" ht="15.5">
      <c r="D242"/>
      <c r="E242"/>
      <c r="F242" s="142" t="s">
        <v>341</v>
      </c>
      <c r="G242" s="501">
        <f>'[48]Sch B'!E85</f>
        <v>220.9655172413793</v>
      </c>
      <c r="I242" s="475"/>
    </row>
    <row r="243" spans="2:9" ht="15.5">
      <c r="D243"/>
      <c r="E243"/>
      <c r="F243" s="142" t="s">
        <v>342</v>
      </c>
      <c r="G243" s="501">
        <f>'[48]Sch B'!G85</f>
        <v>249.34628975265016</v>
      </c>
      <c r="I243" s="475"/>
    </row>
    <row r="244" spans="2:9" ht="15.5">
      <c r="D244"/>
      <c r="E244"/>
      <c r="F244" s="142" t="s">
        <v>343</v>
      </c>
      <c r="G244" s="501">
        <f>'[48]Sch B'!I85</f>
        <v>339.34513274336285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5" sqref="F5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9">
    <tabColor rgb="FFE28CAB"/>
  </sheetPr>
  <dimension ref="A1:O246"/>
  <sheetViews>
    <sheetView showGridLines="0" topLeftCell="A6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485</v>
      </c>
      <c r="D2" s="244"/>
      <c r="E2" s="144"/>
      <c r="F2" s="421"/>
    </row>
    <row r="3" spans="1:11">
      <c r="A3" s="145"/>
      <c r="B3" s="140" t="s">
        <v>79</v>
      </c>
      <c r="C3" s="441">
        <v>42552</v>
      </c>
      <c r="D3" s="144"/>
      <c r="E3" s="147"/>
      <c r="F3" s="409"/>
    </row>
    <row r="4" spans="1:11">
      <c r="A4" s="145"/>
      <c r="B4" s="148" t="s">
        <v>80</v>
      </c>
      <c r="C4" s="441">
        <v>42916</v>
      </c>
      <c r="D4" s="144"/>
      <c r="E4" s="149"/>
      <c r="F4" s="409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 t="s">
        <v>706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'[5]Sch B'!E10</f>
        <v>3378526.7000000007</v>
      </c>
      <c r="D11" s="501">
        <f>'[5]Sch B'!G10</f>
        <v>-39226</v>
      </c>
      <c r="E11" s="171">
        <f>C11+D11</f>
        <v>3339300.7000000007</v>
      </c>
      <c r="F11" s="506">
        <v>717971</v>
      </c>
      <c r="G11" s="171">
        <f t="shared" ref="G11:G20" si="0">E11+F11</f>
        <v>4057271.7000000007</v>
      </c>
      <c r="H11" s="172">
        <f t="shared" ref="H11:H21" si="1">IF($G$21=0,0,G11/$G$21)</f>
        <v>0.47673295588716769</v>
      </c>
      <c r="I11" s="473" t="s">
        <v>697</v>
      </c>
      <c r="J11" s="336" t="s">
        <v>344</v>
      </c>
      <c r="K11" s="337">
        <f>G21</f>
        <v>8510575.2599999998</v>
      </c>
    </row>
    <row r="12" spans="1:11" s="167" customFormat="1">
      <c r="A12" s="169" t="s">
        <v>15</v>
      </c>
      <c r="B12" s="170" t="s">
        <v>212</v>
      </c>
      <c r="C12" s="501">
        <f>'[5]Sch B'!E15</f>
        <v>0</v>
      </c>
      <c r="D12" s="501">
        <f>'[5]Sch B'!G15</f>
        <v>39226</v>
      </c>
      <c r="E12" s="171">
        <f t="shared" ref="E12:E20" si="2">C12+D12</f>
        <v>39226</v>
      </c>
      <c r="F12" s="171"/>
      <c r="G12" s="171">
        <f>E12+F12</f>
        <v>39226</v>
      </c>
      <c r="H12" s="172">
        <f t="shared" si="1"/>
        <v>4.6090891392928006E-3</v>
      </c>
      <c r="I12" s="473"/>
      <c r="J12" s="338" t="s">
        <v>345</v>
      </c>
      <c r="K12" s="339">
        <f>G208</f>
        <v>6279928.8952616118</v>
      </c>
    </row>
    <row r="13" spans="1:11" s="167" customFormat="1">
      <c r="A13" s="169" t="s">
        <v>16</v>
      </c>
      <c r="B13" s="170" t="s">
        <v>170</v>
      </c>
      <c r="C13" s="501">
        <f>'[5]Sch B'!E21</f>
        <v>2974533.63</v>
      </c>
      <c r="D13" s="501">
        <f>'[5]Sch B'!G21</f>
        <v>0</v>
      </c>
      <c r="E13" s="171">
        <f t="shared" si="2"/>
        <v>2974533.63</v>
      </c>
      <c r="F13" s="171"/>
      <c r="G13" s="171">
        <f t="shared" si="0"/>
        <v>2974533.63</v>
      </c>
      <c r="H13" s="172">
        <f t="shared" si="1"/>
        <v>0.34951029033024494</v>
      </c>
      <c r="I13" s="473"/>
      <c r="J13" s="338" t="s">
        <v>346</v>
      </c>
      <c r="K13" s="339">
        <f>G228</f>
        <v>25534</v>
      </c>
    </row>
    <row r="14" spans="1:11" s="167" customFormat="1">
      <c r="A14" s="173" t="s">
        <v>18</v>
      </c>
      <c r="B14" s="174" t="s">
        <v>306</v>
      </c>
      <c r="C14" s="501">
        <f>'[5]Sch B'!E27</f>
        <v>0</v>
      </c>
      <c r="D14" s="501">
        <f>'[5]Sch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120</v>
      </c>
    </row>
    <row r="15" spans="1:11" s="167" customFormat="1">
      <c r="A15" s="169" t="s">
        <v>19</v>
      </c>
      <c r="B15" s="170" t="s">
        <v>171</v>
      </c>
      <c r="C15" s="501">
        <f>'[5]Sch B'!E32</f>
        <v>81546.98</v>
      </c>
      <c r="D15" s="501">
        <f>'[5]Sch B'!G32</f>
        <v>0</v>
      </c>
      <c r="E15" s="171">
        <f t="shared" si="2"/>
        <v>81546.98</v>
      </c>
      <c r="F15" s="171"/>
      <c r="G15" s="171">
        <f t="shared" si="0"/>
        <v>81546.98</v>
      </c>
      <c r="H15" s="172">
        <f t="shared" si="1"/>
        <v>9.5818411222180992E-3</v>
      </c>
      <c r="I15" s="473"/>
      <c r="J15" s="338" t="s">
        <v>348</v>
      </c>
      <c r="K15" s="339">
        <f>G235</f>
        <v>43800</v>
      </c>
    </row>
    <row r="16" spans="1:11" s="167" customFormat="1">
      <c r="A16" s="169" t="s">
        <v>21</v>
      </c>
      <c r="B16" s="170" t="s">
        <v>172</v>
      </c>
      <c r="C16" s="501">
        <f>'[5]Sch B'!E37</f>
        <v>1256619.01</v>
      </c>
      <c r="D16" s="501">
        <f>'[5]Sch B'!G37</f>
        <v>0</v>
      </c>
      <c r="E16" s="171">
        <f t="shared" si="2"/>
        <v>1256619.01</v>
      </c>
      <c r="F16" s="171"/>
      <c r="G16" s="171">
        <f t="shared" si="0"/>
        <v>1256619.01</v>
      </c>
      <c r="H16" s="172">
        <f t="shared" si="1"/>
        <v>0.14765382733951643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'[5]Sch B'!E42</f>
        <v>0</v>
      </c>
      <c r="D17" s="501">
        <f>'[5]Sch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163240.48698671194</v>
      </c>
    </row>
    <row r="18" spans="1:11" s="167" customFormat="1" ht="13.5" thickBot="1">
      <c r="A18" s="169" t="s">
        <v>216</v>
      </c>
      <c r="B18" s="170" t="s">
        <v>229</v>
      </c>
      <c r="C18" s="501">
        <f>'[5]Sch B'!E47</f>
        <v>0</v>
      </c>
      <c r="D18" s="501">
        <f>'[5]Sch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174807.75213378484</v>
      </c>
    </row>
    <row r="19" spans="1:11" s="167" customFormat="1">
      <c r="A19" s="169" t="s">
        <v>227</v>
      </c>
      <c r="B19" s="177" t="s">
        <v>173</v>
      </c>
      <c r="C19" s="501">
        <f>'[5]Sch B'!E52</f>
        <v>0</v>
      </c>
      <c r="D19" s="501">
        <f>'[5]Sch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'[5]Sch B'!E67</f>
        <v>119421.1</v>
      </c>
      <c r="D20" s="501">
        <f>'[5]Sch B'!G67</f>
        <v>-18043.16</v>
      </c>
      <c r="E20" s="171">
        <f t="shared" si="2"/>
        <v>101377.94</v>
      </c>
      <c r="F20" s="171"/>
      <c r="G20" s="171">
        <f t="shared" si="0"/>
        <v>101377.94</v>
      </c>
      <c r="H20" s="172">
        <f t="shared" si="1"/>
        <v>1.1911996181560117E-2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7810647.4199999999</v>
      </c>
      <c r="D21" s="501">
        <f>SUM(D11:D20)</f>
        <v>-18043.16</v>
      </c>
      <c r="E21" s="171">
        <f>SUM(E11:E20)</f>
        <v>7792604.2600000007</v>
      </c>
      <c r="F21" s="171">
        <f>SUM(F11:F20)</f>
        <v>717971</v>
      </c>
      <c r="G21" s="171">
        <f>SUM(G11:G20)</f>
        <v>8510575.2599999998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'[5]Sch C'!D10</f>
        <v>153500.26</v>
      </c>
      <c r="D25" s="501">
        <f>'[5]Sch C'!F10</f>
        <v>7316.8219378185322</v>
      </c>
      <c r="E25" s="171">
        <f t="shared" ref="E25:E60" si="3">C25+D25</f>
        <v>160817.08193781856</v>
      </c>
      <c r="F25" s="171"/>
      <c r="G25" s="182">
        <f>E25+F25</f>
        <v>160817.08193781856</v>
      </c>
      <c r="H25" s="172">
        <f>IF($G$208=0,0,G25/$G$208)</f>
        <v>2.5608105540678924E-2</v>
      </c>
      <c r="I25" s="473"/>
      <c r="J25" s="183">
        <v>2046.16234326616</v>
      </c>
      <c r="K25" s="183">
        <v>2177.1514290065502</v>
      </c>
    </row>
    <row r="26" spans="1:11" s="167" customFormat="1">
      <c r="A26" s="169" t="s">
        <v>84</v>
      </c>
      <c r="B26" s="170" t="s">
        <v>176</v>
      </c>
      <c r="C26" s="501">
        <f>'[5]Sch C'!D11</f>
        <v>0</v>
      </c>
      <c r="D26" s="501">
        <f>'[5]Sch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'[5]Sch C'!D12</f>
        <v>110145.06999999999</v>
      </c>
      <c r="D27" s="501">
        <f>'[5]Sch C'!F12</f>
        <v>98204.733967288295</v>
      </c>
      <c r="E27" s="171">
        <f t="shared" si="3"/>
        <v>208349.80396728829</v>
      </c>
      <c r="F27" s="171"/>
      <c r="G27" s="171">
        <f t="shared" si="4"/>
        <v>208349.80396728829</v>
      </c>
      <c r="H27" s="172">
        <f t="shared" si="5"/>
        <v>3.3177096021659455E-2</v>
      </c>
      <c r="I27" s="473"/>
      <c r="J27" s="183">
        <v>11765.44744249488</v>
      </c>
      <c r="K27" s="183">
        <v>12805.878182156361</v>
      </c>
    </row>
    <row r="28" spans="1:11" s="167" customFormat="1">
      <c r="A28" s="169" t="s">
        <v>86</v>
      </c>
      <c r="B28" s="170" t="s">
        <v>45</v>
      </c>
      <c r="C28" s="501">
        <f>'[5]Sch C'!D13</f>
        <v>496126.13</v>
      </c>
      <c r="D28" s="501">
        <f>'[5]Sch C'!F13</f>
        <v>-425579.79295705154</v>
      </c>
      <c r="E28" s="171">
        <f t="shared" si="3"/>
        <v>70546.337042948464</v>
      </c>
      <c r="F28" s="171"/>
      <c r="G28" s="171">
        <f t="shared" si="4"/>
        <v>70546.337042948464</v>
      </c>
      <c r="H28" s="172">
        <f t="shared" si="5"/>
        <v>1.1233620351366991E-2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'[5]Sch C'!D14</f>
        <v>0</v>
      </c>
      <c r="D29" s="501">
        <f>'[5]Sch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'[5]Sch C'!D15</f>
        <v>378687</v>
      </c>
      <c r="D30" s="501">
        <f>'[5]Sch C'!F15</f>
        <v>-373752.93482124445</v>
      </c>
      <c r="E30" s="171">
        <f t="shared" si="3"/>
        <v>4934.0651787555544</v>
      </c>
      <c r="F30" s="171"/>
      <c r="G30" s="171">
        <f t="shared" si="4"/>
        <v>4934.0651787555544</v>
      </c>
      <c r="H30" s="172">
        <f t="shared" si="5"/>
        <v>7.8568806447449583E-4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'[5]Sch C'!D16</f>
        <v>0</v>
      </c>
      <c r="D31" s="501">
        <f>'[5]Sch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'[5]Sch C'!D17</f>
        <v>26453.77</v>
      </c>
      <c r="D32" s="501">
        <f>'[5]Sch C'!F17</f>
        <v>-26453.77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'[5]Sch C'!D18</f>
        <v>14955.26</v>
      </c>
      <c r="D33" s="501">
        <f>'[5]Sch C'!F18</f>
        <v>0</v>
      </c>
      <c r="E33" s="171">
        <f t="shared" si="3"/>
        <v>14955.26</v>
      </c>
      <c r="F33" s="171"/>
      <c r="G33" s="171">
        <f t="shared" si="4"/>
        <v>14955.26</v>
      </c>
      <c r="H33" s="172">
        <f t="shared" si="5"/>
        <v>2.3814377916419049E-3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'[5]Sch C'!D19</f>
        <v>10461.09</v>
      </c>
      <c r="D34" s="501">
        <f>'[5]Sch C'!F19</f>
        <v>1368.2837541055626</v>
      </c>
      <c r="E34" s="171">
        <f t="shared" si="3"/>
        <v>11829.373754105563</v>
      </c>
      <c r="F34" s="171"/>
      <c r="G34" s="171">
        <f t="shared" si="4"/>
        <v>11829.373754105563</v>
      </c>
      <c r="H34" s="172">
        <f t="shared" si="5"/>
        <v>1.883679568893076E-3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'[5]Sch C'!D20</f>
        <v>49875.72</v>
      </c>
      <c r="D35" s="501">
        <f>'[5]Sch C'!F20</f>
        <v>16.737218549577349</v>
      </c>
      <c r="E35" s="171">
        <f t="shared" si="3"/>
        <v>49892.457218549578</v>
      </c>
      <c r="F35" s="171"/>
      <c r="G35" s="171">
        <f t="shared" si="4"/>
        <v>49892.457218549578</v>
      </c>
      <c r="H35" s="172">
        <f t="shared" si="5"/>
        <v>7.9447487464698648E-3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'[5]Sch C'!D21</f>
        <v>50051.15</v>
      </c>
      <c r="D36" s="501">
        <f>'[5]Sch C'!F21</f>
        <v>10005.9</v>
      </c>
      <c r="E36" s="171">
        <f t="shared" si="3"/>
        <v>60057.05</v>
      </c>
      <c r="F36" s="171"/>
      <c r="G36" s="171">
        <f t="shared" si="4"/>
        <v>60057.05</v>
      </c>
      <c r="H36" s="172">
        <f t="shared" si="5"/>
        <v>9.5633328022734117E-3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'[5]Sch C'!D22</f>
        <v>0</v>
      </c>
      <c r="D37" s="501">
        <f>'[5]Sch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'[5]Sch C'!D23</f>
        <v>21553.51</v>
      </c>
      <c r="D38" s="501">
        <f>'[5]Sch C'!F23</f>
        <v>107.86626596820599</v>
      </c>
      <c r="E38" s="171">
        <f t="shared" si="3"/>
        <v>21661.376265968203</v>
      </c>
      <c r="F38" s="171"/>
      <c r="G38" s="171">
        <f t="shared" si="4"/>
        <v>21661.376265968203</v>
      </c>
      <c r="H38" s="172">
        <f t="shared" si="5"/>
        <v>3.4493027910415257E-3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'[5]Sch C'!D24</f>
        <v>36429.64</v>
      </c>
      <c r="D39" s="501">
        <f>'[5]Sch C'!F24</f>
        <v>0</v>
      </c>
      <c r="E39" s="171">
        <f t="shared" si="3"/>
        <v>36429.64</v>
      </c>
      <c r="F39" s="171"/>
      <c r="G39" s="171">
        <f t="shared" si="4"/>
        <v>36429.64</v>
      </c>
      <c r="H39" s="172">
        <f t="shared" si="5"/>
        <v>5.8009637700654889E-3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'[5]Sch C'!D25</f>
        <v>0</v>
      </c>
      <c r="D40" s="501">
        <f>'[5]Sch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'[5]Sch C'!D26</f>
        <v>339646.46</v>
      </c>
      <c r="D41" s="501">
        <f>'[5]Sch C'!F26</f>
        <v>0</v>
      </c>
      <c r="E41" s="171">
        <f t="shared" si="3"/>
        <v>339646.46</v>
      </c>
      <c r="F41" s="171"/>
      <c r="G41" s="171">
        <f t="shared" si="4"/>
        <v>339646.46</v>
      </c>
      <c r="H41" s="172">
        <f t="shared" si="5"/>
        <v>5.408444357646678E-2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'[5]Sch C'!D27</f>
        <v>22483.22</v>
      </c>
      <c r="D42" s="501">
        <f>'[5]Sch C'!F27</f>
        <v>3089.1482567816311</v>
      </c>
      <c r="E42" s="171">
        <f t="shared" si="3"/>
        <v>25572.368256781632</v>
      </c>
      <c r="F42" s="171"/>
      <c r="G42" s="171">
        <f t="shared" si="4"/>
        <v>25572.368256781632</v>
      </c>
      <c r="H42" s="172">
        <f t="shared" si="5"/>
        <v>4.072079267661251E-3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'[5]Sch C'!D28</f>
        <v>0</v>
      </c>
      <c r="D43" s="501">
        <f>'[5]Sch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'[5]Sch C'!D29</f>
        <v>99808</v>
      </c>
      <c r="D44" s="501">
        <f>'[5]Sch C'!F29</f>
        <v>-99808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'[5]Sch C'!D30</f>
        <v>2340.92</v>
      </c>
      <c r="D45" s="501">
        <f>'[5]Sch C'!F30</f>
        <v>-2340.92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'[5]Sch C'!D31</f>
        <v>59233</v>
      </c>
      <c r="D46" s="501">
        <f>'[5]Sch C'!F31</f>
        <v>0</v>
      </c>
      <c r="E46" s="171">
        <f t="shared" si="3"/>
        <v>59233</v>
      </c>
      <c r="F46" s="171"/>
      <c r="G46" s="171">
        <f t="shared" si="4"/>
        <v>59233</v>
      </c>
      <c r="H46" s="172">
        <f t="shared" si="5"/>
        <v>9.4321131636845457E-3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'[5]Sch C'!D32</f>
        <v>89849.919999999998</v>
      </c>
      <c r="D47" s="501">
        <f>'[5]Sch C'!F32</f>
        <v>1019.815706768243</v>
      </c>
      <c r="E47" s="171">
        <f t="shared" si="3"/>
        <v>90869.735706768246</v>
      </c>
      <c r="F47" s="171"/>
      <c r="G47" s="171">
        <f t="shared" si="4"/>
        <v>90869.735706768246</v>
      </c>
      <c r="H47" s="172">
        <f t="shared" si="5"/>
        <v>1.4469866971795189E-2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'[5]Sch C'!D33</f>
        <v>0</v>
      </c>
      <c r="D48" s="501">
        <f>'[5]Sch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'[5]Sch C'!D34</f>
        <v>0</v>
      </c>
      <c r="D49" s="501">
        <f>'[5]Sch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'[5]Sch C'!D35</f>
        <v>1303.3600000000001</v>
      </c>
      <c r="D50" s="501">
        <f>'[5]Sch C'!F35</f>
        <v>-1303.3600000000001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'[5]Sch C'!D36</f>
        <v>62286.94</v>
      </c>
      <c r="D51" s="501">
        <f>'[5]Sch C'!F36</f>
        <v>155.97521689483051</v>
      </c>
      <c r="E51" s="171">
        <f t="shared" si="3"/>
        <v>62442.915216894835</v>
      </c>
      <c r="F51" s="171"/>
      <c r="G51" s="171">
        <f t="shared" si="4"/>
        <v>62442.915216894835</v>
      </c>
      <c r="H51" s="172">
        <f t="shared" si="5"/>
        <v>9.9432519473285474E-3</v>
      </c>
      <c r="I51" s="473"/>
      <c r="J51" s="183">
        <v>4862.3294215104243</v>
      </c>
      <c r="K51" s="183">
        <v>5109.4690965990158</v>
      </c>
    </row>
    <row r="52" spans="1:11" s="167" customFormat="1">
      <c r="A52" s="163">
        <v>290</v>
      </c>
      <c r="B52" s="170" t="s">
        <v>205</v>
      </c>
      <c r="C52" s="501">
        <f>'[5]Sch C'!D37</f>
        <v>0</v>
      </c>
      <c r="D52" s="501">
        <f>'[5]Sch C'!F37</f>
        <v>10755.641727559376</v>
      </c>
      <c r="E52" s="171">
        <f t="shared" si="3"/>
        <v>10755.641727559376</v>
      </c>
      <c r="F52" s="171"/>
      <c r="G52" s="171">
        <f t="shared" si="4"/>
        <v>10755.641727559376</v>
      </c>
      <c r="H52" s="172">
        <f t="shared" si="5"/>
        <v>1.7127011956576163E-3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'[5]Sch C'!D38</f>
        <v>0</v>
      </c>
      <c r="D53" s="501">
        <f>'[5]Sch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'[5]Sch C'!D39</f>
        <v>4008.02</v>
      </c>
      <c r="D54" s="501">
        <f>'[5]Sch C'!F39</f>
        <v>-4008.02</v>
      </c>
      <c r="E54" s="171">
        <f t="shared" si="3"/>
        <v>0</v>
      </c>
      <c r="F54" s="171"/>
      <c r="G54" s="171">
        <f t="shared" si="4"/>
        <v>0</v>
      </c>
      <c r="H54" s="172">
        <f t="shared" si="5"/>
        <v>0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'[5]Sch C'!D40</f>
        <v>0</v>
      </c>
      <c r="D55" s="501">
        <f>'[5]Sch C'!F40</f>
        <v>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'[5]Sch C'!D41</f>
        <v>56694.240000000005</v>
      </c>
      <c r="D56" s="501">
        <f>'[5]Sch C'!F41</f>
        <v>32597.421330621335</v>
      </c>
      <c r="E56" s="171">
        <f t="shared" si="3"/>
        <v>89291.66133062134</v>
      </c>
      <c r="F56" s="171"/>
      <c r="G56" s="171">
        <f t="shared" si="4"/>
        <v>89291.66133062134</v>
      </c>
      <c r="H56" s="172">
        <f t="shared" si="5"/>
        <v>1.4218578397916971E-2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'[5]Sch C'!D42</f>
        <v>11101</v>
      </c>
      <c r="D57" s="501">
        <f>'[5]Sch C'!F42</f>
        <v>0</v>
      </c>
      <c r="E57" s="171">
        <f t="shared" si="3"/>
        <v>11101</v>
      </c>
      <c r="F57" s="171"/>
      <c r="G57" s="171">
        <f t="shared" si="4"/>
        <v>11101</v>
      </c>
      <c r="H57" s="172">
        <f t="shared" si="5"/>
        <v>1.7676951738061916E-3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'[5]Sch C'!D43</f>
        <v>11303.77</v>
      </c>
      <c r="D58" s="501">
        <f>'[5]Sch C'!F43</f>
        <v>-11303.77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'[5]Sch C'!D44</f>
        <v>0</v>
      </c>
      <c r="D59" s="501">
        <f>'[5]Sch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'[5]Sch C'!D45</f>
        <v>71364.489999999991</v>
      </c>
      <c r="D60" s="501">
        <f>'[5]Sch C'!F45</f>
        <v>-71364.489999999991</v>
      </c>
      <c r="E60" s="171">
        <f t="shared" si="3"/>
        <v>0</v>
      </c>
      <c r="F60" s="171">
        <v>3102.37</v>
      </c>
      <c r="G60" s="171">
        <f t="shared" si="4"/>
        <v>3102.37</v>
      </c>
      <c r="H60" s="172">
        <f t="shared" si="5"/>
        <v>4.9401355520773934E-4</v>
      </c>
      <c r="I60" s="472" t="s">
        <v>624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2179661.9399999995</v>
      </c>
      <c r="D61" s="501">
        <f>SUM(D25:D60)</f>
        <v>-851276.71239594044</v>
      </c>
      <c r="E61" s="171">
        <f t="shared" ref="E61:F61" si="6">SUM(E25:E60)</f>
        <v>1328385.2276040595</v>
      </c>
      <c r="F61" s="171">
        <f t="shared" si="6"/>
        <v>3102.37</v>
      </c>
      <c r="G61" s="171">
        <f>SUM(G25:G60)</f>
        <v>1331487.5976040596</v>
      </c>
      <c r="H61" s="186">
        <f t="shared" si="5"/>
        <v>0.21202271869808997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'[5]Sch C'!D57</f>
        <v>626042.18000000005</v>
      </c>
      <c r="D64" s="501">
        <f>'[5]Sch C'!F57</f>
        <v>-626042</v>
      </c>
      <c r="E64" s="171">
        <f t="shared" ref="E64:E78" si="7">C64+D64</f>
        <v>0.18000000005122274</v>
      </c>
      <c r="F64" s="171"/>
      <c r="G64" s="171">
        <f t="shared" ref="G64:G78" si="8">E64+F64</f>
        <v>0.18000000005122274</v>
      </c>
      <c r="H64" s="172">
        <f t="shared" ref="H64:H79" si="9">IF($G$208=0,0,G64/$G$208)</f>
        <v>2.8662744921688199E-8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'[5]Sch C'!D58</f>
        <v>0</v>
      </c>
      <c r="D65" s="501">
        <f>'[5]Sch C'!F58</f>
        <v>1238</v>
      </c>
      <c r="E65" s="171">
        <f t="shared" si="7"/>
        <v>1238</v>
      </c>
      <c r="F65" s="171"/>
      <c r="G65" s="171">
        <f t="shared" si="8"/>
        <v>1238</v>
      </c>
      <c r="H65" s="172">
        <f t="shared" si="9"/>
        <v>1.9713599001640081E-4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'[5]Sch C'!D59</f>
        <v>0</v>
      </c>
      <c r="D66" s="501">
        <f>'[5]Sch C'!F59</f>
        <v>317365.45</v>
      </c>
      <c r="E66" s="171">
        <f t="shared" si="7"/>
        <v>317365.45</v>
      </c>
      <c r="F66" s="171"/>
      <c r="G66" s="171">
        <f t="shared" si="8"/>
        <v>317365.45</v>
      </c>
      <c r="H66" s="172">
        <f t="shared" si="9"/>
        <v>5.0536471876212075E-2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'[5]Sch C'!D60</f>
        <v>34000</v>
      </c>
      <c r="D67" s="501">
        <f>'[5]Sch C'!F60</f>
        <v>1196.1961402134853</v>
      </c>
      <c r="E67" s="171">
        <f t="shared" si="7"/>
        <v>35196.196140213484</v>
      </c>
      <c r="F67" s="171"/>
      <c r="G67" s="171">
        <f t="shared" si="8"/>
        <v>35196.196140213484</v>
      </c>
      <c r="H67" s="172">
        <f t="shared" si="9"/>
        <v>5.6045532882975846E-3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'[5]Sch C'!D61</f>
        <v>0</v>
      </c>
      <c r="D68" s="501">
        <f>'[5]Sch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'[5]Sch C'!D62</f>
        <v>0</v>
      </c>
      <c r="D69" s="501">
        <f>'[5]Sch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'[5]Sch C'!D63</f>
        <v>0</v>
      </c>
      <c r="D70" s="501">
        <f>'[5]Sch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'[5]Sch C'!D64</f>
        <v>0</v>
      </c>
      <c r="D71" s="501">
        <f>'[5]Sch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'[5]Sch C'!D65</f>
        <v>0</v>
      </c>
      <c r="D72" s="501">
        <f>'[5]Sch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'[5]Sch C'!D66</f>
        <v>10391.150000000001</v>
      </c>
      <c r="D73" s="501">
        <f>'[5]Sch C'!F66</f>
        <v>40.796331117504394</v>
      </c>
      <c r="E73" s="171">
        <f t="shared" si="7"/>
        <v>10431.946331117506</v>
      </c>
      <c r="F73" s="171"/>
      <c r="G73" s="171">
        <f t="shared" si="8"/>
        <v>10431.946331117506</v>
      </c>
      <c r="H73" s="172">
        <f t="shared" si="9"/>
        <v>1.6611567591137395E-3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'[5]Sch C'!D67</f>
        <v>0</v>
      </c>
      <c r="D74" s="501">
        <f>'[5]Sch C'!F67</f>
        <v>360</v>
      </c>
      <c r="E74" s="171">
        <f t="shared" si="7"/>
        <v>360</v>
      </c>
      <c r="F74" s="171"/>
      <c r="G74" s="171">
        <f t="shared" si="8"/>
        <v>360</v>
      </c>
      <c r="H74" s="172">
        <f t="shared" si="9"/>
        <v>5.7325489827063239E-5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'[5]Sch C'!D68</f>
        <v>0</v>
      </c>
      <c r="D75" s="501">
        <f>'[5]Sch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'[5]Sch C'!D69</f>
        <v>0</v>
      </c>
      <c r="D76" s="501">
        <f>'[5]Sch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'[5]Sch C'!D70</f>
        <v>0</v>
      </c>
      <c r="D77" s="501">
        <f>'[5]Sch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'[5]Sch C'!D71</f>
        <v>2275.46</v>
      </c>
      <c r="D78" s="501">
        <f>'[5]Sch C'!F71</f>
        <v>39.478195604999854</v>
      </c>
      <c r="E78" s="171">
        <f t="shared" si="7"/>
        <v>2314.9381956049997</v>
      </c>
      <c r="F78" s="171"/>
      <c r="G78" s="171">
        <f t="shared" si="8"/>
        <v>2314.9381956049997</v>
      </c>
      <c r="H78" s="172">
        <f t="shared" si="9"/>
        <v>3.6862490550676258E-4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672708.79</v>
      </c>
      <c r="D79" s="501">
        <f>SUM(D64:D78)</f>
        <v>-305802.07933306403</v>
      </c>
      <c r="E79" s="171">
        <f t="shared" ref="E79:F79" si="10">SUM(E64:E78)</f>
        <v>366906.71066693607</v>
      </c>
      <c r="F79" s="171">
        <f t="shared" si="10"/>
        <v>0</v>
      </c>
      <c r="G79" s="171">
        <f>SUM(G64:G78)</f>
        <v>366906.71066693607</v>
      </c>
      <c r="H79" s="172">
        <f t="shared" si="9"/>
        <v>5.8425296971718547E-2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'[5]Sch C'!D75</f>
        <v>53345.68</v>
      </c>
      <c r="D82" s="501">
        <f>'[5]Sch C'!F75</f>
        <v>1241.2142785892056</v>
      </c>
      <c r="E82" s="171">
        <f t="shared" ref="E82:E92" si="11">C82+D82</f>
        <v>54586.894278589207</v>
      </c>
      <c r="F82" s="171"/>
      <c r="G82" s="171">
        <f t="shared" ref="G82:G92" si="12">E82+F82</f>
        <v>54586.894278589207</v>
      </c>
      <c r="H82" s="172">
        <f t="shared" ref="H82:H93" si="13">IF($G$208=0,0,G82/$G$208)</f>
        <v>8.6922790351617839E-3</v>
      </c>
      <c r="I82" s="473"/>
      <c r="J82" s="183">
        <v>2536.1290031751</v>
      </c>
      <c r="K82" s="183">
        <v>2794.7826819803199</v>
      </c>
    </row>
    <row r="83" spans="1:11" s="167" customFormat="1">
      <c r="A83" s="169" t="s">
        <v>86</v>
      </c>
      <c r="B83" s="199" t="s">
        <v>45</v>
      </c>
      <c r="C83" s="501">
        <f>'[5]Sch C'!D76</f>
        <v>0</v>
      </c>
      <c r="D83" s="501">
        <f>'[5]Sch C'!F76</f>
        <v>9211.6164173429825</v>
      </c>
      <c r="E83" s="171">
        <f t="shared" si="11"/>
        <v>9211.6164173429825</v>
      </c>
      <c r="F83" s="171"/>
      <c r="G83" s="171">
        <f t="shared" si="12"/>
        <v>9211.6164173429825</v>
      </c>
      <c r="H83" s="172">
        <f t="shared" si="13"/>
        <v>1.4668345089533441E-3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'[5]Sch C'!D77</f>
        <v>16116.98</v>
      </c>
      <c r="D84" s="501">
        <f>'[5]Sch C'!F77</f>
        <v>0</v>
      </c>
      <c r="E84" s="171">
        <f t="shared" si="11"/>
        <v>16116.98</v>
      </c>
      <c r="F84" s="171"/>
      <c r="G84" s="171">
        <f t="shared" si="12"/>
        <v>16116.98</v>
      </c>
      <c r="H84" s="172">
        <f t="shared" si="13"/>
        <v>2.5664271473138378E-3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'[5]Sch C'!D78</f>
        <v>0</v>
      </c>
      <c r="D85" s="501">
        <f>'[5]Sch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'[5]Sch C'!D79</f>
        <v>0</v>
      </c>
      <c r="D86" s="501">
        <f>'[5]Sch C'!F79</f>
        <v>0</v>
      </c>
      <c r="E86" s="171">
        <f t="shared" si="11"/>
        <v>0</v>
      </c>
      <c r="F86" s="171"/>
      <c r="G86" s="171">
        <f>E86+F86</f>
        <v>0</v>
      </c>
      <c r="H86" s="172">
        <f t="shared" si="13"/>
        <v>0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'[5]Sch C'!D80</f>
        <v>9187.75</v>
      </c>
      <c r="D87" s="501">
        <f>'[5]Sch C'!F80</f>
        <v>0</v>
      </c>
      <c r="E87" s="171">
        <f t="shared" si="11"/>
        <v>9187.75</v>
      </c>
      <c r="F87" s="171"/>
      <c r="G87" s="171">
        <f t="shared" si="12"/>
        <v>9187.75</v>
      </c>
      <c r="H87" s="172">
        <f t="shared" si="13"/>
        <v>1.4630340809961117E-3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'[5]Sch C'!D81</f>
        <v>16661.460000000003</v>
      </c>
      <c r="D88" s="501">
        <f>'[5]Sch C'!F81</f>
        <v>4669.690768395244</v>
      </c>
      <c r="E88" s="171">
        <f t="shared" si="11"/>
        <v>21331.150768395248</v>
      </c>
      <c r="F88" s="171"/>
      <c r="G88" s="171">
        <f t="shared" si="12"/>
        <v>21331.150768395248</v>
      </c>
      <c r="H88" s="172">
        <f t="shared" si="13"/>
        <v>3.3967185177033164E-3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'[5]Sch C'!D82</f>
        <v>10233.64</v>
      </c>
      <c r="D89" s="501">
        <f>'[5]Sch C'!F82</f>
        <v>0</v>
      </c>
      <c r="E89" s="171">
        <f t="shared" si="11"/>
        <v>10233.64</v>
      </c>
      <c r="F89" s="171"/>
      <c r="G89" s="171">
        <f t="shared" si="12"/>
        <v>10233.64</v>
      </c>
      <c r="H89" s="172">
        <f t="shared" si="13"/>
        <v>1.6295789603161873E-3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'[5]Sch C'!D83</f>
        <v>5593.47</v>
      </c>
      <c r="D90" s="501">
        <f>'[5]Sch C'!F83</f>
        <v>0</v>
      </c>
      <c r="E90" s="171">
        <f t="shared" si="11"/>
        <v>5593.47</v>
      </c>
      <c r="F90" s="171"/>
      <c r="G90" s="171">
        <f t="shared" si="12"/>
        <v>5593.47</v>
      </c>
      <c r="H90" s="172">
        <f t="shared" si="13"/>
        <v>8.9069002106384281E-4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'[5]Sch C'!D84</f>
        <v>84099.069999999992</v>
      </c>
      <c r="D91" s="501">
        <f>'[5]Sch C'!F84</f>
        <v>1512.2287094706799</v>
      </c>
      <c r="E91" s="171">
        <f t="shared" si="11"/>
        <v>85611.298709470677</v>
      </c>
      <c r="F91" s="171"/>
      <c r="G91" s="171">
        <f t="shared" si="12"/>
        <v>85611.298709470677</v>
      </c>
      <c r="H91" s="172">
        <f t="shared" si="13"/>
        <v>1.363252675903176E-2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'[5]Sch C'!D85</f>
        <v>0</v>
      </c>
      <c r="D92" s="501">
        <f>'[5]Sch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195238.05</v>
      </c>
      <c r="D93" s="501">
        <f>SUM(D82:D92)</f>
        <v>16634.750173798115</v>
      </c>
      <c r="E93" s="171">
        <f t="shared" ref="E93:F93" si="14">SUM(E82:E92)</f>
        <v>211872.80017379811</v>
      </c>
      <c r="F93" s="171">
        <f t="shared" si="14"/>
        <v>0</v>
      </c>
      <c r="G93" s="171">
        <f>SUM(G82:G92)</f>
        <v>211872.80017379811</v>
      </c>
      <c r="H93" s="172">
        <f t="shared" si="13"/>
        <v>3.373808903054018E-2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'[5]Sch C'!D89</f>
        <v>245344.6</v>
      </c>
      <c r="D96" s="501">
        <f>'[5]Sch C'!F89</f>
        <v>614.37763239620131</v>
      </c>
      <c r="E96" s="171">
        <f t="shared" ref="E96:E101" si="15">C96+D96</f>
        <v>245958.97763239621</v>
      </c>
      <c r="F96" s="171"/>
      <c r="G96" s="171">
        <f t="shared" ref="G96:G101" si="16">E96+F96</f>
        <v>245958.97763239621</v>
      </c>
      <c r="H96" s="172">
        <f t="shared" ref="H96:H102" si="17">IF($G$208=0,0,G96/$G$208)</f>
        <v>3.9165885750391122E-2</v>
      </c>
      <c r="I96" s="473"/>
      <c r="J96" s="183">
        <v>17463.200016794901</v>
      </c>
      <c r="K96" s="183">
        <v>18692.130118509031</v>
      </c>
    </row>
    <row r="97" spans="1:11" s="167" customFormat="1">
      <c r="A97" s="169" t="s">
        <v>86</v>
      </c>
      <c r="B97" s="170" t="s">
        <v>45</v>
      </c>
      <c r="C97" s="501">
        <f>'[5]Sch C'!D90</f>
        <v>0</v>
      </c>
      <c r="D97" s="501">
        <f>'[5]Sch C'!F90</f>
        <v>42365.787737116676</v>
      </c>
      <c r="E97" s="171">
        <f t="shared" si="15"/>
        <v>42365.787737116676</v>
      </c>
      <c r="F97" s="171"/>
      <c r="G97" s="171">
        <f t="shared" si="16"/>
        <v>42365.787737116676</v>
      </c>
      <c r="H97" s="172">
        <f t="shared" si="17"/>
        <v>6.7462209276100069E-3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'[5]Sch C'!D91</f>
        <v>7087.5</v>
      </c>
      <c r="D98" s="501">
        <f>'[5]Sch C'!F91</f>
        <v>0</v>
      </c>
      <c r="E98" s="171">
        <f t="shared" si="15"/>
        <v>7087.5</v>
      </c>
      <c r="F98" s="171"/>
      <c r="G98" s="171">
        <f t="shared" si="16"/>
        <v>7087.5</v>
      </c>
      <c r="H98" s="172">
        <f t="shared" si="17"/>
        <v>1.1285955809703075E-3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'[5]Sch C'!D92</f>
        <v>177600.12</v>
      </c>
      <c r="D99" s="501">
        <f>'[5]Sch C'!F92</f>
        <v>107</v>
      </c>
      <c r="E99" s="171">
        <f t="shared" si="15"/>
        <v>177707.12</v>
      </c>
      <c r="F99" s="171"/>
      <c r="G99" s="171">
        <f t="shared" si="16"/>
        <v>177707.12</v>
      </c>
      <c r="H99" s="172">
        <f t="shared" si="17"/>
        <v>2.8297632499324182E-2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'[5]Sch C'!D93</f>
        <v>11238.61</v>
      </c>
      <c r="D100" s="501">
        <f>'[5]Sch C'!F93</f>
        <v>0</v>
      </c>
      <c r="E100" s="171">
        <f t="shared" si="15"/>
        <v>11238.61</v>
      </c>
      <c r="F100" s="171"/>
      <c r="G100" s="171">
        <f t="shared" si="16"/>
        <v>11238.61</v>
      </c>
      <c r="H100" s="172">
        <f t="shared" si="17"/>
        <v>1.7896078422925867E-3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'[5]Sch C'!D94</f>
        <v>0</v>
      </c>
      <c r="D101" s="501">
        <f>'[5]Sch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441270.82999999996</v>
      </c>
      <c r="D102" s="501">
        <f>SUM(D96:D101)</f>
        <v>43087.165369512877</v>
      </c>
      <c r="E102" s="171">
        <f t="shared" ref="E102:F102" si="18">SUM(E96:E101)</f>
        <v>484357.99536951288</v>
      </c>
      <c r="F102" s="171">
        <f t="shared" si="18"/>
        <v>0</v>
      </c>
      <c r="G102" s="171">
        <f>SUM(G96:G101)</f>
        <v>484357.99536951288</v>
      </c>
      <c r="H102" s="172">
        <f t="shared" si="17"/>
        <v>7.7127942600588209E-2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'[5]Sch C'!D98</f>
        <v>59480.97</v>
      </c>
      <c r="D105" s="501">
        <f>'[5]Sch C'!F98</f>
        <v>148.94860687015611</v>
      </c>
      <c r="E105" s="171">
        <f t="shared" ref="E105:E110" si="19">C105+D105</f>
        <v>59629.91860687016</v>
      </c>
      <c r="F105" s="171"/>
      <c r="G105" s="171">
        <f t="shared" ref="G105:G110" si="20">E105+F105</f>
        <v>59629.91860687016</v>
      </c>
      <c r="H105" s="172">
        <f t="shared" ref="H105:H111" si="21">IF($G$208=0,0,G105/$G$208)</f>
        <v>9.4953174791298448E-3</v>
      </c>
      <c r="I105" s="473"/>
      <c r="J105" s="183">
        <v>4942.5384615384619</v>
      </c>
      <c r="K105" s="183">
        <v>5293</v>
      </c>
    </row>
    <row r="106" spans="1:11" s="167" customFormat="1">
      <c r="A106" s="169" t="s">
        <v>86</v>
      </c>
      <c r="B106" s="170" t="s">
        <v>45</v>
      </c>
      <c r="C106" s="501">
        <f>'[5]Sch C'!D99</f>
        <v>0</v>
      </c>
      <c r="D106" s="501">
        <f>'[5]Sch C'!F99</f>
        <v>10271</v>
      </c>
      <c r="E106" s="171">
        <f t="shared" si="19"/>
        <v>10271</v>
      </c>
      <c r="F106" s="171"/>
      <c r="G106" s="171">
        <f t="shared" si="20"/>
        <v>10271</v>
      </c>
      <c r="H106" s="172">
        <f t="shared" si="21"/>
        <v>1.6355280722604626E-3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'[5]Sch C'!D100</f>
        <v>4985.2800000000007</v>
      </c>
      <c r="D107" s="501">
        <f>'[5]Sch C'!F100</f>
        <v>0</v>
      </c>
      <c r="E107" s="171">
        <f t="shared" si="19"/>
        <v>4985.2800000000007</v>
      </c>
      <c r="F107" s="171"/>
      <c r="G107" s="171">
        <f t="shared" si="20"/>
        <v>4985.2800000000007</v>
      </c>
      <c r="H107" s="172">
        <f t="shared" si="21"/>
        <v>7.938433831251718E-4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'[5]Sch C'!D101</f>
        <v>0</v>
      </c>
      <c r="D108" s="501">
        <f>'[5]Sch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'[5]Sch C'!D102</f>
        <v>6303.92</v>
      </c>
      <c r="D109" s="501">
        <f>'[5]Sch C'!F102</f>
        <v>0</v>
      </c>
      <c r="E109" s="171">
        <f t="shared" si="19"/>
        <v>6303.92</v>
      </c>
      <c r="F109" s="171"/>
      <c r="G109" s="171">
        <f t="shared" si="20"/>
        <v>6303.92</v>
      </c>
      <c r="H109" s="172">
        <f t="shared" si="21"/>
        <v>1.0038202828628346E-3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'[5]Sch C'!D103</f>
        <v>0</v>
      </c>
      <c r="D110" s="501">
        <f>'[5]Sch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70770.17</v>
      </c>
      <c r="D111" s="501">
        <f>SUM(D105:D110)</f>
        <v>10419.948606870155</v>
      </c>
      <c r="E111" s="171">
        <f t="shared" ref="E111:F111" si="22">SUM(E105:E110)</f>
        <v>81190.118606870165</v>
      </c>
      <c r="F111" s="171">
        <f t="shared" si="22"/>
        <v>0</v>
      </c>
      <c r="G111" s="171">
        <f>SUM(G105:G110)</f>
        <v>81190.118606870165</v>
      </c>
      <c r="H111" s="172">
        <f t="shared" si="21"/>
        <v>1.2928509217378314E-2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'[5]Sch C'!D115</f>
        <v>103656.58999999998</v>
      </c>
      <c r="D114" s="501">
        <f>'[5]Sch C'!F115</f>
        <v>259.57138821371149</v>
      </c>
      <c r="E114" s="171">
        <f t="shared" ref="E114:E118" si="23">C114+D114</f>
        <v>103916.16138821369</v>
      </c>
      <c r="F114" s="171"/>
      <c r="G114" s="171">
        <f>E114+F114</f>
        <v>103916.16138821369</v>
      </c>
      <c r="H114" s="172">
        <f t="shared" ref="H114:H119" si="24">IF($G$208=0,0,G114/$G$208)</f>
        <v>1.6547346812576403E-2</v>
      </c>
      <c r="I114" s="473"/>
      <c r="J114" s="183">
        <v>8216.0470099930062</v>
      </c>
      <c r="K114" s="183">
        <v>8895.8340664546249</v>
      </c>
    </row>
    <row r="115" spans="1:11" s="167" customFormat="1">
      <c r="A115" s="169" t="s">
        <v>86</v>
      </c>
      <c r="B115" s="170" t="s">
        <v>151</v>
      </c>
      <c r="C115" s="501">
        <f>'[5]Sch C'!D116</f>
        <v>0</v>
      </c>
      <c r="D115" s="501">
        <f>'[5]Sch C'!F116</f>
        <v>17899.25637399004</v>
      </c>
      <c r="E115" s="171">
        <f t="shared" si="23"/>
        <v>17899.25637399004</v>
      </c>
      <c r="F115" s="171"/>
      <c r="G115" s="171">
        <f>E115+F115</f>
        <v>17899.25637399004</v>
      </c>
      <c r="H115" s="172">
        <f t="shared" si="24"/>
        <v>2.8502323310532303E-3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'[5]Sch C'!D117</f>
        <v>26524.190000000002</v>
      </c>
      <c r="D116" s="501">
        <f>'[5]Sch C'!F117</f>
        <v>76.648975629154677</v>
      </c>
      <c r="E116" s="171">
        <f t="shared" si="23"/>
        <v>26600.838975629158</v>
      </c>
      <c r="F116" s="171"/>
      <c r="G116" s="171">
        <f>E116+F116</f>
        <v>26600.838975629158</v>
      </c>
      <c r="H116" s="172">
        <f t="shared" si="24"/>
        <v>4.2358503446910459E-3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'[5]Sch C'!D118</f>
        <v>0</v>
      </c>
      <c r="D117" s="501">
        <f>'[5]Sch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'[5]Sch C'!D119</f>
        <v>0</v>
      </c>
      <c r="D118" s="501">
        <f>'[5]Sch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130180.77999999998</v>
      </c>
      <c r="D119" s="501">
        <f>SUM(D114:D118)</f>
        <v>18235.476737832905</v>
      </c>
      <c r="E119" s="171">
        <f t="shared" ref="E119:F119" si="25">SUM(E114:E118)</f>
        <v>148416.25673783288</v>
      </c>
      <c r="F119" s="171">
        <f t="shared" si="25"/>
        <v>0</v>
      </c>
      <c r="G119" s="171">
        <f>SUM(G114:G118)</f>
        <v>148416.25673783288</v>
      </c>
      <c r="H119" s="172">
        <f t="shared" si="24"/>
        <v>2.363342948832068E-2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'[5]Sch C'!D124</f>
        <v>0</v>
      </c>
      <c r="D123" s="501">
        <f>'[5]Sch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'[5]Sch C'!D125</f>
        <v>241314.13</v>
      </c>
      <c r="D124" s="501">
        <f>'[5]Sch C'!F125</f>
        <v>604.28345384685622</v>
      </c>
      <c r="E124" s="171">
        <f t="shared" si="26"/>
        <v>241918.41345384685</v>
      </c>
      <c r="F124" s="171"/>
      <c r="G124" s="171">
        <f>E124+F124</f>
        <v>241918.41345384685</v>
      </c>
      <c r="H124" s="172">
        <f>IF($G$208=0,0,G124/$G$208)</f>
        <v>3.8522476526188267E-2</v>
      </c>
      <c r="I124" s="473"/>
      <c r="J124" s="183">
        <v>5676.3873670978892</v>
      </c>
      <c r="K124" s="183">
        <v>6259.2307128266903</v>
      </c>
    </row>
    <row r="125" spans="1:11" s="167" customFormat="1">
      <c r="A125" s="163" t="s">
        <v>198</v>
      </c>
      <c r="B125" s="163" t="s">
        <v>195</v>
      </c>
      <c r="C125" s="501">
        <f>'[5]Sch C'!D126</f>
        <v>0</v>
      </c>
      <c r="D125" s="501">
        <f>'[5]Sch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'[5]Sch C'!D127</f>
        <v>0</v>
      </c>
      <c r="D126" s="501">
        <f>'[5]Sch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'[5]Sch C'!D128</f>
        <v>64129.160000000011</v>
      </c>
      <c r="D127" s="501">
        <f>'[5]Sch C'!F128</f>
        <v>160.58783830090687</v>
      </c>
      <c r="E127" s="171">
        <f t="shared" si="26"/>
        <v>64289.747838300915</v>
      </c>
      <c r="F127" s="171"/>
      <c r="G127" s="171">
        <f>E127+F127</f>
        <v>64289.747838300915</v>
      </c>
      <c r="H127" s="172">
        <f>IF($G$208=0,0,G127/$G$208)</f>
        <v>1.0237336904691611E-2</v>
      </c>
      <c r="I127" s="473"/>
      <c r="J127" s="183">
        <v>3797.9639143134436</v>
      </c>
      <c r="K127" s="183">
        <v>4575.8601377270406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'[5]Sch C'!D130</f>
        <v>0</v>
      </c>
      <c r="D129" s="501">
        <f>'[5]Sch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'[5]Sch C'!D131</f>
        <v>0</v>
      </c>
      <c r="D130" s="501">
        <f>'[5]Sch C'!F131</f>
        <v>41669.736166547234</v>
      </c>
      <c r="E130" s="171">
        <f t="shared" si="27"/>
        <v>41669.736166547234</v>
      </c>
      <c r="F130" s="171"/>
      <c r="G130" s="171">
        <f>E130+F130</f>
        <v>41669.736166547234</v>
      </c>
      <c r="H130" s="172">
        <f>IF($G$208=0,0,G130/$G$208)</f>
        <v>6.6353834353105904E-3</v>
      </c>
      <c r="I130" s="473"/>
      <c r="J130" s="204"/>
      <c r="K130" s="204"/>
    </row>
    <row r="131" spans="1:11" s="167" customFormat="1">
      <c r="B131" s="163" t="s">
        <v>195</v>
      </c>
      <c r="C131" s="501">
        <f>'[5]Sch C'!D132</f>
        <v>0</v>
      </c>
      <c r="D131" s="501">
        <f>'[5]Sch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'[5]Sch C'!D133</f>
        <v>0</v>
      </c>
      <c r="D132" s="501">
        <f>'[5]Sch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'[5]Sch C'!D134</f>
        <v>0</v>
      </c>
      <c r="D133" s="501">
        <f>'[5]Sch C'!F134</f>
        <v>11073.782596364561</v>
      </c>
      <c r="E133" s="171">
        <f t="shared" si="27"/>
        <v>11073.782596364561</v>
      </c>
      <c r="F133" s="171"/>
      <c r="G133" s="171">
        <f>E133+F133</f>
        <v>11073.782596364561</v>
      </c>
      <c r="H133" s="172">
        <f>IF($G$208=0,0,G133/$G$208)</f>
        <v>1.7633611432639072E-3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'[5]Sch C'!D136</f>
        <v>449463.61999999994</v>
      </c>
      <c r="D135" s="501">
        <f>'[5]Sch C'!F136</f>
        <v>1125.5196892837689</v>
      </c>
      <c r="E135" s="171">
        <f t="shared" ref="E135:E138" si="28">C135+D135</f>
        <v>450589.13968928368</v>
      </c>
      <c r="F135" s="171"/>
      <c r="G135" s="171">
        <f>E135+F135</f>
        <v>450589.13968928368</v>
      </c>
      <c r="H135" s="172">
        <f>IF($G$208=0,0,G135/$G$208)</f>
        <v>7.1750675398453354E-2</v>
      </c>
      <c r="I135" s="473"/>
      <c r="J135" s="183">
        <v>16809.032115393511</v>
      </c>
      <c r="K135" s="183">
        <v>17713.89601467711</v>
      </c>
    </row>
    <row r="136" spans="1:11" s="167" customFormat="1">
      <c r="A136" s="169"/>
      <c r="B136" s="163" t="s">
        <v>195</v>
      </c>
      <c r="C136" s="501">
        <f>'[5]Sch C'!D137</f>
        <v>329766.03999999992</v>
      </c>
      <c r="D136" s="501">
        <f>'[5]Sch C'!F137</f>
        <v>825.77943029108292</v>
      </c>
      <c r="E136" s="171">
        <f t="shared" si="28"/>
        <v>330591.81943029101</v>
      </c>
      <c r="F136" s="171"/>
      <c r="G136" s="171">
        <f>E136+F136</f>
        <v>330591.81943029101</v>
      </c>
      <c r="H136" s="172">
        <f>IF($G$208=0,0,G136/$G$208)</f>
        <v>5.2642605504615206E-2</v>
      </c>
      <c r="I136" s="473"/>
      <c r="J136" s="183">
        <v>14388.751493760408</v>
      </c>
      <c r="K136" s="183">
        <v>15143.202252848077</v>
      </c>
    </row>
    <row r="137" spans="1:11" s="167" customFormat="1">
      <c r="A137" s="169"/>
      <c r="B137" s="163" t="s">
        <v>196</v>
      </c>
      <c r="C137" s="501">
        <f>'[5]Sch C'!D138</f>
        <v>747346.39000000013</v>
      </c>
      <c r="D137" s="501">
        <f>'[5]Sch C'!F138</f>
        <v>2673.4605073129205</v>
      </c>
      <c r="E137" s="171">
        <f t="shared" si="28"/>
        <v>750019.85050731304</v>
      </c>
      <c r="F137" s="171"/>
      <c r="G137" s="171">
        <f>E137+F137</f>
        <v>750019.85050731304</v>
      </c>
      <c r="H137" s="172">
        <f>IF($G$208=0,0,G137/$G$208)</f>
        <v>0.11943126475097907</v>
      </c>
      <c r="I137" s="473"/>
      <c r="J137" s="183">
        <v>52496.746611371971</v>
      </c>
      <c r="K137" s="183">
        <v>56419.99102005102</v>
      </c>
    </row>
    <row r="138" spans="1:11" s="167" customFormat="1">
      <c r="A138" s="169"/>
      <c r="B138" s="163" t="s">
        <v>197</v>
      </c>
      <c r="C138" s="501">
        <f>'[5]Sch C'!D139</f>
        <v>0</v>
      </c>
      <c r="D138" s="501">
        <f>'[5]Sch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'[5]Sch C'!D141</f>
        <v>0</v>
      </c>
      <c r="D140" s="501">
        <f>'[5]Sch C'!F141</f>
        <v>77612.764447243913</v>
      </c>
      <c r="E140" s="171">
        <f t="shared" ref="E140:E143" si="29">C140+D140</f>
        <v>77612.764447243913</v>
      </c>
      <c r="F140" s="171"/>
      <c r="G140" s="171">
        <f>E140+F140</f>
        <v>77612.764447243913</v>
      </c>
      <c r="H140" s="172">
        <f>IF($G$208=0,0,G140/$G$208)</f>
        <v>1.2358860385474268E-2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'[5]Sch C'!D142</f>
        <v>0</v>
      </c>
      <c r="D141" s="501">
        <f>'[5]Sch C'!F142</f>
        <v>56943.598321626268</v>
      </c>
      <c r="E141" s="171">
        <f t="shared" si="29"/>
        <v>56943.598321626268</v>
      </c>
      <c r="F141" s="171"/>
      <c r="G141" s="171">
        <f>E141+F141</f>
        <v>56943.598321626268</v>
      </c>
      <c r="H141" s="172">
        <f>IF($G$208=0,0,G141/$G$208)</f>
        <v>9.0675546286187823E-3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'[5]Sch C'!D143</f>
        <v>0</v>
      </c>
      <c r="D142" s="501">
        <f>'[5]Sch C'!F143</f>
        <v>129188.96287020294</v>
      </c>
      <c r="E142" s="171">
        <f t="shared" si="29"/>
        <v>129188.96287020294</v>
      </c>
      <c r="F142" s="171"/>
      <c r="G142" s="171">
        <f>E142+F142</f>
        <v>129188.96287020294</v>
      </c>
      <c r="H142" s="172">
        <f>IF($G$208=0,0,G142/$G$208)</f>
        <v>2.0571723824401859E-2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'[5]Sch C'!D144</f>
        <v>0</v>
      </c>
      <c r="D143" s="501">
        <f>'[5]Sch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'[5]Sch C'!D146</f>
        <v>10360.64</v>
      </c>
      <c r="D145" s="501">
        <f>'[5]Sch C'!F146</f>
        <v>0</v>
      </c>
      <c r="E145" s="171">
        <f t="shared" ref="E145:E153" si="30">C145+D145</f>
        <v>10360.64</v>
      </c>
      <c r="F145" s="171"/>
      <c r="G145" s="171">
        <f t="shared" ref="G145:G153" si="31">E145+F145</f>
        <v>10360.64</v>
      </c>
      <c r="H145" s="172">
        <f t="shared" ref="H145:H153" si="32">IF($G$208=0,0,G145/$G$208)</f>
        <v>1.6498021192274011E-3</v>
      </c>
      <c r="I145" s="473"/>
      <c r="J145" s="183" t="s">
        <v>599</v>
      </c>
      <c r="K145" s="183" t="s">
        <v>599</v>
      </c>
    </row>
    <row r="146" spans="1:11" s="167" customFormat="1">
      <c r="A146" s="169"/>
      <c r="B146" s="163" t="s">
        <v>194</v>
      </c>
      <c r="C146" s="501">
        <f>'[5]Sch C'!D147</f>
        <v>21002.3</v>
      </c>
      <c r="D146" s="501">
        <f>'[5]Sch C'!F147</f>
        <v>0</v>
      </c>
      <c r="E146" s="171">
        <f t="shared" si="30"/>
        <v>21002.3</v>
      </c>
      <c r="F146" s="171"/>
      <c r="G146" s="171">
        <f t="shared" si="31"/>
        <v>21002.3</v>
      </c>
      <c r="H146" s="172">
        <f t="shared" si="32"/>
        <v>3.3443531527636949E-3</v>
      </c>
      <c r="I146" s="473"/>
      <c r="J146" s="183" t="s">
        <v>599</v>
      </c>
      <c r="K146" s="183" t="s">
        <v>599</v>
      </c>
    </row>
    <row r="147" spans="1:11" s="167" customFormat="1">
      <c r="A147" s="169"/>
      <c r="B147" s="163" t="s">
        <v>195</v>
      </c>
      <c r="C147" s="501">
        <f>'[5]Sch C'!D148</f>
        <v>0</v>
      </c>
      <c r="D147" s="501">
        <f>'[5]Sch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'[5]Sch C'!D149</f>
        <v>160</v>
      </c>
      <c r="D148" s="501">
        <f>'[5]Sch C'!F149</f>
        <v>0</v>
      </c>
      <c r="E148" s="171">
        <f t="shared" si="30"/>
        <v>160</v>
      </c>
      <c r="F148" s="171"/>
      <c r="G148" s="171">
        <f t="shared" si="31"/>
        <v>160</v>
      </c>
      <c r="H148" s="172">
        <f t="shared" si="32"/>
        <v>2.5477995478694773E-5</v>
      </c>
      <c r="I148" s="473"/>
      <c r="J148" s="183" t="s">
        <v>599</v>
      </c>
      <c r="K148" s="183" t="s">
        <v>599</v>
      </c>
    </row>
    <row r="149" spans="1:11" s="167" customFormat="1">
      <c r="A149" s="169"/>
      <c r="B149" s="163" t="s">
        <v>197</v>
      </c>
      <c r="C149" s="501">
        <f>'[5]Sch C'!D150</f>
        <v>596.21</v>
      </c>
      <c r="D149" s="501">
        <f>'[5]Sch C'!F150</f>
        <v>0</v>
      </c>
      <c r="E149" s="171">
        <f t="shared" si="30"/>
        <v>596.21</v>
      </c>
      <c r="F149" s="171"/>
      <c r="G149" s="171">
        <f t="shared" si="31"/>
        <v>596.21</v>
      </c>
      <c r="H149" s="172">
        <f t="shared" si="32"/>
        <v>9.4938973027203818E-5</v>
      </c>
      <c r="I149" s="473"/>
      <c r="J149" s="183" t="s">
        <v>599</v>
      </c>
      <c r="K149" s="183" t="s">
        <v>599</v>
      </c>
    </row>
    <row r="150" spans="1:11" s="167" customFormat="1">
      <c r="A150" s="169">
        <v>110</v>
      </c>
      <c r="B150" s="167" t="s">
        <v>65</v>
      </c>
      <c r="C150" s="501">
        <f>'[5]Sch C'!D151</f>
        <v>134294.1</v>
      </c>
      <c r="D150" s="501">
        <f>'[5]Sch C'!F151</f>
        <v>0</v>
      </c>
      <c r="E150" s="171">
        <f t="shared" si="30"/>
        <v>134294.1</v>
      </c>
      <c r="F150" s="171"/>
      <c r="G150" s="171">
        <f t="shared" si="31"/>
        <v>134294.1</v>
      </c>
      <c r="H150" s="172">
        <f t="shared" si="32"/>
        <v>2.1384652953846148E-2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'[5]Sch C'!D152</f>
        <v>0</v>
      </c>
      <c r="D151" s="501">
        <f>'[5]Sch C'!F152</f>
        <v>0</v>
      </c>
      <c r="E151" s="171">
        <f t="shared" si="30"/>
        <v>0</v>
      </c>
      <c r="F151" s="171"/>
      <c r="G151" s="171">
        <f t="shared" si="31"/>
        <v>0</v>
      </c>
      <c r="H151" s="172">
        <f t="shared" si="32"/>
        <v>0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'[5]Sch C'!D153</f>
        <v>6452.84</v>
      </c>
      <c r="D152" s="501">
        <f>'[5]Sch C'!F153</f>
        <v>0</v>
      </c>
      <c r="E152" s="171">
        <f t="shared" si="30"/>
        <v>6452.84</v>
      </c>
      <c r="F152" s="171"/>
      <c r="G152" s="171">
        <f t="shared" si="31"/>
        <v>6452.84</v>
      </c>
      <c r="H152" s="172">
        <f t="shared" si="32"/>
        <v>1.0275339271546299E-3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'[5]Sch C'!D154</f>
        <v>0</v>
      </c>
      <c r="D153" s="501">
        <f>'[5]Sch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'[5]Sch C'!D156</f>
        <v>0</v>
      </c>
      <c r="D155" s="501">
        <f>'[5]Sch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'[5]Sch C'!D157</f>
        <v>0</v>
      </c>
      <c r="D156" s="501">
        <f>'[5]Sch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'[5]Sch C'!D158</f>
        <v>0</v>
      </c>
      <c r="D157" s="501">
        <f>'[5]Sch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'[5]Sch C'!D159</f>
        <v>0</v>
      </c>
      <c r="D158" s="501">
        <f>'[5]Sch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'[5]Sch C'!D160</f>
        <v>0</v>
      </c>
      <c r="D159" s="501">
        <f>'[5]Sch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'[5]Sch C'!D161</f>
        <v>4779.7299999999996</v>
      </c>
      <c r="D160" s="501">
        <f>'[5]Sch C'!F161</f>
        <v>-1677.36</v>
      </c>
      <c r="E160" s="171">
        <f t="shared" si="33"/>
        <v>3102.37</v>
      </c>
      <c r="F160" s="171">
        <v>-3102.37</v>
      </c>
      <c r="G160" s="171">
        <f t="shared" si="34"/>
        <v>0</v>
      </c>
      <c r="H160" s="172">
        <f t="shared" si="35"/>
        <v>0</v>
      </c>
      <c r="I160" s="472" t="s">
        <v>623</v>
      </c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2009665.16</v>
      </c>
      <c r="D161" s="501">
        <f>SUM(D123:D160)</f>
        <v>320201.11532102048</v>
      </c>
      <c r="E161" s="171">
        <f t="shared" ref="E161" si="36">SUM(E123:E160)</f>
        <v>2329866.2753210198</v>
      </c>
      <c r="F161" s="171">
        <v>7</v>
      </c>
      <c r="G161" s="171">
        <f>SUM(G123:G160)</f>
        <v>2326763.9053210197</v>
      </c>
      <c r="H161" s="172">
        <f t="shared" si="35"/>
        <v>0.37050800162349457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'[5]Sch C'!D175</f>
        <v>0</v>
      </c>
      <c r="D164" s="501">
        <f>'[5]Sch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'[5]Sch C'!D176</f>
        <v>0</v>
      </c>
      <c r="D165" s="501">
        <f>'[5]Sch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'[5]Sch C'!D177</f>
        <v>48059.159999999996</v>
      </c>
      <c r="D166" s="501">
        <f>'[5]Sch C'!F177</f>
        <v>-9571.3009202847643</v>
      </c>
      <c r="E166" s="171">
        <f t="shared" si="37"/>
        <v>38487.859079715228</v>
      </c>
      <c r="F166" s="216"/>
      <c r="G166" s="171">
        <f t="shared" si="38"/>
        <v>38487.859079715228</v>
      </c>
      <c r="H166" s="172">
        <f t="shared" si="39"/>
        <v>6.1287093726101636E-3</v>
      </c>
      <c r="I166" s="483"/>
      <c r="J166" s="183">
        <v>939.97770108839927</v>
      </c>
      <c r="K166" s="183">
        <v>1021.7148924873904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'[5]Sch C'!D178</f>
        <v>7268.4500000000007</v>
      </c>
      <c r="D167" s="501">
        <f>'[5]Sch C'!F178</f>
        <v>-4164.1388499267605</v>
      </c>
      <c r="E167" s="171">
        <f t="shared" si="37"/>
        <v>3104.3111500732402</v>
      </c>
      <c r="F167" s="216"/>
      <c r="G167" s="171">
        <f t="shared" si="38"/>
        <v>3104.3111500732402</v>
      </c>
      <c r="H167" s="172">
        <f t="shared" si="39"/>
        <v>4.9432265903767366E-4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'[5]Sch C'!D179</f>
        <v>14773.93</v>
      </c>
      <c r="D168" s="501">
        <f>'[5]Sch C'!F179</f>
        <v>3362.27281755274</v>
      </c>
      <c r="E168" s="171">
        <f t="shared" si="37"/>
        <v>18136.202817552741</v>
      </c>
      <c r="F168" s="216"/>
      <c r="G168" s="171">
        <f t="shared" si="38"/>
        <v>18136.202817552741</v>
      </c>
      <c r="H168" s="172">
        <f t="shared" si="39"/>
        <v>2.8879630836643757E-3</v>
      </c>
      <c r="I168" s="483"/>
      <c r="J168" s="183">
        <v>419.32947976878614</v>
      </c>
      <c r="K168" s="183">
        <v>455.79291279215886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'[5]Sch C'!D180</f>
        <v>0</v>
      </c>
      <c r="D169" s="501">
        <f>'[5]Sch C'!F180</f>
        <v>1462.7880642727152</v>
      </c>
      <c r="E169" s="171">
        <f t="shared" si="37"/>
        <v>1462.7880642727152</v>
      </c>
      <c r="F169" s="216"/>
      <c r="G169" s="171">
        <f t="shared" si="38"/>
        <v>1462.7880642727152</v>
      </c>
      <c r="H169" s="172">
        <f t="shared" si="39"/>
        <v>2.3293067304893072E-4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'[5]Sch C'!D181</f>
        <v>0</v>
      </c>
      <c r="D170" s="501">
        <f>'[5]Sch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'[5]Sch C'!D182</f>
        <v>0</v>
      </c>
      <c r="D171" s="501">
        <f>'[5]Sch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'[5]Sch C'!D183</f>
        <v>27282.66</v>
      </c>
      <c r="D172" s="501">
        <f>'[5]Sch C'!F183</f>
        <v>6209.028102732027</v>
      </c>
      <c r="E172" s="171">
        <f t="shared" si="37"/>
        <v>33491.688102732027</v>
      </c>
      <c r="F172" s="216"/>
      <c r="G172" s="171">
        <f t="shared" si="38"/>
        <v>33491.688102732027</v>
      </c>
      <c r="H172" s="172">
        <f t="shared" si="39"/>
        <v>5.3331317378453877E-3</v>
      </c>
      <c r="I172" s="483"/>
      <c r="J172" s="183">
        <v>844.18191780821917</v>
      </c>
      <c r="K172" s="183">
        <v>917.58904109589037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'[5]Sch C'!D184</f>
        <v>0</v>
      </c>
      <c r="D173" s="501">
        <f>'[5]Sch C'!F184</f>
        <v>2701.3507856540464</v>
      </c>
      <c r="E173" s="171">
        <f t="shared" si="37"/>
        <v>2701.3507856540464</v>
      </c>
      <c r="F173" s="216"/>
      <c r="G173" s="171">
        <f t="shared" si="38"/>
        <v>2701.3507856540464</v>
      </c>
      <c r="H173" s="172">
        <f t="shared" si="39"/>
        <v>4.3015626939538979E-4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'[5]Sch C'!D185</f>
        <v>0</v>
      </c>
      <c r="D174" s="501">
        <f>'[5]Sch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'[5]Sch C'!D186</f>
        <v>0</v>
      </c>
      <c r="D175" s="501">
        <f>'[5]Sch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'[5]Sch C'!D187</f>
        <v>0</v>
      </c>
      <c r="D176" s="501">
        <f>'[5]Sch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'[5]Sch C'!D188</f>
        <v>301550.68</v>
      </c>
      <c r="D177" s="501">
        <f>'[5]Sch C'!F188</f>
        <v>0</v>
      </c>
      <c r="E177" s="171">
        <f t="shared" si="37"/>
        <v>301550.68</v>
      </c>
      <c r="F177" s="216"/>
      <c r="G177" s="171">
        <f t="shared" si="38"/>
        <v>301550.68</v>
      </c>
      <c r="H177" s="172">
        <f t="shared" si="39"/>
        <v>4.8018167885233339E-2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'[5]Sch C'!D189</f>
        <v>94119.24</v>
      </c>
      <c r="D178" s="501">
        <f>'[5]Sch C'!F189</f>
        <v>0</v>
      </c>
      <c r="E178" s="171">
        <f t="shared" si="37"/>
        <v>94119.24</v>
      </c>
      <c r="F178" s="216"/>
      <c r="G178" s="171">
        <f t="shared" si="38"/>
        <v>94119.24</v>
      </c>
      <c r="H178" s="172">
        <f t="shared" si="39"/>
        <v>1.4987309819863676E-2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'[5]Sch C'!D190</f>
        <v>0</v>
      </c>
      <c r="D179" s="501">
        <f>'[5]Sch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'[5]Sch C'!D191</f>
        <v>201682.98</v>
      </c>
      <c r="D180" s="501">
        <f>'[5]Sch C'!F191</f>
        <v>0</v>
      </c>
      <c r="E180" s="171">
        <f t="shared" si="37"/>
        <v>201682.98</v>
      </c>
      <c r="F180" s="216"/>
      <c r="G180" s="171">
        <f t="shared" si="38"/>
        <v>201682.98</v>
      </c>
      <c r="H180" s="172">
        <f t="shared" si="39"/>
        <v>3.2115487828560552E-2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'[5]Sch C'!D192</f>
        <v>19116.03</v>
      </c>
      <c r="D181" s="501">
        <f>'[5]Sch C'!F192</f>
        <v>0</v>
      </c>
      <c r="E181" s="171">
        <f t="shared" si="37"/>
        <v>19116.03</v>
      </c>
      <c r="F181" s="216"/>
      <c r="G181" s="171">
        <f t="shared" si="38"/>
        <v>19116.03</v>
      </c>
      <c r="H181" s="172">
        <f t="shared" si="39"/>
        <v>3.04398828694121E-3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'[5]Sch C'!D193</f>
        <v>0</v>
      </c>
      <c r="D182" s="501">
        <f>'[5]Sch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'[5]Sch C'!D194</f>
        <v>0</v>
      </c>
      <c r="D183" s="501">
        <f>'[5]Sch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'[5]Sch C'!D195</f>
        <v>0</v>
      </c>
      <c r="D184" s="501">
        <f>'[5]Sch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'[5]Sch C'!D196</f>
        <v>0</v>
      </c>
      <c r="D185" s="501">
        <f>'[5]Sch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'[5]Sch C'!D197</f>
        <v>0</v>
      </c>
      <c r="D186" s="501">
        <f>'[5]Sch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'[5]Sch C'!D198</f>
        <v>0</v>
      </c>
      <c r="D187" s="501">
        <f>'[5]Sch C'!F198</f>
        <v>0</v>
      </c>
      <c r="E187" s="171">
        <f t="shared" si="37"/>
        <v>0</v>
      </c>
      <c r="F187" s="216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'[5]Sch C'!D199</f>
        <v>0</v>
      </c>
      <c r="D188" s="501">
        <f>'[5]Sch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'[5]Sch C'!D200</f>
        <v>0</v>
      </c>
      <c r="D189" s="501">
        <f>'[5]Sch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'[5]Sch C'!D201</f>
        <v>0</v>
      </c>
      <c r="D190" s="501">
        <f>'[5]Sch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'[5]Sch C'!D202</f>
        <v>0</v>
      </c>
      <c r="D191" s="501">
        <f>'[5]Sch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'[5]Sch C'!D203</f>
        <v>0</v>
      </c>
      <c r="D192" s="501">
        <f>'[5]Sch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'[5]Sch C'!D204</f>
        <v>0</v>
      </c>
      <c r="D193" s="501">
        <f>'[5]Sch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'[5]Sch C'!D205</f>
        <v>297001.62</v>
      </c>
      <c r="D194" s="501">
        <f>'[5]Sch C'!F205</f>
        <v>0</v>
      </c>
      <c r="E194" s="171">
        <f t="shared" si="37"/>
        <v>297001.62</v>
      </c>
      <c r="F194" s="216"/>
      <c r="G194" s="171">
        <f t="shared" si="38"/>
        <v>297001.62</v>
      </c>
      <c r="H194" s="172">
        <f t="shared" si="39"/>
        <v>4.7293787072031392E-2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'[5]Sch C'!D206</f>
        <v>555.86</v>
      </c>
      <c r="D195" s="501">
        <f>'[5]Sch C'!F206</f>
        <v>0</v>
      </c>
      <c r="E195" s="171">
        <f t="shared" si="37"/>
        <v>555.86</v>
      </c>
      <c r="F195" s="216"/>
      <c r="G195" s="171">
        <f t="shared" si="38"/>
        <v>555.86</v>
      </c>
      <c r="H195" s="172">
        <f t="shared" si="39"/>
        <v>8.8513741042420472E-5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'[5]Sch C'!D207</f>
        <v>0</v>
      </c>
      <c r="D196" s="501">
        <f>'[5]Sch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1011410.61</v>
      </c>
      <c r="D197" s="501">
        <f>SUM(D164:D196)</f>
        <v>6.3664629124104977E-12</v>
      </c>
      <c r="E197" s="171">
        <f t="shared" ref="E197:F197" si="40">SUM(E164:E196)</f>
        <v>1011410.61</v>
      </c>
      <c r="F197" s="171">
        <f t="shared" si="40"/>
        <v>0</v>
      </c>
      <c r="G197" s="171">
        <f>SUM(G164:G196)</f>
        <v>1011410.61</v>
      </c>
      <c r="H197" s="172">
        <f>IF($G$208=0,0,G197/$G$208)</f>
        <v>0.16105446842927451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'[5]Sch C'!D211</f>
        <v>259732.78</v>
      </c>
      <c r="D200" s="501">
        <f>'[5]Sch C'!F211</f>
        <v>650.40716377004856</v>
      </c>
      <c r="E200" s="171">
        <f t="shared" ref="E200:E205" si="41">C200+D200</f>
        <v>260383.18716377005</v>
      </c>
      <c r="F200" s="171"/>
      <c r="G200" s="171">
        <f t="shared" ref="G200:G205" si="42">E200+F200</f>
        <v>260383.18716377005</v>
      </c>
      <c r="H200" s="172">
        <f t="shared" ref="H200:H206" si="43">IF($G$208=0,0,G200/$G$208)</f>
        <v>4.1462760408041678E-2</v>
      </c>
      <c r="I200" s="473"/>
      <c r="J200" s="183">
        <v>16036.26268733635</v>
      </c>
      <c r="K200" s="183">
        <v>16532.229574573557</v>
      </c>
    </row>
    <row r="201" spans="1:14" s="167" customFormat="1">
      <c r="A201" s="169" t="s">
        <v>86</v>
      </c>
      <c r="B201" s="170" t="s">
        <v>45</v>
      </c>
      <c r="C201" s="501">
        <f>'[5]Sch C'!D212</f>
        <v>0</v>
      </c>
      <c r="D201" s="501">
        <f>'[5]Sch C'!F212</f>
        <v>44850.283617812936</v>
      </c>
      <c r="E201" s="171">
        <f t="shared" si="41"/>
        <v>44850.283617812936</v>
      </c>
      <c r="F201" s="171"/>
      <c r="G201" s="171">
        <f t="shared" si="42"/>
        <v>44850.283617812936</v>
      </c>
      <c r="H201" s="172">
        <f t="shared" si="43"/>
        <v>7.1418457702051011E-3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'[5]Sch C'!D213</f>
        <v>100</v>
      </c>
      <c r="D202" s="501">
        <f>'[5]Sch C'!F213</f>
        <v>0</v>
      </c>
      <c r="E202" s="171">
        <f t="shared" si="41"/>
        <v>100</v>
      </c>
      <c r="F202" s="171"/>
      <c r="G202" s="171">
        <f t="shared" si="42"/>
        <v>100</v>
      </c>
      <c r="H202" s="172">
        <f t="shared" si="43"/>
        <v>1.5923747174184231E-5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'[5]Sch C'!D214</f>
        <v>0</v>
      </c>
      <c r="D203" s="501">
        <f>'[5]Sch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'[5]Sch C'!D215</f>
        <v>0</v>
      </c>
      <c r="D204" s="501">
        <f>'[5]Sch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'[5]Sch C'!D216</f>
        <v>12189.43</v>
      </c>
      <c r="D205" s="501">
        <f>'[5]Sch C'!F216</f>
        <v>0</v>
      </c>
      <c r="E205" s="171">
        <f t="shared" si="41"/>
        <v>12189.43</v>
      </c>
      <c r="F205" s="171"/>
      <c r="G205" s="171">
        <f t="shared" si="42"/>
        <v>12189.43</v>
      </c>
      <c r="H205" s="172">
        <f t="shared" si="43"/>
        <v>1.9410140151741651E-3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272022.21000000002</v>
      </c>
      <c r="D206" s="501">
        <f>SUM(D200:D205)</f>
        <v>45500.690781582984</v>
      </c>
      <c r="E206" s="171">
        <f t="shared" ref="E206:F206" si="44">SUM(E200:E205)</f>
        <v>317522.90078158298</v>
      </c>
      <c r="F206" s="171">
        <f t="shared" si="44"/>
        <v>0</v>
      </c>
      <c r="G206" s="171">
        <f>SUM(G200:G205)</f>
        <v>317522.90078158298</v>
      </c>
      <c r="H206" s="172">
        <f t="shared" si="43"/>
        <v>5.0561543940595123E-2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6982928.5399999991</v>
      </c>
      <c r="D208" s="501">
        <f>SUM(D25:D206)/2</f>
        <v>-702999.64473838697</v>
      </c>
      <c r="E208" s="171">
        <f t="shared" ref="E208:F208" si="45">SUM(E25:E206)/2</f>
        <v>6279928.8952616118</v>
      </c>
      <c r="F208" s="171">
        <f t="shared" si="45"/>
        <v>1554.6849999999999</v>
      </c>
      <c r="G208" s="171">
        <f>SUM(G25:G206)/2</f>
        <v>6279928.8952616118</v>
      </c>
      <c r="H208" s="172">
        <f>IF($G$208=0,0,G208/$G$208)</f>
        <v>1</v>
      </c>
      <c r="I208" s="473"/>
      <c r="J208" s="183">
        <f>SUM(J25:J200)</f>
        <v>163240.48698671194</v>
      </c>
      <c r="K208" s="183">
        <f>SUM(K25:K200)</f>
        <v>174807.75213378484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 s="421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'[5]Sch C'!D221</f>
        <v>6982928.5399999963</v>
      </c>
      <c r="D211" s="196"/>
      <c r="E211" s="165"/>
      <c r="F211" s="409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09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827718.88000000082</v>
      </c>
      <c r="D215" s="501">
        <f>D21-D208</f>
        <v>684956.48473838693</v>
      </c>
      <c r="E215" s="171">
        <f t="shared" ref="E215:F215" si="46">E21-E208</f>
        <v>1512675.3647383889</v>
      </c>
      <c r="F215" s="171">
        <f t="shared" si="46"/>
        <v>716416.31499999994</v>
      </c>
      <c r="G215" s="171">
        <f>G21-G208</f>
        <v>2230646.364738388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'[5]Sch D'!C9</f>
        <v>15235</v>
      </c>
      <c r="D219" s="530"/>
      <c r="E219" s="234">
        <f t="shared" ref="E219:G227" si="47">C219+D219</f>
        <v>15235</v>
      </c>
      <c r="F219" s="233"/>
      <c r="G219" s="234">
        <f t="shared" si="47"/>
        <v>15235</v>
      </c>
      <c r="H219" s="172">
        <f t="shared" ref="H219:H228" si="48">IF($G$228=0,0,G219/$G$228)</f>
        <v>0.5966554398057492</v>
      </c>
      <c r="I219" s="473"/>
      <c r="J219" s="168"/>
      <c r="K219" s="168"/>
    </row>
    <row r="220" spans="1:11">
      <c r="A220" s="163"/>
      <c r="B220" s="170" t="s">
        <v>217</v>
      </c>
      <c r="C220" s="530">
        <f>'[5]Sch D'!D9</f>
        <v>365</v>
      </c>
      <c r="D220" s="530"/>
      <c r="E220" s="234">
        <f t="shared" ref="E220:E227" si="49">C220+D220</f>
        <v>365</v>
      </c>
      <c r="F220" s="233"/>
      <c r="G220" s="234">
        <f t="shared" si="47"/>
        <v>365</v>
      </c>
      <c r="H220" s="172">
        <f t="shared" si="48"/>
        <v>1.4294665935615259E-2</v>
      </c>
      <c r="I220" s="473"/>
      <c r="J220" s="168"/>
      <c r="K220" s="168"/>
    </row>
    <row r="221" spans="1:11">
      <c r="A221" s="163"/>
      <c r="B221" s="170" t="s">
        <v>72</v>
      </c>
      <c r="C221" s="530">
        <f>'[5]Sch D'!E9</f>
        <v>5626</v>
      </c>
      <c r="D221" s="530"/>
      <c r="E221" s="234">
        <f t="shared" si="49"/>
        <v>5626</v>
      </c>
      <c r="F221" s="233"/>
      <c r="G221" s="234">
        <f t="shared" si="47"/>
        <v>5626</v>
      </c>
      <c r="H221" s="172">
        <f t="shared" si="48"/>
        <v>0.22033367275005875</v>
      </c>
      <c r="I221" s="473"/>
      <c r="J221" s="168"/>
      <c r="K221" s="168"/>
    </row>
    <row r="222" spans="1:11">
      <c r="A222" s="163"/>
      <c r="B222" s="202" t="s">
        <v>334</v>
      </c>
      <c r="C222" s="530">
        <f>'[5]Sch D'!F9</f>
        <v>0</v>
      </c>
      <c r="D222" s="530"/>
      <c r="E222" s="234">
        <f>C222+D222</f>
        <v>0</v>
      </c>
      <c r="F222" s="233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'[5]Sch D'!G9</f>
        <v>392</v>
      </c>
      <c r="D223" s="530"/>
      <c r="E223" s="234">
        <f t="shared" si="49"/>
        <v>392</v>
      </c>
      <c r="F223" s="233"/>
      <c r="G223" s="234">
        <f t="shared" si="47"/>
        <v>392</v>
      </c>
      <c r="H223" s="172">
        <f t="shared" si="48"/>
        <v>1.535207958016762E-2</v>
      </c>
      <c r="I223" s="473"/>
      <c r="J223" s="168"/>
      <c r="K223" s="168"/>
    </row>
    <row r="224" spans="1:11">
      <c r="A224" s="163"/>
      <c r="B224" s="170" t="s">
        <v>74</v>
      </c>
      <c r="C224" s="530">
        <f>'[5]Sch D'!H9</f>
        <v>3916</v>
      </c>
      <c r="D224" s="530"/>
      <c r="E224" s="234">
        <f t="shared" si="49"/>
        <v>3916</v>
      </c>
      <c r="F224" s="233"/>
      <c r="G224" s="234">
        <f t="shared" si="47"/>
        <v>3916</v>
      </c>
      <c r="H224" s="172">
        <f t="shared" si="48"/>
        <v>0.15336414192840919</v>
      </c>
      <c r="I224" s="473"/>
      <c r="J224" s="168"/>
      <c r="K224" s="168"/>
    </row>
    <row r="225" spans="1:11">
      <c r="A225" s="163"/>
      <c r="B225" s="170" t="s">
        <v>236</v>
      </c>
      <c r="C225" s="530">
        <f>'[5]Sch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'[5]Sch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'[5]Sch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25534</v>
      </c>
      <c r="D228" s="530">
        <f>SUM(D219:D227)</f>
        <v>0</v>
      </c>
      <c r="E228" s="236">
        <f>SUM(E219:E227)</f>
        <v>25534</v>
      </c>
      <c r="F228" s="236">
        <f>SUM(F219:F227)</f>
        <v>0</v>
      </c>
      <c r="G228" s="236">
        <f>SUM(G219:G227)</f>
        <v>25534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'[5]Sch D'!N22</f>
        <v>120</v>
      </c>
      <c r="D231" s="502"/>
      <c r="E231" s="234">
        <f>C231+D231</f>
        <v>120</v>
      </c>
      <c r="F231" s="234"/>
      <c r="G231" s="234">
        <f>E231+F231</f>
        <v>120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'[5]Sch D'!N24</f>
        <v>120</v>
      </c>
      <c r="D232" s="502"/>
      <c r="E232" s="234">
        <f>C232+D232</f>
        <v>120</v>
      </c>
      <c r="F232" s="234"/>
      <c r="G232" s="234">
        <f>E232+F232</f>
        <v>120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'[5]Sch D'!N28</f>
        <v>43800</v>
      </c>
      <c r="D235" s="438"/>
      <c r="E235" s="233">
        <f>E231*E233</f>
        <v>43800</v>
      </c>
      <c r="F235" s="238"/>
      <c r="G235" s="233">
        <f>G231*G233</f>
        <v>43800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'[5]Sch D'!N30</f>
        <v>0.58296803652968032</v>
      </c>
      <c r="D236" s="238"/>
      <c r="E236" s="242">
        <f>E228/E235</f>
        <v>0.58296803652968032</v>
      </c>
      <c r="F236" s="243"/>
      <c r="G236" s="242">
        <f>G228/G235</f>
        <v>0.58296803652968032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'[5]Sch D'!N32</f>
        <v>0.35616438356164382</v>
      </c>
      <c r="D237" s="238"/>
      <c r="E237" s="242">
        <f>(E219+E220)/E235</f>
        <v>0.35616438356164382</v>
      </c>
      <c r="F237" s="243"/>
      <c r="G237" s="242">
        <f>(G219+G220)/G235</f>
        <v>0.35616438356164382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'[5]Sch D'!N34</f>
        <v>0.61095010574136444</v>
      </c>
      <c r="D238" s="238"/>
      <c r="E238" s="242">
        <f>(E237/E236)</f>
        <v>0.61095010574136444</v>
      </c>
      <c r="F238" s="243"/>
      <c r="G238" s="242">
        <f>(G237/G236)</f>
        <v>0.61095010574136444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'[5]Sch B'!C85</f>
        <v>333.01462765957444</v>
      </c>
      <c r="I241" s="475"/>
    </row>
    <row r="242" spans="2:9">
      <c r="F242" s="142" t="s">
        <v>341</v>
      </c>
      <c r="G242" s="501">
        <f>'[5]Sch B'!E85</f>
        <v>361.70943952802361</v>
      </c>
      <c r="I242" s="475"/>
    </row>
    <row r="243" spans="2:9">
      <c r="F243" s="142" t="s">
        <v>342</v>
      </c>
      <c r="G243" s="501">
        <f>'[5]Sch B'!G85</f>
        <v>310.15208747514913</v>
      </c>
      <c r="I243" s="475"/>
    </row>
    <row r="244" spans="2:9">
      <c r="F244" s="142" t="s">
        <v>343</v>
      </c>
      <c r="G244" s="501">
        <f>'[5]Sch B'!I85</f>
        <v>253.99127182044887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headerFooter alignWithMargins="0"/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2"/>
  <headerFooter alignWithMargins="0">
    <oddFooter>&amp;R&amp;D
&amp;T
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2">
    <tabColor rgb="FFE28CAB"/>
  </sheetPr>
  <dimension ref="A1:O246"/>
  <sheetViews>
    <sheetView showGridLines="0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391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33"/>
      <c r="G1" s="429"/>
      <c r="H1" s="427"/>
      <c r="I1" s="430"/>
    </row>
    <row r="2" spans="1:11" ht="23">
      <c r="B2" s="143" t="s">
        <v>189</v>
      </c>
      <c r="C2" s="244" t="s">
        <v>453</v>
      </c>
      <c r="D2" s="244"/>
      <c r="E2" s="144"/>
      <c r="F2" s="411"/>
      <c r="G2"/>
      <c r="H2"/>
    </row>
    <row r="3" spans="1:11" ht="15" customHeight="1">
      <c r="A3" s="145"/>
      <c r="B3" s="140" t="s">
        <v>79</v>
      </c>
      <c r="C3" s="441">
        <v>42552</v>
      </c>
      <c r="D3" s="144"/>
      <c r="E3" s="147"/>
      <c r="F3" s="527"/>
      <c r="G3"/>
      <c r="H3"/>
    </row>
    <row r="4" spans="1:11" ht="15.5">
      <c r="A4" s="145"/>
      <c r="B4" s="148" t="s">
        <v>80</v>
      </c>
      <c r="C4" s="441">
        <v>42916</v>
      </c>
      <c r="D4" s="144"/>
      <c r="E4" s="149"/>
      <c r="F4"/>
      <c r="G4"/>
      <c r="H4"/>
    </row>
    <row r="5" spans="1:11" ht="15.5">
      <c r="A5" s="145"/>
      <c r="B5" s="148"/>
      <c r="C5" s="151"/>
      <c r="D5" s="144"/>
      <c r="F5"/>
      <c r="G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380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381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382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'[49]Sch B'!E10</f>
        <v>1153319.22</v>
      </c>
      <c r="D11" s="501">
        <f>'[49]Sch B'!G10</f>
        <v>0</v>
      </c>
      <c r="E11" s="171">
        <f>C11+D11</f>
        <v>1153319.22</v>
      </c>
      <c r="F11" s="379">
        <v>140890</v>
      </c>
      <c r="G11" s="171">
        <f t="shared" ref="G11:G20" si="0">E11+F11</f>
        <v>1294209.22</v>
      </c>
      <c r="H11" s="172">
        <f t="shared" ref="H11:H21" si="1">IF($G$21=0,0,G11/$G$21)</f>
        <v>0.361891434618137</v>
      </c>
      <c r="I11" s="473"/>
      <c r="J11" s="336" t="s">
        <v>344</v>
      </c>
      <c r="K11" s="337">
        <f>G21</f>
        <v>3576236.12</v>
      </c>
    </row>
    <row r="12" spans="1:11" s="167" customFormat="1">
      <c r="A12" s="169" t="s">
        <v>15</v>
      </c>
      <c r="B12" s="170" t="s">
        <v>212</v>
      </c>
      <c r="C12" s="501">
        <f>'[49]Sch B'!E15</f>
        <v>0</v>
      </c>
      <c r="D12" s="501">
        <f>'[49]Sch B'!G15</f>
        <v>0</v>
      </c>
      <c r="E12" s="171">
        <f t="shared" ref="E12:E20" si="2">C12+D12</f>
        <v>0</v>
      </c>
      <c r="F12" s="379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3088095.4592326316</v>
      </c>
    </row>
    <row r="13" spans="1:11" s="167" customFormat="1">
      <c r="A13" s="169" t="s">
        <v>16</v>
      </c>
      <c r="B13" s="170" t="s">
        <v>170</v>
      </c>
      <c r="C13" s="501">
        <f>'[49]Sch B'!E21</f>
        <v>1803354.81</v>
      </c>
      <c r="D13" s="501">
        <f>'[49]Sch B'!G21</f>
        <v>0</v>
      </c>
      <c r="E13" s="171">
        <f t="shared" si="2"/>
        <v>1803354.81</v>
      </c>
      <c r="F13" s="379"/>
      <c r="G13" s="171">
        <f t="shared" si="0"/>
        <v>1803354.81</v>
      </c>
      <c r="H13" s="172">
        <f t="shared" si="1"/>
        <v>0.50426055480922771</v>
      </c>
      <c r="I13" s="473"/>
      <c r="J13" s="338" t="s">
        <v>346</v>
      </c>
      <c r="K13" s="339">
        <f>G228</f>
        <v>11075</v>
      </c>
    </row>
    <row r="14" spans="1:11" s="167" customFormat="1">
      <c r="A14" s="173" t="s">
        <v>18</v>
      </c>
      <c r="B14" s="174" t="s">
        <v>306</v>
      </c>
      <c r="C14" s="501">
        <f>'[49]Sch B'!E27</f>
        <v>176291.08</v>
      </c>
      <c r="D14" s="501">
        <f>'[49]Sch B'!G27</f>
        <v>0</v>
      </c>
      <c r="E14" s="171">
        <f t="shared" si="2"/>
        <v>176291.08</v>
      </c>
      <c r="F14" s="379"/>
      <c r="G14" s="175">
        <f>E14+F14</f>
        <v>176291.08</v>
      </c>
      <c r="H14" s="176">
        <f t="shared" si="1"/>
        <v>4.9295145534182454E-2</v>
      </c>
      <c r="I14" s="479"/>
      <c r="J14" s="338" t="s">
        <v>347</v>
      </c>
      <c r="K14" s="339">
        <f>G231</f>
        <v>58</v>
      </c>
    </row>
    <row r="15" spans="1:11" s="167" customFormat="1">
      <c r="A15" s="169" t="s">
        <v>19</v>
      </c>
      <c r="B15" s="170" t="s">
        <v>171</v>
      </c>
      <c r="C15" s="501">
        <f>'[49]Sch B'!E32</f>
        <v>0</v>
      </c>
      <c r="D15" s="501">
        <f>'[49]Sch B'!G32</f>
        <v>0</v>
      </c>
      <c r="E15" s="171">
        <f t="shared" si="2"/>
        <v>0</v>
      </c>
      <c r="F15" s="379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21170</v>
      </c>
    </row>
    <row r="16" spans="1:11" s="167" customFormat="1">
      <c r="A16" s="169" t="s">
        <v>21</v>
      </c>
      <c r="B16" s="170" t="s">
        <v>172</v>
      </c>
      <c r="C16" s="501">
        <f>'[49]Sch B'!E37</f>
        <v>219458.57</v>
      </c>
      <c r="D16" s="501">
        <f>'[49]Sch B'!G37</f>
        <v>0</v>
      </c>
      <c r="E16" s="171">
        <f t="shared" si="2"/>
        <v>219458.57</v>
      </c>
      <c r="F16" s="379"/>
      <c r="G16" s="171">
        <f t="shared" si="0"/>
        <v>219458.57</v>
      </c>
      <c r="H16" s="172">
        <f t="shared" si="1"/>
        <v>6.1365794269758675E-2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'[49]Sch B'!E42</f>
        <v>41362.089999999997</v>
      </c>
      <c r="D17" s="501">
        <f>'[49]Sch B'!G42</f>
        <v>0</v>
      </c>
      <c r="E17" s="171">
        <f t="shared" si="2"/>
        <v>41362.089999999997</v>
      </c>
      <c r="F17" s="379"/>
      <c r="G17" s="171">
        <f>E17+F17</f>
        <v>41362.089999999997</v>
      </c>
      <c r="H17" s="172">
        <f t="shared" si="1"/>
        <v>1.1565816297386984E-2</v>
      </c>
      <c r="I17" s="473"/>
      <c r="J17" s="338" t="s">
        <v>156</v>
      </c>
      <c r="K17" s="339">
        <f>J208</f>
        <v>81999.41</v>
      </c>
    </row>
    <row r="18" spans="1:11" s="167" customFormat="1" ht="13.5" thickBot="1">
      <c r="A18" s="169" t="s">
        <v>216</v>
      </c>
      <c r="B18" s="170" t="s">
        <v>229</v>
      </c>
      <c r="C18" s="501">
        <f>'[49]Sch B'!E47</f>
        <v>675</v>
      </c>
      <c r="D18" s="501">
        <f>'[49]Sch B'!G47</f>
        <v>0</v>
      </c>
      <c r="E18" s="171">
        <f t="shared" si="2"/>
        <v>675</v>
      </c>
      <c r="F18" s="379"/>
      <c r="G18" s="171">
        <f>E18+F18</f>
        <v>675</v>
      </c>
      <c r="H18" s="172">
        <f t="shared" si="1"/>
        <v>1.887459265413381E-4</v>
      </c>
      <c r="I18" s="473"/>
      <c r="J18" s="341" t="s">
        <v>252</v>
      </c>
      <c r="K18" s="342">
        <f>K208</f>
        <v>85751.329999999987</v>
      </c>
    </row>
    <row r="19" spans="1:11" s="167" customFormat="1">
      <c r="A19" s="169" t="s">
        <v>227</v>
      </c>
      <c r="B19" s="177" t="s">
        <v>173</v>
      </c>
      <c r="C19" s="501">
        <f>'[49]Sch B'!E52</f>
        <v>0</v>
      </c>
      <c r="D19" s="501">
        <f>'[49]Sch B'!G52</f>
        <v>0</v>
      </c>
      <c r="E19" s="171">
        <f t="shared" si="2"/>
        <v>0</v>
      </c>
      <c r="F19" s="379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'[49]Sch B'!E67</f>
        <v>41844.9</v>
      </c>
      <c r="D20" s="501">
        <f>'[49]Sch B'!G67</f>
        <v>-959.55</v>
      </c>
      <c r="E20" s="171">
        <f t="shared" si="2"/>
        <v>40885.35</v>
      </c>
      <c r="F20" s="379"/>
      <c r="G20" s="171">
        <f t="shared" si="0"/>
        <v>40885.35</v>
      </c>
      <c r="H20" s="172">
        <f t="shared" si="1"/>
        <v>1.1432508544765773E-2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3436305.67</v>
      </c>
      <c r="D21" s="501">
        <f>SUM(D11:D20)</f>
        <v>-959.55</v>
      </c>
      <c r="E21" s="171">
        <f>SUM(E11:E20)</f>
        <v>3435346.12</v>
      </c>
      <c r="F21" s="379">
        <f>SUM(F11:F20)</f>
        <v>140890</v>
      </c>
      <c r="G21" s="171">
        <f>SUM(G11:G20)</f>
        <v>3576236.12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395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'[49]Sch C'!D10</f>
        <v>125080.21</v>
      </c>
      <c r="D25" s="501">
        <f>'[49]Sch C'!F10</f>
        <v>0</v>
      </c>
      <c r="E25" s="171">
        <f t="shared" ref="E25:E60" si="3">C25+D25</f>
        <v>125080.21</v>
      </c>
      <c r="F25" s="379"/>
      <c r="G25" s="182">
        <f>E25+F25</f>
        <v>125080.21</v>
      </c>
      <c r="H25" s="172">
        <f>IF($G$208=0,0,G25/$G$208)</f>
        <v>4.0503997253725277E-2</v>
      </c>
      <c r="I25" s="473"/>
      <c r="J25" s="183">
        <v>1919.04</v>
      </c>
      <c r="K25" s="183">
        <v>1919.04</v>
      </c>
    </row>
    <row r="26" spans="1:11" s="167" customFormat="1">
      <c r="A26" s="169" t="s">
        <v>84</v>
      </c>
      <c r="B26" s="170" t="s">
        <v>176</v>
      </c>
      <c r="C26" s="501">
        <f>'[49]Sch C'!D11</f>
        <v>0</v>
      </c>
      <c r="D26" s="501">
        <f>'[49]Sch C'!F11</f>
        <v>0</v>
      </c>
      <c r="E26" s="171">
        <f t="shared" si="3"/>
        <v>0</v>
      </c>
      <c r="F26" s="379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'[49]Sch C'!D12</f>
        <v>56947.460000000006</v>
      </c>
      <c r="D27" s="501">
        <f>'[49]Sch C'!F12</f>
        <v>0</v>
      </c>
      <c r="E27" s="171">
        <f t="shared" si="3"/>
        <v>56947.460000000006</v>
      </c>
      <c r="F27" s="379"/>
      <c r="G27" s="171">
        <f t="shared" si="4"/>
        <v>56947.460000000006</v>
      </c>
      <c r="H27" s="172">
        <f t="shared" si="5"/>
        <v>1.84409649092101E-2</v>
      </c>
      <c r="I27" s="473"/>
      <c r="J27" s="183">
        <v>3876.91</v>
      </c>
      <c r="K27" s="183">
        <v>4156.91</v>
      </c>
    </row>
    <row r="28" spans="1:11" s="167" customFormat="1">
      <c r="A28" s="169" t="s">
        <v>86</v>
      </c>
      <c r="B28" s="170" t="s">
        <v>45</v>
      </c>
      <c r="C28" s="501">
        <f>'[49]Sch C'!D13</f>
        <v>52458.999999999993</v>
      </c>
      <c r="D28" s="501">
        <f>'[49]Sch C'!F13</f>
        <v>0</v>
      </c>
      <c r="E28" s="171">
        <f t="shared" si="3"/>
        <v>52458.999999999993</v>
      </c>
      <c r="F28" s="379"/>
      <c r="G28" s="171">
        <f t="shared" si="4"/>
        <v>52458.999999999993</v>
      </c>
      <c r="H28" s="172">
        <f t="shared" si="5"/>
        <v>1.6987493000956536E-2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'[49]Sch C'!D14</f>
        <v>0</v>
      </c>
      <c r="D29" s="501">
        <f>'[49]Sch C'!F14</f>
        <v>0</v>
      </c>
      <c r="E29" s="171">
        <f t="shared" si="3"/>
        <v>0</v>
      </c>
      <c r="F29" s="379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'[49]Sch C'!D15</f>
        <v>274276.76999999996</v>
      </c>
      <c r="D30" s="501">
        <f>'[49]Sch C'!F15</f>
        <v>-274276.77</v>
      </c>
      <c r="E30" s="171">
        <f t="shared" si="3"/>
        <v>0</v>
      </c>
      <c r="F30" s="379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'[49]Sch C'!D16</f>
        <v>0</v>
      </c>
      <c r="D31" s="501">
        <f>'[49]Sch C'!F16</f>
        <v>132666</v>
      </c>
      <c r="E31" s="171">
        <f t="shared" si="3"/>
        <v>132666</v>
      </c>
      <c r="F31" s="379"/>
      <c r="G31" s="171">
        <f t="shared" si="4"/>
        <v>132666</v>
      </c>
      <c r="H31" s="172">
        <f t="shared" si="5"/>
        <v>4.2960459529630762E-2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'[49]Sch C'!D17</f>
        <v>88.49</v>
      </c>
      <c r="D32" s="501">
        <f>'[49]Sch C'!F17</f>
        <v>0</v>
      </c>
      <c r="E32" s="171">
        <f t="shared" si="3"/>
        <v>88.49</v>
      </c>
      <c r="F32" s="379"/>
      <c r="G32" s="171">
        <f t="shared" si="4"/>
        <v>88.49</v>
      </c>
      <c r="H32" s="172">
        <f t="shared" si="5"/>
        <v>2.8655202265667363E-5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'[49]Sch C'!D18</f>
        <v>17794.22</v>
      </c>
      <c r="D33" s="501">
        <f>'[49]Sch C'!F18</f>
        <v>0</v>
      </c>
      <c r="E33" s="171">
        <f t="shared" si="3"/>
        <v>17794.22</v>
      </c>
      <c r="F33" s="379"/>
      <c r="G33" s="171">
        <f t="shared" si="4"/>
        <v>17794.22</v>
      </c>
      <c r="H33" s="172">
        <f t="shared" si="5"/>
        <v>5.7621988163609845E-3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'[49]Sch C'!D19</f>
        <v>15006.840000000002</v>
      </c>
      <c r="D34" s="501">
        <f>'[49]Sch C'!F19</f>
        <v>662</v>
      </c>
      <c r="E34" s="171">
        <f t="shared" si="3"/>
        <v>15668.840000000002</v>
      </c>
      <c r="F34" s="379"/>
      <c r="G34" s="171">
        <f t="shared" si="4"/>
        <v>15668.840000000002</v>
      </c>
      <c r="H34" s="172">
        <f t="shared" si="5"/>
        <v>5.0739493668027968E-3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'[49]Sch C'!D20</f>
        <v>12648.15</v>
      </c>
      <c r="D35" s="501">
        <f>'[49]Sch C'!F20</f>
        <v>0</v>
      </c>
      <c r="E35" s="171">
        <f t="shared" si="3"/>
        <v>12648.15</v>
      </c>
      <c r="F35" s="379"/>
      <c r="G35" s="171">
        <f t="shared" si="4"/>
        <v>12648.15</v>
      </c>
      <c r="H35" s="172">
        <f t="shared" si="5"/>
        <v>4.0957768848062003E-3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'[49]Sch C'!D21</f>
        <v>18898.059999999998</v>
      </c>
      <c r="D36" s="501">
        <f>'[49]Sch C'!F21</f>
        <v>8102</v>
      </c>
      <c r="E36" s="171">
        <f t="shared" si="3"/>
        <v>27000.059999999998</v>
      </c>
      <c r="F36" s="379"/>
      <c r="G36" s="171">
        <f t="shared" si="4"/>
        <v>27000.059999999998</v>
      </c>
      <c r="H36" s="172">
        <f t="shared" si="5"/>
        <v>8.7432724656475828E-3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'[49]Sch C'!D22</f>
        <v>0</v>
      </c>
      <c r="D37" s="501">
        <f>'[49]Sch C'!F22</f>
        <v>0</v>
      </c>
      <c r="E37" s="171">
        <f t="shared" si="3"/>
        <v>0</v>
      </c>
      <c r="F37" s="379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'[49]Sch C'!D23</f>
        <v>15933.279999999999</v>
      </c>
      <c r="D38" s="501">
        <f>'[49]Sch C'!F23</f>
        <v>10444</v>
      </c>
      <c r="E38" s="171">
        <f t="shared" si="3"/>
        <v>26377.279999999999</v>
      </c>
      <c r="F38" s="379"/>
      <c r="G38" s="171">
        <f t="shared" si="4"/>
        <v>26377.279999999999</v>
      </c>
      <c r="H38" s="172">
        <f t="shared" si="5"/>
        <v>8.5416012387630504E-3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'[49]Sch C'!D24</f>
        <v>32063.379999999997</v>
      </c>
      <c r="D39" s="501">
        <f>'[49]Sch C'!F24</f>
        <v>0</v>
      </c>
      <c r="E39" s="171">
        <f t="shared" si="3"/>
        <v>32063.379999999997</v>
      </c>
      <c r="F39" s="379"/>
      <c r="G39" s="171">
        <f t="shared" si="4"/>
        <v>32063.379999999997</v>
      </c>
      <c r="H39" s="172">
        <f t="shared" si="5"/>
        <v>1.0382897945767359E-2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'[49]Sch C'!D25</f>
        <v>0</v>
      </c>
      <c r="D40" s="501">
        <f>'[49]Sch C'!F25</f>
        <v>0</v>
      </c>
      <c r="E40" s="171">
        <f t="shared" si="3"/>
        <v>0</v>
      </c>
      <c r="F40" s="379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'[49]Sch C'!D26</f>
        <v>128237.81999999999</v>
      </c>
      <c r="D41" s="501">
        <f>'[49]Sch C'!F26</f>
        <v>0</v>
      </c>
      <c r="E41" s="171">
        <f t="shared" si="3"/>
        <v>128237.81999999999</v>
      </c>
      <c r="F41" s="379"/>
      <c r="G41" s="171">
        <f t="shared" si="4"/>
        <v>128237.81999999999</v>
      </c>
      <c r="H41" s="172">
        <f t="shared" si="5"/>
        <v>4.1526507743340976E-2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'[49]Sch C'!D27</f>
        <v>0</v>
      </c>
      <c r="D42" s="501">
        <f>'[49]Sch C'!F27</f>
        <v>6193.7</v>
      </c>
      <c r="E42" s="171">
        <f t="shared" si="3"/>
        <v>6193.7</v>
      </c>
      <c r="F42" s="379"/>
      <c r="G42" s="171">
        <f t="shared" si="4"/>
        <v>6193.7</v>
      </c>
      <c r="H42" s="172">
        <f t="shared" si="5"/>
        <v>2.0056698640847997E-3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'[49]Sch C'!D28</f>
        <v>0</v>
      </c>
      <c r="D43" s="501">
        <f>'[49]Sch C'!F28</f>
        <v>0</v>
      </c>
      <c r="E43" s="171">
        <f t="shared" si="3"/>
        <v>0</v>
      </c>
      <c r="F43" s="379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'[49]Sch C'!D29</f>
        <v>55512.079999999994</v>
      </c>
      <c r="D44" s="501">
        <f>'[49]Sch C'!F29</f>
        <v>-55512.079999999994</v>
      </c>
      <c r="E44" s="171">
        <f t="shared" si="3"/>
        <v>0</v>
      </c>
      <c r="F44" s="379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'[49]Sch C'!D30</f>
        <v>100</v>
      </c>
      <c r="D45" s="501">
        <f>'[49]Sch C'!F30</f>
        <v>-100</v>
      </c>
      <c r="E45" s="171">
        <f t="shared" si="3"/>
        <v>0</v>
      </c>
      <c r="F45" s="379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'[49]Sch C'!D31</f>
        <v>0</v>
      </c>
      <c r="D46" s="501">
        <f>'[49]Sch C'!F31</f>
        <v>0</v>
      </c>
      <c r="E46" s="171">
        <f t="shared" si="3"/>
        <v>0</v>
      </c>
      <c r="F46" s="379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'[49]Sch C'!D32</f>
        <v>49455.100000000006</v>
      </c>
      <c r="D47" s="501">
        <f>'[49]Sch C'!F32</f>
        <v>2606</v>
      </c>
      <c r="E47" s="171">
        <f t="shared" si="3"/>
        <v>52061.100000000006</v>
      </c>
      <c r="F47" s="379"/>
      <c r="G47" s="171">
        <f t="shared" si="4"/>
        <v>52061.100000000006</v>
      </c>
      <c r="H47" s="172">
        <f t="shared" si="5"/>
        <v>1.685864335713793E-2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'[49]Sch C'!D33</f>
        <v>0</v>
      </c>
      <c r="D48" s="501">
        <f>'[49]Sch C'!F33</f>
        <v>0</v>
      </c>
      <c r="E48" s="171">
        <f t="shared" si="3"/>
        <v>0</v>
      </c>
      <c r="F48" s="379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'[49]Sch C'!D34</f>
        <v>0</v>
      </c>
      <c r="D49" s="501">
        <f>'[49]Sch C'!F34</f>
        <v>0</v>
      </c>
      <c r="E49" s="171">
        <f t="shared" si="3"/>
        <v>0</v>
      </c>
      <c r="F49" s="379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'[49]Sch C'!D35</f>
        <v>0</v>
      </c>
      <c r="D50" s="501">
        <f>'[49]Sch C'!F35</f>
        <v>0</v>
      </c>
      <c r="E50" s="171">
        <f t="shared" si="3"/>
        <v>0</v>
      </c>
      <c r="F50" s="379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'[49]Sch C'!D36</f>
        <v>0</v>
      </c>
      <c r="D51" s="501">
        <f>'[49]Sch C'!F36</f>
        <v>0</v>
      </c>
      <c r="E51" s="171">
        <f t="shared" si="3"/>
        <v>0</v>
      </c>
      <c r="F51" s="379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'[49]Sch C'!D37</f>
        <v>0</v>
      </c>
      <c r="D52" s="501">
        <f>'[49]Sch C'!F37</f>
        <v>0</v>
      </c>
      <c r="E52" s="171">
        <f t="shared" si="3"/>
        <v>0</v>
      </c>
      <c r="F52" s="379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'[49]Sch C'!D38</f>
        <v>0</v>
      </c>
      <c r="D53" s="501">
        <f>'[49]Sch C'!F38</f>
        <v>0</v>
      </c>
      <c r="E53" s="171">
        <f t="shared" si="3"/>
        <v>0</v>
      </c>
      <c r="F53" s="379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'[49]Sch C'!D39</f>
        <v>19076.97</v>
      </c>
      <c r="D54" s="501">
        <f>'[49]Sch C'!F39</f>
        <v>2414</v>
      </c>
      <c r="E54" s="171">
        <f t="shared" si="3"/>
        <v>21490.97</v>
      </c>
      <c r="F54" s="379"/>
      <c r="G54" s="171">
        <f t="shared" si="4"/>
        <v>21490.97</v>
      </c>
      <c r="H54" s="172">
        <f t="shared" si="5"/>
        <v>6.9592958779002073E-3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'[49]Sch C'!D40</f>
        <v>20178.879999999997</v>
      </c>
      <c r="D55" s="501">
        <f>'[49]Sch C'!F40</f>
        <v>-20178.88</v>
      </c>
      <c r="E55" s="171">
        <f t="shared" si="3"/>
        <v>0</v>
      </c>
      <c r="F55" s="379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'[49]Sch C'!D41</f>
        <v>23055.38</v>
      </c>
      <c r="D56" s="501">
        <f>'[49]Sch C'!F41</f>
        <v>15801</v>
      </c>
      <c r="E56" s="171">
        <f t="shared" si="3"/>
        <v>38856.380000000005</v>
      </c>
      <c r="F56" s="379"/>
      <c r="G56" s="171">
        <f t="shared" si="4"/>
        <v>38856.380000000005</v>
      </c>
      <c r="H56" s="172">
        <f t="shared" si="5"/>
        <v>1.2582635644837067E-2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'[49]Sch C'!D42</f>
        <v>0</v>
      </c>
      <c r="D57" s="501">
        <f>'[49]Sch C'!F42</f>
        <v>1315</v>
      </c>
      <c r="E57" s="171">
        <f t="shared" si="3"/>
        <v>1315</v>
      </c>
      <c r="F57" s="379"/>
      <c r="G57" s="171">
        <f t="shared" si="4"/>
        <v>1315</v>
      </c>
      <c r="H57" s="172">
        <f t="shared" si="5"/>
        <v>4.2582880528141691E-4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'[49]Sch C'!D43</f>
        <v>0</v>
      </c>
      <c r="D58" s="501">
        <f>'[49]Sch C'!F43</f>
        <v>0</v>
      </c>
      <c r="E58" s="171">
        <f t="shared" si="3"/>
        <v>0</v>
      </c>
      <c r="F58" s="379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'[49]Sch C'!D44</f>
        <v>6</v>
      </c>
      <c r="D59" s="501">
        <f>'[49]Sch C'!F44</f>
        <v>0</v>
      </c>
      <c r="E59" s="171">
        <f t="shared" si="3"/>
        <v>6</v>
      </c>
      <c r="F59" s="379"/>
      <c r="G59" s="171">
        <f t="shared" si="4"/>
        <v>6</v>
      </c>
      <c r="H59" s="172">
        <f t="shared" si="5"/>
        <v>1.9429451191547541E-6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'[49]Sch C'!D45</f>
        <v>1429.15</v>
      </c>
      <c r="D60" s="501">
        <f>'[49]Sch C'!F45</f>
        <v>310</v>
      </c>
      <c r="E60" s="171">
        <f t="shared" si="3"/>
        <v>1739.15</v>
      </c>
      <c r="F60" s="379"/>
      <c r="G60" s="171">
        <f t="shared" si="4"/>
        <v>1739.15</v>
      </c>
      <c r="H60" s="172">
        <f t="shared" si="5"/>
        <v>5.6317883399633175E-4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918247.23999999987</v>
      </c>
      <c r="D61" s="501">
        <f>SUM(D25:D60)</f>
        <v>-169554.03000000003</v>
      </c>
      <c r="E61" s="171">
        <f t="shared" ref="E61:F61" si="6">SUM(E25:E60)</f>
        <v>748693.21</v>
      </c>
      <c r="F61" s="171">
        <f t="shared" si="6"/>
        <v>0</v>
      </c>
      <c r="G61" s="171">
        <f>SUM(G25:G60)</f>
        <v>748693.21</v>
      </c>
      <c r="H61" s="186">
        <f t="shared" si="5"/>
        <v>0.2424449696856342</v>
      </c>
      <c r="I61" s="480"/>
      <c r="J61" s="168"/>
      <c r="K61" s="168"/>
    </row>
    <row r="62" spans="1:11" s="167" customFormat="1" ht="14">
      <c r="A62" s="163"/>
      <c r="C62" s="165"/>
      <c r="D62" s="165"/>
      <c r="E62" s="165"/>
      <c r="F62" s="527"/>
      <c r="G62" s="165"/>
      <c r="H62" s="187"/>
      <c r="I62" s="481"/>
      <c r="J62" s="168"/>
      <c r="K62" s="168"/>
    </row>
    <row r="63" spans="1:11" s="167" customFormat="1" ht="14">
      <c r="A63" s="169" t="s">
        <v>162</v>
      </c>
      <c r="B63" s="170" t="s">
        <v>178</v>
      </c>
      <c r="C63" s="165"/>
      <c r="D63" s="165"/>
      <c r="E63" s="165"/>
      <c r="F63" s="528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'[49]Sch C'!D57</f>
        <v>381060</v>
      </c>
      <c r="D64" s="501">
        <f>'[49]Sch C'!F57</f>
        <v>-381060</v>
      </c>
      <c r="E64" s="171">
        <f t="shared" ref="E64:E78" si="7">C64+D64</f>
        <v>0</v>
      </c>
      <c r="F64" s="379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'[49]Sch C'!D58</f>
        <v>1290.8399999999997</v>
      </c>
      <c r="D65" s="501">
        <f>'[49]Sch C'!F58</f>
        <v>28150</v>
      </c>
      <c r="E65" s="171">
        <f t="shared" si="7"/>
        <v>29440.84</v>
      </c>
      <c r="F65" s="379"/>
      <c r="G65" s="171">
        <f t="shared" si="8"/>
        <v>29440.84</v>
      </c>
      <c r="H65" s="172">
        <f t="shared" si="9"/>
        <v>9.5336560636360076E-3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'[49]Sch C'!D59</f>
        <v>0</v>
      </c>
      <c r="D66" s="501">
        <f>'[49]Sch C'!F59</f>
        <v>82411.740000000005</v>
      </c>
      <c r="E66" s="171">
        <f t="shared" si="7"/>
        <v>82411.740000000005</v>
      </c>
      <c r="F66" s="379"/>
      <c r="G66" s="171">
        <f t="shared" si="8"/>
        <v>82411.740000000005</v>
      </c>
      <c r="H66" s="172">
        <f t="shared" si="9"/>
        <v>2.6686914665675101E-2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'[49]Sch C'!D60</f>
        <v>17081.739999999998</v>
      </c>
      <c r="D67" s="501">
        <f>'[49]Sch C'!F60</f>
        <v>-3068.4</v>
      </c>
      <c r="E67" s="171">
        <f t="shared" si="7"/>
        <v>14013.339999999998</v>
      </c>
      <c r="F67" s="379"/>
      <c r="G67" s="171">
        <f t="shared" si="8"/>
        <v>14013.339999999998</v>
      </c>
      <c r="H67" s="172">
        <f t="shared" si="9"/>
        <v>4.5378584260093464E-3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'[49]Sch C'!D61</f>
        <v>8642.8499999999985</v>
      </c>
      <c r="D68" s="501">
        <f>'[49]Sch C'!F61</f>
        <v>895</v>
      </c>
      <c r="E68" s="171">
        <f t="shared" si="7"/>
        <v>9537.8499999999985</v>
      </c>
      <c r="F68" s="379"/>
      <c r="G68" s="171">
        <f t="shared" si="8"/>
        <v>9537.8499999999985</v>
      </c>
      <c r="H68" s="172">
        <f t="shared" si="9"/>
        <v>3.088586517455028E-3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'[49]Sch C'!D62</f>
        <v>4932.78</v>
      </c>
      <c r="D69" s="501">
        <f>'[49]Sch C'!F62</f>
        <v>0</v>
      </c>
      <c r="E69" s="171">
        <f t="shared" si="7"/>
        <v>4932.78</v>
      </c>
      <c r="F69" s="379"/>
      <c r="G69" s="171">
        <f t="shared" si="8"/>
        <v>4932.78</v>
      </c>
      <c r="H69" s="172">
        <f t="shared" si="9"/>
        <v>1.5973534708106979E-3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'[49]Sch C'!D63</f>
        <v>0</v>
      </c>
      <c r="D70" s="501">
        <f>'[49]Sch C'!F63</f>
        <v>0</v>
      </c>
      <c r="E70" s="171">
        <f t="shared" si="7"/>
        <v>0</v>
      </c>
      <c r="F70" s="379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'[49]Sch C'!D64</f>
        <v>0</v>
      </c>
      <c r="D71" s="501">
        <f>'[49]Sch C'!F64</f>
        <v>0</v>
      </c>
      <c r="E71" s="171">
        <f t="shared" si="7"/>
        <v>0</v>
      </c>
      <c r="F71" s="379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'[49]Sch C'!D65</f>
        <v>0</v>
      </c>
      <c r="D72" s="501">
        <f>'[49]Sch C'!F65</f>
        <v>0</v>
      </c>
      <c r="E72" s="171">
        <f t="shared" si="7"/>
        <v>0</v>
      </c>
      <c r="F72" s="379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'[49]Sch C'!D66</f>
        <v>0</v>
      </c>
      <c r="D73" s="501">
        <f>'[49]Sch C'!F66</f>
        <v>0</v>
      </c>
      <c r="E73" s="171">
        <f t="shared" si="7"/>
        <v>0</v>
      </c>
      <c r="F73" s="379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'[49]Sch C'!D67</f>
        <v>2375.04</v>
      </c>
      <c r="D74" s="501">
        <f>'[49]Sch C'!F67</f>
        <v>15244.14</v>
      </c>
      <c r="E74" s="171">
        <f t="shared" si="7"/>
        <v>17619.18</v>
      </c>
      <c r="F74" s="379"/>
      <c r="G74" s="171">
        <f t="shared" si="8"/>
        <v>17619.18</v>
      </c>
      <c r="H74" s="172">
        <f t="shared" si="9"/>
        <v>5.7055166307515099E-3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'[49]Sch C'!D68</f>
        <v>0</v>
      </c>
      <c r="D75" s="501">
        <f>'[49]Sch C'!F68</f>
        <v>0</v>
      </c>
      <c r="E75" s="171">
        <f t="shared" si="7"/>
        <v>0</v>
      </c>
      <c r="F75" s="379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'[49]Sch C'!D69</f>
        <v>0</v>
      </c>
      <c r="D76" s="501">
        <f>'[49]Sch C'!F69</f>
        <v>2642.28</v>
      </c>
      <c r="E76" s="171">
        <f t="shared" si="7"/>
        <v>2642.28</v>
      </c>
      <c r="F76" s="379"/>
      <c r="G76" s="171">
        <f t="shared" si="8"/>
        <v>2642.28</v>
      </c>
      <c r="H76" s="172">
        <f t="shared" si="9"/>
        <v>8.5563417157337061E-4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'[49]Sch C'!D70</f>
        <v>0</v>
      </c>
      <c r="D77" s="501">
        <f>'[49]Sch C'!F70</f>
        <v>0</v>
      </c>
      <c r="E77" s="171">
        <f t="shared" si="7"/>
        <v>0</v>
      </c>
      <c r="F77" s="379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'[49]Sch C'!D71</f>
        <v>0</v>
      </c>
      <c r="D78" s="501">
        <f>'[49]Sch C'!F71</f>
        <v>0</v>
      </c>
      <c r="E78" s="171">
        <f t="shared" si="7"/>
        <v>0</v>
      </c>
      <c r="F78" s="379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415383.25</v>
      </c>
      <c r="D79" s="501">
        <f>SUM(D64:D78)</f>
        <v>-254785.24000000002</v>
      </c>
      <c r="E79" s="171">
        <f t="shared" ref="E79:F79" si="10">SUM(E64:E78)</f>
        <v>160598.00999999998</v>
      </c>
      <c r="F79" s="171">
        <f t="shared" si="10"/>
        <v>0</v>
      </c>
      <c r="G79" s="171">
        <f>SUM(G64:G78)</f>
        <v>160598.00999999998</v>
      </c>
      <c r="H79" s="172">
        <f t="shared" si="9"/>
        <v>5.2005519945911051E-2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383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386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'[49]Sch C'!D75</f>
        <v>39337.39</v>
      </c>
      <c r="D82" s="501">
        <f>'[49]Sch C'!F75</f>
        <v>0</v>
      </c>
      <c r="E82" s="171">
        <f t="shared" ref="E82:E92" si="11">C82+D82</f>
        <v>39337.39</v>
      </c>
      <c r="F82" s="379"/>
      <c r="G82" s="171">
        <f t="shared" ref="G82:G92" si="12">E82+F82</f>
        <v>39337.39</v>
      </c>
      <c r="H82" s="172">
        <f t="shared" ref="H82:H93" si="13">IF($G$208=0,0,G82/$G$208)</f>
        <v>1.2738398316797838E-2</v>
      </c>
      <c r="I82" s="473"/>
      <c r="J82" s="183">
        <v>2790</v>
      </c>
      <c r="K82" s="183">
        <v>2822</v>
      </c>
    </row>
    <row r="83" spans="1:11" s="167" customFormat="1">
      <c r="A83" s="169" t="s">
        <v>86</v>
      </c>
      <c r="B83" s="199" t="s">
        <v>45</v>
      </c>
      <c r="C83" s="501">
        <f>'[49]Sch C'!D76</f>
        <v>4708.9499999999989</v>
      </c>
      <c r="D83" s="501">
        <f>'[49]Sch C'!F76</f>
        <v>0</v>
      </c>
      <c r="E83" s="171">
        <f t="shared" si="11"/>
        <v>4708.9499999999989</v>
      </c>
      <c r="F83" s="379"/>
      <c r="G83" s="171">
        <f t="shared" si="12"/>
        <v>4708.9499999999989</v>
      </c>
      <c r="H83" s="172">
        <f t="shared" si="13"/>
        <v>1.5248719031406295E-3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'[49]Sch C'!D77</f>
        <v>25255.55</v>
      </c>
      <c r="D84" s="501">
        <f>'[49]Sch C'!F77</f>
        <v>0</v>
      </c>
      <c r="E84" s="171">
        <f t="shared" si="11"/>
        <v>25255.55</v>
      </c>
      <c r="F84" s="379"/>
      <c r="G84" s="171">
        <f t="shared" si="12"/>
        <v>25255.55</v>
      </c>
      <c r="H84" s="172">
        <f t="shared" si="13"/>
        <v>8.1783579340114747E-3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'[49]Sch C'!D78</f>
        <v>6040.07</v>
      </c>
      <c r="D85" s="501">
        <f>'[49]Sch C'!F78</f>
        <v>577</v>
      </c>
      <c r="E85" s="171">
        <f t="shared" si="11"/>
        <v>6617.07</v>
      </c>
      <c r="F85" s="379"/>
      <c r="G85" s="171">
        <f t="shared" si="12"/>
        <v>6617.07</v>
      </c>
      <c r="H85" s="172">
        <f t="shared" si="13"/>
        <v>2.1427673099342244E-3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'[49]Sch C'!D79</f>
        <v>23558.42</v>
      </c>
      <c r="D86" s="501">
        <f>'[49]Sch C'!F79</f>
        <v>0</v>
      </c>
      <c r="E86" s="171">
        <f t="shared" si="11"/>
        <v>23558.42</v>
      </c>
      <c r="F86" s="379"/>
      <c r="G86" s="171">
        <f>E86+F86</f>
        <v>23558.42</v>
      </c>
      <c r="H86" s="172">
        <f t="shared" si="13"/>
        <v>7.6287861923329562E-3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'[49]Sch C'!D80</f>
        <v>21526.940000000002</v>
      </c>
      <c r="D87" s="501">
        <f>'[49]Sch C'!F80</f>
        <v>0</v>
      </c>
      <c r="E87" s="171">
        <f t="shared" si="11"/>
        <v>21526.940000000002</v>
      </c>
      <c r="F87" s="379"/>
      <c r="G87" s="171">
        <f t="shared" si="12"/>
        <v>21526.940000000002</v>
      </c>
      <c r="H87" s="172">
        <f t="shared" si="13"/>
        <v>6.9709438338895402E-3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'[49]Sch C'!D81</f>
        <v>638.85</v>
      </c>
      <c r="D88" s="501">
        <f>'[49]Sch C'!F81</f>
        <v>0</v>
      </c>
      <c r="E88" s="171">
        <f t="shared" si="11"/>
        <v>638.85</v>
      </c>
      <c r="F88" s="379"/>
      <c r="G88" s="171">
        <f t="shared" si="12"/>
        <v>638.85</v>
      </c>
      <c r="H88" s="172">
        <f t="shared" si="13"/>
        <v>2.0687508156200243E-4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'[49]Sch C'!D82</f>
        <v>0</v>
      </c>
      <c r="D89" s="501">
        <f>'[49]Sch C'!F82</f>
        <v>0</v>
      </c>
      <c r="E89" s="171">
        <f t="shared" si="11"/>
        <v>0</v>
      </c>
      <c r="F89" s="379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'[49]Sch C'!D83</f>
        <v>0</v>
      </c>
      <c r="D90" s="501">
        <f>'[49]Sch C'!F83</f>
        <v>0</v>
      </c>
      <c r="E90" s="171">
        <f t="shared" si="11"/>
        <v>0</v>
      </c>
      <c r="F90" s="379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'[49]Sch C'!D84</f>
        <v>71622.559999999998</v>
      </c>
      <c r="D91" s="501">
        <f>'[49]Sch C'!F84</f>
        <v>376</v>
      </c>
      <c r="E91" s="171">
        <f t="shared" si="11"/>
        <v>71998.559999999998</v>
      </c>
      <c r="F91" s="379"/>
      <c r="G91" s="171">
        <f t="shared" si="12"/>
        <v>71998.559999999998</v>
      </c>
      <c r="H91" s="172">
        <f t="shared" si="13"/>
        <v>2.3314875123028451E-2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'[49]Sch C'!D85</f>
        <v>166.1</v>
      </c>
      <c r="D92" s="501">
        <f>'[49]Sch C'!F85</f>
        <v>-33.479999999999997</v>
      </c>
      <c r="E92" s="171">
        <f t="shared" si="11"/>
        <v>132.62</v>
      </c>
      <c r="F92" s="379"/>
      <c r="G92" s="171">
        <f t="shared" si="12"/>
        <v>132.62</v>
      </c>
      <c r="H92" s="172">
        <f t="shared" si="13"/>
        <v>4.2945563617050576E-5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192854.83</v>
      </c>
      <c r="D93" s="501">
        <f>SUM(D82:D92)</f>
        <v>919.52</v>
      </c>
      <c r="E93" s="171">
        <f t="shared" ref="E93:F93" si="14">SUM(E82:E92)</f>
        <v>193774.34999999998</v>
      </c>
      <c r="F93" s="171">
        <f t="shared" si="14"/>
        <v>0</v>
      </c>
      <c r="G93" s="171">
        <f>SUM(G82:G92)</f>
        <v>193774.34999999998</v>
      </c>
      <c r="H93" s="172">
        <f t="shared" si="13"/>
        <v>6.2748821258314158E-2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386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386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'[49]Sch C'!D89</f>
        <v>96796.669999999984</v>
      </c>
      <c r="D96" s="501">
        <f>'[49]Sch C'!F89</f>
        <v>0</v>
      </c>
      <c r="E96" s="171">
        <f t="shared" ref="E96:E101" si="15">C96+D96</f>
        <v>96796.669999999984</v>
      </c>
      <c r="F96" s="379"/>
      <c r="G96" s="171">
        <f t="shared" ref="G96:G101" si="16">E96+F96</f>
        <v>96796.669999999984</v>
      </c>
      <c r="H96" s="172">
        <f t="shared" ref="H96:H102" si="17">IF($G$208=0,0,G96/$G$208)</f>
        <v>3.1345102921155561E-2</v>
      </c>
      <c r="I96" s="473"/>
      <c r="J96" s="183">
        <v>9508.64</v>
      </c>
      <c r="K96" s="183">
        <v>9836.9399999999987</v>
      </c>
    </row>
    <row r="97" spans="1:11" s="167" customFormat="1">
      <c r="A97" s="169" t="s">
        <v>86</v>
      </c>
      <c r="B97" s="170" t="s">
        <v>45</v>
      </c>
      <c r="C97" s="501">
        <f>'[49]Sch C'!D90</f>
        <v>14007.800000000001</v>
      </c>
      <c r="D97" s="501">
        <f>'[49]Sch C'!F90</f>
        <v>0</v>
      </c>
      <c r="E97" s="171">
        <f t="shared" si="15"/>
        <v>14007.800000000001</v>
      </c>
      <c r="F97" s="379"/>
      <c r="G97" s="171">
        <f t="shared" si="16"/>
        <v>14007.800000000001</v>
      </c>
      <c r="H97" s="172">
        <f t="shared" si="17"/>
        <v>4.5360644400159944E-3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'[49]Sch C'!D91</f>
        <v>11885.16</v>
      </c>
      <c r="D98" s="501">
        <f>'[49]Sch C'!F91</f>
        <v>0</v>
      </c>
      <c r="E98" s="171">
        <f t="shared" si="15"/>
        <v>11885.16</v>
      </c>
      <c r="F98" s="379"/>
      <c r="G98" s="171">
        <f t="shared" si="16"/>
        <v>11885.16</v>
      </c>
      <c r="H98" s="172">
        <f t="shared" si="17"/>
        <v>3.8487022687288858E-3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'[49]Sch C'!D92</f>
        <v>86707.65</v>
      </c>
      <c r="D99" s="501">
        <f>'[49]Sch C'!F92</f>
        <v>-895.77</v>
      </c>
      <c r="E99" s="171">
        <f t="shared" si="15"/>
        <v>85811.87999999999</v>
      </c>
      <c r="F99" s="379"/>
      <c r="G99" s="171">
        <f t="shared" si="16"/>
        <v>85811.87999999999</v>
      </c>
      <c r="H99" s="172">
        <f t="shared" si="17"/>
        <v>2.7787962235248903E-2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'[49]Sch C'!D93</f>
        <v>2360.7799999999997</v>
      </c>
      <c r="D100" s="501">
        <f>'[49]Sch C'!F93</f>
        <v>0</v>
      </c>
      <c r="E100" s="171">
        <f t="shared" si="15"/>
        <v>2360.7799999999997</v>
      </c>
      <c r="F100" s="379"/>
      <c r="G100" s="171">
        <f t="shared" si="16"/>
        <v>2360.7799999999997</v>
      </c>
      <c r="H100" s="172">
        <f t="shared" si="17"/>
        <v>7.6447766306635991E-4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'[49]Sch C'!D94</f>
        <v>6359.32</v>
      </c>
      <c r="D101" s="501">
        <f>'[49]Sch C'!F94</f>
        <v>0</v>
      </c>
      <c r="E101" s="171">
        <f t="shared" si="15"/>
        <v>6359.32</v>
      </c>
      <c r="F101" s="379"/>
      <c r="G101" s="171">
        <f t="shared" si="16"/>
        <v>6359.32</v>
      </c>
      <c r="H101" s="172">
        <f t="shared" si="17"/>
        <v>2.0593016258572015E-3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218117.37999999998</v>
      </c>
      <c r="D102" s="501">
        <f>SUM(D96:D101)</f>
        <v>-895.77</v>
      </c>
      <c r="E102" s="171">
        <f t="shared" ref="E102:F102" si="18">SUM(E96:E101)</f>
        <v>217221.61</v>
      </c>
      <c r="F102" s="171">
        <f t="shared" si="18"/>
        <v>0</v>
      </c>
      <c r="G102" s="171">
        <f>SUM(G96:G101)</f>
        <v>217221.61</v>
      </c>
      <c r="H102" s="172">
        <f t="shared" si="17"/>
        <v>7.0341611154072906E-2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386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386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'[49]Sch C'!D98</f>
        <v>30445.18</v>
      </c>
      <c r="D105" s="501">
        <f>'[49]Sch C'!F98</f>
        <v>0</v>
      </c>
      <c r="E105" s="171">
        <f t="shared" ref="E105:E110" si="19">C105+D105</f>
        <v>30445.18</v>
      </c>
      <c r="F105" s="379"/>
      <c r="G105" s="171">
        <f t="shared" ref="G105:G110" si="20">E105+F105</f>
        <v>30445.18</v>
      </c>
      <c r="H105" s="172">
        <f t="shared" ref="H105:H111" si="21">IF($G$208=0,0,G105/$G$208)</f>
        <v>9.858885647131322E-3</v>
      </c>
      <c r="I105" s="473"/>
      <c r="J105" s="183">
        <v>3648.84</v>
      </c>
      <c r="K105" s="183">
        <v>3728.84</v>
      </c>
    </row>
    <row r="106" spans="1:11" s="167" customFormat="1">
      <c r="A106" s="169" t="s">
        <v>86</v>
      </c>
      <c r="B106" s="170" t="s">
        <v>45</v>
      </c>
      <c r="C106" s="501">
        <f>'[49]Sch C'!D99</f>
        <v>3966.05</v>
      </c>
      <c r="D106" s="501">
        <f>'[49]Sch C'!F99</f>
        <v>0</v>
      </c>
      <c r="E106" s="171">
        <f t="shared" si="19"/>
        <v>3966.05</v>
      </c>
      <c r="F106" s="379"/>
      <c r="G106" s="171">
        <f t="shared" si="20"/>
        <v>3966.05</v>
      </c>
      <c r="H106" s="172">
        <f t="shared" si="21"/>
        <v>1.2843029149706188E-3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'[49]Sch C'!D100</f>
        <v>1084.8900000000001</v>
      </c>
      <c r="D107" s="501">
        <f>'[49]Sch C'!F100</f>
        <v>0</v>
      </c>
      <c r="E107" s="171">
        <f t="shared" si="19"/>
        <v>1084.8900000000001</v>
      </c>
      <c r="F107" s="379"/>
      <c r="G107" s="171">
        <f t="shared" si="20"/>
        <v>1084.8900000000001</v>
      </c>
      <c r="H107" s="172">
        <f t="shared" si="21"/>
        <v>3.5131362171996687E-4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'[49]Sch C'!D101</f>
        <v>2519.69</v>
      </c>
      <c r="D108" s="501">
        <f>'[49]Sch C'!F101</f>
        <v>0</v>
      </c>
      <c r="E108" s="171">
        <f t="shared" si="19"/>
        <v>2519.69</v>
      </c>
      <c r="F108" s="379"/>
      <c r="G108" s="171">
        <f t="shared" si="20"/>
        <v>2519.69</v>
      </c>
      <c r="H108" s="172">
        <f t="shared" si="21"/>
        <v>8.1593656454717373E-4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'[49]Sch C'!D102</f>
        <v>1756.04</v>
      </c>
      <c r="D109" s="501">
        <f>'[49]Sch C'!F102</f>
        <v>0</v>
      </c>
      <c r="E109" s="171">
        <f t="shared" si="19"/>
        <v>1756.04</v>
      </c>
      <c r="F109" s="379"/>
      <c r="G109" s="171">
        <f t="shared" si="20"/>
        <v>1756.04</v>
      </c>
      <c r="H109" s="172">
        <f t="shared" si="21"/>
        <v>5.6864822450675232E-4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'[49]Sch C'!D103</f>
        <v>0</v>
      </c>
      <c r="D110" s="501">
        <f>'[49]Sch C'!F103</f>
        <v>0</v>
      </c>
      <c r="E110" s="171">
        <f t="shared" si="19"/>
        <v>0</v>
      </c>
      <c r="F110" s="379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39771.850000000006</v>
      </c>
      <c r="D111" s="501">
        <f>SUM(D105:D110)</f>
        <v>0</v>
      </c>
      <c r="E111" s="171">
        <f t="shared" ref="E111:F111" si="22">SUM(E105:E110)</f>
        <v>39771.850000000006</v>
      </c>
      <c r="F111" s="171">
        <f t="shared" si="22"/>
        <v>0</v>
      </c>
      <c r="G111" s="171">
        <f>SUM(G105:G110)</f>
        <v>39771.850000000006</v>
      </c>
      <c r="H111" s="172">
        <f t="shared" si="21"/>
        <v>1.2879086972875835E-2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386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386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'[49]Sch C'!D115</f>
        <v>29225.949999999997</v>
      </c>
      <c r="D114" s="501">
        <f>'[49]Sch C'!F115</f>
        <v>0</v>
      </c>
      <c r="E114" s="171">
        <f t="shared" ref="E114:E118" si="23">C114+D114</f>
        <v>29225.949999999997</v>
      </c>
      <c r="F114" s="379"/>
      <c r="G114" s="171">
        <f>E114+F114</f>
        <v>29225.949999999997</v>
      </c>
      <c r="H114" s="172">
        <f t="shared" ref="H114:H119" si="24">IF($G$208=0,0,G114/$G$208)</f>
        <v>9.464069484193479E-3</v>
      </c>
      <c r="I114" s="473"/>
      <c r="J114" s="183">
        <v>3023.11</v>
      </c>
      <c r="K114" s="183">
        <v>3175.11</v>
      </c>
    </row>
    <row r="115" spans="1:11" s="167" customFormat="1">
      <c r="A115" s="169" t="s">
        <v>86</v>
      </c>
      <c r="B115" s="170" t="s">
        <v>151</v>
      </c>
      <c r="C115" s="501">
        <f>'[49]Sch C'!D116</f>
        <v>9425.7900000000009</v>
      </c>
      <c r="D115" s="501">
        <f>'[49]Sch C'!F116</f>
        <v>0</v>
      </c>
      <c r="E115" s="171">
        <f t="shared" si="23"/>
        <v>9425.7900000000009</v>
      </c>
      <c r="F115" s="379"/>
      <c r="G115" s="171">
        <f>E115+F115</f>
        <v>9425.7900000000009</v>
      </c>
      <c r="H115" s="172">
        <f t="shared" si="24"/>
        <v>3.0522987791129484E-3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'[49]Sch C'!D117</f>
        <v>9298.32</v>
      </c>
      <c r="D116" s="501">
        <f>'[49]Sch C'!F117</f>
        <v>0</v>
      </c>
      <c r="E116" s="171">
        <f t="shared" si="23"/>
        <v>9298.32</v>
      </c>
      <c r="F116" s="379"/>
      <c r="G116" s="171">
        <f>E116+F116</f>
        <v>9298.32</v>
      </c>
      <c r="H116" s="172">
        <f t="shared" si="24"/>
        <v>3.0110209100565051E-3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'[49]Sch C'!D118</f>
        <v>420.33</v>
      </c>
      <c r="D117" s="501">
        <f>'[49]Sch C'!F118</f>
        <v>0</v>
      </c>
      <c r="E117" s="171">
        <f t="shared" si="23"/>
        <v>420.33</v>
      </c>
      <c r="F117" s="379"/>
      <c r="G117" s="171">
        <f>E117+F117</f>
        <v>420.33</v>
      </c>
      <c r="H117" s="172">
        <f t="shared" si="24"/>
        <v>1.3611302032238629E-4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'[49]Sch C'!D119</f>
        <v>340.75</v>
      </c>
      <c r="D118" s="501">
        <f>'[49]Sch C'!F119</f>
        <v>0</v>
      </c>
      <c r="E118" s="171">
        <f t="shared" si="23"/>
        <v>340.75</v>
      </c>
      <c r="F118" s="379"/>
      <c r="G118" s="171">
        <f>E118+F118</f>
        <v>340.75</v>
      </c>
      <c r="H118" s="172">
        <f t="shared" si="24"/>
        <v>1.1034309155866374E-4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48711.14</v>
      </c>
      <c r="D119" s="501">
        <f>SUM(D114:D118)</f>
        <v>0</v>
      </c>
      <c r="E119" s="171">
        <f t="shared" ref="E119:F119" si="25">SUM(E114:E118)</f>
        <v>48711.14</v>
      </c>
      <c r="F119" s="171">
        <f t="shared" si="25"/>
        <v>0</v>
      </c>
      <c r="G119" s="171">
        <f>SUM(G114:G118)</f>
        <v>48711.14</v>
      </c>
      <c r="H119" s="172">
        <f t="shared" si="24"/>
        <v>1.5773845285243983E-2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383"/>
      <c r="G120" s="196"/>
      <c r="H120" s="197"/>
      <c r="I120" s="473"/>
      <c r="J120" s="203"/>
      <c r="K120" s="203"/>
    </row>
    <row r="121" spans="1:11" s="167" customFormat="1" ht="15.5">
      <c r="A121" s="169" t="s">
        <v>167</v>
      </c>
      <c r="B121" s="170" t="s">
        <v>62</v>
      </c>
      <c r="C121" s="165"/>
      <c r="D121" s="165"/>
      <c r="E121" s="165"/>
      <c r="F121"/>
      <c r="G121" s="165"/>
      <c r="H121" s="198"/>
      <c r="I121" s="475"/>
      <c r="J121" s="204"/>
      <c r="K121" s="204"/>
    </row>
    <row r="122" spans="1:11" s="167" customFormat="1" ht="15.5">
      <c r="A122" s="169" t="s">
        <v>85</v>
      </c>
      <c r="B122" s="170" t="s">
        <v>63</v>
      </c>
      <c r="C122" s="165"/>
      <c r="D122" s="165"/>
      <c r="E122" s="165"/>
      <c r="F122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'[49]Sch C'!D124</f>
        <v>75265.200000000012</v>
      </c>
      <c r="D123" s="501">
        <f>'[49]Sch C'!F124</f>
        <v>0</v>
      </c>
      <c r="E123" s="171">
        <f t="shared" ref="E123:E127" si="26">C123+D123</f>
        <v>75265.200000000012</v>
      </c>
      <c r="F123" s="379"/>
      <c r="G123" s="171">
        <f>E123+F123</f>
        <v>75265.200000000012</v>
      </c>
      <c r="H123" s="172">
        <f>IF($G$208=0,0,G123/$G$208)</f>
        <v>2.4372692163701068E-2</v>
      </c>
      <c r="I123" s="473"/>
      <c r="J123" s="183">
        <v>2079.04</v>
      </c>
      <c r="K123" s="183">
        <v>2079.04</v>
      </c>
    </row>
    <row r="124" spans="1:11" s="167" customFormat="1">
      <c r="B124" s="163" t="s">
        <v>194</v>
      </c>
      <c r="C124" s="501">
        <f>'[49]Sch C'!D125</f>
        <v>0</v>
      </c>
      <c r="D124" s="501">
        <f>'[49]Sch C'!F125</f>
        <v>0</v>
      </c>
      <c r="E124" s="171">
        <f t="shared" si="26"/>
        <v>0</v>
      </c>
      <c r="F124" s="379"/>
      <c r="G124" s="171">
        <f>E124+F124</f>
        <v>0</v>
      </c>
      <c r="H124" s="172">
        <f>IF($G$208=0,0,G124/$G$208)</f>
        <v>0</v>
      </c>
      <c r="I124" s="473"/>
      <c r="J124" s="183">
        <v>0</v>
      </c>
      <c r="K124" s="183">
        <v>0</v>
      </c>
    </row>
    <row r="125" spans="1:11" s="167" customFormat="1">
      <c r="A125" s="163" t="s">
        <v>198</v>
      </c>
      <c r="B125" s="163" t="s">
        <v>195</v>
      </c>
      <c r="C125" s="501">
        <f>'[49]Sch C'!D126</f>
        <v>827.68</v>
      </c>
      <c r="D125" s="501">
        <f>'[49]Sch C'!F126</f>
        <v>0</v>
      </c>
      <c r="E125" s="171">
        <f t="shared" si="26"/>
        <v>827.68</v>
      </c>
      <c r="F125" s="379"/>
      <c r="G125" s="171">
        <f>E125+F125</f>
        <v>827.68</v>
      </c>
      <c r="H125" s="172">
        <f>IF($G$208=0,0,G125/$G$208)</f>
        <v>2.6802280270366778E-4</v>
      </c>
      <c r="I125" s="473"/>
      <c r="J125" s="183">
        <v>40.619999999999997</v>
      </c>
      <c r="K125" s="183">
        <v>40.619999999999997</v>
      </c>
    </row>
    <row r="126" spans="1:11" s="167" customFormat="1">
      <c r="A126" s="169"/>
      <c r="B126" s="163" t="s">
        <v>196</v>
      </c>
      <c r="C126" s="501">
        <f>'[49]Sch C'!D127</f>
        <v>0</v>
      </c>
      <c r="D126" s="501">
        <f>'[49]Sch C'!F127</f>
        <v>0</v>
      </c>
      <c r="E126" s="171">
        <f t="shared" si="26"/>
        <v>0</v>
      </c>
      <c r="F126" s="379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'[49]Sch C'!D128</f>
        <v>28362.239999999998</v>
      </c>
      <c r="D127" s="501">
        <f>'[49]Sch C'!F128</f>
        <v>21787</v>
      </c>
      <c r="E127" s="171">
        <f t="shared" si="26"/>
        <v>50149.24</v>
      </c>
      <c r="F127" s="379"/>
      <c r="G127" s="171">
        <f>E127+F127</f>
        <v>50149.24</v>
      </c>
      <c r="H127" s="172">
        <f>IF($G$208=0,0,G127/$G$208)</f>
        <v>1.6239536847886725E-2</v>
      </c>
      <c r="I127" s="473"/>
      <c r="J127" s="183">
        <v>1973.29</v>
      </c>
      <c r="K127" s="183">
        <v>2223.29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383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'[49]Sch C'!D130</f>
        <v>19596.133574234049</v>
      </c>
      <c r="D129" s="501">
        <f>'[49]Sch C'!F130</f>
        <v>0</v>
      </c>
      <c r="E129" s="171">
        <f t="shared" ref="E129:E133" si="27">C129+D129</f>
        <v>19596.133574234049</v>
      </c>
      <c r="F129" s="379"/>
      <c r="G129" s="171">
        <f>E129+F129</f>
        <v>19596.133574234049</v>
      </c>
      <c r="H129" s="172">
        <f>IF($G$208=0,0,G129/$G$208)</f>
        <v>6.3457020137271079E-3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'[49]Sch C'!D131</f>
        <v>89.06</v>
      </c>
      <c r="D130" s="501">
        <f>'[49]Sch C'!F131</f>
        <v>0</v>
      </c>
      <c r="E130" s="171">
        <f t="shared" si="27"/>
        <v>89.06</v>
      </c>
      <c r="F130" s="379"/>
      <c r="G130" s="171">
        <f>E130+F130</f>
        <v>89.06</v>
      </c>
      <c r="H130" s="172">
        <f>IF($G$208=0,0,G130/$G$208)</f>
        <v>2.8839782051987066E-5</v>
      </c>
      <c r="I130" s="473"/>
      <c r="J130" s="204"/>
      <c r="K130" s="204"/>
    </row>
    <row r="131" spans="1:11" s="167" customFormat="1">
      <c r="B131" s="163" t="s">
        <v>195</v>
      </c>
      <c r="C131" s="501">
        <f>'[49]Sch C'!D132</f>
        <v>0</v>
      </c>
      <c r="D131" s="501">
        <f>'[49]Sch C'!F132</f>
        <v>0</v>
      </c>
      <c r="E131" s="171">
        <f t="shared" si="27"/>
        <v>0</v>
      </c>
      <c r="F131" s="379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'[49]Sch C'!D133</f>
        <v>0</v>
      </c>
      <c r="D132" s="501">
        <f>'[49]Sch C'!F133</f>
        <v>0</v>
      </c>
      <c r="E132" s="171">
        <f t="shared" si="27"/>
        <v>0</v>
      </c>
      <c r="F132" s="379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'[49]Sch C'!D134</f>
        <v>13247.61</v>
      </c>
      <c r="D133" s="501">
        <f>'[49]Sch C'!F134</f>
        <v>0</v>
      </c>
      <c r="E133" s="171">
        <f t="shared" si="27"/>
        <v>13247.61</v>
      </c>
      <c r="F133" s="379"/>
      <c r="G133" s="171">
        <f>E133+F133</f>
        <v>13247.61</v>
      </c>
      <c r="H133" s="172">
        <f>IF($G$208=0,0,G133/$G$208)</f>
        <v>4.2898965316609519E-3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383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'[49]Sch C'!D136</f>
        <v>239910.28</v>
      </c>
      <c r="D135" s="501">
        <f>'[49]Sch C'!F136</f>
        <v>0</v>
      </c>
      <c r="E135" s="171">
        <f t="shared" ref="E135:E138" si="28">C135+D135</f>
        <v>239910.28</v>
      </c>
      <c r="F135" s="379"/>
      <c r="G135" s="171">
        <f>E135+F135</f>
        <v>239910.28</v>
      </c>
      <c r="H135" s="172">
        <f>IF($G$208=0,0,G135/$G$208)</f>
        <v>7.7688751260175062E-2</v>
      </c>
      <c r="I135" s="473"/>
      <c r="J135" s="183">
        <v>9512.7900000000009</v>
      </c>
      <c r="K135" s="183">
        <v>10125.790000000001</v>
      </c>
    </row>
    <row r="136" spans="1:11" s="167" customFormat="1">
      <c r="A136" s="169"/>
      <c r="B136" s="163" t="s">
        <v>195</v>
      </c>
      <c r="C136" s="501">
        <f>'[49]Sch C'!D137</f>
        <v>114251.6</v>
      </c>
      <c r="D136" s="501">
        <f>'[49]Sch C'!F137</f>
        <v>0</v>
      </c>
      <c r="E136" s="171">
        <f t="shared" si="28"/>
        <v>114251.6</v>
      </c>
      <c r="F136" s="379"/>
      <c r="G136" s="171">
        <f>E136+F136</f>
        <v>114251.6</v>
      </c>
      <c r="H136" s="172">
        <f>IF($G$208=0,0,G136/$G$208)</f>
        <v>3.6997431429270214E-2</v>
      </c>
      <c r="I136" s="473"/>
      <c r="J136" s="183">
        <v>6554.52</v>
      </c>
      <c r="K136" s="183">
        <v>6802.52</v>
      </c>
    </row>
    <row r="137" spans="1:11" s="167" customFormat="1">
      <c r="A137" s="169"/>
      <c r="B137" s="163" t="s">
        <v>196</v>
      </c>
      <c r="C137" s="501">
        <f>'[49]Sch C'!D138</f>
        <v>227302.21</v>
      </c>
      <c r="D137" s="501">
        <f>'[49]Sch C'!F138</f>
        <v>0</v>
      </c>
      <c r="E137" s="171">
        <f t="shared" si="28"/>
        <v>227302.21</v>
      </c>
      <c r="F137" s="379"/>
      <c r="G137" s="171">
        <f>E137+F137</f>
        <v>227302.21</v>
      </c>
      <c r="H137" s="172">
        <f>IF($G$208=0,0,G137/$G$208)</f>
        <v>7.3605953248764816E-2</v>
      </c>
      <c r="I137" s="473"/>
      <c r="J137" s="183">
        <v>20319.150000000001</v>
      </c>
      <c r="K137" s="183">
        <v>21242.15</v>
      </c>
    </row>
    <row r="138" spans="1:11" s="167" customFormat="1">
      <c r="A138" s="169"/>
      <c r="B138" s="163" t="s">
        <v>197</v>
      </c>
      <c r="C138" s="501">
        <f>'[49]Sch C'!D139</f>
        <v>43470.66</v>
      </c>
      <c r="D138" s="501">
        <f>'[49]Sch C'!F139</f>
        <v>0</v>
      </c>
      <c r="E138" s="171">
        <f t="shared" si="28"/>
        <v>43470.66</v>
      </c>
      <c r="F138" s="379"/>
      <c r="G138" s="171">
        <f>E138+F138</f>
        <v>43470.66</v>
      </c>
      <c r="H138" s="172">
        <f>IF($G$208=0,0,G138/$G$208)</f>
        <v>1.4076851112239301E-2</v>
      </c>
      <c r="I138" s="473"/>
      <c r="J138" s="183">
        <v>2468.12</v>
      </c>
      <c r="K138" s="183">
        <v>2643.12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383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'[49]Sch C'!D141</f>
        <v>62463.314954479501</v>
      </c>
      <c r="D140" s="501">
        <f>'[49]Sch C'!F141</f>
        <v>0</v>
      </c>
      <c r="E140" s="171">
        <f t="shared" ref="E140:E143" si="29">C140+D140</f>
        <v>62463.314954479501</v>
      </c>
      <c r="F140" s="379"/>
      <c r="G140" s="171">
        <f>E140+F140</f>
        <v>62463.314954479501</v>
      </c>
      <c r="H140" s="172">
        <f>IF($G$208=0,0,G140/$G$208)</f>
        <v>2.0227132152838685E-2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'[49]Sch C'!D142</f>
        <v>29746.677278077499</v>
      </c>
      <c r="D141" s="501">
        <f>'[49]Sch C'!F142</f>
        <v>0</v>
      </c>
      <c r="E141" s="171">
        <f t="shared" si="29"/>
        <v>29746.677278077499</v>
      </c>
      <c r="F141" s="379"/>
      <c r="G141" s="171">
        <f>E141+F141</f>
        <v>29746.677278077499</v>
      </c>
      <c r="H141" s="172">
        <f>IF($G$208=0,0,G141/$G$208)</f>
        <v>9.6326935714187156E-3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'[49]Sch C'!D143</f>
        <v>59180.663425840859</v>
      </c>
      <c r="D142" s="501">
        <f>'[49]Sch C'!F143</f>
        <v>0</v>
      </c>
      <c r="E142" s="171">
        <f t="shared" si="29"/>
        <v>59180.663425840859</v>
      </c>
      <c r="F142" s="379"/>
      <c r="G142" s="171">
        <f>E142+F142</f>
        <v>59180.663425840859</v>
      </c>
      <c r="H142" s="172">
        <f>IF($G$208=0,0,G142/$G$208)</f>
        <v>1.9164130191929626E-2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'[49]Sch C'!D144</f>
        <v>11318.08</v>
      </c>
      <c r="D143" s="501">
        <f>'[49]Sch C'!F144</f>
        <v>0</v>
      </c>
      <c r="E143" s="171">
        <f t="shared" si="29"/>
        <v>11318.08</v>
      </c>
      <c r="F143" s="379"/>
      <c r="G143" s="171">
        <f>E143+F143</f>
        <v>11318.08</v>
      </c>
      <c r="H143" s="172">
        <f>IF($G$208=0,0,G143/$G$208)</f>
        <v>3.6650680490338395E-3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383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'[49]Sch C'!D146</f>
        <v>20619.620000000003</v>
      </c>
      <c r="D145" s="501">
        <f>'[49]Sch C'!F146</f>
        <v>0</v>
      </c>
      <c r="E145" s="171">
        <f t="shared" ref="E145:E153" si="30">C145+D145</f>
        <v>20619.620000000003</v>
      </c>
      <c r="F145" s="379"/>
      <c r="G145" s="171">
        <f t="shared" ref="G145:G153" si="31">E145+F145</f>
        <v>20619.620000000003</v>
      </c>
      <c r="H145" s="172">
        <f t="shared" ref="H145:H153" si="32">IF($G$208=0,0,G145/$G$208)</f>
        <v>6.6771316729709587E-3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'[49]Sch C'!D147</f>
        <v>0</v>
      </c>
      <c r="D146" s="501">
        <f>'[49]Sch C'!F147</f>
        <v>0</v>
      </c>
      <c r="E146" s="171">
        <f t="shared" si="30"/>
        <v>0</v>
      </c>
      <c r="F146" s="379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'[49]Sch C'!D148</f>
        <v>0</v>
      </c>
      <c r="D147" s="501">
        <f>'[49]Sch C'!F148</f>
        <v>0</v>
      </c>
      <c r="E147" s="171">
        <f t="shared" si="30"/>
        <v>0</v>
      </c>
      <c r="F147" s="379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'[49]Sch C'!D149</f>
        <v>0</v>
      </c>
      <c r="D148" s="501">
        <f>'[49]Sch C'!F149</f>
        <v>0</v>
      </c>
      <c r="E148" s="171">
        <f t="shared" si="30"/>
        <v>0</v>
      </c>
      <c r="F148" s="379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'[49]Sch C'!D150</f>
        <v>3017</v>
      </c>
      <c r="D149" s="501">
        <f>'[49]Sch C'!F150</f>
        <v>0</v>
      </c>
      <c r="E149" s="171">
        <f t="shared" si="30"/>
        <v>3017</v>
      </c>
      <c r="F149" s="379"/>
      <c r="G149" s="171">
        <f t="shared" si="31"/>
        <v>3017</v>
      </c>
      <c r="H149" s="172">
        <f t="shared" si="32"/>
        <v>9.7697757074831555E-4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'[49]Sch C'!D151</f>
        <v>58990.259999999995</v>
      </c>
      <c r="D150" s="501">
        <f>'[49]Sch C'!F151</f>
        <v>0</v>
      </c>
      <c r="E150" s="171">
        <f t="shared" si="30"/>
        <v>58990.259999999995</v>
      </c>
      <c r="F150" s="379"/>
      <c r="G150" s="171">
        <f t="shared" si="31"/>
        <v>58990.259999999995</v>
      </c>
      <c r="H150" s="172">
        <f t="shared" si="32"/>
        <v>1.9102472957444983E-2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'[49]Sch C'!D152</f>
        <v>1746.37</v>
      </c>
      <c r="D151" s="501">
        <f>'[49]Sch C'!F152</f>
        <v>0</v>
      </c>
      <c r="E151" s="171">
        <f t="shared" si="30"/>
        <v>1746.37</v>
      </c>
      <c r="F151" s="379"/>
      <c r="G151" s="171">
        <f t="shared" si="31"/>
        <v>1746.37</v>
      </c>
      <c r="H151" s="172">
        <f t="shared" si="32"/>
        <v>5.6551684462304789E-4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'[49]Sch C'!D153</f>
        <v>0</v>
      </c>
      <c r="D152" s="501">
        <f>'[49]Sch C'!F153</f>
        <v>0</v>
      </c>
      <c r="E152" s="171">
        <f t="shared" si="30"/>
        <v>0</v>
      </c>
      <c r="F152" s="379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'[49]Sch C'!D154</f>
        <v>0</v>
      </c>
      <c r="D153" s="501">
        <f>'[49]Sch C'!F154</f>
        <v>0</v>
      </c>
      <c r="E153" s="171">
        <f t="shared" si="30"/>
        <v>0</v>
      </c>
      <c r="F153" s="379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384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'[49]Sch C'!D156</f>
        <v>0</v>
      </c>
      <c r="D155" s="501">
        <f>'[49]Sch C'!F156</f>
        <v>0</v>
      </c>
      <c r="E155" s="171">
        <f t="shared" ref="E155:E160" si="33">C155+D155</f>
        <v>0</v>
      </c>
      <c r="F155" s="379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'[49]Sch C'!D157</f>
        <v>0</v>
      </c>
      <c r="D156" s="501">
        <f>'[49]Sch C'!F157</f>
        <v>0</v>
      </c>
      <c r="E156" s="171">
        <f t="shared" si="33"/>
        <v>0</v>
      </c>
      <c r="F156" s="379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'[49]Sch C'!D158</f>
        <v>0</v>
      </c>
      <c r="D157" s="501">
        <f>'[49]Sch C'!F158</f>
        <v>0</v>
      </c>
      <c r="E157" s="171">
        <f t="shared" si="33"/>
        <v>0</v>
      </c>
      <c r="F157" s="379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'[49]Sch C'!D159</f>
        <v>0</v>
      </c>
      <c r="D158" s="501">
        <f>'[49]Sch C'!F159</f>
        <v>0</v>
      </c>
      <c r="E158" s="171">
        <f t="shared" si="33"/>
        <v>0</v>
      </c>
      <c r="F158" s="379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'[49]Sch C'!D160</f>
        <v>3729.42</v>
      </c>
      <c r="D159" s="501">
        <f>'[49]Sch C'!F160</f>
        <v>0</v>
      </c>
      <c r="E159" s="171">
        <f t="shared" si="33"/>
        <v>3729.42</v>
      </c>
      <c r="F159" s="379"/>
      <c r="G159" s="171">
        <f t="shared" si="34"/>
        <v>3729.42</v>
      </c>
      <c r="H159" s="172">
        <f>IF($G$208=0,0,G159/$G$208)</f>
        <v>1.2076763977130205E-3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'[49]Sch C'!D161</f>
        <v>4155.53</v>
      </c>
      <c r="D160" s="501">
        <f>'[49]Sch C'!F161</f>
        <v>0</v>
      </c>
      <c r="E160" s="171">
        <f t="shared" si="33"/>
        <v>4155.53</v>
      </c>
      <c r="F160" s="379"/>
      <c r="G160" s="171">
        <f t="shared" si="34"/>
        <v>4155.53</v>
      </c>
      <c r="H160" s="172">
        <f t="shared" si="35"/>
        <v>1.3456611218335256E-3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1017289.6092326319</v>
      </c>
      <c r="D161" s="501">
        <f>SUM(D123:D160)</f>
        <v>21787</v>
      </c>
      <c r="E161" s="171">
        <f t="shared" ref="E161:F161" si="36">SUM(E123:E160)</f>
        <v>1039076.6092326319</v>
      </c>
      <c r="F161" s="171">
        <f t="shared" si="36"/>
        <v>0</v>
      </c>
      <c r="G161" s="171">
        <f>SUM(G123:G160)</f>
        <v>1039076.6092326319</v>
      </c>
      <c r="H161" s="172">
        <f t="shared" si="35"/>
        <v>0.3364781377227356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383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396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'[49]Sch C'!D175</f>
        <v>0</v>
      </c>
      <c r="D164" s="501">
        <f>'[49]Sch C'!F175</f>
        <v>0</v>
      </c>
      <c r="E164" s="171">
        <f t="shared" ref="E164:E196" si="37">C164+D164</f>
        <v>0</v>
      </c>
      <c r="F164" s="385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'[49]Sch C'!D176</f>
        <v>0</v>
      </c>
      <c r="D165" s="501">
        <f>'[49]Sch C'!F176</f>
        <v>0</v>
      </c>
      <c r="E165" s="171">
        <f t="shared" si="37"/>
        <v>0</v>
      </c>
      <c r="F165" s="385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'[49]Sch C'!D177</f>
        <v>209589.79</v>
      </c>
      <c r="D166" s="501">
        <f>'[49]Sch C'!F177</f>
        <v>6705</v>
      </c>
      <c r="E166" s="171">
        <f t="shared" si="37"/>
        <v>216294.79</v>
      </c>
      <c r="F166" s="385"/>
      <c r="G166" s="171">
        <f t="shared" si="38"/>
        <v>216294.79</v>
      </c>
      <c r="H166" s="172">
        <f t="shared" si="39"/>
        <v>7.0041484421517086E-2</v>
      </c>
      <c r="I166" s="483"/>
      <c r="J166" s="183">
        <v>5641.32</v>
      </c>
      <c r="K166" s="183">
        <v>5911.9400000000005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'[49]Sch C'!D178</f>
        <v>62088.639999999999</v>
      </c>
      <c r="D167" s="501">
        <f>'[49]Sch C'!F178</f>
        <v>0</v>
      </c>
      <c r="E167" s="171">
        <f t="shared" si="37"/>
        <v>62088.639999999999</v>
      </c>
      <c r="F167" s="385"/>
      <c r="G167" s="171">
        <f t="shared" si="38"/>
        <v>62088.639999999999</v>
      </c>
      <c r="H167" s="172">
        <f t="shared" si="39"/>
        <v>2.0105803340492771E-2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'[49]Sch C'!D179</f>
        <v>0</v>
      </c>
      <c r="D168" s="501">
        <f>'[49]Sch C'!F179</f>
        <v>0</v>
      </c>
      <c r="E168" s="171">
        <f t="shared" si="37"/>
        <v>0</v>
      </c>
      <c r="F168" s="385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'[49]Sch C'!D180</f>
        <v>0</v>
      </c>
      <c r="D169" s="501">
        <f>'[49]Sch C'!F180</f>
        <v>0</v>
      </c>
      <c r="E169" s="171">
        <f t="shared" si="37"/>
        <v>0</v>
      </c>
      <c r="F169" s="385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'[49]Sch C'!D181</f>
        <v>0</v>
      </c>
      <c r="D170" s="501">
        <f>'[49]Sch C'!F181</f>
        <v>0</v>
      </c>
      <c r="E170" s="171">
        <f t="shared" si="37"/>
        <v>0</v>
      </c>
      <c r="F170" s="385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'[49]Sch C'!D182</f>
        <v>0</v>
      </c>
      <c r="D171" s="501">
        <f>'[49]Sch C'!F182</f>
        <v>0</v>
      </c>
      <c r="E171" s="171">
        <f t="shared" si="37"/>
        <v>0</v>
      </c>
      <c r="F171" s="385"/>
      <c r="G171" s="171">
        <f t="shared" si="38"/>
        <v>0</v>
      </c>
      <c r="H171" s="172">
        <f>IF($G$208=0,0,G171/$G$208)</f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'[49]Sch C'!D183</f>
        <v>37228.57</v>
      </c>
      <c r="D172" s="501">
        <f>'[49]Sch C'!F183</f>
        <v>0</v>
      </c>
      <c r="E172" s="171">
        <f t="shared" si="37"/>
        <v>37228.57</v>
      </c>
      <c r="F172" s="385"/>
      <c r="G172" s="171">
        <f t="shared" si="38"/>
        <v>37228.57</v>
      </c>
      <c r="H172" s="172">
        <f t="shared" si="39"/>
        <v>1.2055511395768517E-2</v>
      </c>
      <c r="I172" s="483"/>
      <c r="J172" s="183">
        <v>1231.9000000000001</v>
      </c>
      <c r="K172" s="183">
        <v>1247.9000000000001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'[49]Sch C'!D184</f>
        <v>8253.02</v>
      </c>
      <c r="D173" s="501">
        <f>'[49]Sch C'!F184</f>
        <v>0</v>
      </c>
      <c r="E173" s="171">
        <f t="shared" si="37"/>
        <v>8253.02</v>
      </c>
      <c r="F173" s="385"/>
      <c r="G173" s="171">
        <f t="shared" si="38"/>
        <v>8253.02</v>
      </c>
      <c r="H173" s="172">
        <f t="shared" si="39"/>
        <v>2.6725274878810945E-3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'[49]Sch C'!D185</f>
        <v>0</v>
      </c>
      <c r="D174" s="501">
        <f>'[49]Sch C'!F185</f>
        <v>0</v>
      </c>
      <c r="E174" s="171">
        <f t="shared" si="37"/>
        <v>0</v>
      </c>
      <c r="F174" s="385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'[49]Sch C'!D186</f>
        <v>0</v>
      </c>
      <c r="D175" s="501">
        <f>'[49]Sch C'!F186</f>
        <v>0</v>
      </c>
      <c r="E175" s="171">
        <f t="shared" si="37"/>
        <v>0</v>
      </c>
      <c r="F175" s="385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'[49]Sch C'!D187</f>
        <v>0</v>
      </c>
      <c r="D176" s="501">
        <f>'[49]Sch C'!F187</f>
        <v>0</v>
      </c>
      <c r="E176" s="171">
        <f t="shared" si="37"/>
        <v>0</v>
      </c>
      <c r="F176" s="385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'[49]Sch C'!D188</f>
        <v>0</v>
      </c>
      <c r="D177" s="501">
        <f>'[49]Sch C'!F188</f>
        <v>0</v>
      </c>
      <c r="E177" s="171">
        <f t="shared" si="37"/>
        <v>0</v>
      </c>
      <c r="F177" s="385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'[49]Sch C'!D189</f>
        <v>0</v>
      </c>
      <c r="D178" s="501">
        <f>'[49]Sch C'!F189</f>
        <v>0</v>
      </c>
      <c r="E178" s="171">
        <f t="shared" si="37"/>
        <v>0</v>
      </c>
      <c r="F178" s="385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'[49]Sch C'!D190</f>
        <v>0</v>
      </c>
      <c r="D179" s="501">
        <f>'[49]Sch C'!F190</f>
        <v>0</v>
      </c>
      <c r="E179" s="171">
        <f t="shared" si="37"/>
        <v>0</v>
      </c>
      <c r="F179" s="385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'[49]Sch C'!D191</f>
        <v>0</v>
      </c>
      <c r="D180" s="501">
        <f>'[49]Sch C'!F191</f>
        <v>0</v>
      </c>
      <c r="E180" s="171">
        <f t="shared" si="37"/>
        <v>0</v>
      </c>
      <c r="F180" s="385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'[49]Sch C'!D192</f>
        <v>21983.919999999998</v>
      </c>
      <c r="D181" s="501">
        <f>'[49]Sch C'!F192</f>
        <v>0</v>
      </c>
      <c r="E181" s="171">
        <f t="shared" si="37"/>
        <v>21983.919999999998</v>
      </c>
      <c r="F181" s="385"/>
      <c r="G181" s="171">
        <f t="shared" si="38"/>
        <v>21983.919999999998</v>
      </c>
      <c r="H181" s="172">
        <f t="shared" si="39"/>
        <v>7.118925010648096E-3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'[49]Sch C'!D193</f>
        <v>0</v>
      </c>
      <c r="D182" s="501">
        <f>'[49]Sch C'!F193</f>
        <v>0</v>
      </c>
      <c r="E182" s="171">
        <f t="shared" si="37"/>
        <v>0</v>
      </c>
      <c r="F182" s="385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'[49]Sch C'!D194</f>
        <v>35264.149999999987</v>
      </c>
      <c r="D183" s="501">
        <f>'[49]Sch C'!F194</f>
        <v>0</v>
      </c>
      <c r="E183" s="171">
        <f t="shared" si="37"/>
        <v>35264.149999999987</v>
      </c>
      <c r="F183" s="385"/>
      <c r="G183" s="171">
        <f t="shared" si="38"/>
        <v>35264.149999999987</v>
      </c>
      <c r="H183" s="172">
        <f t="shared" si="39"/>
        <v>1.1419384687273515E-2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'[49]Sch C'!D195</f>
        <v>8823</v>
      </c>
      <c r="D184" s="501">
        <f>'[49]Sch C'!F195</f>
        <v>0</v>
      </c>
      <c r="E184" s="171">
        <f t="shared" si="37"/>
        <v>8823</v>
      </c>
      <c r="F184" s="385"/>
      <c r="G184" s="171">
        <f t="shared" si="38"/>
        <v>8823</v>
      </c>
      <c r="H184" s="172">
        <f t="shared" si="39"/>
        <v>2.8571007977170656E-3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'[49]Sch C'!D196</f>
        <v>0</v>
      </c>
      <c r="D185" s="501">
        <f>'[49]Sch C'!F196</f>
        <v>0</v>
      </c>
      <c r="E185" s="171">
        <f t="shared" si="37"/>
        <v>0</v>
      </c>
      <c r="F185" s="385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'[49]Sch C'!D197</f>
        <v>0</v>
      </c>
      <c r="D186" s="501">
        <f>'[49]Sch C'!F197</f>
        <v>0</v>
      </c>
      <c r="E186" s="171">
        <f t="shared" si="37"/>
        <v>0</v>
      </c>
      <c r="F186" s="385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'[49]Sch C'!D198</f>
        <v>0</v>
      </c>
      <c r="D187" s="501">
        <f>'[49]Sch C'!F198</f>
        <v>0</v>
      </c>
      <c r="E187" s="171">
        <f t="shared" si="37"/>
        <v>0</v>
      </c>
      <c r="F187" s="385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'[49]Sch C'!D199</f>
        <v>0</v>
      </c>
      <c r="D188" s="501">
        <f>'[49]Sch C'!F199</f>
        <v>0</v>
      </c>
      <c r="E188" s="171">
        <f t="shared" si="37"/>
        <v>0</v>
      </c>
      <c r="F188" s="385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'[49]Sch C'!D200</f>
        <v>0</v>
      </c>
      <c r="D189" s="501">
        <f>'[49]Sch C'!F200</f>
        <v>0</v>
      </c>
      <c r="E189" s="171">
        <f t="shared" si="37"/>
        <v>0</v>
      </c>
      <c r="F189" s="385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'[49]Sch C'!D201</f>
        <v>0</v>
      </c>
      <c r="D190" s="501">
        <f>'[49]Sch C'!F201</f>
        <v>0</v>
      </c>
      <c r="E190" s="171">
        <f t="shared" si="37"/>
        <v>0</v>
      </c>
      <c r="F190" s="385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'[49]Sch C'!D202</f>
        <v>0</v>
      </c>
      <c r="D191" s="501">
        <f>'[49]Sch C'!F202</f>
        <v>0</v>
      </c>
      <c r="E191" s="171">
        <f t="shared" si="37"/>
        <v>0</v>
      </c>
      <c r="F191" s="385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'[49]Sch C'!D203</f>
        <v>6594.3</v>
      </c>
      <c r="D192" s="501">
        <f>'[49]Sch C'!F203</f>
        <v>0</v>
      </c>
      <c r="E192" s="171">
        <f t="shared" si="37"/>
        <v>6594.3</v>
      </c>
      <c r="F192" s="385"/>
      <c r="G192" s="171">
        <f t="shared" si="38"/>
        <v>6594.3</v>
      </c>
      <c r="H192" s="172">
        <f t="shared" si="39"/>
        <v>2.1353938332070322E-3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'[49]Sch C'!D204</f>
        <v>0</v>
      </c>
      <c r="D193" s="501">
        <f>'[49]Sch C'!F204</f>
        <v>0</v>
      </c>
      <c r="E193" s="171">
        <f t="shared" si="37"/>
        <v>0</v>
      </c>
      <c r="F193" s="385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'[49]Sch C'!D205</f>
        <v>97187.430000000008</v>
      </c>
      <c r="D194" s="501">
        <f>'[49]Sch C'!F205</f>
        <v>0</v>
      </c>
      <c r="E194" s="171">
        <f t="shared" si="37"/>
        <v>97187.430000000008</v>
      </c>
      <c r="F194" s="385"/>
      <c r="G194" s="171">
        <f t="shared" si="38"/>
        <v>97187.430000000008</v>
      </c>
      <c r="H194" s="172">
        <f t="shared" si="39"/>
        <v>3.1471640460282384E-2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'[49]Sch C'!D206</f>
        <v>16195.689999999999</v>
      </c>
      <c r="D195" s="501">
        <f>'[49]Sch C'!F206</f>
        <v>0</v>
      </c>
      <c r="E195" s="171">
        <f t="shared" si="37"/>
        <v>16195.689999999999</v>
      </c>
      <c r="F195" s="385"/>
      <c r="G195" s="171">
        <f t="shared" si="38"/>
        <v>16195.689999999999</v>
      </c>
      <c r="H195" s="172">
        <f t="shared" si="39"/>
        <v>5.244556139473909E-3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'[49]Sch C'!D207</f>
        <v>5377.0499999999993</v>
      </c>
      <c r="D196" s="501">
        <f>'[49]Sch C'!F207</f>
        <v>0</v>
      </c>
      <c r="E196" s="171">
        <f t="shared" si="37"/>
        <v>5377.0499999999993</v>
      </c>
      <c r="F196" s="385"/>
      <c r="G196" s="171">
        <f t="shared" si="38"/>
        <v>5377.0499999999993</v>
      </c>
      <c r="H196" s="172">
        <f t="shared" si="39"/>
        <v>1.7412188421585114E-3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508585.55999999994</v>
      </c>
      <c r="D197" s="501">
        <f>SUM(D164:D196)</f>
        <v>6705</v>
      </c>
      <c r="E197" s="171">
        <f t="shared" ref="E197:F197" si="40">SUM(E164:E196)</f>
        <v>515290.55999999994</v>
      </c>
      <c r="F197" s="171">
        <f t="shared" si="40"/>
        <v>0</v>
      </c>
      <c r="G197" s="171">
        <f>SUM(G164:G196)</f>
        <v>515290.55999999994</v>
      </c>
      <c r="H197" s="172">
        <f>IF($G$208=0,0,G197/$G$208)</f>
        <v>0.16686354641641996</v>
      </c>
      <c r="I197" s="473"/>
      <c r="J197" s="168"/>
      <c r="K197" s="168"/>
    </row>
    <row r="198" spans="1:14" s="167" customFormat="1" ht="15.5">
      <c r="A198" s="163"/>
      <c r="C198" s="165"/>
      <c r="D198" s="165"/>
      <c r="E198" s="165"/>
      <c r="F198"/>
      <c r="G198" s="165"/>
      <c r="H198" s="198"/>
      <c r="I198" s="475"/>
      <c r="J198" s="168"/>
      <c r="K198" s="168"/>
    </row>
    <row r="199" spans="1:14" s="167" customFormat="1" ht="15.5">
      <c r="A199" s="169" t="s">
        <v>169</v>
      </c>
      <c r="B199" s="170" t="s">
        <v>68</v>
      </c>
      <c r="C199" s="165"/>
      <c r="D199" s="165"/>
      <c r="E199" s="165"/>
      <c r="F199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'[49]Sch C'!D211</f>
        <v>87800.71</v>
      </c>
      <c r="D200" s="501">
        <f>'[49]Sch C'!F211</f>
        <v>0</v>
      </c>
      <c r="E200" s="171">
        <f t="shared" ref="E200:E205" si="41">C200+D200</f>
        <v>87800.71</v>
      </c>
      <c r="F200" s="379"/>
      <c r="G200" s="171">
        <f t="shared" ref="G200:G205" si="42">E200+F200</f>
        <v>87800.71</v>
      </c>
      <c r="H200" s="172">
        <f t="shared" ref="H200:H206" si="43">IF($G$208=0,0,G200/$G$208)</f>
        <v>2.8431993492137E-2</v>
      </c>
      <c r="I200" s="473"/>
      <c r="J200" s="183">
        <v>7412.12</v>
      </c>
      <c r="K200" s="183">
        <v>7796.12</v>
      </c>
    </row>
    <row r="201" spans="1:14" s="167" customFormat="1">
      <c r="A201" s="169" t="s">
        <v>86</v>
      </c>
      <c r="B201" s="170" t="s">
        <v>45</v>
      </c>
      <c r="C201" s="501">
        <f>'[49]Sch C'!D212</f>
        <v>18364.870000000003</v>
      </c>
      <c r="D201" s="501">
        <f>'[49]Sch C'!F212</f>
        <v>0</v>
      </c>
      <c r="E201" s="171">
        <f t="shared" si="41"/>
        <v>18364.870000000003</v>
      </c>
      <c r="F201" s="379"/>
      <c r="G201" s="171">
        <f t="shared" si="42"/>
        <v>18364.870000000003</v>
      </c>
      <c r="H201" s="172">
        <f t="shared" si="43"/>
        <v>5.9469890884019288E-3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'[49]Sch C'!D213</f>
        <v>9674.64</v>
      </c>
      <c r="D202" s="501">
        <f>'[49]Sch C'!F213</f>
        <v>0</v>
      </c>
      <c r="E202" s="171">
        <f t="shared" si="41"/>
        <v>9674.64</v>
      </c>
      <c r="F202" s="379"/>
      <c r="G202" s="171">
        <f t="shared" si="42"/>
        <v>9674.64</v>
      </c>
      <c r="H202" s="172">
        <f t="shared" si="43"/>
        <v>3.1328824279298912E-3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'[49]Sch C'!D214</f>
        <v>0</v>
      </c>
      <c r="D203" s="501">
        <f>'[49]Sch C'!F214</f>
        <v>0</v>
      </c>
      <c r="E203" s="171">
        <f t="shared" si="41"/>
        <v>0</v>
      </c>
      <c r="F203" s="379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'[49]Sch C'!D215</f>
        <v>0</v>
      </c>
      <c r="D204" s="501">
        <f>'[49]Sch C'!F215</f>
        <v>0</v>
      </c>
      <c r="E204" s="171">
        <f t="shared" si="41"/>
        <v>0</v>
      </c>
      <c r="F204" s="379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'[49]Sch C'!D216</f>
        <v>9117.9</v>
      </c>
      <c r="D205" s="501">
        <f>'[49]Sch C'!F216</f>
        <v>0</v>
      </c>
      <c r="E205" s="171">
        <f t="shared" si="41"/>
        <v>9117.9</v>
      </c>
      <c r="F205" s="379"/>
      <c r="G205" s="171">
        <f t="shared" si="42"/>
        <v>9117.9</v>
      </c>
      <c r="H205" s="172">
        <f t="shared" si="43"/>
        <v>2.9525965503235216E-3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124958.12000000001</v>
      </c>
      <c r="D206" s="501">
        <f>SUM(D200:D205)</f>
        <v>0</v>
      </c>
      <c r="E206" s="171">
        <f t="shared" ref="E206:F206" si="44">SUM(E200:E205)</f>
        <v>124958.12000000001</v>
      </c>
      <c r="F206" s="171">
        <f t="shared" si="44"/>
        <v>0</v>
      </c>
      <c r="G206" s="171">
        <f>SUM(G200:G205)</f>
        <v>124958.12000000001</v>
      </c>
      <c r="H206" s="172">
        <f t="shared" si="43"/>
        <v>4.0464461558792346E-2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386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3483918.9792326312</v>
      </c>
      <c r="D208" s="501">
        <f>SUM(D25:D206)/2</f>
        <v>-395823.52</v>
      </c>
      <c r="E208" s="171">
        <f t="shared" ref="E208:F208" si="45">SUM(E25:E206)/2</f>
        <v>3088095.4592326316</v>
      </c>
      <c r="F208" s="171">
        <f t="shared" si="45"/>
        <v>0</v>
      </c>
      <c r="G208" s="171">
        <f>SUM(G25:G206)/2</f>
        <v>3088095.4592326316</v>
      </c>
      <c r="H208" s="172">
        <f>IF($G$208=0,0,G208/$G$208)</f>
        <v>1</v>
      </c>
      <c r="I208" s="473"/>
      <c r="J208" s="183">
        <f>SUM(J25:J200)</f>
        <v>81999.41</v>
      </c>
      <c r="K208" s="183">
        <f>SUM(K25:K200)</f>
        <v>85751.329999999987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'[49]Sch C'!D221</f>
        <v>3483918.9699999993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9.2326318845152855E-3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387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386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-47613.309232631233</v>
      </c>
      <c r="D215" s="501">
        <f>D21-D208</f>
        <v>394863.97000000003</v>
      </c>
      <c r="E215" s="171">
        <f t="shared" ref="E215:F215" si="46">E21-E208</f>
        <v>347250.66076736851</v>
      </c>
      <c r="F215" s="171">
        <f t="shared" si="46"/>
        <v>140890</v>
      </c>
      <c r="G215" s="171">
        <f>G21-G208</f>
        <v>488140.66076736851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383"/>
      <c r="G216" s="196"/>
      <c r="I216" s="475"/>
      <c r="J216" s="168"/>
      <c r="K216" s="168"/>
    </row>
    <row r="217" spans="1:11" s="167" customFormat="1" ht="15">
      <c r="A217" s="163"/>
      <c r="B217" s="228"/>
      <c r="C217" s="196"/>
      <c r="D217" s="196"/>
      <c r="E217" s="196"/>
      <c r="F217" s="416"/>
      <c r="G217" s="196"/>
      <c r="I217" s="475"/>
      <c r="J217" s="168"/>
      <c r="K217" s="168"/>
    </row>
    <row r="218" spans="1:11" ht="15">
      <c r="A218" s="163"/>
      <c r="B218" s="232" t="s">
        <v>159</v>
      </c>
      <c r="C218" s="165"/>
      <c r="D218" s="165"/>
      <c r="E218" s="165"/>
      <c r="F218" s="416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'[49]Sch D'!C9</f>
        <v>5119</v>
      </c>
      <c r="D219" s="530"/>
      <c r="E219" s="234">
        <f t="shared" ref="E219:G227" si="47">C219+D219</f>
        <v>5119</v>
      </c>
      <c r="F219" s="388"/>
      <c r="G219" s="234">
        <f t="shared" si="47"/>
        <v>5119</v>
      </c>
      <c r="H219" s="172">
        <f t="shared" ref="H219:H228" si="48">IF($G$228=0,0,G219/$G$228)</f>
        <v>0.46221218961625282</v>
      </c>
      <c r="I219" s="473"/>
      <c r="J219" s="168"/>
      <c r="K219" s="168"/>
    </row>
    <row r="220" spans="1:11">
      <c r="A220" s="163"/>
      <c r="B220" s="170" t="s">
        <v>217</v>
      </c>
      <c r="C220" s="530">
        <f>'[49]Sch D'!D9</f>
        <v>0</v>
      </c>
      <c r="D220" s="530"/>
      <c r="E220" s="234">
        <f t="shared" ref="E220:E227" si="49">C220+D220</f>
        <v>0</v>
      </c>
      <c r="F220" s="388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'[49]Sch D'!E9</f>
        <v>3750</v>
      </c>
      <c r="D221" s="530"/>
      <c r="E221" s="234">
        <f t="shared" si="49"/>
        <v>3750</v>
      </c>
      <c r="F221" s="388"/>
      <c r="G221" s="234">
        <f t="shared" si="47"/>
        <v>3750</v>
      </c>
      <c r="H221" s="172">
        <f t="shared" si="48"/>
        <v>0.33860045146726864</v>
      </c>
      <c r="I221" s="473"/>
      <c r="J221" s="168"/>
      <c r="K221" s="168"/>
    </row>
    <row r="222" spans="1:11">
      <c r="A222" s="163"/>
      <c r="B222" s="202" t="s">
        <v>334</v>
      </c>
      <c r="C222" s="530">
        <f>'[49]Sch D'!F9</f>
        <v>482</v>
      </c>
      <c r="D222" s="530"/>
      <c r="E222" s="234">
        <f>C222+D222</f>
        <v>482</v>
      </c>
      <c r="F222" s="388"/>
      <c r="G222" s="234">
        <f>E222+F222</f>
        <v>482</v>
      </c>
      <c r="H222" s="172">
        <f t="shared" si="48"/>
        <v>4.3521444695259592E-2</v>
      </c>
      <c r="I222" s="473"/>
      <c r="J222" s="168"/>
      <c r="K222" s="168"/>
    </row>
    <row r="223" spans="1:11">
      <c r="A223" s="163"/>
      <c r="B223" s="170" t="s">
        <v>73</v>
      </c>
      <c r="C223" s="530">
        <f>'[49]Sch D'!G9</f>
        <v>0</v>
      </c>
      <c r="D223" s="530"/>
      <c r="E223" s="234">
        <f t="shared" si="49"/>
        <v>0</v>
      </c>
      <c r="F223" s="388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'[49]Sch D'!H9</f>
        <v>1477</v>
      </c>
      <c r="D224" s="530"/>
      <c r="E224" s="234">
        <f t="shared" si="49"/>
        <v>1477</v>
      </c>
      <c r="F224" s="388"/>
      <c r="G224" s="234">
        <f t="shared" si="47"/>
        <v>1477</v>
      </c>
      <c r="H224" s="172">
        <f t="shared" si="48"/>
        <v>0.13336343115124152</v>
      </c>
      <c r="I224" s="473"/>
      <c r="J224" s="168"/>
      <c r="K224" s="168"/>
    </row>
    <row r="225" spans="1:11">
      <c r="A225" s="163"/>
      <c r="B225" s="170" t="s">
        <v>236</v>
      </c>
      <c r="C225" s="530">
        <f>'[49]Sch D'!I9</f>
        <v>242</v>
      </c>
      <c r="D225" s="530"/>
      <c r="E225" s="234">
        <f t="shared" si="49"/>
        <v>242</v>
      </c>
      <c r="F225" s="388"/>
      <c r="G225" s="234">
        <f t="shared" si="47"/>
        <v>242</v>
      </c>
      <c r="H225" s="172">
        <f t="shared" si="48"/>
        <v>2.1851015801354401E-2</v>
      </c>
      <c r="I225" s="473"/>
      <c r="J225" s="168"/>
      <c r="K225" s="168"/>
    </row>
    <row r="226" spans="1:11">
      <c r="A226" s="163"/>
      <c r="B226" s="170" t="s">
        <v>235</v>
      </c>
      <c r="C226" s="530">
        <f>'[49]Sch D'!J9</f>
        <v>5</v>
      </c>
      <c r="D226" s="530"/>
      <c r="E226" s="234">
        <f>C226+D226</f>
        <v>5</v>
      </c>
      <c r="F226" s="388"/>
      <c r="G226" s="234">
        <f>E226+F226</f>
        <v>5</v>
      </c>
      <c r="H226" s="172">
        <f t="shared" si="48"/>
        <v>4.514672686230248E-4</v>
      </c>
      <c r="I226" s="473"/>
      <c r="J226" s="168"/>
      <c r="K226" s="168"/>
    </row>
    <row r="227" spans="1:11">
      <c r="A227" s="163"/>
      <c r="B227" s="170" t="s">
        <v>179</v>
      </c>
      <c r="C227" s="530">
        <f>'[49]Sch D'!K9</f>
        <v>0</v>
      </c>
      <c r="D227" s="530"/>
      <c r="E227" s="234">
        <f t="shared" si="49"/>
        <v>0</v>
      </c>
      <c r="F227" s="388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11075</v>
      </c>
      <c r="D228" s="530">
        <f>SUM(D219:D227)</f>
        <v>0</v>
      </c>
      <c r="E228" s="236">
        <f>SUM(E219:E227)</f>
        <v>11075</v>
      </c>
      <c r="F228" s="236">
        <f>SUM(F219:F227)</f>
        <v>0</v>
      </c>
      <c r="G228" s="236">
        <f>SUM(G219:G227)</f>
        <v>11075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392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387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'[49]Sch D'!N22</f>
        <v>58</v>
      </c>
      <c r="D231" s="502"/>
      <c r="E231" s="234">
        <f>C231+D231</f>
        <v>58</v>
      </c>
      <c r="F231" s="393"/>
      <c r="G231" s="234">
        <f>E231</f>
        <v>58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'[49]Sch D'!N24</f>
        <v>58</v>
      </c>
      <c r="D232" s="502"/>
      <c r="E232" s="234">
        <f>C232+D232</f>
        <v>58</v>
      </c>
      <c r="F232" s="393"/>
      <c r="G232" s="234">
        <f>E232</f>
        <v>58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390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390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'[49]Sch D'!N28</f>
        <v>21170</v>
      </c>
      <c r="D235" s="438"/>
      <c r="E235" s="233">
        <f>E231*E233</f>
        <v>21170</v>
      </c>
      <c r="F235" s="551"/>
      <c r="G235" s="233">
        <f>G231*G233</f>
        <v>21170</v>
      </c>
      <c r="H235" s="370"/>
      <c r="I235" s="475"/>
      <c r="J235" s="168"/>
      <c r="K235" s="168"/>
    </row>
    <row r="236" spans="1:11" ht="26">
      <c r="A236" s="163"/>
      <c r="B236" s="241" t="s">
        <v>336</v>
      </c>
      <c r="C236" s="532">
        <f>'[49]Sch D'!N30</f>
        <v>0.52314596126594237</v>
      </c>
      <c r="D236" s="238"/>
      <c r="E236" s="242">
        <f>E228/E235</f>
        <v>0.52314596126594237</v>
      </c>
      <c r="F236" s="513"/>
      <c r="G236" s="242">
        <f>G228/G235</f>
        <v>0.52314596126594237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'[49]Sch D'!N32</f>
        <v>0.24180444024563061</v>
      </c>
      <c r="D237" s="238"/>
      <c r="E237" s="242">
        <f>(E219+E220)/E235</f>
        <v>0.24180444024563061</v>
      </c>
      <c r="F237" s="513"/>
      <c r="G237" s="242">
        <f>(G219+G220)/G235</f>
        <v>0.24180444024563061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'[49]Sch D'!N34</f>
        <v>0.46221218961625282</v>
      </c>
      <c r="D238" s="238"/>
      <c r="E238" s="242">
        <f>(E237/E236)</f>
        <v>0.46221218961625282</v>
      </c>
      <c r="F238" s="513"/>
      <c r="G238" s="242">
        <f>(G237/G236)</f>
        <v>0.46221218961625282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374" t="s">
        <v>340</v>
      </c>
      <c r="G241" s="501">
        <f>'[49]Sch B'!C85</f>
        <v>142.6837109375</v>
      </c>
      <c r="I241" s="475"/>
    </row>
    <row r="242" spans="2:9">
      <c r="F242" s="374" t="s">
        <v>341</v>
      </c>
      <c r="G242" s="501">
        <f>'[49]Sch B'!E85</f>
        <v>141.11692753623188</v>
      </c>
      <c r="I242" s="475"/>
    </row>
    <row r="243" spans="2:9">
      <c r="F243" s="374" t="s">
        <v>342</v>
      </c>
      <c r="G243" s="501">
        <f>'[49]Sch B'!G85</f>
        <v>152.90830188679246</v>
      </c>
      <c r="I243" s="475"/>
    </row>
    <row r="244" spans="2:9">
      <c r="F244" s="374" t="s">
        <v>343</v>
      </c>
      <c r="G244" s="501">
        <f>'[49]Sch B'!I85</f>
        <v>153.49944554455445</v>
      </c>
      <c r="I244" s="475"/>
    </row>
    <row r="245" spans="2:9">
      <c r="F245" s="374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3">
    <tabColor rgb="FFE28CAB"/>
  </sheetPr>
  <dimension ref="A1:O247"/>
  <sheetViews>
    <sheetView showGridLines="0" topLeftCell="A203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475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74"/>
    </row>
    <row r="2" spans="1:11" ht="23">
      <c r="B2" s="143" t="s">
        <v>189</v>
      </c>
      <c r="C2" s="244" t="s">
        <v>357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476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'[50]Sch B'!E10</f>
        <v>2120155.17</v>
      </c>
      <c r="D11" s="501">
        <f>'[50]Sch B'!G10</f>
        <v>0</v>
      </c>
      <c r="E11" s="171">
        <f>C11+D11</f>
        <v>2120155.17</v>
      </c>
      <c r="F11" s="171"/>
      <c r="G11" s="171">
        <f t="shared" ref="G11:G20" si="0">E11+F11</f>
        <v>2120155.17</v>
      </c>
      <c r="H11" s="172">
        <f t="shared" ref="H11:H21" si="1">IF($G$21=0,0,G11/$G$21)</f>
        <v>0.50364569920962032</v>
      </c>
      <c r="I11" s="473"/>
      <c r="J11" s="336" t="s">
        <v>344</v>
      </c>
      <c r="K11" s="337">
        <f>G21</f>
        <v>4209616.3500000006</v>
      </c>
    </row>
    <row r="12" spans="1:11" s="167" customFormat="1">
      <c r="A12" s="169" t="s">
        <v>15</v>
      </c>
      <c r="B12" s="170" t="s">
        <v>212</v>
      </c>
      <c r="C12" s="501">
        <f>'[50]Sch B'!E15</f>
        <v>0</v>
      </c>
      <c r="D12" s="501">
        <f>'[50]Sch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4724407.2600000016</v>
      </c>
    </row>
    <row r="13" spans="1:11" s="167" customFormat="1">
      <c r="A13" s="169" t="s">
        <v>16</v>
      </c>
      <c r="B13" s="170" t="s">
        <v>170</v>
      </c>
      <c r="C13" s="501">
        <f>'[50]Sch B'!E21</f>
        <v>1116529.78</v>
      </c>
      <c r="D13" s="501">
        <f>'[50]Sch B'!G21</f>
        <v>0</v>
      </c>
      <c r="E13" s="171">
        <f t="shared" si="2"/>
        <v>1116529.78</v>
      </c>
      <c r="F13" s="171"/>
      <c r="G13" s="171">
        <f t="shared" si="0"/>
        <v>1116529.78</v>
      </c>
      <c r="H13" s="172">
        <f t="shared" si="1"/>
        <v>0.26523314410825105</v>
      </c>
      <c r="I13" s="473"/>
      <c r="J13" s="338" t="s">
        <v>346</v>
      </c>
      <c r="K13" s="339">
        <f>G228</f>
        <v>17223</v>
      </c>
    </row>
    <row r="14" spans="1:11" s="167" customFormat="1">
      <c r="A14" s="173" t="s">
        <v>18</v>
      </c>
      <c r="B14" s="174" t="s">
        <v>306</v>
      </c>
      <c r="C14" s="501">
        <f>'[50]Sch B'!E27</f>
        <v>449245.45000000007</v>
      </c>
      <c r="D14" s="501">
        <f>'[50]Sch B'!G27</f>
        <v>0</v>
      </c>
      <c r="E14" s="171">
        <f t="shared" si="2"/>
        <v>449245.45000000007</v>
      </c>
      <c r="F14" s="175"/>
      <c r="G14" s="175">
        <f>E14+F14</f>
        <v>449245.45000000007</v>
      </c>
      <c r="H14" s="176">
        <f t="shared" si="1"/>
        <v>0.10671885812112071</v>
      </c>
      <c r="I14" s="479"/>
      <c r="J14" s="338" t="s">
        <v>347</v>
      </c>
      <c r="K14" s="339">
        <f>G231</f>
        <v>76</v>
      </c>
    </row>
    <row r="15" spans="1:11" s="167" customFormat="1">
      <c r="A15" s="169" t="s">
        <v>19</v>
      </c>
      <c r="B15" s="170" t="s">
        <v>171</v>
      </c>
      <c r="C15" s="501">
        <f>'[50]Sch B'!E32</f>
        <v>0</v>
      </c>
      <c r="D15" s="501">
        <f>'[50]Sch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27740</v>
      </c>
    </row>
    <row r="16" spans="1:11" s="167" customFormat="1">
      <c r="A16" s="169" t="s">
        <v>21</v>
      </c>
      <c r="B16" s="170" t="s">
        <v>172</v>
      </c>
      <c r="C16" s="501">
        <f>'[50]Sch B'!E37</f>
        <v>192870.81</v>
      </c>
      <c r="D16" s="501">
        <f>'[50]Sch B'!G37</f>
        <v>0</v>
      </c>
      <c r="E16" s="171">
        <f t="shared" si="2"/>
        <v>192870.81</v>
      </c>
      <c r="F16" s="171"/>
      <c r="G16" s="171">
        <f t="shared" si="0"/>
        <v>192870.81</v>
      </c>
      <c r="H16" s="172">
        <f t="shared" si="1"/>
        <v>4.5816719141163531E-2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'[50]Sch B'!E42</f>
        <v>278012.45</v>
      </c>
      <c r="D17" s="501">
        <f>'[50]Sch B'!G42</f>
        <v>0</v>
      </c>
      <c r="E17" s="171">
        <f t="shared" si="2"/>
        <v>278012.45</v>
      </c>
      <c r="F17" s="171"/>
      <c r="G17" s="171">
        <f>E17+F17</f>
        <v>278012.45</v>
      </c>
      <c r="H17" s="172">
        <f t="shared" si="1"/>
        <v>6.6042229715304102E-2</v>
      </c>
      <c r="I17" s="473"/>
      <c r="J17" s="338" t="s">
        <v>156</v>
      </c>
      <c r="K17" s="339">
        <f>J208</f>
        <v>117607.95999999999</v>
      </c>
    </row>
    <row r="18" spans="1:11" s="167" customFormat="1" ht="13.5" thickBot="1">
      <c r="A18" s="169" t="s">
        <v>216</v>
      </c>
      <c r="B18" s="170" t="s">
        <v>229</v>
      </c>
      <c r="C18" s="501">
        <f>'[50]Sch B'!E47</f>
        <v>17540</v>
      </c>
      <c r="D18" s="501">
        <f>'[50]Sch B'!G47</f>
        <v>0</v>
      </c>
      <c r="E18" s="171">
        <f t="shared" si="2"/>
        <v>17540</v>
      </c>
      <c r="F18" s="171"/>
      <c r="G18" s="171">
        <f>E18+F18</f>
        <v>17540</v>
      </c>
      <c r="H18" s="172">
        <f t="shared" si="1"/>
        <v>4.166650483481707E-3</v>
      </c>
      <c r="I18" s="473"/>
      <c r="J18" s="341" t="s">
        <v>252</v>
      </c>
      <c r="K18" s="342">
        <f>K208</f>
        <v>125678.84</v>
      </c>
    </row>
    <row r="19" spans="1:11" s="167" customFormat="1">
      <c r="A19" s="169" t="s">
        <v>227</v>
      </c>
      <c r="B19" s="177" t="s">
        <v>173</v>
      </c>
      <c r="C19" s="501">
        <f>'[50]Sch B'!E52</f>
        <v>0</v>
      </c>
      <c r="D19" s="501">
        <f>'[50]Sch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'[50]Sch B'!E67</f>
        <v>35262.689999999995</v>
      </c>
      <c r="D20" s="501">
        <f>'[50]Sch B'!G67</f>
        <v>0</v>
      </c>
      <c r="E20" s="171">
        <f t="shared" si="2"/>
        <v>35262.689999999995</v>
      </c>
      <c r="F20" s="171"/>
      <c r="G20" s="171">
        <f t="shared" si="0"/>
        <v>35262.689999999995</v>
      </c>
      <c r="H20" s="172">
        <f t="shared" si="1"/>
        <v>8.376699221058468E-3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4209616.3500000006</v>
      </c>
      <c r="D21" s="501">
        <f>SUM(D11:D20)</f>
        <v>0</v>
      </c>
      <c r="E21" s="171">
        <f>SUM(E11:E20)</f>
        <v>4209616.3500000006</v>
      </c>
      <c r="F21" s="171">
        <f>SUM(F11:F20)</f>
        <v>0</v>
      </c>
      <c r="G21" s="171">
        <f>SUM(G11:G20)</f>
        <v>4209616.3500000006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</row>
    <row r="24" spans="1:11">
      <c r="A24" s="181" t="s">
        <v>161</v>
      </c>
      <c r="B24" s="148" t="s">
        <v>12</v>
      </c>
    </row>
    <row r="25" spans="1:11" s="167" customFormat="1">
      <c r="A25" s="169" t="s">
        <v>83</v>
      </c>
      <c r="B25" s="170" t="s">
        <v>14</v>
      </c>
      <c r="C25" s="501">
        <f>'[50]Sch C'!D10</f>
        <v>89053.59</v>
      </c>
      <c r="D25" s="501">
        <f>'[50]Sch C'!F10</f>
        <v>0</v>
      </c>
      <c r="E25" s="171">
        <f t="shared" ref="E25:E60" si="3">C25+D25</f>
        <v>89053.59</v>
      </c>
      <c r="F25" s="171"/>
      <c r="G25" s="182">
        <f>E25+F25</f>
        <v>89053.59</v>
      </c>
      <c r="H25" s="172">
        <f>IF($G$208=0,0,G25/$G$208)</f>
        <v>1.8849685283059185E-2</v>
      </c>
      <c r="I25" s="473"/>
      <c r="J25" s="183">
        <v>1986.74</v>
      </c>
      <c r="K25" s="183">
        <v>2141.36</v>
      </c>
    </row>
    <row r="26" spans="1:11" s="167" customFormat="1">
      <c r="A26" s="169" t="s">
        <v>84</v>
      </c>
      <c r="B26" s="170" t="s">
        <v>176</v>
      </c>
      <c r="C26" s="501">
        <f>'[50]Sch C'!D11</f>
        <v>0</v>
      </c>
      <c r="D26" s="501">
        <f>'[50]Sch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'[50]Sch C'!D12</f>
        <v>112047.62</v>
      </c>
      <c r="D27" s="501">
        <f>'[50]Sch C'!F12</f>
        <v>0</v>
      </c>
      <c r="E27" s="171">
        <f t="shared" si="3"/>
        <v>112047.62</v>
      </c>
      <c r="F27" s="171"/>
      <c r="G27" s="171">
        <f t="shared" si="4"/>
        <v>112047.62</v>
      </c>
      <c r="H27" s="172">
        <f t="shared" si="5"/>
        <v>2.3716757221306943E-2</v>
      </c>
      <c r="I27" s="473"/>
      <c r="J27" s="183">
        <v>5101.78</v>
      </c>
      <c r="K27" s="183">
        <v>5473.38</v>
      </c>
    </row>
    <row r="28" spans="1:11" s="167" customFormat="1">
      <c r="A28" s="169" t="s">
        <v>86</v>
      </c>
      <c r="B28" s="170" t="s">
        <v>45</v>
      </c>
      <c r="C28" s="501">
        <f>'[50]Sch C'!D13</f>
        <v>286790.84000000003</v>
      </c>
      <c r="D28" s="501">
        <f>'[50]Sch C'!F13</f>
        <v>-258365.86456386617</v>
      </c>
      <c r="E28" s="171">
        <f t="shared" si="3"/>
        <v>28424.975436133856</v>
      </c>
      <c r="F28" s="171"/>
      <c r="G28" s="171">
        <f t="shared" si="4"/>
        <v>28424.975436133856</v>
      </c>
      <c r="H28" s="172">
        <f t="shared" si="5"/>
        <v>6.016622588149576E-3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'[50]Sch C'!D14</f>
        <v>0</v>
      </c>
      <c r="D29" s="501">
        <f>'[50]Sch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'[50]Sch C'!D15</f>
        <v>140000</v>
      </c>
      <c r="D30" s="501">
        <f>'[50]Sch C'!F15</f>
        <v>-140000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'[50]Sch C'!D16</f>
        <v>0</v>
      </c>
      <c r="D31" s="501">
        <f>'[50]Sch C'!F16</f>
        <v>157361</v>
      </c>
      <c r="E31" s="171">
        <f t="shared" si="3"/>
        <v>157361</v>
      </c>
      <c r="F31" s="171"/>
      <c r="G31" s="171">
        <f t="shared" si="4"/>
        <v>157361</v>
      </c>
      <c r="H31" s="172">
        <f t="shared" si="5"/>
        <v>3.3308093764973165E-2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'[50]Sch C'!D17</f>
        <v>2938.46</v>
      </c>
      <c r="D32" s="501">
        <f>'[50]Sch C'!F17</f>
        <v>-2938</v>
      </c>
      <c r="E32" s="171">
        <f t="shared" si="3"/>
        <v>0.46000000000003638</v>
      </c>
      <c r="F32" s="171"/>
      <c r="G32" s="171">
        <f t="shared" si="4"/>
        <v>0.46000000000003638</v>
      </c>
      <c r="H32" s="172">
        <f t="shared" si="5"/>
        <v>9.7366711776671904E-8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'[50]Sch C'!D18</f>
        <v>14124.82</v>
      </c>
      <c r="D33" s="501">
        <f>'[50]Sch C'!F18</f>
        <v>0</v>
      </c>
      <c r="E33" s="171">
        <f t="shared" si="3"/>
        <v>14124.82</v>
      </c>
      <c r="F33" s="171"/>
      <c r="G33" s="171">
        <f t="shared" si="4"/>
        <v>14124.82</v>
      </c>
      <c r="H33" s="172">
        <f t="shared" si="5"/>
        <v>2.9897549518201347E-3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'[50]Sch C'!D19</f>
        <v>8891.18</v>
      </c>
      <c r="D34" s="501">
        <f>'[50]Sch C'!F19</f>
        <v>0</v>
      </c>
      <c r="E34" s="171">
        <f t="shared" si="3"/>
        <v>8891.18</v>
      </c>
      <c r="F34" s="171"/>
      <c r="G34" s="171">
        <f t="shared" si="4"/>
        <v>8891.18</v>
      </c>
      <c r="H34" s="172">
        <f t="shared" si="5"/>
        <v>1.8819673052487852E-3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'[50]Sch C'!D20</f>
        <v>8660.44</v>
      </c>
      <c r="D35" s="501">
        <f>'[50]Sch C'!F20</f>
        <v>0</v>
      </c>
      <c r="E35" s="171">
        <f t="shared" si="3"/>
        <v>8660.44</v>
      </c>
      <c r="F35" s="171"/>
      <c r="G35" s="171">
        <f t="shared" si="4"/>
        <v>8660.44</v>
      </c>
      <c r="H35" s="172">
        <f t="shared" si="5"/>
        <v>1.8331273159545515E-3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'[50]Sch C'!D21</f>
        <v>52199.31</v>
      </c>
      <c r="D36" s="501">
        <f>'[50]Sch C'!F21</f>
        <v>0</v>
      </c>
      <c r="E36" s="171">
        <f t="shared" si="3"/>
        <v>52199.31</v>
      </c>
      <c r="F36" s="171"/>
      <c r="G36" s="171">
        <f t="shared" si="4"/>
        <v>52199.31</v>
      </c>
      <c r="H36" s="172">
        <f t="shared" si="5"/>
        <v>1.1048859068936403E-2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'[50]Sch C'!D22</f>
        <v>0</v>
      </c>
      <c r="D37" s="501">
        <f>'[50]Sch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'[50]Sch C'!D23</f>
        <v>8348.83</v>
      </c>
      <c r="D38" s="501">
        <f>'[50]Sch C'!F23</f>
        <v>0</v>
      </c>
      <c r="E38" s="171">
        <f t="shared" si="3"/>
        <v>8348.83</v>
      </c>
      <c r="F38" s="171"/>
      <c r="G38" s="171">
        <f t="shared" si="4"/>
        <v>8348.83</v>
      </c>
      <c r="H38" s="172">
        <f t="shared" si="5"/>
        <v>1.7671698353964509E-3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'[50]Sch C'!D24</f>
        <v>43601.86</v>
      </c>
      <c r="D39" s="501">
        <f>'[50]Sch C'!F24</f>
        <v>0</v>
      </c>
      <c r="E39" s="171">
        <f t="shared" si="3"/>
        <v>43601.86</v>
      </c>
      <c r="F39" s="171"/>
      <c r="G39" s="171">
        <f t="shared" si="4"/>
        <v>43601.86</v>
      </c>
      <c r="H39" s="172">
        <f t="shared" si="5"/>
        <v>9.2290646424923132E-3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'[50]Sch C'!D25</f>
        <v>0</v>
      </c>
      <c r="D40" s="501">
        <f>'[50]Sch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'[50]Sch C'!D26</f>
        <v>266489.48</v>
      </c>
      <c r="D41" s="501">
        <f>'[50]Sch C'!F26</f>
        <v>0</v>
      </c>
      <c r="E41" s="171">
        <f t="shared" si="3"/>
        <v>266489.48</v>
      </c>
      <c r="F41" s="171"/>
      <c r="G41" s="171">
        <f t="shared" si="4"/>
        <v>266489.48</v>
      </c>
      <c r="H41" s="172">
        <f t="shared" si="5"/>
        <v>5.6406966066680692E-2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'[50]Sch C'!D27</f>
        <v>0</v>
      </c>
      <c r="D42" s="501">
        <f>'[50]Sch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'[50]Sch C'!D28</f>
        <v>0</v>
      </c>
      <c r="D43" s="501">
        <f>'[50]Sch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'[50]Sch C'!D29</f>
        <v>155515.35</v>
      </c>
      <c r="D44" s="501">
        <f>'[50]Sch C'!F29</f>
        <v>-155515.35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'[50]Sch C'!D30</f>
        <v>0</v>
      </c>
      <c r="D45" s="501">
        <f>'[50]Sch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'[50]Sch C'!D31</f>
        <v>31375.78</v>
      </c>
      <c r="D46" s="501">
        <f>'[50]Sch C'!F31</f>
        <v>0</v>
      </c>
      <c r="E46" s="171">
        <f t="shared" si="3"/>
        <v>31375.78</v>
      </c>
      <c r="F46" s="171"/>
      <c r="G46" s="171">
        <f t="shared" si="4"/>
        <v>31375.78</v>
      </c>
      <c r="H46" s="172">
        <f t="shared" si="5"/>
        <v>6.641209843539185E-3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'[50]Sch C'!D32</f>
        <v>14690.24</v>
      </c>
      <c r="D47" s="501">
        <f>'[50]Sch C'!F32</f>
        <v>0</v>
      </c>
      <c r="E47" s="171">
        <f t="shared" si="3"/>
        <v>14690.24</v>
      </c>
      <c r="F47" s="171"/>
      <c r="G47" s="171">
        <f t="shared" si="4"/>
        <v>14690.24</v>
      </c>
      <c r="H47" s="172">
        <f t="shared" si="5"/>
        <v>3.1094355739348335E-3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'[50]Sch C'!D33</f>
        <v>0</v>
      </c>
      <c r="D48" s="501">
        <f>'[50]Sch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'[50]Sch C'!D34</f>
        <v>0</v>
      </c>
      <c r="D49" s="501">
        <f>'[50]Sch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'[50]Sch C'!D35</f>
        <v>0</v>
      </c>
      <c r="D50" s="501">
        <f>'[50]Sch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'[50]Sch C'!D36</f>
        <v>4723.32</v>
      </c>
      <c r="D51" s="501">
        <f>'[50]Sch C'!F36</f>
        <v>0</v>
      </c>
      <c r="E51" s="171">
        <f t="shared" si="3"/>
        <v>4723.32</v>
      </c>
      <c r="F51" s="171"/>
      <c r="G51" s="171">
        <f t="shared" si="4"/>
        <v>4723.32</v>
      </c>
      <c r="H51" s="172">
        <f t="shared" si="5"/>
        <v>9.997698631933772E-4</v>
      </c>
      <c r="I51" s="473"/>
      <c r="J51" s="183">
        <v>454.02</v>
      </c>
      <c r="K51" s="183">
        <v>446.91</v>
      </c>
    </row>
    <row r="52" spans="1:11" s="167" customFormat="1">
      <c r="A52" s="163">
        <v>290</v>
      </c>
      <c r="B52" s="170" t="s">
        <v>205</v>
      </c>
      <c r="C52" s="501">
        <f>'[50]Sch C'!D37</f>
        <v>0</v>
      </c>
      <c r="D52" s="501">
        <f>'[50]Sch C'!F37</f>
        <v>667.62529662054135</v>
      </c>
      <c r="E52" s="171">
        <f t="shared" si="3"/>
        <v>667.62529662054135</v>
      </c>
      <c r="F52" s="171"/>
      <c r="G52" s="171">
        <f t="shared" si="4"/>
        <v>667.62529662054135</v>
      </c>
      <c r="H52" s="172">
        <f t="shared" si="5"/>
        <v>1.4131408658883085E-4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'[50]Sch C'!D38</f>
        <v>438.4</v>
      </c>
      <c r="D53" s="501">
        <f>'[50]Sch C'!F38</f>
        <v>0</v>
      </c>
      <c r="E53" s="171">
        <f t="shared" si="3"/>
        <v>438.4</v>
      </c>
      <c r="F53" s="171"/>
      <c r="G53" s="171">
        <f t="shared" si="4"/>
        <v>438.4</v>
      </c>
      <c r="H53" s="172">
        <f t="shared" si="5"/>
        <v>9.2794709658455609E-5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'[50]Sch C'!D39</f>
        <v>4707.5200000000004</v>
      </c>
      <c r="D54" s="501">
        <f>'[50]Sch C'!F39</f>
        <v>0</v>
      </c>
      <c r="E54" s="171">
        <f t="shared" si="3"/>
        <v>4707.5200000000004</v>
      </c>
      <c r="F54" s="171"/>
      <c r="G54" s="171">
        <f t="shared" si="4"/>
        <v>4707.5200000000004</v>
      </c>
      <c r="H54" s="172">
        <f t="shared" si="5"/>
        <v>9.9642552831061357E-4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'[50]Sch C'!D40</f>
        <v>2905.55</v>
      </c>
      <c r="D55" s="501">
        <f>'[50]Sch C'!F40</f>
        <v>-2906</v>
      </c>
      <c r="E55" s="171">
        <f t="shared" si="3"/>
        <v>-0.4499999999998181</v>
      </c>
      <c r="F55" s="171"/>
      <c r="G55" s="171">
        <f t="shared" si="4"/>
        <v>-0.4499999999998181</v>
      </c>
      <c r="H55" s="172">
        <f t="shared" si="5"/>
        <v>-9.5250044129306908E-8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'[50]Sch C'!D41</f>
        <v>803.7</v>
      </c>
      <c r="D56" s="501">
        <f>'[50]Sch C'!F41</f>
        <v>0</v>
      </c>
      <c r="E56" s="171">
        <f t="shared" si="3"/>
        <v>803.7</v>
      </c>
      <c r="F56" s="171"/>
      <c r="G56" s="171">
        <f t="shared" si="4"/>
        <v>803.7</v>
      </c>
      <c r="H56" s="172">
        <f t="shared" si="5"/>
        <v>1.7011657881501092E-4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'[50]Sch C'!D42</f>
        <v>2326</v>
      </c>
      <c r="D57" s="501">
        <f>'[50]Sch C'!F42</f>
        <v>0</v>
      </c>
      <c r="E57" s="171">
        <f t="shared" si="3"/>
        <v>2326</v>
      </c>
      <c r="F57" s="171"/>
      <c r="G57" s="171">
        <f t="shared" si="4"/>
        <v>2326</v>
      </c>
      <c r="H57" s="172">
        <f t="shared" si="5"/>
        <v>4.9233689476634989E-4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'[50]Sch C'!D43</f>
        <v>10350.41</v>
      </c>
      <c r="D58" s="501">
        <f>'[50]Sch C'!F43</f>
        <v>0</v>
      </c>
      <c r="E58" s="171">
        <f t="shared" si="3"/>
        <v>10350.41</v>
      </c>
      <c r="F58" s="171"/>
      <c r="G58" s="171">
        <f t="shared" si="4"/>
        <v>10350.41</v>
      </c>
      <c r="H58" s="172">
        <f t="shared" si="5"/>
        <v>2.1908377983484847E-3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'[50]Sch C'!D44</f>
        <v>0</v>
      </c>
      <c r="D59" s="501">
        <f>'[50]Sch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'[50]Sch C'!D45</f>
        <v>1381.34</v>
      </c>
      <c r="D60" s="501">
        <f>'[50]Sch C'!F45</f>
        <v>0</v>
      </c>
      <c r="E60" s="171">
        <f t="shared" si="3"/>
        <v>1381.34</v>
      </c>
      <c r="F60" s="171"/>
      <c r="G60" s="171">
        <f t="shared" si="4"/>
        <v>1381.34</v>
      </c>
      <c r="H60" s="172">
        <f t="shared" si="5"/>
        <v>2.9238376879473329E-4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1262364.04</v>
      </c>
      <c r="D61" s="501">
        <f>SUM(D25:D60)</f>
        <v>-401696.58926724561</v>
      </c>
      <c r="E61" s="171">
        <f t="shared" ref="E61:F61" si="6">SUM(E25:E60)</f>
        <v>860667.45073275443</v>
      </c>
      <c r="F61" s="171">
        <f t="shared" si="6"/>
        <v>0</v>
      </c>
      <c r="G61" s="171">
        <f>SUM(G25:G60)</f>
        <v>860667.45073275443</v>
      </c>
      <c r="H61" s="186">
        <f t="shared" si="5"/>
        <v>0.18217469480663573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'[50]Sch C'!D57</f>
        <v>600000</v>
      </c>
      <c r="D64" s="501">
        <f>'[50]Sch C'!F57</f>
        <v>-600000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'[50]Sch C'!D58</f>
        <v>0</v>
      </c>
      <c r="D65" s="501">
        <f>'[50]Sch C'!F58</f>
        <v>222961</v>
      </c>
      <c r="E65" s="171">
        <f t="shared" si="7"/>
        <v>222961</v>
      </c>
      <c r="F65" s="171"/>
      <c r="G65" s="171">
        <f t="shared" si="8"/>
        <v>222961</v>
      </c>
      <c r="H65" s="172">
        <f t="shared" si="9"/>
        <v>4.7193433531384409E-2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'[50]Sch C'!D59</f>
        <v>0</v>
      </c>
      <c r="D66" s="501">
        <f>'[50]Sch C'!F59</f>
        <v>365510</v>
      </c>
      <c r="E66" s="171">
        <f t="shared" si="7"/>
        <v>365510</v>
      </c>
      <c r="F66" s="171"/>
      <c r="G66" s="171">
        <f t="shared" si="8"/>
        <v>365510</v>
      </c>
      <c r="H66" s="172">
        <f t="shared" si="9"/>
        <v>7.7366319177148979E-2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'[50]Sch C'!D60</f>
        <v>225.76</v>
      </c>
      <c r="D67" s="501">
        <f>'[50]Sch C'!F60</f>
        <v>35434</v>
      </c>
      <c r="E67" s="171">
        <f t="shared" si="7"/>
        <v>35659.760000000002</v>
      </c>
      <c r="F67" s="171"/>
      <c r="G67" s="171">
        <f t="shared" si="8"/>
        <v>35659.760000000002</v>
      </c>
      <c r="H67" s="172">
        <f t="shared" si="9"/>
        <v>7.5479860303152586E-3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'[50]Sch C'!D61</f>
        <v>0</v>
      </c>
      <c r="D68" s="501">
        <f>'[50]Sch C'!F61</f>
        <v>38599</v>
      </c>
      <c r="E68" s="171">
        <f t="shared" si="7"/>
        <v>38599</v>
      </c>
      <c r="F68" s="171"/>
      <c r="G68" s="171">
        <f t="shared" si="8"/>
        <v>38599</v>
      </c>
      <c r="H68" s="172">
        <f t="shared" si="9"/>
        <v>8.170125451885786E-3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'[50]Sch C'!D62</f>
        <v>-107.73</v>
      </c>
      <c r="D69" s="501">
        <f>'[50]Sch C'!F62</f>
        <v>0</v>
      </c>
      <c r="E69" s="171">
        <f t="shared" si="7"/>
        <v>-107.73</v>
      </c>
      <c r="F69" s="171"/>
      <c r="G69" s="171">
        <f t="shared" si="8"/>
        <v>-107.73</v>
      </c>
      <c r="H69" s="172">
        <f t="shared" si="9"/>
        <v>-2.2802860564565293E-5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'[50]Sch C'!D63</f>
        <v>0</v>
      </c>
      <c r="D70" s="501">
        <f>'[50]Sch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'[50]Sch C'!D64</f>
        <v>0</v>
      </c>
      <c r="D71" s="501">
        <f>'[50]Sch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'[50]Sch C'!D65</f>
        <v>9998</v>
      </c>
      <c r="D72" s="501">
        <f>'[50]Sch C'!F65</f>
        <v>0</v>
      </c>
      <c r="E72" s="171">
        <f t="shared" si="7"/>
        <v>9998</v>
      </c>
      <c r="F72" s="171"/>
      <c r="G72" s="171">
        <f t="shared" si="8"/>
        <v>9998</v>
      </c>
      <c r="H72" s="172">
        <f t="shared" si="9"/>
        <v>2.1162443137893233E-3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'[50]Sch C'!D66</f>
        <v>5213.3900000000003</v>
      </c>
      <c r="D73" s="501">
        <f>'[50]Sch C'!F66</f>
        <v>0</v>
      </c>
      <c r="E73" s="171">
        <f t="shared" si="7"/>
        <v>5213.3900000000003</v>
      </c>
      <c r="F73" s="171"/>
      <c r="G73" s="171">
        <f t="shared" si="8"/>
        <v>5213.3900000000003</v>
      </c>
      <c r="H73" s="172">
        <f t="shared" si="9"/>
        <v>1.1035013945855292E-3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'[50]Sch C'!D67</f>
        <v>107413.79</v>
      </c>
      <c r="D74" s="501">
        <f>'[50]Sch C'!F67</f>
        <v>0</v>
      </c>
      <c r="E74" s="171">
        <f t="shared" si="7"/>
        <v>107413.79</v>
      </c>
      <c r="F74" s="171"/>
      <c r="G74" s="171">
        <f t="shared" si="8"/>
        <v>107413.79</v>
      </c>
      <c r="H74" s="172">
        <f t="shared" si="9"/>
        <v>2.2735929416889424E-2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'[50]Sch C'!D68</f>
        <v>0</v>
      </c>
      <c r="D75" s="501">
        <f>'[50]Sch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'[50]Sch C'!D69</f>
        <v>9787.26</v>
      </c>
      <c r="D76" s="501">
        <f>'[50]Sch C'!F69</f>
        <v>0</v>
      </c>
      <c r="E76" s="171">
        <f t="shared" si="7"/>
        <v>9787.26</v>
      </c>
      <c r="F76" s="171"/>
      <c r="G76" s="171">
        <f t="shared" si="8"/>
        <v>9787.26</v>
      </c>
      <c r="H76" s="172">
        <f t="shared" si="9"/>
        <v>2.0716376597897271E-3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'[50]Sch C'!D70</f>
        <v>0</v>
      </c>
      <c r="D77" s="501">
        <f>'[50]Sch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'[50]Sch C'!D71</f>
        <v>0</v>
      </c>
      <c r="D78" s="501">
        <f>'[50]Sch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732530.47000000009</v>
      </c>
      <c r="D79" s="501">
        <f>SUM(D64:D78)</f>
        <v>62504</v>
      </c>
      <c r="E79" s="171">
        <f t="shared" ref="E79:F79" si="10">SUM(E64:E78)</f>
        <v>795034.47000000009</v>
      </c>
      <c r="F79" s="171">
        <f t="shared" si="10"/>
        <v>0</v>
      </c>
      <c r="G79" s="171">
        <f>SUM(G64:G78)</f>
        <v>795034.47000000009</v>
      </c>
      <c r="H79" s="172">
        <f t="shared" si="9"/>
        <v>0.1682823741152239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'[50]Sch C'!D75</f>
        <v>37412.17</v>
      </c>
      <c r="D82" s="501">
        <f>'[50]Sch C'!F75</f>
        <v>0</v>
      </c>
      <c r="E82" s="171">
        <f t="shared" ref="E82:E92" si="11">C82+D82</f>
        <v>37412.17</v>
      </c>
      <c r="F82" s="171"/>
      <c r="G82" s="171">
        <f t="shared" ref="G82:G92" si="12">E82+F82</f>
        <v>37412.17</v>
      </c>
      <c r="H82" s="172">
        <f t="shared" ref="H82:H93" si="13">IF($G$208=0,0,G82/$G$208)</f>
        <v>7.9189129854990506E-3</v>
      </c>
      <c r="I82" s="473"/>
      <c r="J82" s="183">
        <v>1956.52</v>
      </c>
      <c r="K82" s="183">
        <v>2068.52</v>
      </c>
    </row>
    <row r="83" spans="1:11" s="167" customFormat="1">
      <c r="A83" s="169" t="s">
        <v>86</v>
      </c>
      <c r="B83" s="199" t="s">
        <v>45</v>
      </c>
      <c r="C83" s="501">
        <f>'[50]Sch C'!D76</f>
        <v>0</v>
      </c>
      <c r="D83" s="501">
        <f>'[50]Sch C'!F76</f>
        <v>5288.0836135320333</v>
      </c>
      <c r="E83" s="171">
        <f t="shared" si="11"/>
        <v>5288.0836135320333</v>
      </c>
      <c r="F83" s="171"/>
      <c r="G83" s="171">
        <f t="shared" si="12"/>
        <v>5288.0836135320333</v>
      </c>
      <c r="H83" s="172">
        <f t="shared" si="13"/>
        <v>1.1193115501079878E-3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'[50]Sch C'!D77</f>
        <v>10761.47</v>
      </c>
      <c r="D84" s="501">
        <f>'[50]Sch C'!F77</f>
        <v>0</v>
      </c>
      <c r="E84" s="171">
        <f t="shared" si="11"/>
        <v>10761.47</v>
      </c>
      <c r="F84" s="171"/>
      <c r="G84" s="171">
        <f t="shared" si="12"/>
        <v>10761.47</v>
      </c>
      <c r="H84" s="172">
        <f t="shared" si="13"/>
        <v>2.2778455386591703E-3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'[50]Sch C'!D78</f>
        <v>0</v>
      </c>
      <c r="D85" s="501">
        <f>'[50]Sch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'[50]Sch C'!D79</f>
        <v>1441.98</v>
      </c>
      <c r="D86" s="501">
        <f>'[50]Sch C'!F79</f>
        <v>0</v>
      </c>
      <c r="E86" s="171">
        <f t="shared" si="11"/>
        <v>1441.98</v>
      </c>
      <c r="F86" s="171"/>
      <c r="G86" s="171">
        <f>E86+F86</f>
        <v>1441.98</v>
      </c>
      <c r="H86" s="172">
        <f t="shared" si="13"/>
        <v>3.0521924140807443E-4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'[50]Sch C'!D80</f>
        <v>5338.94</v>
      </c>
      <c r="D87" s="501">
        <f>'[50]Sch C'!F80</f>
        <v>0</v>
      </c>
      <c r="E87" s="171">
        <f t="shared" si="11"/>
        <v>5338.94</v>
      </c>
      <c r="F87" s="171"/>
      <c r="G87" s="171">
        <f t="shared" si="12"/>
        <v>5338.94</v>
      </c>
      <c r="H87" s="172">
        <f t="shared" si="13"/>
        <v>1.1300761568976163E-3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'[50]Sch C'!D81</f>
        <v>9600.2099999999991</v>
      </c>
      <c r="D88" s="501">
        <f>'[50]Sch C'!F81</f>
        <v>0</v>
      </c>
      <c r="E88" s="171">
        <f t="shared" si="11"/>
        <v>9600.2099999999991</v>
      </c>
      <c r="F88" s="171"/>
      <c r="G88" s="171">
        <f t="shared" si="12"/>
        <v>9600.2099999999991</v>
      </c>
      <c r="H88" s="172">
        <f t="shared" si="13"/>
        <v>2.0320453914466291E-3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'[50]Sch C'!D82</f>
        <v>6620.82</v>
      </c>
      <c r="D89" s="501">
        <f>'[50]Sch C'!F82</f>
        <v>0</v>
      </c>
      <c r="E89" s="171">
        <f t="shared" si="11"/>
        <v>6620.82</v>
      </c>
      <c r="F89" s="171"/>
      <c r="G89" s="171">
        <f t="shared" si="12"/>
        <v>6620.82</v>
      </c>
      <c r="H89" s="172">
        <f t="shared" si="13"/>
        <v>1.4014075492721171E-3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'[50]Sch C'!D83</f>
        <v>7435.59</v>
      </c>
      <c r="D90" s="501">
        <f>'[50]Sch C'!F83</f>
        <v>0</v>
      </c>
      <c r="E90" s="171">
        <f t="shared" si="11"/>
        <v>7435.59</v>
      </c>
      <c r="F90" s="171"/>
      <c r="G90" s="171">
        <f t="shared" si="12"/>
        <v>7435.59</v>
      </c>
      <c r="H90" s="172">
        <f t="shared" si="13"/>
        <v>1.57386727917271E-3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'[50]Sch C'!D84</f>
        <v>76401.86</v>
      </c>
      <c r="D91" s="501">
        <f>'[50]Sch C'!F84</f>
        <v>0</v>
      </c>
      <c r="E91" s="171">
        <f t="shared" si="11"/>
        <v>76401.86</v>
      </c>
      <c r="F91" s="171"/>
      <c r="G91" s="171">
        <f t="shared" si="12"/>
        <v>76401.86</v>
      </c>
      <c r="H91" s="172">
        <f t="shared" si="13"/>
        <v>1.6171734525697933E-2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'[50]Sch C'!D85</f>
        <v>210.43</v>
      </c>
      <c r="D92" s="501">
        <f>'[50]Sch C'!F85</f>
        <v>0</v>
      </c>
      <c r="E92" s="171">
        <f t="shared" si="11"/>
        <v>210.43</v>
      </c>
      <c r="F92" s="171"/>
      <c r="G92" s="171">
        <f t="shared" si="12"/>
        <v>210.43</v>
      </c>
      <c r="H92" s="172">
        <f t="shared" si="13"/>
        <v>4.4541037302529236E-5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155223.46999999997</v>
      </c>
      <c r="D93" s="501">
        <f>SUM(D82:D92)</f>
        <v>5288.0836135320333</v>
      </c>
      <c r="E93" s="171">
        <f t="shared" ref="E93:F93" si="14">SUM(E82:E92)</f>
        <v>160511.55361353204</v>
      </c>
      <c r="F93" s="171">
        <f t="shared" si="14"/>
        <v>0</v>
      </c>
      <c r="G93" s="171">
        <f>SUM(G82:G92)</f>
        <v>160511.55361353204</v>
      </c>
      <c r="H93" s="172">
        <f t="shared" si="13"/>
        <v>3.3974961255463822E-2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'[50]Sch C'!D89</f>
        <v>149889.84</v>
      </c>
      <c r="D96" s="501">
        <f>'[50]Sch C'!F89</f>
        <v>0</v>
      </c>
      <c r="E96" s="171">
        <f t="shared" ref="E96:E101" si="15">C96+D96</f>
        <v>149889.84</v>
      </c>
      <c r="F96" s="171"/>
      <c r="G96" s="171">
        <f t="shared" ref="G96:G101" si="16">E96+F96</f>
        <v>149889.84</v>
      </c>
      <c r="H96" s="172">
        <f t="shared" ref="H96:H102" si="17">IF($G$208=0,0,G96/$G$208)</f>
        <v>3.172669749897894E-2</v>
      </c>
      <c r="I96" s="473"/>
      <c r="J96" s="183">
        <v>12732.42</v>
      </c>
      <c r="K96" s="183">
        <v>13523.88</v>
      </c>
    </row>
    <row r="97" spans="1:11" s="167" customFormat="1">
      <c r="A97" s="169" t="s">
        <v>86</v>
      </c>
      <c r="B97" s="170" t="s">
        <v>45</v>
      </c>
      <c r="C97" s="501">
        <f>'[50]Sch C'!D90</f>
        <v>0</v>
      </c>
      <c r="D97" s="501">
        <f>'[50]Sch C'!F90</f>
        <v>21186.4216039577</v>
      </c>
      <c r="E97" s="171">
        <f t="shared" si="15"/>
        <v>21186.4216039577</v>
      </c>
      <c r="F97" s="171"/>
      <c r="G97" s="171">
        <f t="shared" si="16"/>
        <v>21186.4216039577</v>
      </c>
      <c r="H97" s="172">
        <f t="shared" si="17"/>
        <v>4.4844613171553067E-3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'[50]Sch C'!D91</f>
        <v>7808.25</v>
      </c>
      <c r="D98" s="501">
        <f>'[50]Sch C'!F91</f>
        <v>0</v>
      </c>
      <c r="E98" s="171">
        <f t="shared" si="15"/>
        <v>7808.25</v>
      </c>
      <c r="F98" s="171"/>
      <c r="G98" s="171">
        <f t="shared" si="16"/>
        <v>7808.25</v>
      </c>
      <c r="H98" s="172">
        <f t="shared" si="17"/>
        <v>1.6527470157176919E-3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'[50]Sch C'!D92</f>
        <v>119617.15</v>
      </c>
      <c r="D99" s="501">
        <f>'[50]Sch C'!F92</f>
        <v>0</v>
      </c>
      <c r="E99" s="171">
        <f t="shared" si="15"/>
        <v>119617.15</v>
      </c>
      <c r="F99" s="171"/>
      <c r="G99" s="171">
        <f t="shared" si="16"/>
        <v>119617.15</v>
      </c>
      <c r="H99" s="172">
        <f t="shared" si="17"/>
        <v>2.5318975146947843E-2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'[50]Sch C'!D93</f>
        <v>9728.33</v>
      </c>
      <c r="D100" s="501">
        <f>'[50]Sch C'!F93</f>
        <v>0</v>
      </c>
      <c r="E100" s="171">
        <f t="shared" si="15"/>
        <v>9728.33</v>
      </c>
      <c r="F100" s="171"/>
      <c r="G100" s="171">
        <f t="shared" si="16"/>
        <v>9728.33</v>
      </c>
      <c r="H100" s="172">
        <f t="shared" si="17"/>
        <v>2.0591641373440776E-3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'[50]Sch C'!D94</f>
        <v>0</v>
      </c>
      <c r="D101" s="501">
        <f>'[50]Sch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287043.57</v>
      </c>
      <c r="D102" s="501">
        <f>SUM(D96:D101)</f>
        <v>21186.4216039577</v>
      </c>
      <c r="E102" s="171">
        <f t="shared" ref="E102:F102" si="18">SUM(E96:E101)</f>
        <v>308229.99160395766</v>
      </c>
      <c r="F102" s="171">
        <f t="shared" si="18"/>
        <v>0</v>
      </c>
      <c r="G102" s="171">
        <f>SUM(G96:G101)</f>
        <v>308229.99160395766</v>
      </c>
      <c r="H102" s="172">
        <f t="shared" si="17"/>
        <v>6.5242045116143857E-2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'[50]Sch C'!D98</f>
        <v>0</v>
      </c>
      <c r="D105" s="501">
        <f>'[50]Sch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'[50]Sch C'!D99</f>
        <v>0</v>
      </c>
      <c r="D106" s="501">
        <f>'[50]Sch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'[50]Sch C'!D100</f>
        <v>4194.2</v>
      </c>
      <c r="D107" s="501">
        <f>'[50]Sch C'!F100</f>
        <v>0</v>
      </c>
      <c r="E107" s="171">
        <f t="shared" si="19"/>
        <v>4194.2</v>
      </c>
      <c r="F107" s="171"/>
      <c r="G107" s="171">
        <f t="shared" si="20"/>
        <v>4194.2</v>
      </c>
      <c r="H107" s="172">
        <f t="shared" si="21"/>
        <v>8.8777274463844563E-4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'[50]Sch C'!D101</f>
        <v>803.49</v>
      </c>
      <c r="D108" s="501">
        <f>'[50]Sch C'!F101</f>
        <v>0</v>
      </c>
      <c r="E108" s="171">
        <f t="shared" si="19"/>
        <v>803.49</v>
      </c>
      <c r="F108" s="171"/>
      <c r="G108" s="171">
        <f t="shared" si="20"/>
        <v>803.49</v>
      </c>
      <c r="H108" s="172">
        <f t="shared" si="21"/>
        <v>1.7007212879441722E-4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'[50]Sch C'!D102</f>
        <v>2183.44</v>
      </c>
      <c r="D109" s="501">
        <f>'[50]Sch C'!F102</f>
        <v>0</v>
      </c>
      <c r="E109" s="171">
        <f t="shared" si="19"/>
        <v>2183.44</v>
      </c>
      <c r="F109" s="171"/>
      <c r="G109" s="171">
        <f t="shared" si="20"/>
        <v>2183.44</v>
      </c>
      <c r="H109" s="172">
        <f t="shared" si="21"/>
        <v>4.6216168078617325E-4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'[50]Sch C'!D103</f>
        <v>0</v>
      </c>
      <c r="D110" s="501">
        <f>'[50]Sch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7181.1299999999992</v>
      </c>
      <c r="D111" s="501">
        <f>SUM(D105:D110)</f>
        <v>0</v>
      </c>
      <c r="E111" s="171">
        <f t="shared" ref="E111:F111" si="22">SUM(E105:E110)</f>
        <v>7181.1299999999992</v>
      </c>
      <c r="F111" s="171">
        <f t="shared" si="22"/>
        <v>0</v>
      </c>
      <c r="G111" s="171">
        <f>SUM(G105:G110)</f>
        <v>7181.1299999999992</v>
      </c>
      <c r="H111" s="172">
        <f t="shared" si="21"/>
        <v>1.5200065542190359E-3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'[50]Sch C'!D115</f>
        <v>127820.26</v>
      </c>
      <c r="D114" s="501">
        <f>'[50]Sch C'!F115</f>
        <v>0</v>
      </c>
      <c r="E114" s="171">
        <f t="shared" ref="E114:E118" si="23">C114+D114</f>
        <v>127820.26</v>
      </c>
      <c r="F114" s="171"/>
      <c r="G114" s="171">
        <f>E114+F114</f>
        <v>127820.26</v>
      </c>
      <c r="H114" s="172">
        <f t="shared" ref="H114:H119" si="24">IF($G$208=0,0,G114/$G$208)</f>
        <v>2.7055300901387563E-2</v>
      </c>
      <c r="I114" s="473"/>
      <c r="J114" s="183">
        <v>12585.9</v>
      </c>
      <c r="K114" s="183">
        <v>13574.11</v>
      </c>
    </row>
    <row r="115" spans="1:11" s="167" customFormat="1">
      <c r="A115" s="169" t="s">
        <v>86</v>
      </c>
      <c r="B115" s="170" t="s">
        <v>151</v>
      </c>
      <c r="C115" s="501">
        <f>'[50]Sch C'!D116</f>
        <v>0</v>
      </c>
      <c r="D115" s="501">
        <f>'[50]Sch C'!F116</f>
        <v>18066.961162194122</v>
      </c>
      <c r="E115" s="171">
        <f t="shared" si="23"/>
        <v>18066.961162194122</v>
      </c>
      <c r="F115" s="171"/>
      <c r="G115" s="171">
        <f>E115+F115</f>
        <v>18066.961162194122</v>
      </c>
      <c r="H115" s="172">
        <f t="shared" si="24"/>
        <v>3.824175217738133E-3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'[50]Sch C'!D117</f>
        <v>22495.119999999999</v>
      </c>
      <c r="D116" s="501">
        <f>'[50]Sch C'!F117</f>
        <v>0</v>
      </c>
      <c r="E116" s="171">
        <f t="shared" si="23"/>
        <v>22495.119999999999</v>
      </c>
      <c r="F116" s="171"/>
      <c r="G116" s="171">
        <f>E116+F116</f>
        <v>22495.119999999999</v>
      </c>
      <c r="H116" s="172">
        <f t="shared" si="24"/>
        <v>4.7614692726553791E-3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'[50]Sch C'!D118</f>
        <v>0</v>
      </c>
      <c r="D117" s="501">
        <f>'[50]Sch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'[50]Sch C'!D119</f>
        <v>0</v>
      </c>
      <c r="D118" s="501">
        <f>'[50]Sch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150315.38</v>
      </c>
      <c r="D119" s="501">
        <f>SUM(D114:D118)</f>
        <v>18066.961162194122</v>
      </c>
      <c r="E119" s="171">
        <f t="shared" ref="E119:F119" si="25">SUM(E114:E118)</f>
        <v>168382.34116219412</v>
      </c>
      <c r="F119" s="171">
        <f t="shared" si="25"/>
        <v>0</v>
      </c>
      <c r="G119" s="171">
        <f>SUM(G114:G118)</f>
        <v>168382.34116219412</v>
      </c>
      <c r="H119" s="172">
        <f t="shared" si="24"/>
        <v>3.5640945391781073E-2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'[50]Sch C'!D124</f>
        <v>0</v>
      </c>
      <c r="D123" s="501">
        <f>'[50]Sch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'[50]Sch C'!D125</f>
        <v>102094.48</v>
      </c>
      <c r="D124" s="501">
        <f>'[50]Sch C'!F125</f>
        <v>0</v>
      </c>
      <c r="E124" s="171">
        <f t="shared" si="26"/>
        <v>102094.48</v>
      </c>
      <c r="F124" s="171"/>
      <c r="G124" s="171">
        <f>E124+F124</f>
        <v>102094.48</v>
      </c>
      <c r="H124" s="172">
        <f>IF($G$208=0,0,G124/$G$208)</f>
        <v>2.1610008278583493E-2</v>
      </c>
      <c r="I124" s="473"/>
      <c r="J124" s="183">
        <v>3038.77</v>
      </c>
      <c r="K124" s="183">
        <v>3225.09</v>
      </c>
    </row>
    <row r="125" spans="1:11" s="167" customFormat="1">
      <c r="A125" s="163" t="s">
        <v>198</v>
      </c>
      <c r="B125" s="163" t="s">
        <v>195</v>
      </c>
      <c r="C125" s="501">
        <f>'[50]Sch C'!D126</f>
        <v>0</v>
      </c>
      <c r="D125" s="501">
        <f>'[50]Sch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'[50]Sch C'!D127</f>
        <v>0</v>
      </c>
      <c r="D126" s="501">
        <f>'[50]Sch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2" t="s">
        <v>405</v>
      </c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'[50]Sch C'!D128</f>
        <v>2848.45</v>
      </c>
      <c r="D127" s="501">
        <f>'[50]Sch C'!F128</f>
        <v>0</v>
      </c>
      <c r="E127" s="171">
        <f t="shared" si="26"/>
        <v>2848.45</v>
      </c>
      <c r="F127" s="171"/>
      <c r="G127" s="171">
        <f>E127+F127</f>
        <v>2848.45</v>
      </c>
      <c r="H127" s="172">
        <f>IF($G$208=0,0,G127/$G$208)</f>
        <v>6.0292219600051984E-4</v>
      </c>
      <c r="I127" s="472" t="s">
        <v>405</v>
      </c>
      <c r="J127" s="183">
        <v>153.97</v>
      </c>
      <c r="K127" s="183">
        <v>153.97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'[50]Sch C'!D130</f>
        <v>0</v>
      </c>
      <c r="D129" s="501">
        <f>'[50]Sch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'[50]Sch C'!D131</f>
        <v>0</v>
      </c>
      <c r="D130" s="501">
        <f>'[50]Sch C'!F131</f>
        <v>14430.709224299844</v>
      </c>
      <c r="E130" s="171">
        <f t="shared" si="27"/>
        <v>14430.709224299844</v>
      </c>
      <c r="F130" s="171"/>
      <c r="G130" s="171">
        <f>E130+F130</f>
        <v>14430.709224299844</v>
      </c>
      <c r="H130" s="172">
        <f>IF($G$208=0,0,G130/$G$208)</f>
        <v>3.0545015342940268E-3</v>
      </c>
      <c r="I130" s="473"/>
      <c r="J130" s="204"/>
      <c r="K130" s="204"/>
    </row>
    <row r="131" spans="1:11" s="167" customFormat="1">
      <c r="B131" s="163" t="s">
        <v>195</v>
      </c>
      <c r="C131" s="501">
        <f>'[50]Sch C'!D132</f>
        <v>0</v>
      </c>
      <c r="D131" s="501">
        <f>'[50]Sch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'[50]Sch C'!D133</f>
        <v>0</v>
      </c>
      <c r="D132" s="501">
        <f>'[50]Sch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2" t="s">
        <v>405</v>
      </c>
      <c r="J132" s="168"/>
      <c r="K132" s="168"/>
    </row>
    <row r="133" spans="1:11" s="167" customFormat="1">
      <c r="B133" s="163" t="s">
        <v>197</v>
      </c>
      <c r="C133" s="501">
        <f>'[50]Sch C'!D134</f>
        <v>0</v>
      </c>
      <c r="D133" s="501">
        <f>'[50]Sch C'!F134</f>
        <v>402.61876734135757</v>
      </c>
      <c r="E133" s="171">
        <f t="shared" si="27"/>
        <v>402.61876734135757</v>
      </c>
      <c r="F133" s="171"/>
      <c r="G133" s="171">
        <f>E133+F133</f>
        <v>402.61876734135757</v>
      </c>
      <c r="H133" s="172">
        <f>IF($G$208=0,0,G133/$G$208)</f>
        <v>8.5221011903482136E-5</v>
      </c>
      <c r="I133" s="472" t="s">
        <v>405</v>
      </c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'[50]Sch C'!D136</f>
        <v>417503.53</v>
      </c>
      <c r="D135" s="501">
        <f>'[50]Sch C'!F136</f>
        <v>0</v>
      </c>
      <c r="E135" s="171">
        <f t="shared" ref="E135:E138" si="28">C135+D135</f>
        <v>417503.53</v>
      </c>
      <c r="F135" s="171"/>
      <c r="G135" s="171">
        <f>E135+F135</f>
        <v>417503.53</v>
      </c>
      <c r="H135" s="172">
        <f>IF($G$208=0,0,G135/$G$208)</f>
        <v>8.8371621459238867E-2</v>
      </c>
      <c r="I135" s="473"/>
      <c r="J135" s="183">
        <v>13909.92</v>
      </c>
      <c r="K135" s="183">
        <v>14748.39</v>
      </c>
    </row>
    <row r="136" spans="1:11" s="167" customFormat="1">
      <c r="A136" s="169"/>
      <c r="B136" s="163" t="s">
        <v>195</v>
      </c>
      <c r="C136" s="501">
        <f>'[50]Sch C'!D137</f>
        <v>331341.75</v>
      </c>
      <c r="D136" s="501">
        <f>'[50]Sch C'!F137</f>
        <v>0</v>
      </c>
      <c r="E136" s="171">
        <f t="shared" si="28"/>
        <v>331341.75</v>
      </c>
      <c r="F136" s="171"/>
      <c r="G136" s="171">
        <f>E136+F136</f>
        <v>331341.75</v>
      </c>
      <c r="H136" s="172">
        <f>IF($G$208=0,0,G136/$G$208)</f>
        <v>7.0134036243098968E-2</v>
      </c>
      <c r="I136" s="473"/>
      <c r="J136" s="183">
        <v>13214.89</v>
      </c>
      <c r="K136" s="183">
        <v>13954.8</v>
      </c>
    </row>
    <row r="137" spans="1:11" s="167" customFormat="1">
      <c r="A137" s="169"/>
      <c r="B137" s="163" t="s">
        <v>196</v>
      </c>
      <c r="C137" s="501">
        <f>'[50]Sch C'!D138</f>
        <v>594591.26</v>
      </c>
      <c r="D137" s="501">
        <f>'[50]Sch C'!F138</f>
        <v>0</v>
      </c>
      <c r="E137" s="171">
        <f t="shared" si="28"/>
        <v>594591.26</v>
      </c>
      <c r="F137" s="171"/>
      <c r="G137" s="171">
        <f>E137+F137</f>
        <v>594591.26</v>
      </c>
      <c r="H137" s="172">
        <f>IF($G$208=0,0,G137/$G$208)</f>
        <v>0.12585520834205133</v>
      </c>
      <c r="I137" s="473"/>
      <c r="J137" s="183">
        <v>49233.96</v>
      </c>
      <c r="K137" s="183">
        <v>52875</v>
      </c>
    </row>
    <row r="138" spans="1:11" s="167" customFormat="1">
      <c r="A138" s="169"/>
      <c r="B138" s="163" t="s">
        <v>197</v>
      </c>
      <c r="C138" s="501">
        <f>'[50]Sch C'!D139</f>
        <v>0</v>
      </c>
      <c r="D138" s="501">
        <f>'[50]Sch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'[50]Sch C'!D141</f>
        <v>0</v>
      </c>
      <c r="D140" s="501">
        <f>'[50]Sch C'!F141</f>
        <v>59012.710986419122</v>
      </c>
      <c r="E140" s="171">
        <f t="shared" ref="E140:E143" si="29">C140+D140</f>
        <v>59012.710986419122</v>
      </c>
      <c r="F140" s="171"/>
      <c r="G140" s="171">
        <f>E140+F140</f>
        <v>59012.710986419122</v>
      </c>
      <c r="H140" s="172">
        <f>IF($G$208=0,0,G140/$G$208)</f>
        <v>1.249102961255273E-2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'[50]Sch C'!D142</f>
        <v>0</v>
      </c>
      <c r="D141" s="501">
        <f>'[50]Sch C'!F142</f>
        <v>46834.034985247512</v>
      </c>
      <c r="E141" s="171">
        <f t="shared" si="29"/>
        <v>46834.034985247512</v>
      </c>
      <c r="F141" s="171"/>
      <c r="G141" s="171">
        <f>E141+F141</f>
        <v>46834.034985247512</v>
      </c>
      <c r="H141" s="172">
        <f>IF($G$208=0,0,G141/$G$208)</f>
        <v>9.9132086646669601E-3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'[50]Sch C'!D143</f>
        <v>0</v>
      </c>
      <c r="D142" s="501">
        <f>'[50]Sch C'!F143</f>
        <v>84043.462294632045</v>
      </c>
      <c r="E142" s="171">
        <f t="shared" si="29"/>
        <v>84043.462294632045</v>
      </c>
      <c r="F142" s="171"/>
      <c r="G142" s="171">
        <f>E142+F142</f>
        <v>84043.462294632045</v>
      </c>
      <c r="H142" s="172">
        <f>IF($G$208=0,0,G142/$G$208)</f>
        <v>1.7789207760770399E-2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'[50]Sch C'!D144</f>
        <v>0</v>
      </c>
      <c r="D143" s="501">
        <f>'[50]Sch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'[50]Sch C'!D146</f>
        <v>28800</v>
      </c>
      <c r="D145" s="501">
        <f>'[50]Sch C'!F146</f>
        <v>0</v>
      </c>
      <c r="E145" s="171">
        <f t="shared" ref="E145:E153" si="30">C145+D145</f>
        <v>28800</v>
      </c>
      <c r="F145" s="171"/>
      <c r="G145" s="171">
        <f t="shared" ref="G145:G153" si="31">E145+F145</f>
        <v>28800</v>
      </c>
      <c r="H145" s="172">
        <f t="shared" ref="H145:H153" si="32">IF($G$208=0,0,G145/$G$208)</f>
        <v>6.0960028242781064E-3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'[50]Sch C'!D147</f>
        <v>0</v>
      </c>
      <c r="D146" s="501">
        <f>'[50]Sch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'[50]Sch C'!D148</f>
        <v>0</v>
      </c>
      <c r="D147" s="501">
        <f>'[50]Sch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'[50]Sch C'!D149</f>
        <v>0</v>
      </c>
      <c r="D148" s="501">
        <f>'[50]Sch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'[50]Sch C'!D150</f>
        <v>7958.24</v>
      </c>
      <c r="D149" s="501">
        <f>'[50]Sch C'!F150</f>
        <v>0</v>
      </c>
      <c r="E149" s="171">
        <f t="shared" si="30"/>
        <v>7958.24</v>
      </c>
      <c r="F149" s="171"/>
      <c r="G149" s="171">
        <f t="shared" si="31"/>
        <v>7958.24</v>
      </c>
      <c r="H149" s="172">
        <f t="shared" si="32"/>
        <v>1.6844949137598262E-3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'[50]Sch C'!D151</f>
        <v>59087.57</v>
      </c>
      <c r="D150" s="501">
        <f>'[50]Sch C'!F151</f>
        <v>0</v>
      </c>
      <c r="E150" s="171">
        <f t="shared" si="30"/>
        <v>59087.57</v>
      </c>
      <c r="F150" s="171"/>
      <c r="G150" s="171">
        <f t="shared" si="31"/>
        <v>59087.57</v>
      </c>
      <c r="H150" s="172">
        <f t="shared" si="32"/>
        <v>1.2506874777768413E-2</v>
      </c>
      <c r="I150" s="472" t="s">
        <v>402</v>
      </c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'[50]Sch C'!D152</f>
        <v>235.16</v>
      </c>
      <c r="D151" s="501">
        <f>'[50]Sch C'!F152</f>
        <v>0</v>
      </c>
      <c r="E151" s="171">
        <f t="shared" si="30"/>
        <v>235.16</v>
      </c>
      <c r="F151" s="171"/>
      <c r="G151" s="171">
        <f t="shared" si="31"/>
        <v>235.16</v>
      </c>
      <c r="H151" s="172">
        <f t="shared" si="32"/>
        <v>4.9775556394348594E-5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'[50]Sch C'!D153</f>
        <v>1390.29</v>
      </c>
      <c r="D152" s="501">
        <f>'[50]Sch C'!F153</f>
        <v>0</v>
      </c>
      <c r="E152" s="171">
        <f t="shared" si="30"/>
        <v>1390.29</v>
      </c>
      <c r="F152" s="171"/>
      <c r="G152" s="171">
        <f t="shared" si="31"/>
        <v>1390.29</v>
      </c>
      <c r="H152" s="172">
        <f t="shared" si="32"/>
        <v>2.9427818633908363E-4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'[50]Sch C'!D154</f>
        <v>0</v>
      </c>
      <c r="D153" s="501">
        <f>'[50]Sch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'[50]Sch C'!D156</f>
        <v>0</v>
      </c>
      <c r="D155" s="501">
        <f>'[50]Sch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'[50]Sch C'!D157</f>
        <v>0</v>
      </c>
      <c r="D156" s="501">
        <f>'[50]Sch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'[50]Sch C'!D158</f>
        <v>0</v>
      </c>
      <c r="D157" s="501">
        <f>'[50]Sch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'[50]Sch C'!D159</f>
        <v>100.58</v>
      </c>
      <c r="D158" s="501">
        <f>'[50]Sch C'!F159</f>
        <v>0</v>
      </c>
      <c r="E158" s="171">
        <f t="shared" si="33"/>
        <v>100.58</v>
      </c>
      <c r="F158" s="171"/>
      <c r="G158" s="171">
        <f t="shared" si="34"/>
        <v>100.58</v>
      </c>
      <c r="H158" s="172">
        <f t="shared" si="35"/>
        <v>2.1289443196732358E-5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'[50]Sch C'!D160</f>
        <v>0</v>
      </c>
      <c r="D159" s="501">
        <f>'[50]Sch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'[50]Sch C'!D161</f>
        <v>36.83</v>
      </c>
      <c r="D160" s="501">
        <f>'[50]Sch C'!F161</f>
        <v>0</v>
      </c>
      <c r="E160" s="171">
        <f t="shared" si="33"/>
        <v>36.83</v>
      </c>
      <c r="F160" s="171"/>
      <c r="G160" s="171">
        <f t="shared" si="34"/>
        <v>36.83</v>
      </c>
      <c r="H160" s="172">
        <f t="shared" si="35"/>
        <v>7.7956869450750922E-6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1545988.1400000001</v>
      </c>
      <c r="D161" s="501">
        <f>SUM(D123:D160)</f>
        <v>204723.53625793988</v>
      </c>
      <c r="E161" s="171">
        <f t="shared" ref="E161:F161" si="36">SUM(E123:E160)</f>
        <v>1750711.6762579402</v>
      </c>
      <c r="F161" s="171">
        <f t="shared" si="36"/>
        <v>0</v>
      </c>
      <c r="G161" s="171">
        <f>SUM(G123:G160)</f>
        <v>1750711.6762579402</v>
      </c>
      <c r="H161" s="172">
        <f t="shared" si="35"/>
        <v>0.37056747649184241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'[50]Sch C'!D175</f>
        <v>0</v>
      </c>
      <c r="D164" s="501">
        <f>'[50]Sch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'[50]Sch C'!D176</f>
        <v>0</v>
      </c>
      <c r="D165" s="501">
        <f>'[50]Sch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'[50]Sch C'!D177</f>
        <v>0</v>
      </c>
      <c r="D166" s="501">
        <f>'[50]Sch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'[50]Sch C'!D178</f>
        <v>0</v>
      </c>
      <c r="D167" s="501">
        <f>'[50]Sch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'[50]Sch C'!D179</f>
        <v>0</v>
      </c>
      <c r="D168" s="501">
        <f>'[50]Sch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'[50]Sch C'!D180</f>
        <v>0</v>
      </c>
      <c r="D169" s="501">
        <f>'[50]Sch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'[50]Sch C'!D181</f>
        <v>0</v>
      </c>
      <c r="D170" s="501">
        <f>'[50]Sch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'[50]Sch C'!D182</f>
        <v>0</v>
      </c>
      <c r="D171" s="501">
        <f>'[50]Sch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'[50]Sch C'!D183</f>
        <v>0</v>
      </c>
      <c r="D172" s="501">
        <f>'[50]Sch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'[50]Sch C'!D184</f>
        <v>0</v>
      </c>
      <c r="D173" s="501">
        <f>'[50]Sch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'[50]Sch C'!D185</f>
        <v>0</v>
      </c>
      <c r="D174" s="501">
        <f>'[50]Sch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'[50]Sch C'!D186</f>
        <v>0</v>
      </c>
      <c r="D175" s="501">
        <f>'[50]Sch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'[50]Sch C'!D187</f>
        <v>0</v>
      </c>
      <c r="D176" s="501">
        <f>'[50]Sch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'[50]Sch C'!D188</f>
        <v>0</v>
      </c>
      <c r="D177" s="501">
        <f>'[50]Sch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'[50]Sch C'!D189</f>
        <v>0</v>
      </c>
      <c r="D178" s="501">
        <f>'[50]Sch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'[50]Sch C'!D190</f>
        <v>0</v>
      </c>
      <c r="D179" s="501">
        <f>'[50]Sch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'[50]Sch C'!D191</f>
        <v>0</v>
      </c>
      <c r="D180" s="501">
        <f>'[50]Sch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'[50]Sch C'!D192</f>
        <v>0</v>
      </c>
      <c r="D181" s="501">
        <f>'[50]Sch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'[50]Sch C'!D193</f>
        <v>4660.4399999999996</v>
      </c>
      <c r="D182" s="501">
        <f>'[50]Sch C'!F193</f>
        <v>0</v>
      </c>
      <c r="E182" s="171">
        <f t="shared" si="37"/>
        <v>4660.4399999999996</v>
      </c>
      <c r="F182" s="216"/>
      <c r="G182" s="171">
        <f t="shared" si="38"/>
        <v>4660.4399999999996</v>
      </c>
      <c r="H182" s="172">
        <f t="shared" si="39"/>
        <v>9.8646025702703657E-4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'[50]Sch C'!D194</f>
        <v>239026.38</v>
      </c>
      <c r="D183" s="501">
        <f>'[50]Sch C'!F194</f>
        <v>0</v>
      </c>
      <c r="E183" s="171">
        <f t="shared" si="37"/>
        <v>239026.38</v>
      </c>
      <c r="F183" s="216"/>
      <c r="G183" s="171">
        <f t="shared" si="38"/>
        <v>239026.38</v>
      </c>
      <c r="H183" s="172">
        <f t="shared" si="39"/>
        <v>5.0593940540172633E-2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'[50]Sch C'!D195</f>
        <v>584.24</v>
      </c>
      <c r="D184" s="501">
        <f>'[50]Sch C'!F195</f>
        <v>0</v>
      </c>
      <c r="E184" s="171">
        <f t="shared" si="37"/>
        <v>584.24</v>
      </c>
      <c r="F184" s="216"/>
      <c r="G184" s="171">
        <f t="shared" si="38"/>
        <v>584.24</v>
      </c>
      <c r="H184" s="172">
        <f t="shared" si="39"/>
        <v>1.2366419062695281E-4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'[50]Sch C'!D196</f>
        <v>156921.88</v>
      </c>
      <c r="D185" s="501">
        <f>'[50]Sch C'!F196</f>
        <v>0</v>
      </c>
      <c r="E185" s="171">
        <f t="shared" si="37"/>
        <v>156921.88</v>
      </c>
      <c r="F185" s="216"/>
      <c r="G185" s="171">
        <f t="shared" si="38"/>
        <v>156921.88</v>
      </c>
      <c r="H185" s="172">
        <f t="shared" si="39"/>
        <v>3.3215146655244103E-2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'[50]Sch C'!D197</f>
        <v>0</v>
      </c>
      <c r="D186" s="501">
        <f>'[50]Sch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'[50]Sch C'!D198</f>
        <v>7298.65</v>
      </c>
      <c r="D187" s="501">
        <f>'[50]Sch C'!F198</f>
        <v>0</v>
      </c>
      <c r="E187" s="171">
        <f t="shared" si="37"/>
        <v>7298.65</v>
      </c>
      <c r="F187" s="216"/>
      <c r="G187" s="171">
        <f t="shared" si="38"/>
        <v>7298.65</v>
      </c>
      <c r="H187" s="172">
        <f t="shared" si="39"/>
        <v>1.5448816324103263E-3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'[50]Sch C'!D199</f>
        <v>0</v>
      </c>
      <c r="D188" s="501">
        <f>'[50]Sch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'[50]Sch C'!D200</f>
        <v>0</v>
      </c>
      <c r="D189" s="501">
        <f>'[50]Sch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'[50]Sch C'!D201</f>
        <v>0</v>
      </c>
      <c r="D190" s="501">
        <f>'[50]Sch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'[50]Sch C'!D202</f>
        <v>0</v>
      </c>
      <c r="D191" s="501">
        <f>'[50]Sch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'[50]Sch C'!D203</f>
        <v>0</v>
      </c>
      <c r="D192" s="501">
        <f>'[50]Sch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'[50]Sch C'!D204</f>
        <v>0</v>
      </c>
      <c r="D193" s="501">
        <f>'[50]Sch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'[50]Sch C'!D205</f>
        <v>185976.65</v>
      </c>
      <c r="D194" s="501">
        <f>'[50]Sch C'!F205</f>
        <v>0</v>
      </c>
      <c r="E194" s="171">
        <f t="shared" si="37"/>
        <v>185976.65</v>
      </c>
      <c r="F194" s="216"/>
      <c r="G194" s="171">
        <f t="shared" si="38"/>
        <v>185976.65</v>
      </c>
      <c r="H194" s="172">
        <f t="shared" si="39"/>
        <v>3.9365075821172948E-2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'[50]Sch C'!D206</f>
        <v>565.79999999999995</v>
      </c>
      <c r="D195" s="501">
        <f>'[50]Sch C'!F206</f>
        <v>0</v>
      </c>
      <c r="E195" s="171">
        <f t="shared" si="37"/>
        <v>565.79999999999995</v>
      </c>
      <c r="F195" s="216"/>
      <c r="G195" s="171">
        <f t="shared" si="38"/>
        <v>565.79999999999995</v>
      </c>
      <c r="H195" s="172">
        <f t="shared" si="39"/>
        <v>1.1976105548529696E-4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'[50]Sch C'!D207</f>
        <v>299.76</v>
      </c>
      <c r="D196" s="501">
        <f>'[50]Sch C'!F207</f>
        <v>0</v>
      </c>
      <c r="E196" s="171">
        <f t="shared" si="37"/>
        <v>299.76</v>
      </c>
      <c r="F196" s="216"/>
      <c r="G196" s="171">
        <f t="shared" si="38"/>
        <v>299.76</v>
      </c>
      <c r="H196" s="172">
        <f t="shared" si="39"/>
        <v>6.3449229396027952E-5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595333.80000000005</v>
      </c>
      <c r="D197" s="501">
        <f>SUM(D164:D196)</f>
        <v>0</v>
      </c>
      <c r="E197" s="171">
        <f t="shared" ref="E197:F197" si="40">SUM(E164:E196)</f>
        <v>595333.80000000005</v>
      </c>
      <c r="F197" s="171">
        <f t="shared" si="40"/>
        <v>0</v>
      </c>
      <c r="G197" s="171">
        <f>SUM(G164:G196)</f>
        <v>595333.80000000005</v>
      </c>
      <c r="H197" s="172">
        <f>IF($G$208=0,0,G197/$G$208)</f>
        <v>0.12601237938153534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'[50]Sch C'!D211</f>
        <v>59663.519999999997</v>
      </c>
      <c r="D200" s="501">
        <f>'[50]Sch C'!F211</f>
        <v>0</v>
      </c>
      <c r="E200" s="171">
        <f t="shared" ref="E200:E205" si="41">C200+D200</f>
        <v>59663.519999999997</v>
      </c>
      <c r="F200" s="171"/>
      <c r="G200" s="171">
        <f t="shared" ref="G200:G205" si="42">E200+F200</f>
        <v>59663.519999999997</v>
      </c>
      <c r="H200" s="172">
        <f t="shared" ref="H200:H206" si="43">IF($G$208=0,0,G200/$G$208)</f>
        <v>1.2628784250915738E-2</v>
      </c>
      <c r="I200" s="473"/>
      <c r="J200" s="183">
        <v>3239.07</v>
      </c>
      <c r="K200" s="183">
        <v>3493.43</v>
      </c>
    </row>
    <row r="201" spans="1:14" s="167" customFormat="1">
      <c r="A201" s="169" t="s">
        <v>86</v>
      </c>
      <c r="B201" s="170" t="s">
        <v>45</v>
      </c>
      <c r="C201" s="501">
        <f>'[50]Sch C'!D212</f>
        <v>0</v>
      </c>
      <c r="D201" s="501">
        <f>'[50]Sch C'!F212</f>
        <v>8433.236629621877</v>
      </c>
      <c r="E201" s="171">
        <f t="shared" si="41"/>
        <v>8433.236629621877</v>
      </c>
      <c r="F201" s="171"/>
      <c r="G201" s="171">
        <f t="shared" si="42"/>
        <v>8433.236629621877</v>
      </c>
      <c r="H201" s="172">
        <f t="shared" si="43"/>
        <v>1.7850359136104355E-3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'[50]Sch C'!D213</f>
        <v>8644.1200000000008</v>
      </c>
      <c r="D202" s="501">
        <f>'[50]Sch C'!F213</f>
        <v>0</v>
      </c>
      <c r="E202" s="171">
        <f t="shared" si="41"/>
        <v>8644.1200000000008</v>
      </c>
      <c r="F202" s="171"/>
      <c r="G202" s="171">
        <f t="shared" si="42"/>
        <v>8644.1200000000008</v>
      </c>
      <c r="H202" s="172">
        <f t="shared" si="43"/>
        <v>1.8296729143541274E-3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'[50]Sch C'!D214</f>
        <v>0</v>
      </c>
      <c r="D203" s="501">
        <f>'[50]Sch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'[50]Sch C'!D215</f>
        <v>0</v>
      </c>
      <c r="D204" s="501">
        <f>'[50]Sch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'[50]Sch C'!D216</f>
        <v>1613.97</v>
      </c>
      <c r="D205" s="501">
        <f>'[50]Sch C'!F216</f>
        <v>0</v>
      </c>
      <c r="E205" s="171">
        <f t="shared" si="41"/>
        <v>1613.97</v>
      </c>
      <c r="F205" s="171"/>
      <c r="G205" s="171">
        <f t="shared" si="42"/>
        <v>1613.97</v>
      </c>
      <c r="H205" s="172">
        <f t="shared" si="43"/>
        <v>3.4162380827431027E-4</v>
      </c>
      <c r="I205" s="472" t="s">
        <v>402</v>
      </c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69921.61</v>
      </c>
      <c r="D206" s="501">
        <f>SUM(D200:D205)</f>
        <v>8433.236629621877</v>
      </c>
      <c r="E206" s="171">
        <f t="shared" ref="E206:F206" si="44">SUM(E200:E205)</f>
        <v>78354.846629621868</v>
      </c>
      <c r="F206" s="171">
        <f t="shared" si="44"/>
        <v>0</v>
      </c>
      <c r="G206" s="171">
        <f>SUM(G200:G205)</f>
        <v>78354.846629621868</v>
      </c>
      <c r="H206" s="172">
        <f t="shared" si="43"/>
        <v>1.6585116887154611E-2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4805901.6100000022</v>
      </c>
      <c r="D208" s="501">
        <f>SUM(D25:D206)/2</f>
        <v>-81494.350000000006</v>
      </c>
      <c r="E208" s="171">
        <f t="shared" ref="E208:F208" si="45">SUM(E25:E206)/2</f>
        <v>4724407.2600000016</v>
      </c>
      <c r="F208" s="171">
        <f t="shared" si="45"/>
        <v>0</v>
      </c>
      <c r="G208" s="171">
        <f>SUM(G25:G206)/2</f>
        <v>4724407.2600000016</v>
      </c>
      <c r="H208" s="172">
        <f>IF($G$208=0,0,G208/$G$208)</f>
        <v>1</v>
      </c>
      <c r="I208" s="473"/>
      <c r="J208" s="183">
        <f>SUM(J25:J200)</f>
        <v>117607.95999999999</v>
      </c>
      <c r="K208" s="183">
        <f>SUM(K25:K200)</f>
        <v>125678.84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'[50]Sch C'!D221</f>
        <v>4805901.6100000003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-596285.26000000164</v>
      </c>
      <c r="D215" s="501">
        <f>D21-D208</f>
        <v>81494.350000000006</v>
      </c>
      <c r="E215" s="171">
        <f t="shared" ref="E215:F215" si="46">E21-E208</f>
        <v>-514790.91000000108</v>
      </c>
      <c r="F215" s="171">
        <f t="shared" si="46"/>
        <v>0</v>
      </c>
      <c r="G215" s="171">
        <f>G21-G208</f>
        <v>-514790.91000000108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'[50]Sch D'!C9</f>
        <v>10765</v>
      </c>
      <c r="D219" s="530"/>
      <c r="E219" s="234">
        <f t="shared" ref="E219:G227" si="47">C219+D219</f>
        <v>10765</v>
      </c>
      <c r="F219" s="233"/>
      <c r="G219" s="234">
        <f t="shared" si="47"/>
        <v>10765</v>
      </c>
      <c r="H219" s="172">
        <f t="shared" ref="H219:H228" si="48">IF($G$228=0,0,G219/$G$228)</f>
        <v>0.62503628868373684</v>
      </c>
      <c r="I219" s="473"/>
      <c r="J219" s="168"/>
      <c r="K219" s="168"/>
    </row>
    <row r="220" spans="1:11">
      <c r="A220" s="163"/>
      <c r="B220" s="170" t="s">
        <v>217</v>
      </c>
      <c r="C220" s="530">
        <f>'[50]Sch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'[50]Sch D'!E9</f>
        <v>2085</v>
      </c>
      <c r="D221" s="530"/>
      <c r="E221" s="234">
        <f t="shared" si="49"/>
        <v>2085</v>
      </c>
      <c r="F221" s="233"/>
      <c r="G221" s="234">
        <f t="shared" si="47"/>
        <v>2085</v>
      </c>
      <c r="H221" s="172">
        <f t="shared" si="48"/>
        <v>0.12105904894617663</v>
      </c>
      <c r="I221" s="473"/>
      <c r="J221" s="168"/>
      <c r="K221" s="168"/>
    </row>
    <row r="222" spans="1:11">
      <c r="A222" s="163"/>
      <c r="B222" s="202" t="s">
        <v>334</v>
      </c>
      <c r="C222" s="530">
        <f>'[50]Sch D'!F9</f>
        <v>1704</v>
      </c>
      <c r="D222" s="530"/>
      <c r="E222" s="234">
        <f>C222+D222</f>
        <v>1704</v>
      </c>
      <c r="F222" s="233"/>
      <c r="G222" s="234">
        <f>E222+F222</f>
        <v>1704</v>
      </c>
      <c r="H222" s="172">
        <f t="shared" si="48"/>
        <v>9.8937467340184632E-2</v>
      </c>
      <c r="I222" s="473"/>
      <c r="J222" s="168"/>
      <c r="K222" s="168"/>
    </row>
    <row r="223" spans="1:11">
      <c r="A223" s="163"/>
      <c r="B223" s="170" t="s">
        <v>73</v>
      </c>
      <c r="C223" s="530">
        <f>'[50]Sch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'[50]Sch D'!H9</f>
        <v>1072</v>
      </c>
      <c r="D224" s="530"/>
      <c r="E224" s="234">
        <f t="shared" si="49"/>
        <v>1072</v>
      </c>
      <c r="F224" s="233"/>
      <c r="G224" s="234">
        <f t="shared" si="47"/>
        <v>1072</v>
      </c>
      <c r="H224" s="172">
        <f t="shared" si="48"/>
        <v>6.2242350345468267E-2</v>
      </c>
      <c r="I224" s="473"/>
      <c r="J224" s="168"/>
      <c r="K224" s="168"/>
    </row>
    <row r="225" spans="1:11">
      <c r="A225" s="163"/>
      <c r="B225" s="170" t="s">
        <v>236</v>
      </c>
      <c r="C225" s="530">
        <f>'[50]Sch D'!I9</f>
        <v>1499</v>
      </c>
      <c r="D225" s="530"/>
      <c r="E225" s="234">
        <f t="shared" si="49"/>
        <v>1499</v>
      </c>
      <c r="F225" s="233"/>
      <c r="G225" s="234">
        <f t="shared" si="47"/>
        <v>1499</v>
      </c>
      <c r="H225" s="172">
        <f t="shared" si="48"/>
        <v>8.7034779074493404E-2</v>
      </c>
      <c r="I225" s="613"/>
      <c r="J225" s="168"/>
      <c r="K225" s="168"/>
    </row>
    <row r="226" spans="1:11">
      <c r="A226" s="163"/>
      <c r="B226" s="170" t="s">
        <v>235</v>
      </c>
      <c r="C226" s="530">
        <f>'[50]Sch D'!J9</f>
        <v>98</v>
      </c>
      <c r="D226" s="530"/>
      <c r="E226" s="234">
        <f>C226+D226</f>
        <v>98</v>
      </c>
      <c r="F226" s="233"/>
      <c r="G226" s="234">
        <f>E226+F226</f>
        <v>98</v>
      </c>
      <c r="H226" s="172">
        <f t="shared" si="48"/>
        <v>5.6900656099401967E-3</v>
      </c>
      <c r="I226" s="613"/>
      <c r="J226" s="168"/>
      <c r="K226" s="168"/>
    </row>
    <row r="227" spans="1:11">
      <c r="A227" s="163"/>
      <c r="B227" s="170" t="s">
        <v>179</v>
      </c>
      <c r="C227" s="530">
        <f>'[50]Sch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17223</v>
      </c>
      <c r="D228" s="530">
        <f>SUM(D219:D227)</f>
        <v>0</v>
      </c>
      <c r="E228" s="236">
        <f>SUM(E219:E227)</f>
        <v>17223</v>
      </c>
      <c r="F228" s="236">
        <f>SUM(F219:F227)</f>
        <v>0</v>
      </c>
      <c r="G228" s="236">
        <f>SUM(G219:G227)</f>
        <v>17223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J230" s="168"/>
      <c r="K230" s="168"/>
    </row>
    <row r="231" spans="1:11">
      <c r="A231" s="163"/>
      <c r="B231" s="202" t="s">
        <v>219</v>
      </c>
      <c r="C231" s="531">
        <f>'[50]Sch D'!N22</f>
        <v>76</v>
      </c>
      <c r="D231" s="502"/>
      <c r="E231" s="234">
        <f>C231+D231</f>
        <v>76</v>
      </c>
      <c r="F231" s="234"/>
      <c r="G231" s="234">
        <f>E231+F231</f>
        <v>76</v>
      </c>
      <c r="H231" s="167"/>
      <c r="J231" s="168"/>
      <c r="K231" s="168"/>
    </row>
    <row r="232" spans="1:11">
      <c r="A232" s="163"/>
      <c r="B232" s="202" t="s">
        <v>290</v>
      </c>
      <c r="C232" s="531">
        <f>'[50]Sch D'!N24</f>
        <v>52</v>
      </c>
      <c r="D232" s="502"/>
      <c r="E232" s="234">
        <f>C232+D232</f>
        <v>52</v>
      </c>
      <c r="F232" s="456"/>
      <c r="G232" s="234">
        <f>E232+F232</f>
        <v>52</v>
      </c>
      <c r="H232" s="167" t="s">
        <v>610</v>
      </c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457" t="s">
        <v>611</v>
      </c>
      <c r="J233" s="604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J234" s="168"/>
      <c r="K234" s="168"/>
    </row>
    <row r="235" spans="1:11" ht="26">
      <c r="A235" s="163"/>
      <c r="B235" s="241" t="s">
        <v>335</v>
      </c>
      <c r="C235" s="531">
        <f>'[50]Sch D'!N28</f>
        <v>27740</v>
      </c>
      <c r="D235" s="438"/>
      <c r="E235" s="233">
        <f>E231*E233</f>
        <v>27740</v>
      </c>
      <c r="F235" s="238"/>
      <c r="G235" s="233">
        <f>G231*G233</f>
        <v>27740</v>
      </c>
      <c r="H235" s="167"/>
      <c r="J235" s="168"/>
      <c r="K235" s="168"/>
    </row>
    <row r="236" spans="1:11" ht="26">
      <c r="A236" s="163"/>
      <c r="B236" s="241" t="s">
        <v>336</v>
      </c>
      <c r="C236" s="532">
        <f>'[50]Sch D'!N30</f>
        <v>0.62087238644556597</v>
      </c>
      <c r="D236" s="238"/>
      <c r="E236" s="242">
        <f>E228/E235</f>
        <v>0.62087238644556597</v>
      </c>
      <c r="F236" s="243"/>
      <c r="G236" s="242">
        <f>G228/G235</f>
        <v>0.62087238644556597</v>
      </c>
      <c r="H236" s="167"/>
      <c r="J236" s="168"/>
      <c r="K236" s="168"/>
    </row>
    <row r="237" spans="1:11" ht="26">
      <c r="A237" s="163"/>
      <c r="B237" s="241" t="s">
        <v>337</v>
      </c>
      <c r="C237" s="532">
        <f>'[50]Sch D'!N32</f>
        <v>0.38806777217015143</v>
      </c>
      <c r="D237" s="238"/>
      <c r="E237" s="242">
        <f>(E219+E220)/E235</f>
        <v>0.38806777217015143</v>
      </c>
      <c r="F237" s="243"/>
      <c r="G237" s="242">
        <f>(G219+G220)/G235</f>
        <v>0.38806777217015143</v>
      </c>
      <c r="H237" s="167"/>
      <c r="J237" s="168"/>
      <c r="K237" s="168"/>
    </row>
    <row r="238" spans="1:11" ht="26">
      <c r="A238" s="163"/>
      <c r="B238" s="241" t="s">
        <v>338</v>
      </c>
      <c r="C238" s="532">
        <f>'[50]Sch D'!N34</f>
        <v>0.62503628868373684</v>
      </c>
      <c r="D238" s="238"/>
      <c r="E238" s="242">
        <f>(E237/E236)</f>
        <v>0.62503628868373684</v>
      </c>
      <c r="F238" s="243"/>
      <c r="G238" s="242">
        <f>(G237/G236)</f>
        <v>0.62503628868373684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01">
        <f>'[50]Sch B'!C85</f>
        <v>185.76441269841271</v>
      </c>
    </row>
    <row r="242" spans="2:7">
      <c r="F242" s="142" t="s">
        <v>341</v>
      </c>
      <c r="G242" s="501">
        <f>'[50]Sch B'!E85</f>
        <v>125.65437499999999</v>
      </c>
    </row>
    <row r="243" spans="2:7">
      <c r="B243" s="417"/>
      <c r="F243" s="142" t="s">
        <v>342</v>
      </c>
      <c r="G243" s="501">
        <f>'[50]Sch B'!G85</f>
        <v>238.34942583732058</v>
      </c>
    </row>
    <row r="244" spans="2:7" ht="16.5">
      <c r="B244" s="485"/>
      <c r="F244" s="142" t="s">
        <v>343</v>
      </c>
      <c r="G244" s="501">
        <f>'[50]Sch B'!I85</f>
        <v>212.77188888888887</v>
      </c>
    </row>
    <row r="245" spans="2:7" ht="16.5">
      <c r="B245" s="485"/>
      <c r="F245" s="142"/>
    </row>
    <row r="246" spans="2:7" ht="16.5">
      <c r="B246" s="485"/>
    </row>
    <row r="247" spans="2:7" ht="16.5">
      <c r="B247" s="48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A2">
      <selection activeCell="B14" sqref="B14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74">
    <tabColor rgb="FFE28CAB"/>
  </sheetPr>
  <dimension ref="A1:O246"/>
  <sheetViews>
    <sheetView showGridLines="0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467</v>
      </c>
      <c r="D2" s="244"/>
      <c r="E2" s="144"/>
      <c r="F2" s="509" t="s">
        <v>427</v>
      </c>
    </row>
    <row r="3" spans="1:11">
      <c r="A3" s="145"/>
      <c r="B3" s="140" t="s">
        <v>79</v>
      </c>
      <c r="C3" s="441">
        <v>42552</v>
      </c>
      <c r="D3" s="144"/>
      <c r="E3" s="147"/>
      <c r="F3" s="421"/>
    </row>
    <row r="4" spans="1:11">
      <c r="A4" s="145"/>
      <c r="B4" s="148" t="s">
        <v>80</v>
      </c>
      <c r="C4" s="441">
        <v>42916</v>
      </c>
      <c r="D4" s="144"/>
      <c r="E4" s="149"/>
      <c r="F4" s="421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'[51]Sch B'!E10</f>
        <v>2161374</v>
      </c>
      <c r="D11" s="501">
        <f>'[51]Sch B'!G10</f>
        <v>0</v>
      </c>
      <c r="E11" s="171">
        <f>C11+D11</f>
        <v>2161374</v>
      </c>
      <c r="F11" s="171">
        <v>1593260</v>
      </c>
      <c r="G11" s="171">
        <f t="shared" ref="G11:G20" si="0">E11+F11</f>
        <v>3754634</v>
      </c>
      <c r="H11" s="172">
        <f t="shared" ref="H11:H21" si="1">IF($G$21=0,0,G11/$G$21)</f>
        <v>0.97895574480112091</v>
      </c>
      <c r="I11" s="473"/>
      <c r="J11" s="336" t="s">
        <v>344</v>
      </c>
      <c r="K11" s="337">
        <f>G21</f>
        <v>3835346</v>
      </c>
    </row>
    <row r="12" spans="1:11" s="167" customFormat="1">
      <c r="A12" s="169" t="s">
        <v>15</v>
      </c>
      <c r="B12" s="170" t="s">
        <v>212</v>
      </c>
      <c r="C12" s="501">
        <f>'[51]Sch B'!E15</f>
        <v>0</v>
      </c>
      <c r="D12" s="501">
        <f>'[51]Sch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1983125</v>
      </c>
    </row>
    <row r="13" spans="1:11" s="167" customFormat="1">
      <c r="A13" s="169" t="s">
        <v>16</v>
      </c>
      <c r="B13" s="170" t="s">
        <v>170</v>
      </c>
      <c r="C13" s="501">
        <f>'[51]Sch B'!E21</f>
        <v>0</v>
      </c>
      <c r="D13" s="501">
        <f>'[51]Sch B'!G21</f>
        <v>0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I13" s="473"/>
      <c r="J13" s="338" t="s">
        <v>346</v>
      </c>
      <c r="K13" s="339">
        <f>G228</f>
        <v>10874</v>
      </c>
    </row>
    <row r="14" spans="1:11" s="167" customFormat="1">
      <c r="A14" s="173" t="s">
        <v>18</v>
      </c>
      <c r="B14" s="174" t="s">
        <v>306</v>
      </c>
      <c r="C14" s="501">
        <f>'[51]Sch B'!E27</f>
        <v>0</v>
      </c>
      <c r="D14" s="501">
        <f>'[51]Sch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34</v>
      </c>
    </row>
    <row r="15" spans="1:11" s="167" customFormat="1">
      <c r="A15" s="169" t="s">
        <v>19</v>
      </c>
      <c r="B15" s="170" t="s">
        <v>171</v>
      </c>
      <c r="C15" s="501">
        <f>'[51]Sch B'!E32</f>
        <v>0</v>
      </c>
      <c r="D15" s="501">
        <f>'[51]Sch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12410</v>
      </c>
    </row>
    <row r="16" spans="1:11" s="167" customFormat="1">
      <c r="A16" s="169" t="s">
        <v>21</v>
      </c>
      <c r="B16" s="170" t="s">
        <v>172</v>
      </c>
      <c r="C16" s="501">
        <f>'[51]Sch B'!E37</f>
        <v>31073</v>
      </c>
      <c r="D16" s="501">
        <f>'[51]Sch B'!G37</f>
        <v>0</v>
      </c>
      <c r="E16" s="171">
        <f t="shared" si="2"/>
        <v>31073</v>
      </c>
      <c r="F16" s="171"/>
      <c r="G16" s="171">
        <f t="shared" si="0"/>
        <v>31073</v>
      </c>
      <c r="H16" s="172">
        <f t="shared" si="1"/>
        <v>8.1017462309788991E-3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'[51]Sch B'!E42</f>
        <v>41193</v>
      </c>
      <c r="D17" s="501">
        <f>'[51]Sch B'!G42</f>
        <v>0</v>
      </c>
      <c r="E17" s="171">
        <f t="shared" si="2"/>
        <v>41193</v>
      </c>
      <c r="F17" s="171"/>
      <c r="G17" s="171">
        <f>E17+F17</f>
        <v>41193</v>
      </c>
      <c r="H17" s="172">
        <f t="shared" si="1"/>
        <v>1.0740360843584908E-2</v>
      </c>
      <c r="I17" s="473"/>
      <c r="J17" s="338" t="s">
        <v>156</v>
      </c>
      <c r="K17" s="339">
        <f>J208</f>
        <v>58116.09</v>
      </c>
    </row>
    <row r="18" spans="1:11" s="167" customFormat="1" ht="13.5" thickBot="1">
      <c r="A18" s="169" t="s">
        <v>216</v>
      </c>
      <c r="B18" s="170" t="s">
        <v>229</v>
      </c>
      <c r="C18" s="501">
        <f>'[51]Sch B'!E47</f>
        <v>0</v>
      </c>
      <c r="D18" s="501">
        <f>'[51]Sch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58615.86</v>
      </c>
    </row>
    <row r="19" spans="1:11" s="167" customFormat="1">
      <c r="A19" s="169" t="s">
        <v>227</v>
      </c>
      <c r="B19" s="177" t="s">
        <v>173</v>
      </c>
      <c r="C19" s="501">
        <f>'[51]Sch B'!E52</f>
        <v>0</v>
      </c>
      <c r="D19" s="501">
        <f>'[51]Sch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'[51]Sch B'!E67</f>
        <v>8446</v>
      </c>
      <c r="D20" s="501">
        <f>'[51]Sch B'!G67</f>
        <v>0</v>
      </c>
      <c r="E20" s="171">
        <f t="shared" si="2"/>
        <v>8446</v>
      </c>
      <c r="F20" s="171"/>
      <c r="G20" s="171">
        <f t="shared" si="0"/>
        <v>8446</v>
      </c>
      <c r="H20" s="172">
        <f t="shared" si="1"/>
        <v>2.2021481243152509E-3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2242086</v>
      </c>
      <c r="D21" s="501">
        <f>SUM(D11:D20)</f>
        <v>0</v>
      </c>
      <c r="E21" s="171">
        <f>SUM(E11:E20)</f>
        <v>2242086</v>
      </c>
      <c r="F21" s="171">
        <f>SUM(F11:F20)</f>
        <v>1593260</v>
      </c>
      <c r="G21" s="171">
        <f>SUM(G11:G20)</f>
        <v>3835346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'[51]Sch C'!D10</f>
        <v>96869</v>
      </c>
      <c r="D25" s="501">
        <f>'[51]Sch C'!F10</f>
        <v>0</v>
      </c>
      <c r="E25" s="171">
        <f t="shared" ref="E25:E60" si="3">C25+D25</f>
        <v>96869</v>
      </c>
      <c r="F25" s="171"/>
      <c r="G25" s="182">
        <f>E25+F25</f>
        <v>96869</v>
      </c>
      <c r="H25" s="172">
        <f>IF($G$208=0,0,G25/$G$208)</f>
        <v>4.8846643554995274E-2</v>
      </c>
      <c r="I25" s="473"/>
      <c r="J25" s="183">
        <v>1312</v>
      </c>
      <c r="K25" s="183">
        <v>1420</v>
      </c>
    </row>
    <row r="26" spans="1:11" s="167" customFormat="1">
      <c r="A26" s="169" t="s">
        <v>84</v>
      </c>
      <c r="B26" s="170" t="s">
        <v>176</v>
      </c>
      <c r="C26" s="501">
        <f>'[51]Sch C'!D11</f>
        <v>0</v>
      </c>
      <c r="D26" s="501">
        <f>'[51]Sch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'[51]Sch C'!D12</f>
        <v>69026</v>
      </c>
      <c r="D27" s="501">
        <f>'[51]Sch C'!F12</f>
        <v>0</v>
      </c>
      <c r="E27" s="171">
        <f t="shared" si="3"/>
        <v>69026</v>
      </c>
      <c r="F27" s="171"/>
      <c r="G27" s="171">
        <f t="shared" si="4"/>
        <v>69026</v>
      </c>
      <c r="H27" s="172">
        <f t="shared" si="5"/>
        <v>3.4806681374093915E-2</v>
      </c>
      <c r="I27" s="473"/>
      <c r="J27" s="183">
        <v>2155.5500000000002</v>
      </c>
      <c r="K27" s="183">
        <v>2171.5500000000002</v>
      </c>
    </row>
    <row r="28" spans="1:11" s="167" customFormat="1">
      <c r="A28" s="169" t="s">
        <v>86</v>
      </c>
      <c r="B28" s="170" t="s">
        <v>45</v>
      </c>
      <c r="C28" s="501">
        <f>'[51]Sch C'!D13</f>
        <v>53326</v>
      </c>
      <c r="D28" s="501">
        <f>'[51]Sch C'!F13</f>
        <v>-44626</v>
      </c>
      <c r="E28" s="171">
        <f t="shared" si="3"/>
        <v>8700</v>
      </c>
      <c r="F28" s="171"/>
      <c r="G28" s="171">
        <f t="shared" si="4"/>
        <v>8700</v>
      </c>
      <c r="H28" s="172">
        <f t="shared" si="5"/>
        <v>4.3870154427986131E-3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'[51]Sch C'!D14</f>
        <v>0</v>
      </c>
      <c r="D29" s="501">
        <f>'[51]Sch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'[51]Sch C'!D15</f>
        <v>8577</v>
      </c>
      <c r="D30" s="501">
        <f>'[51]Sch C'!F15</f>
        <v>0</v>
      </c>
      <c r="E30" s="171">
        <f t="shared" si="3"/>
        <v>8577</v>
      </c>
      <c r="F30" s="171"/>
      <c r="G30" s="171">
        <f t="shared" si="4"/>
        <v>8577</v>
      </c>
      <c r="H30" s="172">
        <f t="shared" si="5"/>
        <v>4.3249921210211156E-3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'[51]Sch C'!D16</f>
        <v>0</v>
      </c>
      <c r="D31" s="501">
        <f>'[51]Sch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'[51]Sch C'!D17</f>
        <v>433</v>
      </c>
      <c r="D32" s="501">
        <f>'[51]Sch C'!F17</f>
        <v>-433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'[51]Sch C'!D18</f>
        <v>3804</v>
      </c>
      <c r="D33" s="501">
        <f>'[51]Sch C'!F18</f>
        <v>0</v>
      </c>
      <c r="E33" s="171">
        <f t="shared" si="3"/>
        <v>3804</v>
      </c>
      <c r="F33" s="171"/>
      <c r="G33" s="171">
        <f t="shared" si="4"/>
        <v>3804</v>
      </c>
      <c r="H33" s="172">
        <f t="shared" si="5"/>
        <v>1.9181846832650488E-3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'[51]Sch C'!D19</f>
        <v>16666</v>
      </c>
      <c r="D34" s="501">
        <f>'[51]Sch C'!F19</f>
        <v>0</v>
      </c>
      <c r="E34" s="171">
        <f t="shared" si="3"/>
        <v>16666</v>
      </c>
      <c r="F34" s="171"/>
      <c r="G34" s="171">
        <f t="shared" si="4"/>
        <v>16666</v>
      </c>
      <c r="H34" s="172">
        <f t="shared" si="5"/>
        <v>8.4039079735266312E-3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'[51]Sch C'!D20</f>
        <v>7419</v>
      </c>
      <c r="D35" s="501">
        <f>'[51]Sch C'!F20</f>
        <v>0</v>
      </c>
      <c r="E35" s="171">
        <f t="shared" si="3"/>
        <v>7419</v>
      </c>
      <c r="F35" s="171"/>
      <c r="G35" s="171">
        <f t="shared" si="4"/>
        <v>7419</v>
      </c>
      <c r="H35" s="172">
        <f t="shared" si="5"/>
        <v>3.7410652379451623E-3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'[51]Sch C'!D21</f>
        <v>46072</v>
      </c>
      <c r="D36" s="501">
        <f>'[51]Sch C'!F21</f>
        <v>0</v>
      </c>
      <c r="E36" s="171">
        <f t="shared" si="3"/>
        <v>46072</v>
      </c>
      <c r="F36" s="171"/>
      <c r="G36" s="171">
        <f t="shared" si="4"/>
        <v>46072</v>
      </c>
      <c r="H36" s="172">
        <f t="shared" si="5"/>
        <v>2.3232020170185944E-2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'[51]Sch C'!D22</f>
        <v>0</v>
      </c>
      <c r="D37" s="501">
        <f>'[51]Sch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'[51]Sch C'!D23</f>
        <v>5062</v>
      </c>
      <c r="D38" s="501">
        <f>'[51]Sch C'!F23</f>
        <v>0</v>
      </c>
      <c r="E38" s="171">
        <f t="shared" si="3"/>
        <v>5062</v>
      </c>
      <c r="F38" s="171"/>
      <c r="G38" s="171">
        <f t="shared" si="4"/>
        <v>5062</v>
      </c>
      <c r="H38" s="172">
        <f t="shared" si="5"/>
        <v>2.5525370312007565E-3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'[51]Sch C'!D24</f>
        <v>0</v>
      </c>
      <c r="D39" s="501">
        <f>'[51]Sch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'[51]Sch C'!D25</f>
        <v>0</v>
      </c>
      <c r="D40" s="501">
        <f>'[51]Sch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'[51]Sch C'!D26</f>
        <v>203835</v>
      </c>
      <c r="D41" s="501">
        <f>'[51]Sch C'!F26</f>
        <v>0</v>
      </c>
      <c r="E41" s="171">
        <f t="shared" si="3"/>
        <v>203835</v>
      </c>
      <c r="F41" s="171"/>
      <c r="G41" s="171">
        <f t="shared" si="4"/>
        <v>203835</v>
      </c>
      <c r="H41" s="172">
        <f t="shared" si="5"/>
        <v>0.10278474629687992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'[51]Sch C'!D27</f>
        <v>0</v>
      </c>
      <c r="D42" s="501">
        <f>'[51]Sch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'[51]Sch C'!D28</f>
        <v>0</v>
      </c>
      <c r="D43" s="501">
        <f>'[51]Sch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'[51]Sch C'!D29</f>
        <v>0</v>
      </c>
      <c r="D44" s="501">
        <f>'[51]Sch C'!F29</f>
        <v>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'[51]Sch C'!D30</f>
        <v>0</v>
      </c>
      <c r="D45" s="501">
        <f>'[51]Sch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'[51]Sch C'!D31</f>
        <v>15793</v>
      </c>
      <c r="D46" s="501">
        <f>'[51]Sch C'!F31</f>
        <v>0</v>
      </c>
      <c r="E46" s="171">
        <f t="shared" si="3"/>
        <v>15793</v>
      </c>
      <c r="F46" s="171"/>
      <c r="G46" s="171">
        <f t="shared" si="4"/>
        <v>15793</v>
      </c>
      <c r="H46" s="172">
        <f t="shared" si="5"/>
        <v>7.9636936653009766E-3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'[51]Sch C'!D32</f>
        <v>28653</v>
      </c>
      <c r="D47" s="501">
        <f>'[51]Sch C'!F32</f>
        <v>0</v>
      </c>
      <c r="E47" s="171">
        <f t="shared" si="3"/>
        <v>28653</v>
      </c>
      <c r="F47" s="171"/>
      <c r="G47" s="171">
        <f t="shared" si="4"/>
        <v>28653</v>
      </c>
      <c r="H47" s="172">
        <f t="shared" si="5"/>
        <v>1.4448408446265364E-2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'[51]Sch C'!D33</f>
        <v>0</v>
      </c>
      <c r="D48" s="501">
        <f>'[51]Sch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'[51]Sch C'!D34</f>
        <v>0</v>
      </c>
      <c r="D49" s="501">
        <f>'[51]Sch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'[51]Sch C'!D35</f>
        <v>26</v>
      </c>
      <c r="D50" s="501">
        <f>'[51]Sch C'!F35</f>
        <v>-26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'[51]Sch C'!D36</f>
        <v>0</v>
      </c>
      <c r="D51" s="501">
        <f>'[51]Sch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'[51]Sch C'!D37</f>
        <v>0</v>
      </c>
      <c r="D52" s="501">
        <f>'[51]Sch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'[51]Sch C'!D38</f>
        <v>0</v>
      </c>
      <c r="D53" s="501">
        <f>'[51]Sch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'[51]Sch C'!D39</f>
        <v>1114</v>
      </c>
      <c r="D54" s="501">
        <f>'[51]Sch C'!F39</f>
        <v>0</v>
      </c>
      <c r="E54" s="171">
        <f t="shared" si="3"/>
        <v>1114</v>
      </c>
      <c r="F54" s="171"/>
      <c r="G54" s="171">
        <f t="shared" si="4"/>
        <v>1114</v>
      </c>
      <c r="H54" s="172">
        <f t="shared" si="5"/>
        <v>5.6173967853766151E-4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'[51]Sch C'!D40</f>
        <v>709</v>
      </c>
      <c r="D55" s="501">
        <f>'[51]Sch C'!F40</f>
        <v>-709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'[51]Sch C'!D41</f>
        <v>18987</v>
      </c>
      <c r="D56" s="501">
        <f>'[51]Sch C'!F41</f>
        <v>0</v>
      </c>
      <c r="E56" s="171">
        <f t="shared" si="3"/>
        <v>18987</v>
      </c>
      <c r="F56" s="171"/>
      <c r="G56" s="171">
        <f t="shared" si="4"/>
        <v>18987</v>
      </c>
      <c r="H56" s="172">
        <f t="shared" si="5"/>
        <v>9.5742830129215261E-3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'[51]Sch C'!D42</f>
        <v>1001</v>
      </c>
      <c r="D57" s="501">
        <f>'[51]Sch C'!F42</f>
        <v>0</v>
      </c>
      <c r="E57" s="171">
        <f t="shared" si="3"/>
        <v>1001</v>
      </c>
      <c r="F57" s="171"/>
      <c r="G57" s="171">
        <f t="shared" si="4"/>
        <v>1001</v>
      </c>
      <c r="H57" s="172">
        <f t="shared" si="5"/>
        <v>5.0475890324613935E-4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'[51]Sch C'!D43</f>
        <v>4239</v>
      </c>
      <c r="D58" s="501">
        <f>'[51]Sch C'!F43</f>
        <v>-3294</v>
      </c>
      <c r="E58" s="171">
        <f t="shared" si="3"/>
        <v>945</v>
      </c>
      <c r="F58" s="171"/>
      <c r="G58" s="171">
        <f t="shared" si="4"/>
        <v>945</v>
      </c>
      <c r="H58" s="172">
        <f t="shared" si="5"/>
        <v>4.7652064292467696E-4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'[51]Sch C'!D44</f>
        <v>0</v>
      </c>
      <c r="D59" s="501">
        <f>'[51]Sch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'[51]Sch C'!D45</f>
        <v>4692</v>
      </c>
      <c r="D60" s="501">
        <f>'[51]Sch C'!F45</f>
        <v>0</v>
      </c>
      <c r="E60" s="171">
        <f t="shared" si="3"/>
        <v>4692</v>
      </c>
      <c r="F60" s="171"/>
      <c r="G60" s="171">
        <f t="shared" si="4"/>
        <v>4692</v>
      </c>
      <c r="H60" s="172">
        <f t="shared" si="5"/>
        <v>2.3659628112196658E-3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586303</v>
      </c>
      <c r="D61" s="501">
        <f>SUM(D25:D60)</f>
        <v>-49088</v>
      </c>
      <c r="E61" s="171">
        <f t="shared" ref="E61:F61" si="6">SUM(E25:E60)</f>
        <v>537215</v>
      </c>
      <c r="F61" s="171">
        <f t="shared" si="6"/>
        <v>0</v>
      </c>
      <c r="G61" s="171">
        <f>SUM(G25:G60)</f>
        <v>537215</v>
      </c>
      <c r="H61" s="186">
        <f t="shared" si="5"/>
        <v>0.27089316104632838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213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'[51]Sch C'!D57</f>
        <v>164963</v>
      </c>
      <c r="D64" s="501">
        <f>'[51]Sch C'!F57</f>
        <v>0</v>
      </c>
      <c r="E64" s="171">
        <f t="shared" ref="E64:E78" si="7">C64+D64</f>
        <v>164963</v>
      </c>
      <c r="F64" s="171"/>
      <c r="G64" s="171">
        <f t="shared" ref="G64:G78" si="8">E64+F64</f>
        <v>164963</v>
      </c>
      <c r="H64" s="172">
        <f t="shared" ref="H64:H79" si="9">IF($G$208=0,0,G64/$G$208)</f>
        <v>8.3183359596596285E-2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'[51]Sch C'!D58</f>
        <v>0</v>
      </c>
      <c r="D65" s="501">
        <f>'[51]Sch C'!F58</f>
        <v>0</v>
      </c>
      <c r="E65" s="171">
        <f t="shared" si="7"/>
        <v>0</v>
      </c>
      <c r="F65" s="171"/>
      <c r="G65" s="171">
        <f t="shared" si="8"/>
        <v>0</v>
      </c>
      <c r="H65" s="172">
        <f t="shared" si="9"/>
        <v>0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'[51]Sch C'!D59</f>
        <v>0</v>
      </c>
      <c r="D66" s="501">
        <f>'[51]Sch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'[51]Sch C'!D60</f>
        <v>7737</v>
      </c>
      <c r="D67" s="501">
        <f>'[51]Sch C'!F60</f>
        <v>0</v>
      </c>
      <c r="E67" s="171">
        <f t="shared" si="7"/>
        <v>7737</v>
      </c>
      <c r="F67" s="171"/>
      <c r="G67" s="171">
        <f t="shared" si="8"/>
        <v>7737</v>
      </c>
      <c r="H67" s="172">
        <f t="shared" si="9"/>
        <v>3.9014182161991808E-3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'[51]Sch C'!D61</f>
        <v>0</v>
      </c>
      <c r="D68" s="501">
        <f>'[51]Sch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'[51]Sch C'!D62</f>
        <v>0</v>
      </c>
      <c r="D69" s="501">
        <f>'[51]Sch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'[51]Sch C'!D63</f>
        <v>0</v>
      </c>
      <c r="D70" s="501">
        <f>'[51]Sch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'[51]Sch C'!D64</f>
        <v>0</v>
      </c>
      <c r="D71" s="501">
        <f>'[51]Sch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'[51]Sch C'!D65</f>
        <v>5960</v>
      </c>
      <c r="D72" s="501">
        <f>'[51]Sch C'!F65</f>
        <v>0</v>
      </c>
      <c r="E72" s="171">
        <f t="shared" si="7"/>
        <v>5960</v>
      </c>
      <c r="F72" s="171"/>
      <c r="G72" s="171">
        <f t="shared" si="8"/>
        <v>5960</v>
      </c>
      <c r="H72" s="172">
        <f t="shared" si="9"/>
        <v>3.0053577056413489E-3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'[51]Sch C'!D66</f>
        <v>0</v>
      </c>
      <c r="D73" s="501">
        <f>'[51]Sch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'[51]Sch C'!D67</f>
        <v>0</v>
      </c>
      <c r="D74" s="501">
        <f>'[51]Sch C'!F67</f>
        <v>0</v>
      </c>
      <c r="E74" s="171">
        <f t="shared" si="7"/>
        <v>0</v>
      </c>
      <c r="F74" s="171"/>
      <c r="G74" s="171">
        <f t="shared" si="8"/>
        <v>0</v>
      </c>
      <c r="H74" s="172">
        <f t="shared" si="9"/>
        <v>0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'[51]Sch C'!D68</f>
        <v>0</v>
      </c>
      <c r="D75" s="501">
        <f>'[51]Sch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'[51]Sch C'!D69</f>
        <v>0</v>
      </c>
      <c r="D76" s="501">
        <f>'[51]Sch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'[51]Sch C'!D70</f>
        <v>0</v>
      </c>
      <c r="D77" s="501">
        <f>'[51]Sch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'[51]Sch C'!D71</f>
        <v>0</v>
      </c>
      <c r="D78" s="501">
        <f>'[51]Sch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178660</v>
      </c>
      <c r="D79" s="501">
        <f>SUM(D64:D78)</f>
        <v>0</v>
      </c>
      <c r="E79" s="171">
        <f t="shared" ref="E79:F79" si="10">SUM(E64:E78)</f>
        <v>178660</v>
      </c>
      <c r="F79" s="171">
        <f t="shared" si="10"/>
        <v>0</v>
      </c>
      <c r="G79" s="171">
        <f>SUM(G64:G78)</f>
        <v>178660</v>
      </c>
      <c r="H79" s="172">
        <f t="shared" si="9"/>
        <v>9.0090135518436809E-2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'[51]Sch C'!D75</f>
        <v>13942</v>
      </c>
      <c r="D82" s="501">
        <f>'[51]Sch C'!F75</f>
        <v>0</v>
      </c>
      <c r="E82" s="171">
        <f t="shared" ref="E82:E92" si="11">C82+D82</f>
        <v>13942</v>
      </c>
      <c r="F82" s="171"/>
      <c r="G82" s="171">
        <f t="shared" ref="G82:G92" si="12">E82+F82</f>
        <v>13942</v>
      </c>
      <c r="H82" s="172">
        <f t="shared" ref="H82:H93" si="13">IF($G$208=0,0,G82/$G$208)</f>
        <v>7.0303183107469271E-3</v>
      </c>
      <c r="I82" s="473"/>
      <c r="J82" s="183">
        <v>690.56</v>
      </c>
      <c r="K82" s="183">
        <v>690.56</v>
      </c>
    </row>
    <row r="83" spans="1:11" s="167" customFormat="1">
      <c r="A83" s="169" t="s">
        <v>86</v>
      </c>
      <c r="B83" s="199" t="s">
        <v>45</v>
      </c>
      <c r="C83" s="501">
        <f>'[51]Sch C'!D76</f>
        <v>1273</v>
      </c>
      <c r="D83" s="501">
        <f>'[51]Sch C'!F76</f>
        <v>731</v>
      </c>
      <c r="E83" s="171">
        <f t="shared" si="11"/>
        <v>2004</v>
      </c>
      <c r="F83" s="171"/>
      <c r="G83" s="171">
        <f t="shared" si="12"/>
        <v>2004</v>
      </c>
      <c r="H83" s="172">
        <f t="shared" si="13"/>
        <v>1.0105263157894737E-3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'[51]Sch C'!D77</f>
        <v>7776</v>
      </c>
      <c r="D84" s="501">
        <f>'[51]Sch C'!F77</f>
        <v>0</v>
      </c>
      <c r="E84" s="171">
        <f t="shared" si="11"/>
        <v>7776</v>
      </c>
      <c r="F84" s="171"/>
      <c r="G84" s="171">
        <f t="shared" si="12"/>
        <v>7776</v>
      </c>
      <c r="H84" s="172">
        <f t="shared" si="13"/>
        <v>3.9210841474944845E-3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'[51]Sch C'!D78</f>
        <v>0</v>
      </c>
      <c r="D85" s="501">
        <f>'[51]Sch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'[51]Sch C'!D79</f>
        <v>182</v>
      </c>
      <c r="D86" s="501">
        <f>'[51]Sch C'!F79</f>
        <v>0</v>
      </c>
      <c r="E86" s="171">
        <f t="shared" si="11"/>
        <v>182</v>
      </c>
      <c r="F86" s="171"/>
      <c r="G86" s="171">
        <f>E86+F86</f>
        <v>182</v>
      </c>
      <c r="H86" s="172">
        <f t="shared" si="13"/>
        <v>9.1774346044752605E-5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'[51]Sch C'!D80</f>
        <v>14108</v>
      </c>
      <c r="D87" s="501">
        <f>'[51]Sch C'!F80</f>
        <v>0</v>
      </c>
      <c r="E87" s="171">
        <f t="shared" si="11"/>
        <v>14108</v>
      </c>
      <c r="F87" s="171"/>
      <c r="G87" s="171">
        <f t="shared" si="12"/>
        <v>14108</v>
      </c>
      <c r="H87" s="172">
        <f t="shared" si="13"/>
        <v>7.1140245824141187E-3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'[51]Sch C'!D81</f>
        <v>2931</v>
      </c>
      <c r="D88" s="501">
        <f>'[51]Sch C'!F81</f>
        <v>0</v>
      </c>
      <c r="E88" s="171">
        <f t="shared" si="11"/>
        <v>2931</v>
      </c>
      <c r="F88" s="171"/>
      <c r="G88" s="171">
        <f t="shared" si="12"/>
        <v>2931</v>
      </c>
      <c r="H88" s="172">
        <f t="shared" si="13"/>
        <v>1.4779703750393948E-3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'[51]Sch C'!D82</f>
        <v>4361</v>
      </c>
      <c r="D89" s="501">
        <f>'[51]Sch C'!F82</f>
        <v>0</v>
      </c>
      <c r="E89" s="171">
        <f t="shared" si="11"/>
        <v>4361</v>
      </c>
      <c r="F89" s="171"/>
      <c r="G89" s="171">
        <f t="shared" si="12"/>
        <v>4361</v>
      </c>
      <c r="H89" s="172">
        <f t="shared" si="13"/>
        <v>2.1990545225338796E-3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'[51]Sch C'!D83</f>
        <v>6851</v>
      </c>
      <c r="D90" s="501">
        <f>'[51]Sch C'!F83</f>
        <v>0</v>
      </c>
      <c r="E90" s="171">
        <f t="shared" si="11"/>
        <v>6851</v>
      </c>
      <c r="F90" s="171"/>
      <c r="G90" s="171">
        <f t="shared" si="12"/>
        <v>6851</v>
      </c>
      <c r="H90" s="172">
        <f t="shared" si="13"/>
        <v>3.4546485975417585E-3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'[51]Sch C'!D84</f>
        <v>27650</v>
      </c>
      <c r="D91" s="501">
        <f>'[51]Sch C'!F84</f>
        <v>0</v>
      </c>
      <c r="E91" s="171">
        <f t="shared" si="11"/>
        <v>27650</v>
      </c>
      <c r="F91" s="171"/>
      <c r="G91" s="171">
        <f t="shared" si="12"/>
        <v>27650</v>
      </c>
      <c r="H91" s="172">
        <f t="shared" si="13"/>
        <v>1.3942641033722029E-2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'[51]Sch C'!D85</f>
        <v>0</v>
      </c>
      <c r="D92" s="501">
        <f>'[51]Sch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79074</v>
      </c>
      <c r="D93" s="501">
        <f>SUM(D82:D92)</f>
        <v>731</v>
      </c>
      <c r="E93" s="171">
        <f t="shared" ref="E93:F93" si="14">SUM(E82:E92)</f>
        <v>79805</v>
      </c>
      <c r="F93" s="171">
        <f t="shared" si="14"/>
        <v>0</v>
      </c>
      <c r="G93" s="171">
        <f>SUM(G82:G92)</f>
        <v>79805</v>
      </c>
      <c r="H93" s="172">
        <f t="shared" si="13"/>
        <v>4.0242042231326818E-2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'[51]Sch C'!D89</f>
        <v>99415</v>
      </c>
      <c r="D96" s="501">
        <f>'[51]Sch C'!F89</f>
        <v>0</v>
      </c>
      <c r="E96" s="171">
        <f t="shared" ref="E96:E101" si="15">C96+D96</f>
        <v>99415</v>
      </c>
      <c r="F96" s="171"/>
      <c r="G96" s="171">
        <f t="shared" ref="G96:G101" si="16">E96+F96</f>
        <v>99415</v>
      </c>
      <c r="H96" s="172">
        <f t="shared" ref="H96:H102" si="17">IF($G$208=0,0,G96/$G$208)</f>
        <v>5.0130475890324613E-2</v>
      </c>
      <c r="I96" s="473"/>
      <c r="J96" s="183">
        <v>7145</v>
      </c>
      <c r="K96" s="183">
        <v>7161.01</v>
      </c>
    </row>
    <row r="97" spans="1:11" s="167" customFormat="1">
      <c r="A97" s="169" t="s">
        <v>86</v>
      </c>
      <c r="B97" s="170" t="s">
        <v>45</v>
      </c>
      <c r="C97" s="501">
        <f>'[51]Sch C'!D90</f>
        <v>8355</v>
      </c>
      <c r="D97" s="501">
        <f>'[51]Sch C'!F90</f>
        <v>5214</v>
      </c>
      <c r="E97" s="171">
        <f t="shared" si="15"/>
        <v>13569</v>
      </c>
      <c r="F97" s="171"/>
      <c r="G97" s="171">
        <f t="shared" si="16"/>
        <v>13569</v>
      </c>
      <c r="H97" s="172">
        <f t="shared" si="17"/>
        <v>6.842231326820044E-3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'[51]Sch C'!D91</f>
        <v>4943</v>
      </c>
      <c r="D98" s="501">
        <f>'[51]Sch C'!F91</f>
        <v>0</v>
      </c>
      <c r="E98" s="171">
        <f t="shared" si="15"/>
        <v>4943</v>
      </c>
      <c r="F98" s="171"/>
      <c r="G98" s="171">
        <f t="shared" si="16"/>
        <v>4943</v>
      </c>
      <c r="H98" s="172">
        <f t="shared" si="17"/>
        <v>2.4925307280176489E-3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'[51]Sch C'!D92</f>
        <v>60559</v>
      </c>
      <c r="D99" s="501">
        <f>'[51]Sch C'!F92</f>
        <v>0</v>
      </c>
      <c r="E99" s="171">
        <f t="shared" si="15"/>
        <v>60559</v>
      </c>
      <c r="F99" s="171"/>
      <c r="G99" s="171">
        <f t="shared" si="16"/>
        <v>60559</v>
      </c>
      <c r="H99" s="172">
        <f t="shared" si="17"/>
        <v>3.0537157264418531E-2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'[51]Sch C'!D93</f>
        <v>11052</v>
      </c>
      <c r="D100" s="501">
        <f>'[51]Sch C'!F93</f>
        <v>0</v>
      </c>
      <c r="E100" s="171">
        <f t="shared" si="15"/>
        <v>11052</v>
      </c>
      <c r="F100" s="171"/>
      <c r="G100" s="171">
        <f t="shared" si="16"/>
        <v>11052</v>
      </c>
      <c r="H100" s="172">
        <f t="shared" si="17"/>
        <v>5.5730223763000315E-3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'[51]Sch C'!D94</f>
        <v>0</v>
      </c>
      <c r="D101" s="501">
        <f>'[51]Sch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184324</v>
      </c>
      <c r="D102" s="501">
        <f>SUM(D96:D101)</f>
        <v>5214</v>
      </c>
      <c r="E102" s="171">
        <f t="shared" ref="E102:F102" si="18">SUM(E96:E101)</f>
        <v>189538</v>
      </c>
      <c r="F102" s="171">
        <f t="shared" si="18"/>
        <v>0</v>
      </c>
      <c r="G102" s="171">
        <f>SUM(G96:G101)</f>
        <v>189538</v>
      </c>
      <c r="H102" s="172">
        <f t="shared" si="17"/>
        <v>9.5575417585880867E-2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'[51]Sch C'!D98</f>
        <v>19843</v>
      </c>
      <c r="D105" s="501">
        <f>'[51]Sch C'!F98</f>
        <v>0</v>
      </c>
      <c r="E105" s="171">
        <f t="shared" ref="E105:E110" si="19">C105+D105</f>
        <v>19843</v>
      </c>
      <c r="F105" s="171"/>
      <c r="G105" s="171">
        <f t="shared" ref="G105:G110" si="20">E105+F105</f>
        <v>19843</v>
      </c>
      <c r="H105" s="172">
        <f t="shared" ref="H105:H111" si="21">IF($G$208=0,0,G105/$G$208)</f>
        <v>1.0005924992121022E-2</v>
      </c>
      <c r="I105" s="473"/>
      <c r="J105" s="183">
        <v>2075.71</v>
      </c>
      <c r="K105" s="183">
        <v>2084.11</v>
      </c>
    </row>
    <row r="106" spans="1:11" s="167" customFormat="1">
      <c r="A106" s="169" t="s">
        <v>86</v>
      </c>
      <c r="B106" s="170" t="s">
        <v>45</v>
      </c>
      <c r="C106" s="501">
        <f>'[51]Sch C'!D99</f>
        <v>1767</v>
      </c>
      <c r="D106" s="501">
        <f>'[51]Sch C'!F99</f>
        <v>1041</v>
      </c>
      <c r="E106" s="171">
        <f t="shared" si="19"/>
        <v>2808</v>
      </c>
      <c r="F106" s="171"/>
      <c r="G106" s="171">
        <f t="shared" si="20"/>
        <v>2808</v>
      </c>
      <c r="H106" s="172">
        <f t="shared" si="21"/>
        <v>1.4159470532618974E-3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'[51]Sch C'!D100</f>
        <v>4914</v>
      </c>
      <c r="D107" s="501">
        <f>'[51]Sch C'!F100</f>
        <v>0</v>
      </c>
      <c r="E107" s="171">
        <f t="shared" si="19"/>
        <v>4914</v>
      </c>
      <c r="F107" s="171"/>
      <c r="G107" s="171">
        <f t="shared" si="20"/>
        <v>4914</v>
      </c>
      <c r="H107" s="172">
        <f t="shared" si="21"/>
        <v>2.4779073432083204E-3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'[51]Sch C'!D101</f>
        <v>549</v>
      </c>
      <c r="D108" s="501">
        <f>'[51]Sch C'!F101</f>
        <v>0</v>
      </c>
      <c r="E108" s="171">
        <f t="shared" si="19"/>
        <v>549</v>
      </c>
      <c r="F108" s="171"/>
      <c r="G108" s="171">
        <f t="shared" si="20"/>
        <v>549</v>
      </c>
      <c r="H108" s="172">
        <f t="shared" si="21"/>
        <v>2.7683580208005045E-4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'[51]Sch C'!D102</f>
        <v>2243</v>
      </c>
      <c r="D109" s="501">
        <f>'[51]Sch C'!F102</f>
        <v>0</v>
      </c>
      <c r="E109" s="171">
        <f t="shared" si="19"/>
        <v>2243</v>
      </c>
      <c r="F109" s="171"/>
      <c r="G109" s="171">
        <f t="shared" si="20"/>
        <v>2243</v>
      </c>
      <c r="H109" s="172">
        <f t="shared" si="21"/>
        <v>1.1310431768042863E-3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'[51]Sch C'!D103</f>
        <v>0</v>
      </c>
      <c r="D110" s="501">
        <f>'[51]Sch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29316</v>
      </c>
      <c r="D111" s="501">
        <f>SUM(D105:D110)</f>
        <v>1041</v>
      </c>
      <c r="E111" s="171">
        <f t="shared" ref="E111:F111" si="22">SUM(E105:E110)</f>
        <v>30357</v>
      </c>
      <c r="F111" s="171">
        <f t="shared" si="22"/>
        <v>0</v>
      </c>
      <c r="G111" s="171">
        <f>SUM(G105:G110)</f>
        <v>30357</v>
      </c>
      <c r="H111" s="172">
        <f t="shared" si="21"/>
        <v>1.5307658367475574E-2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'[51]Sch C'!D115</f>
        <v>36609</v>
      </c>
      <c r="D114" s="501">
        <f>'[51]Sch C'!F115</f>
        <v>0</v>
      </c>
      <c r="E114" s="171">
        <f t="shared" ref="E114:E118" si="23">C114+D114</f>
        <v>36609</v>
      </c>
      <c r="F114" s="171"/>
      <c r="G114" s="171">
        <f>E114+F114</f>
        <v>36609</v>
      </c>
      <c r="H114" s="172">
        <f t="shared" ref="H114:H119" si="24">IF($G$208=0,0,G114/$G$208)</f>
        <v>1.8460258430507408E-2</v>
      </c>
      <c r="I114" s="473"/>
      <c r="J114" s="183">
        <v>3668.18</v>
      </c>
      <c r="K114" s="183">
        <v>3684.58</v>
      </c>
    </row>
    <row r="115" spans="1:11" s="167" customFormat="1">
      <c r="A115" s="169" t="s">
        <v>86</v>
      </c>
      <c r="B115" s="170" t="s">
        <v>151</v>
      </c>
      <c r="C115" s="501">
        <f>'[51]Sch C'!D116</f>
        <v>3219</v>
      </c>
      <c r="D115" s="501">
        <f>'[51]Sch C'!F116</f>
        <v>1920</v>
      </c>
      <c r="E115" s="171">
        <f t="shared" si="23"/>
        <v>5139</v>
      </c>
      <c r="F115" s="171"/>
      <c r="G115" s="171">
        <f>E115+F115</f>
        <v>5139</v>
      </c>
      <c r="H115" s="172">
        <f t="shared" si="24"/>
        <v>2.591364639142767E-3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'[51]Sch C'!D117</f>
        <v>5974</v>
      </c>
      <c r="D116" s="501">
        <f>'[51]Sch C'!F117</f>
        <v>0</v>
      </c>
      <c r="E116" s="171">
        <f t="shared" si="23"/>
        <v>5974</v>
      </c>
      <c r="F116" s="171"/>
      <c r="G116" s="171">
        <f>E116+F116</f>
        <v>5974</v>
      </c>
      <c r="H116" s="172">
        <f t="shared" si="24"/>
        <v>3.0124172707217144E-3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'[51]Sch C'!D118</f>
        <v>885</v>
      </c>
      <c r="D117" s="501">
        <f>'[51]Sch C'!F118</f>
        <v>0</v>
      </c>
      <c r="E117" s="171">
        <f t="shared" si="23"/>
        <v>885</v>
      </c>
      <c r="F117" s="171"/>
      <c r="G117" s="171">
        <f>E117+F117</f>
        <v>885</v>
      </c>
      <c r="H117" s="172">
        <f t="shared" si="24"/>
        <v>4.4626536400882444E-4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'[51]Sch C'!D119</f>
        <v>0</v>
      </c>
      <c r="D118" s="501">
        <f>'[51]Sch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46687</v>
      </c>
      <c r="D119" s="501">
        <f>SUM(D114:D118)</f>
        <v>1920</v>
      </c>
      <c r="E119" s="171">
        <f t="shared" ref="E119:F119" si="25">SUM(E114:E118)</f>
        <v>48607</v>
      </c>
      <c r="F119" s="171">
        <f t="shared" si="25"/>
        <v>0</v>
      </c>
      <c r="G119" s="171">
        <f>SUM(G114:G118)</f>
        <v>48607</v>
      </c>
      <c r="H119" s="172">
        <f t="shared" si="24"/>
        <v>2.4510305704380713E-2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'[51]Sch C'!D124</f>
        <v>0</v>
      </c>
      <c r="D123" s="501">
        <f>'[51]Sch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'[51]Sch C'!D125</f>
        <v>66202</v>
      </c>
      <c r="D124" s="501">
        <f>'[51]Sch C'!F125</f>
        <v>0</v>
      </c>
      <c r="E124" s="171">
        <f t="shared" si="26"/>
        <v>66202</v>
      </c>
      <c r="F124" s="171"/>
      <c r="G124" s="171">
        <f>E124+F124</f>
        <v>66202</v>
      </c>
      <c r="H124" s="172">
        <f>IF($G$208=0,0,G124/$G$208)</f>
        <v>3.3382666246454459E-2</v>
      </c>
      <c r="I124" s="473"/>
      <c r="J124" s="183">
        <v>1752</v>
      </c>
      <c r="K124" s="183">
        <v>1832</v>
      </c>
    </row>
    <row r="125" spans="1:11" s="167" customFormat="1">
      <c r="A125" s="163" t="s">
        <v>198</v>
      </c>
      <c r="B125" s="163" t="s">
        <v>195</v>
      </c>
      <c r="C125" s="501">
        <f>'[51]Sch C'!D126</f>
        <v>0</v>
      </c>
      <c r="D125" s="501">
        <f>'[51]Sch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'[51]Sch C'!D127</f>
        <v>0</v>
      </c>
      <c r="D126" s="501">
        <f>'[51]Sch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'[51]Sch C'!D128</f>
        <v>0</v>
      </c>
      <c r="D127" s="501">
        <f>'[51]Sch C'!F128</f>
        <v>0</v>
      </c>
      <c r="E127" s="171">
        <f t="shared" si="26"/>
        <v>0</v>
      </c>
      <c r="F127" s="171"/>
      <c r="G127" s="171">
        <f>E127+F127</f>
        <v>0</v>
      </c>
      <c r="H127" s="172">
        <f>IF($G$208=0,0,G127/$G$208)</f>
        <v>0</v>
      </c>
      <c r="I127" s="473"/>
      <c r="J127" s="183">
        <v>0</v>
      </c>
      <c r="K127" s="183">
        <v>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'[51]Sch C'!D130</f>
        <v>0</v>
      </c>
      <c r="D129" s="501">
        <f>'[51]Sch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'[51]Sch C'!D131</f>
        <v>0</v>
      </c>
      <c r="D130" s="501">
        <f>'[51]Sch C'!F131</f>
        <v>9002</v>
      </c>
      <c r="E130" s="171">
        <f t="shared" si="27"/>
        <v>9002</v>
      </c>
      <c r="F130" s="171"/>
      <c r="G130" s="171">
        <f>E130+F130</f>
        <v>9002</v>
      </c>
      <c r="H130" s="172">
        <f>IF($G$208=0,0,G130/$G$208)</f>
        <v>4.539300346675071E-3</v>
      </c>
      <c r="I130" s="473"/>
      <c r="J130" s="204"/>
      <c r="K130" s="204"/>
    </row>
    <row r="131" spans="1:11" s="167" customFormat="1">
      <c r="B131" s="163" t="s">
        <v>195</v>
      </c>
      <c r="C131" s="501">
        <f>'[51]Sch C'!D132</f>
        <v>0</v>
      </c>
      <c r="D131" s="501">
        <f>'[51]Sch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'[51]Sch C'!D133</f>
        <v>0</v>
      </c>
      <c r="D132" s="501">
        <f>'[51]Sch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'[51]Sch C'!D134</f>
        <v>0</v>
      </c>
      <c r="D133" s="501">
        <f>'[51]Sch C'!F134</f>
        <v>0</v>
      </c>
      <c r="E133" s="171">
        <f t="shared" si="27"/>
        <v>0</v>
      </c>
      <c r="F133" s="17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'[51]Sch C'!D136</f>
        <v>95832</v>
      </c>
      <c r="D135" s="501">
        <f>'[51]Sch C'!F136</f>
        <v>0</v>
      </c>
      <c r="E135" s="171">
        <f t="shared" ref="E135:E138" si="28">C135+D135</f>
        <v>95832</v>
      </c>
      <c r="F135" s="171"/>
      <c r="G135" s="171">
        <f>E135+F135</f>
        <v>95832</v>
      </c>
      <c r="H135" s="172">
        <f>IF($G$208=0,0,G135/$G$208)</f>
        <v>4.8323731484399619E-2</v>
      </c>
      <c r="I135" s="473"/>
      <c r="J135" s="183">
        <v>3016.38</v>
      </c>
      <c r="K135" s="183">
        <v>3109.55</v>
      </c>
    </row>
    <row r="136" spans="1:11" s="167" customFormat="1">
      <c r="A136" s="169"/>
      <c r="B136" s="163" t="s">
        <v>195</v>
      </c>
      <c r="C136" s="501">
        <f>'[51]Sch C'!D137</f>
        <v>109671</v>
      </c>
      <c r="D136" s="501">
        <f>'[51]Sch C'!F137</f>
        <v>0</v>
      </c>
      <c r="E136" s="171">
        <f t="shared" si="28"/>
        <v>109671</v>
      </c>
      <c r="F136" s="171"/>
      <c r="G136" s="171">
        <f>E136+F136</f>
        <v>109671</v>
      </c>
      <c r="H136" s="172">
        <f>IF($G$208=0,0,G136/$G$208)</f>
        <v>5.5302111566341003E-2</v>
      </c>
      <c r="I136" s="473"/>
      <c r="J136" s="183">
        <v>5221.28</v>
      </c>
      <c r="K136" s="183">
        <v>5238.08</v>
      </c>
    </row>
    <row r="137" spans="1:11" s="167" customFormat="1">
      <c r="A137" s="169"/>
      <c r="B137" s="163" t="s">
        <v>196</v>
      </c>
      <c r="C137" s="501">
        <f>'[51]Sch C'!D138</f>
        <v>320649</v>
      </c>
      <c r="D137" s="501">
        <f>'[51]Sch C'!F138</f>
        <v>0</v>
      </c>
      <c r="E137" s="171">
        <f t="shared" si="28"/>
        <v>320649</v>
      </c>
      <c r="F137" s="171"/>
      <c r="G137" s="171">
        <f>E137+F137</f>
        <v>320649</v>
      </c>
      <c r="H137" s="172">
        <f>IF($G$208=0,0,G137/$G$208)</f>
        <v>0.16168874881815318</v>
      </c>
      <c r="I137" s="473"/>
      <c r="J137" s="183">
        <v>25763.18</v>
      </c>
      <c r="K137" s="183">
        <v>25883.17</v>
      </c>
    </row>
    <row r="138" spans="1:11" s="167" customFormat="1">
      <c r="A138" s="169"/>
      <c r="B138" s="163" t="s">
        <v>197</v>
      </c>
      <c r="C138" s="501">
        <f>'[51]Sch C'!D139</f>
        <v>0</v>
      </c>
      <c r="D138" s="501">
        <f>'[51]Sch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 ht="15.5">
      <c r="A139" s="169" t="s">
        <v>96</v>
      </c>
      <c r="B139" s="170" t="s">
        <v>153</v>
      </c>
      <c r="C139" s="196"/>
      <c r="D139" s="196"/>
      <c r="E139" s="196"/>
      <c r="F139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'[51]Sch C'!D141</f>
        <v>22972</v>
      </c>
      <c r="D140" s="501">
        <f>'[51]Sch C'!F141</f>
        <v>-9666</v>
      </c>
      <c r="E140" s="171">
        <f t="shared" ref="E140:E143" si="29">C140+D140</f>
        <v>13306</v>
      </c>
      <c r="F140" s="171"/>
      <c r="G140" s="171">
        <f t="shared" ref="G140:G142" si="30">E140+F140</f>
        <v>13306</v>
      </c>
      <c r="H140" s="172">
        <f>IF($G$208=0,0,G140/$G$208)</f>
        <v>6.709612354238891E-3</v>
      </c>
      <c r="I140" s="547"/>
      <c r="J140" s="461"/>
      <c r="K140" s="168"/>
    </row>
    <row r="141" spans="1:11" s="167" customFormat="1">
      <c r="A141" s="169"/>
      <c r="B141" s="163" t="s">
        <v>195</v>
      </c>
      <c r="C141" s="501">
        <f>'[51]Sch C'!D142</f>
        <v>0</v>
      </c>
      <c r="D141" s="501">
        <f>'[51]Sch C'!F142</f>
        <v>14914</v>
      </c>
      <c r="E141" s="171">
        <f t="shared" si="29"/>
        <v>14914</v>
      </c>
      <c r="F141" s="171"/>
      <c r="G141" s="171">
        <f t="shared" si="30"/>
        <v>14914</v>
      </c>
      <c r="H141" s="172">
        <f>IF($G$208=0,0,G141/$G$208)</f>
        <v>7.520453829183738E-3</v>
      </c>
      <c r="I141" s="547"/>
      <c r="J141" s="461"/>
      <c r="K141" s="168"/>
    </row>
    <row r="142" spans="1:11" s="167" customFormat="1">
      <c r="A142" s="169"/>
      <c r="B142" s="163" t="s">
        <v>196</v>
      </c>
      <c r="C142" s="501">
        <f>'[51]Sch C'!D143</f>
        <v>28150</v>
      </c>
      <c r="D142" s="501">
        <f>'[51]Sch C'!F143</f>
        <v>16816</v>
      </c>
      <c r="E142" s="171">
        <f t="shared" si="29"/>
        <v>44966</v>
      </c>
      <c r="F142" s="171"/>
      <c r="G142" s="171">
        <f t="shared" si="30"/>
        <v>44966</v>
      </c>
      <c r="H142" s="172">
        <f>IF($G$208=0,0,G142/$G$208)</f>
        <v>2.2674314528837062E-2</v>
      </c>
      <c r="I142" s="547"/>
      <c r="J142" s="461"/>
      <c r="K142" s="168"/>
    </row>
    <row r="143" spans="1:11" s="167" customFormat="1">
      <c r="A143" s="169"/>
      <c r="B143" s="163" t="s">
        <v>197</v>
      </c>
      <c r="C143" s="501">
        <f>'[51]Sch C'!D144</f>
        <v>0</v>
      </c>
      <c r="D143" s="501">
        <f>'[51]Sch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'[51]Sch C'!D146</f>
        <v>12000</v>
      </c>
      <c r="D145" s="501">
        <f>'[51]Sch C'!F146</f>
        <v>0</v>
      </c>
      <c r="E145" s="171">
        <f t="shared" ref="E145:E153" si="31">C145+D145</f>
        <v>12000</v>
      </c>
      <c r="F145" s="171"/>
      <c r="G145" s="171">
        <f t="shared" ref="G145:G153" si="32">E145+F145</f>
        <v>12000</v>
      </c>
      <c r="H145" s="172">
        <f t="shared" ref="H145:H153" si="33">IF($G$208=0,0,G145/$G$208)</f>
        <v>6.0510557831705012E-3</v>
      </c>
      <c r="I145" s="473"/>
      <c r="J145" s="183">
        <v>94</v>
      </c>
      <c r="K145" s="183">
        <v>94</v>
      </c>
    </row>
    <row r="146" spans="1:11" s="167" customFormat="1">
      <c r="A146" s="169"/>
      <c r="B146" s="163" t="s">
        <v>194</v>
      </c>
      <c r="C146" s="501">
        <f>'[51]Sch C'!D147</f>
        <v>14442</v>
      </c>
      <c r="D146" s="501">
        <f>'[51]Sch C'!F147</f>
        <v>0</v>
      </c>
      <c r="E146" s="171">
        <f t="shared" si="31"/>
        <v>14442</v>
      </c>
      <c r="F146" s="171"/>
      <c r="G146" s="171">
        <f t="shared" si="32"/>
        <v>14442</v>
      </c>
      <c r="H146" s="172">
        <f t="shared" si="33"/>
        <v>7.2824456350456977E-3</v>
      </c>
      <c r="I146" s="473"/>
      <c r="J146" s="183">
        <v>299.75</v>
      </c>
      <c r="K146" s="183">
        <v>299.75</v>
      </c>
    </row>
    <row r="147" spans="1:11" s="167" customFormat="1">
      <c r="A147" s="169"/>
      <c r="B147" s="163" t="s">
        <v>195</v>
      </c>
      <c r="C147" s="501">
        <f>'[51]Sch C'!D148</f>
        <v>39269</v>
      </c>
      <c r="D147" s="501">
        <f>'[51]Sch C'!F148</f>
        <v>0</v>
      </c>
      <c r="E147" s="171">
        <f t="shared" si="31"/>
        <v>39269</v>
      </c>
      <c r="F147" s="171"/>
      <c r="G147" s="171">
        <f t="shared" si="32"/>
        <v>39269</v>
      </c>
      <c r="H147" s="172">
        <f t="shared" si="33"/>
        <v>1.9801575795776866E-2</v>
      </c>
      <c r="I147" s="473"/>
      <c r="J147" s="183">
        <v>909.25</v>
      </c>
      <c r="K147" s="183">
        <v>909.25</v>
      </c>
    </row>
    <row r="148" spans="1:11" s="167" customFormat="1">
      <c r="A148" s="169"/>
      <c r="B148" s="163" t="s">
        <v>196</v>
      </c>
      <c r="C148" s="501">
        <f>'[51]Sch C'!D149</f>
        <v>0</v>
      </c>
      <c r="D148" s="501">
        <f>'[51]Sch C'!F149</f>
        <v>0</v>
      </c>
      <c r="E148" s="171">
        <f t="shared" si="31"/>
        <v>0</v>
      </c>
      <c r="F148" s="171"/>
      <c r="G148" s="171">
        <f t="shared" si="32"/>
        <v>0</v>
      </c>
      <c r="H148" s="172">
        <f t="shared" si="33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'[51]Sch C'!D150</f>
        <v>5370</v>
      </c>
      <c r="D149" s="501">
        <f>'[51]Sch C'!F150</f>
        <v>0</v>
      </c>
      <c r="E149" s="171">
        <f t="shared" si="31"/>
        <v>5370</v>
      </c>
      <c r="F149" s="171"/>
      <c r="G149" s="171">
        <f t="shared" si="32"/>
        <v>5370</v>
      </c>
      <c r="H149" s="172">
        <f t="shared" si="33"/>
        <v>2.7078474629687994E-3</v>
      </c>
      <c r="I149" s="473"/>
      <c r="J149" s="183">
        <v>358.25</v>
      </c>
      <c r="K149" s="183">
        <v>358.25</v>
      </c>
    </row>
    <row r="150" spans="1:11" s="167" customFormat="1">
      <c r="A150" s="169">
        <v>110</v>
      </c>
      <c r="B150" s="167" t="s">
        <v>65</v>
      </c>
      <c r="C150" s="501">
        <f>'[51]Sch C'!D151</f>
        <v>41760</v>
      </c>
      <c r="D150" s="501">
        <f>'[51]Sch C'!F151</f>
        <v>0</v>
      </c>
      <c r="E150" s="171">
        <f t="shared" si="31"/>
        <v>41760</v>
      </c>
      <c r="F150" s="171"/>
      <c r="G150" s="171">
        <f t="shared" si="32"/>
        <v>41760</v>
      </c>
      <c r="H150" s="172">
        <f t="shared" si="33"/>
        <v>2.1057674125433343E-2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'[51]Sch C'!D152</f>
        <v>490</v>
      </c>
      <c r="D151" s="501">
        <f>'[51]Sch C'!F152</f>
        <v>0</v>
      </c>
      <c r="E151" s="171">
        <f t="shared" si="31"/>
        <v>490</v>
      </c>
      <c r="F151" s="171"/>
      <c r="G151" s="171">
        <f t="shared" si="32"/>
        <v>490</v>
      </c>
      <c r="H151" s="172">
        <f t="shared" si="33"/>
        <v>2.4708477781279546E-4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'[51]Sch C'!D153</f>
        <v>0</v>
      </c>
      <c r="D152" s="501">
        <f>'[51]Sch C'!F153</f>
        <v>0</v>
      </c>
      <c r="E152" s="171">
        <f t="shared" si="31"/>
        <v>0</v>
      </c>
      <c r="F152" s="171"/>
      <c r="G152" s="171">
        <f t="shared" si="32"/>
        <v>0</v>
      </c>
      <c r="H152" s="172">
        <f t="shared" si="33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'[51]Sch C'!D154</f>
        <v>0</v>
      </c>
      <c r="D153" s="501">
        <f>'[51]Sch C'!F154</f>
        <v>0</v>
      </c>
      <c r="E153" s="171">
        <f t="shared" si="31"/>
        <v>0</v>
      </c>
      <c r="F153" s="171"/>
      <c r="G153" s="171">
        <f t="shared" si="32"/>
        <v>0</v>
      </c>
      <c r="H153" s="172">
        <f t="shared" si="33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'[51]Sch C'!D156</f>
        <v>0</v>
      </c>
      <c r="D155" s="501">
        <f>'[51]Sch C'!F156</f>
        <v>0</v>
      </c>
      <c r="E155" s="171">
        <f t="shared" ref="E155:E160" si="34">C155+D155</f>
        <v>0</v>
      </c>
      <c r="F155" s="171"/>
      <c r="G155" s="171">
        <f t="shared" ref="G155:G160" si="35">E155+F155</f>
        <v>0</v>
      </c>
      <c r="H155" s="172">
        <f t="shared" ref="H155:H161" si="36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'[51]Sch C'!D157</f>
        <v>0</v>
      </c>
      <c r="D156" s="501">
        <f>'[51]Sch C'!F157</f>
        <v>0</v>
      </c>
      <c r="E156" s="171">
        <f t="shared" si="34"/>
        <v>0</v>
      </c>
      <c r="F156" s="171"/>
      <c r="G156" s="171">
        <f t="shared" si="35"/>
        <v>0</v>
      </c>
      <c r="H156" s="172">
        <f t="shared" si="36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'[51]Sch C'!D158</f>
        <v>0</v>
      </c>
      <c r="D157" s="501">
        <f>'[51]Sch C'!F158</f>
        <v>0</v>
      </c>
      <c r="E157" s="171">
        <f t="shared" si="34"/>
        <v>0</v>
      </c>
      <c r="F157" s="171"/>
      <c r="G157" s="171">
        <f t="shared" si="35"/>
        <v>0</v>
      </c>
      <c r="H157" s="172">
        <f t="shared" si="36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'[51]Sch C'!D159</f>
        <v>0</v>
      </c>
      <c r="D158" s="501">
        <f>'[51]Sch C'!F159</f>
        <v>0</v>
      </c>
      <c r="E158" s="171">
        <f t="shared" si="34"/>
        <v>0</v>
      </c>
      <c r="F158" s="171"/>
      <c r="G158" s="171">
        <f t="shared" si="35"/>
        <v>0</v>
      </c>
      <c r="H158" s="172">
        <f t="shared" si="36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'[51]Sch C'!D160</f>
        <v>0</v>
      </c>
      <c r="D159" s="501">
        <f>'[51]Sch C'!F160</f>
        <v>0</v>
      </c>
      <c r="E159" s="171">
        <f t="shared" si="34"/>
        <v>0</v>
      </c>
      <c r="F159" s="171"/>
      <c r="G159" s="171">
        <f t="shared" si="35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'[51]Sch C'!D161</f>
        <v>0</v>
      </c>
      <c r="D160" s="501">
        <f>'[51]Sch C'!F161</f>
        <v>0</v>
      </c>
      <c r="E160" s="171">
        <f t="shared" si="34"/>
        <v>0</v>
      </c>
      <c r="F160" s="171"/>
      <c r="G160" s="171">
        <f t="shared" si="35"/>
        <v>0</v>
      </c>
      <c r="H160" s="172">
        <f t="shared" si="36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756807</v>
      </c>
      <c r="D161" s="501">
        <f>SUM(D123:D160)</f>
        <v>31066</v>
      </c>
      <c r="E161" s="171">
        <f t="shared" ref="E161:F161" si="37">SUM(E123:E160)</f>
        <v>787873</v>
      </c>
      <c r="F161" s="171">
        <f t="shared" si="37"/>
        <v>0</v>
      </c>
      <c r="G161" s="171">
        <f>SUM(G123:G160)</f>
        <v>787873</v>
      </c>
      <c r="H161" s="172">
        <f t="shared" si="36"/>
        <v>0.39728862275449101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'[51]Sch C'!D175</f>
        <v>0</v>
      </c>
      <c r="D164" s="501">
        <f>'[51]Sch C'!F175</f>
        <v>0</v>
      </c>
      <c r="E164" s="171">
        <f t="shared" ref="E164:E196" si="38">C164+D164</f>
        <v>0</v>
      </c>
      <c r="F164" s="216"/>
      <c r="G164" s="171">
        <f t="shared" ref="G164:G196" si="39">E164+F164</f>
        <v>0</v>
      </c>
      <c r="H164" s="172">
        <f t="shared" ref="H164:H196" si="40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'[51]Sch C'!D176</f>
        <v>0</v>
      </c>
      <c r="D165" s="501">
        <f>'[51]Sch C'!F176</f>
        <v>0</v>
      </c>
      <c r="E165" s="171">
        <f t="shared" si="38"/>
        <v>0</v>
      </c>
      <c r="F165" s="216"/>
      <c r="G165" s="171">
        <f t="shared" si="39"/>
        <v>0</v>
      </c>
      <c r="H165" s="172">
        <f t="shared" si="40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'[51]Sch C'!D177</f>
        <v>0</v>
      </c>
      <c r="D166" s="501">
        <f>'[51]Sch C'!F177</f>
        <v>0</v>
      </c>
      <c r="E166" s="171">
        <f t="shared" si="38"/>
        <v>0</v>
      </c>
      <c r="F166" s="216"/>
      <c r="G166" s="171">
        <f t="shared" si="39"/>
        <v>0</v>
      </c>
      <c r="H166" s="172">
        <f t="shared" si="40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'[51]Sch C'!D178</f>
        <v>0</v>
      </c>
      <c r="D167" s="501">
        <f>'[51]Sch C'!F178</f>
        <v>0</v>
      </c>
      <c r="E167" s="171">
        <f t="shared" si="38"/>
        <v>0</v>
      </c>
      <c r="F167" s="216"/>
      <c r="G167" s="171">
        <f t="shared" si="39"/>
        <v>0</v>
      </c>
      <c r="H167" s="172">
        <f t="shared" si="40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'[51]Sch C'!D179</f>
        <v>0</v>
      </c>
      <c r="D168" s="501">
        <f>'[51]Sch C'!F179</f>
        <v>0</v>
      </c>
      <c r="E168" s="171">
        <f t="shared" si="38"/>
        <v>0</v>
      </c>
      <c r="F168" s="216"/>
      <c r="G168" s="171">
        <f t="shared" si="39"/>
        <v>0</v>
      </c>
      <c r="H168" s="172">
        <f t="shared" si="40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'[51]Sch C'!D180</f>
        <v>0</v>
      </c>
      <c r="D169" s="501">
        <f>'[51]Sch C'!F180</f>
        <v>0</v>
      </c>
      <c r="E169" s="171">
        <f t="shared" si="38"/>
        <v>0</v>
      </c>
      <c r="F169" s="216"/>
      <c r="G169" s="171">
        <f t="shared" si="39"/>
        <v>0</v>
      </c>
      <c r="H169" s="172">
        <f t="shared" si="40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'[51]Sch C'!D181</f>
        <v>0</v>
      </c>
      <c r="D170" s="501">
        <f>'[51]Sch C'!F181</f>
        <v>0</v>
      </c>
      <c r="E170" s="171">
        <f t="shared" si="38"/>
        <v>0</v>
      </c>
      <c r="F170" s="216"/>
      <c r="G170" s="171">
        <f t="shared" si="39"/>
        <v>0</v>
      </c>
      <c r="H170" s="172">
        <f t="shared" si="40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'[51]Sch C'!D182</f>
        <v>0</v>
      </c>
      <c r="D171" s="501">
        <f>'[51]Sch C'!F182</f>
        <v>0</v>
      </c>
      <c r="E171" s="171">
        <f t="shared" si="38"/>
        <v>0</v>
      </c>
      <c r="F171" s="216"/>
      <c r="G171" s="171">
        <f t="shared" si="39"/>
        <v>0</v>
      </c>
      <c r="H171" s="172">
        <f t="shared" si="40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'[51]Sch C'!D183</f>
        <v>0</v>
      </c>
      <c r="D172" s="501">
        <f>'[51]Sch C'!F183</f>
        <v>0</v>
      </c>
      <c r="E172" s="171">
        <f t="shared" si="38"/>
        <v>0</v>
      </c>
      <c r="F172" s="216"/>
      <c r="G172" s="171">
        <f t="shared" si="39"/>
        <v>0</v>
      </c>
      <c r="H172" s="172">
        <f t="shared" si="40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'[51]Sch C'!D184</f>
        <v>0</v>
      </c>
      <c r="D173" s="501">
        <f>'[51]Sch C'!F184</f>
        <v>0</v>
      </c>
      <c r="E173" s="171">
        <f t="shared" si="38"/>
        <v>0</v>
      </c>
      <c r="F173" s="216"/>
      <c r="G173" s="171">
        <f t="shared" si="39"/>
        <v>0</v>
      </c>
      <c r="H173" s="172">
        <f t="shared" si="40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'[51]Sch C'!D185</f>
        <v>0</v>
      </c>
      <c r="D174" s="501">
        <f>'[51]Sch C'!F185</f>
        <v>0</v>
      </c>
      <c r="E174" s="171">
        <f t="shared" si="38"/>
        <v>0</v>
      </c>
      <c r="F174" s="216"/>
      <c r="G174" s="171">
        <f t="shared" si="39"/>
        <v>0</v>
      </c>
      <c r="H174" s="172">
        <f t="shared" si="40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'[51]Sch C'!D186</f>
        <v>0</v>
      </c>
      <c r="D175" s="501">
        <f>'[51]Sch C'!F186</f>
        <v>0</v>
      </c>
      <c r="E175" s="171">
        <f t="shared" si="38"/>
        <v>0</v>
      </c>
      <c r="F175" s="216"/>
      <c r="G175" s="171">
        <f t="shared" si="39"/>
        <v>0</v>
      </c>
      <c r="H175" s="172">
        <f t="shared" si="40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'[51]Sch C'!D187</f>
        <v>0</v>
      </c>
      <c r="D176" s="501">
        <f>'[51]Sch C'!F187</f>
        <v>0</v>
      </c>
      <c r="E176" s="171">
        <f t="shared" si="38"/>
        <v>0</v>
      </c>
      <c r="F176" s="216"/>
      <c r="G176" s="171">
        <f t="shared" si="39"/>
        <v>0</v>
      </c>
      <c r="H176" s="172">
        <f t="shared" si="40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'[51]Sch C'!D188</f>
        <v>0</v>
      </c>
      <c r="D177" s="501">
        <f>'[51]Sch C'!F188</f>
        <v>0</v>
      </c>
      <c r="E177" s="171">
        <f t="shared" si="38"/>
        <v>0</v>
      </c>
      <c r="F177" s="216"/>
      <c r="G177" s="171">
        <f t="shared" si="39"/>
        <v>0</v>
      </c>
      <c r="H177" s="172">
        <f t="shared" si="40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'[51]Sch C'!D189</f>
        <v>0</v>
      </c>
      <c r="D178" s="501">
        <f>'[51]Sch C'!F189</f>
        <v>0</v>
      </c>
      <c r="E178" s="171">
        <f t="shared" si="38"/>
        <v>0</v>
      </c>
      <c r="F178" s="216"/>
      <c r="G178" s="171">
        <f t="shared" si="39"/>
        <v>0</v>
      </c>
      <c r="H178" s="172">
        <f t="shared" si="40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'[51]Sch C'!D190</f>
        <v>0</v>
      </c>
      <c r="D179" s="501">
        <f>'[51]Sch C'!F190</f>
        <v>0</v>
      </c>
      <c r="E179" s="171">
        <f t="shared" si="38"/>
        <v>0</v>
      </c>
      <c r="F179" s="216"/>
      <c r="G179" s="171">
        <f t="shared" si="39"/>
        <v>0</v>
      </c>
      <c r="H179" s="172">
        <f t="shared" si="40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'[51]Sch C'!D191</f>
        <v>0</v>
      </c>
      <c r="D180" s="501">
        <f>'[51]Sch C'!F191</f>
        <v>0</v>
      </c>
      <c r="E180" s="171">
        <f t="shared" si="38"/>
        <v>0</v>
      </c>
      <c r="F180" s="216"/>
      <c r="G180" s="171">
        <f t="shared" si="39"/>
        <v>0</v>
      </c>
      <c r="H180" s="172">
        <f t="shared" si="40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'[51]Sch C'!D192</f>
        <v>0</v>
      </c>
      <c r="D181" s="501">
        <f>'[51]Sch C'!F192</f>
        <v>0</v>
      </c>
      <c r="E181" s="171">
        <f t="shared" si="38"/>
        <v>0</v>
      </c>
      <c r="F181" s="216"/>
      <c r="G181" s="171">
        <f t="shared" si="39"/>
        <v>0</v>
      </c>
      <c r="H181" s="172">
        <f t="shared" si="40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'[51]Sch C'!D193</f>
        <v>0</v>
      </c>
      <c r="D182" s="501">
        <f>'[51]Sch C'!F193</f>
        <v>0</v>
      </c>
      <c r="E182" s="171">
        <f t="shared" si="38"/>
        <v>0</v>
      </c>
      <c r="F182" s="216"/>
      <c r="G182" s="171">
        <f t="shared" si="39"/>
        <v>0</v>
      </c>
      <c r="H182" s="172">
        <f t="shared" si="40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'[51]Sch C'!D194</f>
        <v>4137</v>
      </c>
      <c r="D183" s="501">
        <f>'[51]Sch C'!F194</f>
        <v>0</v>
      </c>
      <c r="E183" s="171">
        <f t="shared" si="38"/>
        <v>4137</v>
      </c>
      <c r="F183" s="216"/>
      <c r="G183" s="171">
        <f t="shared" si="39"/>
        <v>4137</v>
      </c>
      <c r="H183" s="172">
        <f t="shared" si="40"/>
        <v>2.0861014812480301E-3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'[51]Sch C'!D195</f>
        <v>4725</v>
      </c>
      <c r="D184" s="501">
        <f>'[51]Sch C'!F195</f>
        <v>0</v>
      </c>
      <c r="E184" s="171">
        <f t="shared" si="38"/>
        <v>4725</v>
      </c>
      <c r="F184" s="216"/>
      <c r="G184" s="171">
        <f t="shared" si="39"/>
        <v>4725</v>
      </c>
      <c r="H184" s="172">
        <f t="shared" si="40"/>
        <v>2.3826032146233847E-3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'[51]Sch C'!D196</f>
        <v>0</v>
      </c>
      <c r="D185" s="501">
        <f>'[51]Sch C'!F196</f>
        <v>0</v>
      </c>
      <c r="E185" s="171">
        <f t="shared" si="38"/>
        <v>0</v>
      </c>
      <c r="F185" s="216"/>
      <c r="G185" s="171">
        <f t="shared" si="39"/>
        <v>0</v>
      </c>
      <c r="H185" s="172">
        <f t="shared" si="40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'[51]Sch C'!D197</f>
        <v>3357</v>
      </c>
      <c r="D186" s="501">
        <f>'[51]Sch C'!F197</f>
        <v>0</v>
      </c>
      <c r="E186" s="171">
        <f t="shared" si="38"/>
        <v>3357</v>
      </c>
      <c r="F186" s="216"/>
      <c r="G186" s="171">
        <f t="shared" si="39"/>
        <v>3357</v>
      </c>
      <c r="H186" s="172">
        <f t="shared" si="40"/>
        <v>1.6927828553419478E-3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'[51]Sch C'!D198</f>
        <v>1156</v>
      </c>
      <c r="D187" s="501">
        <f>'[51]Sch C'!F198</f>
        <v>0</v>
      </c>
      <c r="E187" s="171">
        <f t="shared" si="38"/>
        <v>1156</v>
      </c>
      <c r="F187" s="216"/>
      <c r="G187" s="171">
        <f t="shared" si="39"/>
        <v>1156</v>
      </c>
      <c r="H187" s="172">
        <f t="shared" si="40"/>
        <v>5.8291837377875825E-4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'[51]Sch C'!D199</f>
        <v>0</v>
      </c>
      <c r="D188" s="501">
        <f>'[51]Sch C'!F199</f>
        <v>0</v>
      </c>
      <c r="E188" s="171">
        <f t="shared" si="38"/>
        <v>0</v>
      </c>
      <c r="F188" s="216"/>
      <c r="G188" s="171">
        <f t="shared" si="39"/>
        <v>0</v>
      </c>
      <c r="H188" s="172">
        <f t="shared" si="40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'[51]Sch C'!D200</f>
        <v>0</v>
      </c>
      <c r="D189" s="501">
        <f>'[51]Sch C'!F200</f>
        <v>0</v>
      </c>
      <c r="E189" s="171">
        <f t="shared" si="38"/>
        <v>0</v>
      </c>
      <c r="F189" s="216"/>
      <c r="G189" s="171">
        <f t="shared" si="39"/>
        <v>0</v>
      </c>
      <c r="H189" s="172">
        <f t="shared" si="40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'[51]Sch C'!D201</f>
        <v>0</v>
      </c>
      <c r="D190" s="501">
        <f>'[51]Sch C'!F201</f>
        <v>0</v>
      </c>
      <c r="E190" s="171">
        <f t="shared" si="38"/>
        <v>0</v>
      </c>
      <c r="F190" s="216"/>
      <c r="G190" s="171">
        <f t="shared" si="39"/>
        <v>0</v>
      </c>
      <c r="H190" s="172">
        <f t="shared" si="40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'[51]Sch C'!D202</f>
        <v>0</v>
      </c>
      <c r="D191" s="501">
        <f>'[51]Sch C'!F202</f>
        <v>0</v>
      </c>
      <c r="E191" s="171">
        <f t="shared" si="38"/>
        <v>0</v>
      </c>
      <c r="F191" s="216"/>
      <c r="G191" s="171">
        <f t="shared" si="39"/>
        <v>0</v>
      </c>
      <c r="H191" s="172">
        <f t="shared" si="40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'[51]Sch C'!D203</f>
        <v>0</v>
      </c>
      <c r="D192" s="501">
        <f>'[51]Sch C'!F203</f>
        <v>0</v>
      </c>
      <c r="E192" s="171">
        <f t="shared" si="38"/>
        <v>0</v>
      </c>
      <c r="F192" s="216"/>
      <c r="G192" s="171">
        <f t="shared" si="39"/>
        <v>0</v>
      </c>
      <c r="H192" s="172">
        <f t="shared" si="40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'[51]Sch C'!D204</f>
        <v>0</v>
      </c>
      <c r="D193" s="501">
        <f>'[51]Sch C'!F204</f>
        <v>0</v>
      </c>
      <c r="E193" s="171">
        <f t="shared" si="38"/>
        <v>0</v>
      </c>
      <c r="F193" s="216"/>
      <c r="G193" s="171">
        <f t="shared" si="39"/>
        <v>0</v>
      </c>
      <c r="H193" s="172">
        <f t="shared" si="40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'[51]Sch C'!D205</f>
        <v>8315</v>
      </c>
      <c r="D194" s="501">
        <f>'[51]Sch C'!F205</f>
        <v>0</v>
      </c>
      <c r="E194" s="171">
        <f t="shared" si="38"/>
        <v>8315</v>
      </c>
      <c r="F194" s="216"/>
      <c r="G194" s="171">
        <f t="shared" si="39"/>
        <v>8315</v>
      </c>
      <c r="H194" s="172">
        <f t="shared" si="40"/>
        <v>4.1928774030885593E-3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'[51]Sch C'!D206</f>
        <v>55</v>
      </c>
      <c r="D195" s="501">
        <f>'[51]Sch C'!F206</f>
        <v>0</v>
      </c>
      <c r="E195" s="171">
        <f t="shared" si="38"/>
        <v>55</v>
      </c>
      <c r="F195" s="216"/>
      <c r="G195" s="171">
        <f t="shared" si="39"/>
        <v>55</v>
      </c>
      <c r="H195" s="172">
        <f t="shared" si="40"/>
        <v>2.7734005672864795E-5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'[51]Sch C'!D207</f>
        <v>0</v>
      </c>
      <c r="D196" s="501">
        <f>'[51]Sch C'!F207</f>
        <v>0</v>
      </c>
      <c r="E196" s="171">
        <f t="shared" si="38"/>
        <v>0</v>
      </c>
      <c r="F196" s="216"/>
      <c r="G196" s="171">
        <f t="shared" si="39"/>
        <v>0</v>
      </c>
      <c r="H196" s="172">
        <f t="shared" si="40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21745</v>
      </c>
      <c r="D197" s="501">
        <f>SUM(D164:D196)</f>
        <v>0</v>
      </c>
      <c r="E197" s="171">
        <f t="shared" ref="E197:F197" si="41">SUM(E164:E196)</f>
        <v>21745</v>
      </c>
      <c r="F197" s="171">
        <f t="shared" si="41"/>
        <v>0</v>
      </c>
      <c r="G197" s="171">
        <f>SUM(G164:G196)</f>
        <v>21745</v>
      </c>
      <c r="H197" s="172">
        <f>IF($G$208=0,0,G197/$G$208)</f>
        <v>1.0965017333753546E-2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'[51]Sch C'!D211</f>
        <v>88761</v>
      </c>
      <c r="D200" s="501">
        <f>'[51]Sch C'!F211</f>
        <v>0</v>
      </c>
      <c r="E200" s="171">
        <f t="shared" ref="E200:E205" si="42">C200+D200</f>
        <v>88761</v>
      </c>
      <c r="F200" s="171"/>
      <c r="G200" s="171">
        <f t="shared" ref="G200:G205" si="43">E200+F200</f>
        <v>88761</v>
      </c>
      <c r="H200" s="172">
        <f t="shared" ref="H200:H206" si="44">IF($G$208=0,0,G200/$G$208)</f>
        <v>4.4758146864166404E-2</v>
      </c>
      <c r="I200" s="473"/>
      <c r="J200" s="183">
        <v>3655</v>
      </c>
      <c r="K200" s="183">
        <v>3680</v>
      </c>
    </row>
    <row r="201" spans="1:14" s="167" customFormat="1">
      <c r="A201" s="169" t="s">
        <v>86</v>
      </c>
      <c r="B201" s="170" t="s">
        <v>45</v>
      </c>
      <c r="C201" s="501">
        <f>'[51]Sch C'!D212</f>
        <v>4386</v>
      </c>
      <c r="D201" s="501">
        <f>'[51]Sch C'!F212</f>
        <v>4655</v>
      </c>
      <c r="E201" s="171">
        <f t="shared" si="42"/>
        <v>9041</v>
      </c>
      <c r="F201" s="171"/>
      <c r="G201" s="171">
        <f t="shared" si="43"/>
        <v>9041</v>
      </c>
      <c r="H201" s="172">
        <f t="shared" si="44"/>
        <v>4.5589662779703752E-3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'[51]Sch C'!D213</f>
        <v>6737</v>
      </c>
      <c r="D202" s="501">
        <f>'[51]Sch C'!F213</f>
        <v>0</v>
      </c>
      <c r="E202" s="171">
        <f t="shared" si="42"/>
        <v>6737</v>
      </c>
      <c r="F202" s="171"/>
      <c r="G202" s="171">
        <f t="shared" si="43"/>
        <v>6737</v>
      </c>
      <c r="H202" s="172">
        <f t="shared" si="44"/>
        <v>3.3971635676016388E-3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'[51]Sch C'!D214</f>
        <v>0</v>
      </c>
      <c r="D203" s="501">
        <f>'[51]Sch C'!F214</f>
        <v>0</v>
      </c>
      <c r="E203" s="171">
        <f t="shared" si="42"/>
        <v>0</v>
      </c>
      <c r="F203" s="171"/>
      <c r="G203" s="171">
        <f t="shared" si="43"/>
        <v>0</v>
      </c>
      <c r="H203" s="172">
        <f t="shared" si="44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'[51]Sch C'!D215</f>
        <v>0</v>
      </c>
      <c r="D204" s="501">
        <f>'[51]Sch C'!F215</f>
        <v>0</v>
      </c>
      <c r="E204" s="171">
        <f t="shared" si="42"/>
        <v>0</v>
      </c>
      <c r="F204" s="171"/>
      <c r="G204" s="171">
        <f t="shared" si="43"/>
        <v>0</v>
      </c>
      <c r="H204" s="172">
        <f t="shared" si="44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'[51]Sch C'!D216</f>
        <v>4786</v>
      </c>
      <c r="D205" s="501">
        <f>'[51]Sch C'!F216</f>
        <v>0</v>
      </c>
      <c r="E205" s="171">
        <f t="shared" si="42"/>
        <v>4786</v>
      </c>
      <c r="F205" s="171"/>
      <c r="G205" s="171">
        <f t="shared" si="43"/>
        <v>4786</v>
      </c>
      <c r="H205" s="172">
        <f t="shared" si="44"/>
        <v>2.4133627481878347E-3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104670</v>
      </c>
      <c r="D206" s="501">
        <f>SUM(D200:D205)</f>
        <v>4655</v>
      </c>
      <c r="E206" s="171">
        <f t="shared" ref="E206:F206" si="45">SUM(E200:E205)</f>
        <v>109325</v>
      </c>
      <c r="F206" s="171">
        <f t="shared" si="45"/>
        <v>0</v>
      </c>
      <c r="G206" s="171">
        <f>SUM(G200:G205)</f>
        <v>109325</v>
      </c>
      <c r="H206" s="172">
        <f t="shared" si="44"/>
        <v>5.5127639457926252E-2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1987586</v>
      </c>
      <c r="D208" s="501">
        <f>SUM(D25:D206)/2</f>
        <v>-4461</v>
      </c>
      <c r="E208" s="171">
        <f t="shared" ref="E208:F208" si="46">SUM(E25:E206)/2</f>
        <v>1983125</v>
      </c>
      <c r="F208" s="171">
        <f t="shared" si="46"/>
        <v>0</v>
      </c>
      <c r="G208" s="171">
        <f>SUM(G25:G206)/2</f>
        <v>1983125</v>
      </c>
      <c r="H208" s="172">
        <f>IF($G$208=0,0,G208/$G$208)</f>
        <v>1</v>
      </c>
      <c r="I208" s="473"/>
      <c r="J208" s="183">
        <f>SUM(J25:J200)</f>
        <v>58116.09</v>
      </c>
      <c r="K208" s="183">
        <f>SUM(K25:K200)</f>
        <v>58615.86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'[51]Sch C'!D221</f>
        <v>1987586</v>
      </c>
      <c r="D211" s="196"/>
      <c r="E211" s="165"/>
      <c r="F211" s="42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21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254500</v>
      </c>
      <c r="D215" s="501">
        <f>D21-D208</f>
        <v>4461</v>
      </c>
      <c r="E215" s="171">
        <f t="shared" ref="E215:F215" si="47">E21-E208</f>
        <v>258961</v>
      </c>
      <c r="F215" s="171">
        <f t="shared" si="47"/>
        <v>1593260</v>
      </c>
      <c r="G215" s="171">
        <f>G21-G208</f>
        <v>1852221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'[51]Sch D'!C9</f>
        <v>10321</v>
      </c>
      <c r="D219" s="530"/>
      <c r="E219" s="234">
        <f t="shared" ref="E219:G227" si="48">C219+D219</f>
        <v>10321</v>
      </c>
      <c r="F219" s="233"/>
      <c r="G219" s="234">
        <f t="shared" si="48"/>
        <v>10321</v>
      </c>
      <c r="H219" s="172">
        <f t="shared" ref="H219:H228" si="49">IF($G$228=0,0,G219/$G$228)</f>
        <v>0.9491447489424315</v>
      </c>
      <c r="I219" s="473"/>
      <c r="J219" s="168"/>
      <c r="K219" s="168"/>
    </row>
    <row r="220" spans="1:11">
      <c r="A220" s="163"/>
      <c r="B220" s="170" t="s">
        <v>217</v>
      </c>
      <c r="C220" s="530">
        <f>'[51]Sch D'!D9</f>
        <v>0</v>
      </c>
      <c r="D220" s="530"/>
      <c r="E220" s="234">
        <f t="shared" ref="E220:E227" si="50">C220+D220</f>
        <v>0</v>
      </c>
      <c r="F220" s="233"/>
      <c r="G220" s="234">
        <f t="shared" si="48"/>
        <v>0</v>
      </c>
      <c r="H220" s="172">
        <f t="shared" si="49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'[51]Sch D'!E9</f>
        <v>0</v>
      </c>
      <c r="D221" s="530"/>
      <c r="E221" s="234">
        <f t="shared" si="50"/>
        <v>0</v>
      </c>
      <c r="F221" s="233"/>
      <c r="G221" s="234">
        <f t="shared" si="48"/>
        <v>0</v>
      </c>
      <c r="H221" s="172">
        <f t="shared" si="49"/>
        <v>0</v>
      </c>
      <c r="I221" s="473"/>
      <c r="J221" s="168"/>
      <c r="K221" s="168"/>
    </row>
    <row r="222" spans="1:11">
      <c r="A222" s="163"/>
      <c r="B222" s="202" t="s">
        <v>334</v>
      </c>
      <c r="C222" s="530">
        <f>'[51]Sch D'!F9</f>
        <v>0</v>
      </c>
      <c r="D222" s="530"/>
      <c r="E222" s="234">
        <f>C222+D222</f>
        <v>0</v>
      </c>
      <c r="F222" s="233"/>
      <c r="G222" s="234">
        <f>E222+F222</f>
        <v>0</v>
      </c>
      <c r="H222" s="172">
        <f t="shared" si="49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'[51]Sch D'!G9</f>
        <v>0</v>
      </c>
      <c r="D223" s="530"/>
      <c r="E223" s="234">
        <f t="shared" si="50"/>
        <v>0</v>
      </c>
      <c r="F223" s="233"/>
      <c r="G223" s="234">
        <f t="shared" si="48"/>
        <v>0</v>
      </c>
      <c r="H223" s="172">
        <f t="shared" si="49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'[51]Sch D'!H9</f>
        <v>348</v>
      </c>
      <c r="D224" s="530"/>
      <c r="E224" s="234">
        <f t="shared" si="50"/>
        <v>348</v>
      </c>
      <c r="F224" s="233"/>
      <c r="G224" s="234">
        <f t="shared" si="48"/>
        <v>348</v>
      </c>
      <c r="H224" s="172">
        <f t="shared" si="49"/>
        <v>3.2002942799337873E-2</v>
      </c>
      <c r="I224" s="473"/>
      <c r="J224" s="168"/>
      <c r="K224" s="168"/>
    </row>
    <row r="225" spans="1:11">
      <c r="A225" s="163"/>
      <c r="B225" s="170" t="s">
        <v>236</v>
      </c>
      <c r="C225" s="530">
        <f>'[51]Sch D'!I9</f>
        <v>205</v>
      </c>
      <c r="D225" s="530"/>
      <c r="E225" s="234">
        <f t="shared" si="50"/>
        <v>205</v>
      </c>
      <c r="F225" s="233"/>
      <c r="G225" s="234">
        <f t="shared" si="48"/>
        <v>205</v>
      </c>
      <c r="H225" s="172">
        <f t="shared" si="49"/>
        <v>1.8852308258230643E-2</v>
      </c>
      <c r="I225" s="473"/>
      <c r="J225" s="168"/>
      <c r="K225" s="168"/>
    </row>
    <row r="226" spans="1:11">
      <c r="A226" s="163"/>
      <c r="B226" s="170" t="s">
        <v>235</v>
      </c>
      <c r="C226" s="530">
        <f>'[51]Sch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9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'[51]Sch D'!K9</f>
        <v>0</v>
      </c>
      <c r="D227" s="530"/>
      <c r="E227" s="234">
        <f t="shared" si="50"/>
        <v>0</v>
      </c>
      <c r="F227" s="233"/>
      <c r="G227" s="234">
        <f t="shared" si="48"/>
        <v>0</v>
      </c>
      <c r="H227" s="172">
        <f t="shared" si="49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10874</v>
      </c>
      <c r="D228" s="530">
        <f>SUM(D219:D227)</f>
        <v>0</v>
      </c>
      <c r="E228" s="236">
        <f>SUM(E219:E227)</f>
        <v>10874</v>
      </c>
      <c r="F228" s="236">
        <f>SUM(F219:F227)</f>
        <v>0</v>
      </c>
      <c r="G228" s="236">
        <f>SUM(G219:G227)</f>
        <v>10874</v>
      </c>
      <c r="H228" s="172">
        <f t="shared" si="49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'[51]Sch D'!N22</f>
        <v>34</v>
      </c>
      <c r="D231" s="502"/>
      <c r="E231" s="234">
        <f>C231+D231</f>
        <v>34</v>
      </c>
      <c r="F231" s="234"/>
      <c r="G231" s="234">
        <f>E231+F231</f>
        <v>34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'[51]Sch D'!N24</f>
        <v>34</v>
      </c>
      <c r="D232" s="502"/>
      <c r="E232" s="234">
        <f>C232+D232</f>
        <v>34</v>
      </c>
      <c r="F232" s="234"/>
      <c r="G232" s="234">
        <f>E232+F232</f>
        <v>34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'[51]Sch D'!N28</f>
        <v>12410</v>
      </c>
      <c r="D235" s="438"/>
      <c r="E235" s="233">
        <f>E231*E233</f>
        <v>12410</v>
      </c>
      <c r="F235" s="238"/>
      <c r="G235" s="233">
        <f>G231*G233</f>
        <v>12410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'[51]Sch D'!N30</f>
        <v>0.87622884770346499</v>
      </c>
      <c r="D236" s="238"/>
      <c r="E236" s="242">
        <f>E228/E235</f>
        <v>0.87622884770346499</v>
      </c>
      <c r="F236" s="243"/>
      <c r="G236" s="242">
        <f>G228/G235</f>
        <v>0.87622884770346499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'[51]Sch D'!N32</f>
        <v>0.83166800966962129</v>
      </c>
      <c r="D237" s="238"/>
      <c r="E237" s="242">
        <f>(E219+E220)/E235</f>
        <v>0.83166800966962129</v>
      </c>
      <c r="F237" s="243"/>
      <c r="G237" s="242">
        <f>(G219+G220)/G235</f>
        <v>0.83166800966962129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'[51]Sch D'!N34</f>
        <v>0.9491447489424315</v>
      </c>
      <c r="D238" s="238"/>
      <c r="E238" s="242">
        <f>(E237/E236)</f>
        <v>0.9491447489424315</v>
      </c>
      <c r="F238" s="243"/>
      <c r="G238" s="242">
        <f>(G237/G236)</f>
        <v>0.9491447489424315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'[51]Sch B'!C85</f>
        <v>151.15853658536585</v>
      </c>
      <c r="I241" s="475"/>
    </row>
    <row r="242" spans="2:9">
      <c r="F242" s="142" t="s">
        <v>341</v>
      </c>
      <c r="G242" s="501">
        <f>'[51]Sch B'!E85</f>
        <v>185</v>
      </c>
      <c r="I242" s="475"/>
    </row>
    <row r="243" spans="2:9">
      <c r="F243" s="142" t="s">
        <v>342</v>
      </c>
      <c r="G243" s="501">
        <f>'[51]Sch B'!G85</f>
        <v>0</v>
      </c>
      <c r="I243" s="475"/>
    </row>
    <row r="244" spans="2:9">
      <c r="F244" s="142" t="s">
        <v>343</v>
      </c>
      <c r="G244" s="501">
        <f>'[51]Sch B'!I85</f>
        <v>0</v>
      </c>
      <c r="I244" s="475"/>
    </row>
    <row r="245" spans="2:9">
      <c r="F245" s="142"/>
      <c r="I245" s="475"/>
    </row>
    <row r="246" spans="2:9">
      <c r="I246" s="475"/>
    </row>
  </sheetData>
  <phoneticPr fontId="0" type="noConversion"/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3">
    <tabColor rgb="FFE28CAB"/>
  </sheetPr>
  <dimension ref="A1:L254"/>
  <sheetViews>
    <sheetView showGridLines="0" zoomScaleNormal="100" workbookViewId="0">
      <pane xSplit="2" ySplit="10" topLeftCell="C199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249" customWidth="1"/>
    <col min="2" max="2" width="33.58203125" style="247" customWidth="1"/>
    <col min="3" max="3" width="24.1640625" style="247" customWidth="1"/>
    <col min="4" max="4" width="12.6640625" style="247" customWidth="1"/>
    <col min="5" max="5" width="12.9140625" style="247" customWidth="1"/>
    <col min="6" max="6" width="14.1640625" style="247" bestFit="1" customWidth="1"/>
    <col min="7" max="7" width="13.5" style="247" bestFit="1" customWidth="1"/>
    <col min="8" max="8" width="12.58203125" style="247" customWidth="1"/>
    <col min="9" max="9" width="2.5" style="332" customWidth="1"/>
    <col min="10" max="10" width="14.6640625" style="248" customWidth="1"/>
    <col min="11" max="11" width="13" style="248" customWidth="1"/>
    <col min="12" max="12" width="2.6640625" style="247" customWidth="1"/>
    <col min="13" max="16384" width="8.6640625" style="247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34"/>
      <c r="D1" s="434"/>
      <c r="E1" s="434"/>
      <c r="F1" s="434"/>
      <c r="G1" s="434"/>
      <c r="H1" s="434"/>
      <c r="I1" s="435"/>
    </row>
    <row r="2" spans="1:11" ht="23">
      <c r="B2" s="250" t="s">
        <v>189</v>
      </c>
      <c r="C2" s="244" t="s">
        <v>499</v>
      </c>
      <c r="D2" s="244" t="s">
        <v>498</v>
      </c>
      <c r="E2" s="251"/>
    </row>
    <row r="3" spans="1:11" ht="15.5">
      <c r="A3" s="252"/>
      <c r="B3" s="247" t="s">
        <v>79</v>
      </c>
      <c r="C3" s="441">
        <v>42552</v>
      </c>
      <c r="D3" s="251"/>
      <c r="E3" s="368"/>
      <c r="F3" s="552"/>
    </row>
    <row r="4" spans="1:11" ht="15.5">
      <c r="A4" s="252"/>
      <c r="B4" s="253" t="s">
        <v>80</v>
      </c>
      <c r="C4" s="585">
        <v>42916</v>
      </c>
      <c r="D4" s="586"/>
      <c r="E4" s="587"/>
      <c r="F4" s="588"/>
      <c r="G4" s="255"/>
    </row>
    <row r="5" spans="1:11">
      <c r="A5" s="252"/>
      <c r="B5" s="253"/>
      <c r="C5" s="589"/>
      <c r="D5" s="586"/>
      <c r="E5" s="332"/>
      <c r="F5" s="564"/>
    </row>
    <row r="6" spans="1:11">
      <c r="A6" s="252"/>
      <c r="B6" s="253"/>
      <c r="C6" s="590" t="s">
        <v>37</v>
      </c>
      <c r="D6" s="591" t="s">
        <v>38</v>
      </c>
      <c r="E6" s="333" t="s">
        <v>39</v>
      </c>
      <c r="F6" s="592" t="s">
        <v>40</v>
      </c>
      <c r="G6" s="258" t="s">
        <v>41</v>
      </c>
      <c r="H6" s="254" t="s">
        <v>42</v>
      </c>
      <c r="I6" s="333"/>
      <c r="J6" s="260">
        <v>7</v>
      </c>
      <c r="K6" s="260">
        <v>8</v>
      </c>
    </row>
    <row r="7" spans="1:11">
      <c r="B7" s="253"/>
      <c r="C7" s="261" t="s">
        <v>1</v>
      </c>
      <c r="D7" s="261" t="s">
        <v>2</v>
      </c>
      <c r="E7" s="261" t="s">
        <v>3</v>
      </c>
      <c r="F7" s="261" t="s">
        <v>4</v>
      </c>
      <c r="G7" s="261" t="s">
        <v>5</v>
      </c>
      <c r="H7" s="262" t="s">
        <v>6</v>
      </c>
      <c r="I7" s="622"/>
      <c r="J7" s="263" t="s">
        <v>291</v>
      </c>
      <c r="K7" s="264" t="s">
        <v>292</v>
      </c>
    </row>
    <row r="8" spans="1:11">
      <c r="B8" s="253"/>
      <c r="C8" s="265"/>
      <c r="D8" s="265"/>
      <c r="E8" s="265" t="s">
        <v>8</v>
      </c>
      <c r="F8" s="265" t="s">
        <v>9</v>
      </c>
      <c r="G8" s="265" t="s">
        <v>10</v>
      </c>
      <c r="H8" s="266" t="s">
        <v>11</v>
      </c>
      <c r="I8" s="622"/>
      <c r="J8" s="267"/>
      <c r="K8" s="267"/>
    </row>
    <row r="9" spans="1:11" ht="15.5">
      <c r="A9" s="252"/>
      <c r="C9" s="256"/>
      <c r="D9" s="251"/>
      <c r="F9"/>
      <c r="G9" s="251"/>
      <c r="I9" s="623"/>
    </row>
    <row r="10" spans="1:11" s="272" customFormat="1" ht="16" thickBot="1">
      <c r="A10" s="268" t="s">
        <v>245</v>
      </c>
      <c r="B10" s="269" t="s">
        <v>246</v>
      </c>
      <c r="C10" s="270"/>
      <c r="D10" s="270"/>
      <c r="E10" s="270"/>
      <c r="F10"/>
      <c r="G10" s="270"/>
      <c r="H10" s="271"/>
      <c r="I10" s="624"/>
      <c r="J10" s="273"/>
      <c r="K10" s="273"/>
    </row>
    <row r="11" spans="1:11" s="272" customFormat="1">
      <c r="A11" s="274" t="s">
        <v>13</v>
      </c>
      <c r="B11" s="275" t="s">
        <v>213</v>
      </c>
      <c r="C11" s="501">
        <f>'[52]Sch B'!E10</f>
        <v>2302931</v>
      </c>
      <c r="D11" s="501">
        <f>'[52]Sch B'!G10</f>
        <v>0</v>
      </c>
      <c r="E11" s="246">
        <f>C11+D11</f>
        <v>2302931</v>
      </c>
      <c r="F11" s="664">
        <f>396413+48866</f>
        <v>445279</v>
      </c>
      <c r="G11" s="246">
        <f t="shared" ref="G11:G20" si="0">E11+F11</f>
        <v>2748210</v>
      </c>
      <c r="H11" s="276">
        <f t="shared" ref="H11:H21" si="1">IF($G$21=0,0,G11/$G$21)</f>
        <v>0.56666051525464267</v>
      </c>
      <c r="I11" s="621"/>
      <c r="J11" s="336" t="s">
        <v>344</v>
      </c>
      <c r="K11" s="337">
        <f>G21</f>
        <v>4849835</v>
      </c>
    </row>
    <row r="12" spans="1:11" s="272" customFormat="1">
      <c r="A12" s="274" t="s">
        <v>15</v>
      </c>
      <c r="B12" s="275" t="s">
        <v>212</v>
      </c>
      <c r="C12" s="501">
        <f>'[52]Sch B'!E15</f>
        <v>0</v>
      </c>
      <c r="D12" s="501">
        <f>'[52]Sch B'!G15</f>
        <v>0</v>
      </c>
      <c r="E12" s="246">
        <f t="shared" ref="E12:E20" si="2">C12+D12</f>
        <v>0</v>
      </c>
      <c r="F12" s="664"/>
      <c r="G12" s="246">
        <f>E12+F12</f>
        <v>0</v>
      </c>
      <c r="H12" s="276">
        <f t="shared" si="1"/>
        <v>0</v>
      </c>
      <c r="I12" s="621"/>
      <c r="J12" s="338" t="s">
        <v>345</v>
      </c>
      <c r="K12" s="339">
        <f>G208</f>
        <v>3632208.1413811278</v>
      </c>
    </row>
    <row r="13" spans="1:11" s="272" customFormat="1">
      <c r="A13" s="274" t="s">
        <v>16</v>
      </c>
      <c r="B13" s="275" t="s">
        <v>170</v>
      </c>
      <c r="C13" s="501">
        <f>'[52]Sch B'!E21</f>
        <v>1655213</v>
      </c>
      <c r="D13" s="501">
        <f>'[52]Sch B'!G21</f>
        <v>0</v>
      </c>
      <c r="E13" s="246">
        <f t="shared" si="2"/>
        <v>1655213</v>
      </c>
      <c r="F13" s="664"/>
      <c r="G13" s="246">
        <f t="shared" si="0"/>
        <v>1655213</v>
      </c>
      <c r="H13" s="276">
        <f t="shared" si="1"/>
        <v>0.34129264191462183</v>
      </c>
      <c r="I13" s="621"/>
      <c r="J13" s="338" t="s">
        <v>346</v>
      </c>
      <c r="K13" s="339">
        <f>G228</f>
        <v>15768</v>
      </c>
    </row>
    <row r="14" spans="1:11" s="272" customFormat="1">
      <c r="A14" s="277" t="s">
        <v>18</v>
      </c>
      <c r="B14" s="278" t="s">
        <v>306</v>
      </c>
      <c r="C14" s="501">
        <f>'[52]Sch B'!E27</f>
        <v>55818</v>
      </c>
      <c r="D14" s="501">
        <f>'[52]Sch B'!G27</f>
        <v>0</v>
      </c>
      <c r="E14" s="246">
        <f t="shared" si="2"/>
        <v>55818</v>
      </c>
      <c r="F14" s="279"/>
      <c r="G14" s="279">
        <f>E14+F14</f>
        <v>55818</v>
      </c>
      <c r="H14" s="280">
        <f t="shared" si="1"/>
        <v>1.1509257531441792E-2</v>
      </c>
      <c r="I14" s="625"/>
      <c r="J14" s="338" t="s">
        <v>347</v>
      </c>
      <c r="K14" s="339">
        <f>G231</f>
        <v>100</v>
      </c>
    </row>
    <row r="15" spans="1:11" s="272" customFormat="1">
      <c r="A15" s="274" t="s">
        <v>19</v>
      </c>
      <c r="B15" s="275" t="s">
        <v>171</v>
      </c>
      <c r="C15" s="501">
        <f>'[52]Sch B'!E32</f>
        <v>0</v>
      </c>
      <c r="D15" s="501">
        <f>'[52]Sch B'!G32</f>
        <v>0</v>
      </c>
      <c r="E15" s="246">
        <f t="shared" si="2"/>
        <v>0</v>
      </c>
      <c r="F15" s="246"/>
      <c r="G15" s="246">
        <f t="shared" si="0"/>
        <v>0</v>
      </c>
      <c r="H15" s="276">
        <f t="shared" si="1"/>
        <v>0</v>
      </c>
      <c r="I15" s="621"/>
      <c r="J15" s="338" t="s">
        <v>348</v>
      </c>
      <c r="K15" s="339">
        <f>G235</f>
        <v>36500</v>
      </c>
    </row>
    <row r="16" spans="1:11" s="272" customFormat="1">
      <c r="A16" s="274" t="s">
        <v>21</v>
      </c>
      <c r="B16" s="275" t="s">
        <v>172</v>
      </c>
      <c r="C16" s="501">
        <f>'[52]Sch B'!E37</f>
        <v>322832</v>
      </c>
      <c r="D16" s="501">
        <f>'[52]Sch B'!G37</f>
        <v>0</v>
      </c>
      <c r="E16" s="246">
        <f t="shared" si="2"/>
        <v>322832</v>
      </c>
      <c r="F16" s="246"/>
      <c r="G16" s="246">
        <f t="shared" si="0"/>
        <v>322832</v>
      </c>
      <c r="H16" s="276">
        <f t="shared" si="1"/>
        <v>6.656556357071941E-2</v>
      </c>
      <c r="I16" s="621"/>
      <c r="J16" s="340"/>
      <c r="K16" s="339"/>
    </row>
    <row r="17" spans="1:11" s="272" customFormat="1">
      <c r="A17" s="274" t="s">
        <v>215</v>
      </c>
      <c r="B17" s="275" t="s">
        <v>228</v>
      </c>
      <c r="C17" s="501">
        <f>'[52]Sch B'!E42</f>
        <v>0</v>
      </c>
      <c r="D17" s="501">
        <f>'[52]Sch B'!G42</f>
        <v>0</v>
      </c>
      <c r="E17" s="246">
        <f t="shared" si="2"/>
        <v>0</v>
      </c>
      <c r="F17" s="246"/>
      <c r="G17" s="246">
        <f>E17+F17</f>
        <v>0</v>
      </c>
      <c r="H17" s="276">
        <f t="shared" si="1"/>
        <v>0</v>
      </c>
      <c r="I17" s="621"/>
      <c r="J17" s="338" t="s">
        <v>156</v>
      </c>
      <c r="K17" s="339">
        <f>J208</f>
        <v>101013</v>
      </c>
    </row>
    <row r="18" spans="1:11" s="272" customFormat="1" ht="13.5" thickBot="1">
      <c r="A18" s="274" t="s">
        <v>216</v>
      </c>
      <c r="B18" s="275" t="s">
        <v>229</v>
      </c>
      <c r="C18" s="501">
        <f>'[52]Sch B'!E47</f>
        <v>57325</v>
      </c>
      <c r="D18" s="501">
        <f>'[52]Sch B'!G47</f>
        <v>0</v>
      </c>
      <c r="E18" s="246">
        <f t="shared" si="2"/>
        <v>57325</v>
      </c>
      <c r="F18" s="246"/>
      <c r="G18" s="246">
        <f>E18+F18</f>
        <v>57325</v>
      </c>
      <c r="H18" s="276">
        <f t="shared" si="1"/>
        <v>1.1819989752228683E-2</v>
      </c>
      <c r="I18" s="621"/>
      <c r="J18" s="341" t="s">
        <v>252</v>
      </c>
      <c r="K18" s="342">
        <f>K208</f>
        <v>105984</v>
      </c>
    </row>
    <row r="19" spans="1:11" s="272" customFormat="1">
      <c r="A19" s="274" t="s">
        <v>227</v>
      </c>
      <c r="B19" s="177" t="s">
        <v>173</v>
      </c>
      <c r="C19" s="501">
        <f>'[52]Sch B'!E52</f>
        <v>0</v>
      </c>
      <c r="D19" s="501">
        <f>'[52]Sch B'!G52</f>
        <v>0</v>
      </c>
      <c r="E19" s="246">
        <f t="shared" si="2"/>
        <v>0</v>
      </c>
      <c r="F19" s="246"/>
      <c r="G19" s="246">
        <f t="shared" si="0"/>
        <v>0</v>
      </c>
      <c r="H19" s="276">
        <f t="shared" si="1"/>
        <v>0</v>
      </c>
      <c r="I19" s="621"/>
      <c r="J19" s="273"/>
      <c r="K19" s="273"/>
    </row>
    <row r="20" spans="1:11" s="272" customFormat="1">
      <c r="A20" s="274" t="s">
        <v>183</v>
      </c>
      <c r="B20" s="23" t="s">
        <v>180</v>
      </c>
      <c r="C20" s="501">
        <f>'[52]Sch B'!E67</f>
        <v>10437</v>
      </c>
      <c r="D20" s="501">
        <f>'[52]Sch B'!G67</f>
        <v>0</v>
      </c>
      <c r="E20" s="246">
        <f t="shared" si="2"/>
        <v>10437</v>
      </c>
      <c r="F20" s="246"/>
      <c r="G20" s="246">
        <f t="shared" si="0"/>
        <v>10437</v>
      </c>
      <c r="H20" s="276">
        <f t="shared" si="1"/>
        <v>2.1520319763455868E-3</v>
      </c>
      <c r="I20" s="621"/>
      <c r="J20" s="273"/>
      <c r="K20" s="273"/>
    </row>
    <row r="21" spans="1:11" s="272" customFormat="1">
      <c r="A21" s="274"/>
      <c r="B21" s="281" t="s">
        <v>77</v>
      </c>
      <c r="C21" s="501">
        <f>SUM(C11:C20)</f>
        <v>4404556</v>
      </c>
      <c r="D21" s="501">
        <f>SUM(D11:D20)</f>
        <v>0</v>
      </c>
      <c r="E21" s="246">
        <f>SUM(E11:E20)</f>
        <v>4404556</v>
      </c>
      <c r="F21" s="246">
        <f>SUM(F11:F20)</f>
        <v>445279</v>
      </c>
      <c r="G21" s="246">
        <f>SUM(G11:G20)</f>
        <v>4849835</v>
      </c>
      <c r="H21" s="276">
        <f t="shared" si="1"/>
        <v>1</v>
      </c>
      <c r="I21" s="621"/>
      <c r="J21" s="273"/>
      <c r="K21" s="273"/>
    </row>
    <row r="22" spans="1:11" ht="12" customHeight="1">
      <c r="A22" s="252"/>
      <c r="B22" s="282"/>
      <c r="C22" s="151"/>
      <c r="D22" s="144"/>
      <c r="F22" s="251"/>
      <c r="G22" s="251"/>
      <c r="I22" s="623"/>
    </row>
    <row r="23" spans="1:11" ht="26.5">
      <c r="A23" s="283" t="s">
        <v>231</v>
      </c>
      <c r="B23" s="282" t="s">
        <v>222</v>
      </c>
      <c r="C23" s="151"/>
      <c r="D23" s="144"/>
      <c r="F23" t="s">
        <v>643</v>
      </c>
      <c r="G23" s="251"/>
      <c r="I23" s="623"/>
    </row>
    <row r="24" spans="1:11" ht="15.5">
      <c r="A24" s="284" t="s">
        <v>161</v>
      </c>
      <c r="B24" s="253" t="s">
        <v>12</v>
      </c>
      <c r="C24" s="140"/>
      <c r="D24" s="140"/>
      <c r="F24"/>
      <c r="I24" s="623"/>
    </row>
    <row r="25" spans="1:11" s="272" customFormat="1">
      <c r="A25" s="274" t="s">
        <v>83</v>
      </c>
      <c r="B25" s="275" t="s">
        <v>14</v>
      </c>
      <c r="C25" s="501">
        <f>'[52]Sch C'!D10</f>
        <v>200620</v>
      </c>
      <c r="D25" s="501">
        <f>'[52]Sch C'!F10</f>
        <v>9911</v>
      </c>
      <c r="E25" s="246">
        <f t="shared" ref="E25:E60" si="3">C25+D25</f>
        <v>210531</v>
      </c>
      <c r="F25" s="246"/>
      <c r="G25" s="285">
        <f>E25+F25</f>
        <v>210531</v>
      </c>
      <c r="H25" s="276">
        <f>IF($G$208=0,0,G25/$G$208)</f>
        <v>5.796226201947411E-2</v>
      </c>
      <c r="I25" s="621"/>
      <c r="J25" s="183">
        <v>3429</v>
      </c>
      <c r="K25" s="183">
        <v>3598</v>
      </c>
    </row>
    <row r="26" spans="1:11" s="272" customFormat="1">
      <c r="A26" s="274" t="s">
        <v>84</v>
      </c>
      <c r="B26" s="275" t="s">
        <v>176</v>
      </c>
      <c r="C26" s="501">
        <f>'[52]Sch C'!D11</f>
        <v>0</v>
      </c>
      <c r="D26" s="501">
        <f>'[52]Sch C'!F11</f>
        <v>0</v>
      </c>
      <c r="E26" s="246">
        <f t="shared" si="3"/>
        <v>0</v>
      </c>
      <c r="F26" s="246"/>
      <c r="G26" s="246">
        <f t="shared" ref="G26:G60" si="4">E26+F26</f>
        <v>0</v>
      </c>
      <c r="H26" s="286">
        <f t="shared" ref="H26:H61" si="5">IF($G$208=0,0,G26/$G$208)</f>
        <v>0</v>
      </c>
      <c r="I26" s="621"/>
      <c r="J26" s="183">
        <v>0</v>
      </c>
      <c r="K26" s="183">
        <v>0</v>
      </c>
    </row>
    <row r="27" spans="1:11" s="272" customFormat="1">
      <c r="A27" s="274" t="s">
        <v>85</v>
      </c>
      <c r="B27" s="275" t="s">
        <v>17</v>
      </c>
      <c r="C27" s="501">
        <f>'[52]Sch C'!D12</f>
        <v>89320</v>
      </c>
      <c r="D27" s="501">
        <f>'[52]Sch C'!F12</f>
        <v>4409</v>
      </c>
      <c r="E27" s="246">
        <f t="shared" si="3"/>
        <v>93729</v>
      </c>
      <c r="F27" s="246"/>
      <c r="G27" s="246">
        <f t="shared" si="4"/>
        <v>93729</v>
      </c>
      <c r="H27" s="276">
        <f t="shared" si="5"/>
        <v>2.5804963909463637E-2</v>
      </c>
      <c r="I27" s="621"/>
      <c r="J27" s="183">
        <v>5718</v>
      </c>
      <c r="K27" s="183">
        <v>6000</v>
      </c>
    </row>
    <row r="28" spans="1:11" s="272" customFormat="1">
      <c r="A28" s="274" t="s">
        <v>86</v>
      </c>
      <c r="B28" s="275" t="s">
        <v>45</v>
      </c>
      <c r="C28" s="501">
        <f>'[52]Sch C'!D13</f>
        <v>366258</v>
      </c>
      <c r="D28" s="501">
        <f>'[52]Sch C'!F13</f>
        <v>-325290</v>
      </c>
      <c r="E28" s="246">
        <f t="shared" si="3"/>
        <v>40968</v>
      </c>
      <c r="F28" s="246"/>
      <c r="G28" s="246">
        <f t="shared" si="4"/>
        <v>40968</v>
      </c>
      <c r="H28" s="276">
        <f t="shared" si="5"/>
        <v>1.1279089304728594E-2</v>
      </c>
      <c r="I28" s="621"/>
      <c r="J28" s="168"/>
      <c r="K28" s="168"/>
    </row>
    <row r="29" spans="1:11" s="272" customFormat="1">
      <c r="A29" s="274" t="s">
        <v>175</v>
      </c>
      <c r="B29" s="275" t="s">
        <v>20</v>
      </c>
      <c r="C29" s="501">
        <f>'[52]Sch C'!D14</f>
        <v>0</v>
      </c>
      <c r="D29" s="501">
        <f>'[52]Sch C'!F14</f>
        <v>0</v>
      </c>
      <c r="E29" s="246">
        <f t="shared" si="3"/>
        <v>0</v>
      </c>
      <c r="F29" s="246"/>
      <c r="G29" s="246">
        <f t="shared" si="4"/>
        <v>0</v>
      </c>
      <c r="H29" s="276">
        <f t="shared" si="5"/>
        <v>0</v>
      </c>
      <c r="I29" s="621"/>
      <c r="J29" s="168"/>
      <c r="K29" s="168"/>
    </row>
    <row r="30" spans="1:11" s="272" customFormat="1">
      <c r="A30" s="274" t="s">
        <v>88</v>
      </c>
      <c r="B30" s="275" t="s">
        <v>22</v>
      </c>
      <c r="C30" s="501">
        <f>'[52]Sch C'!D15</f>
        <v>0</v>
      </c>
      <c r="D30" s="501">
        <f>'[52]Sch C'!F15</f>
        <v>0</v>
      </c>
      <c r="E30" s="246">
        <f t="shared" si="3"/>
        <v>0</v>
      </c>
      <c r="F30" s="664"/>
      <c r="G30" s="246">
        <f t="shared" si="4"/>
        <v>0</v>
      </c>
      <c r="H30" s="276">
        <f t="shared" si="5"/>
        <v>0</v>
      </c>
      <c r="I30" s="621"/>
      <c r="J30" s="168"/>
      <c r="K30" s="168"/>
    </row>
    <row r="31" spans="1:11" s="272" customFormat="1">
      <c r="A31" s="274" t="s">
        <v>89</v>
      </c>
      <c r="B31" s="275" t="s">
        <v>148</v>
      </c>
      <c r="C31" s="501">
        <f>'[52]Sch C'!D16</f>
        <v>216283</v>
      </c>
      <c r="D31" s="501">
        <f>'[52]Sch C'!F16</f>
        <v>94381</v>
      </c>
      <c r="E31" s="246">
        <f t="shared" si="3"/>
        <v>310664</v>
      </c>
      <c r="F31" s="664">
        <v>-45214.655357559997</v>
      </c>
      <c r="G31" s="246">
        <f t="shared" si="4"/>
        <v>265449.34464243997</v>
      </c>
      <c r="H31" s="276">
        <f t="shared" si="5"/>
        <v>7.3082085142153849E-2</v>
      </c>
      <c r="I31" s="621" t="s">
        <v>402</v>
      </c>
      <c r="J31" s="168"/>
      <c r="K31" s="168"/>
    </row>
    <row r="32" spans="1:11" s="272" customFormat="1">
      <c r="A32" s="274" t="s">
        <v>90</v>
      </c>
      <c r="B32" s="275" t="s">
        <v>23</v>
      </c>
      <c r="C32" s="501">
        <f>'[52]Sch C'!D17</f>
        <v>0</v>
      </c>
      <c r="D32" s="501">
        <f>'[52]Sch C'!F17</f>
        <v>0</v>
      </c>
      <c r="E32" s="246">
        <f t="shared" si="3"/>
        <v>0</v>
      </c>
      <c r="F32" s="664"/>
      <c r="G32" s="246">
        <f t="shared" si="4"/>
        <v>0</v>
      </c>
      <c r="H32" s="276">
        <f t="shared" si="5"/>
        <v>0</v>
      </c>
      <c r="I32" s="621"/>
      <c r="J32" s="168"/>
      <c r="K32" s="168"/>
    </row>
    <row r="33" spans="1:11" s="272" customFormat="1">
      <c r="A33" s="274" t="s">
        <v>91</v>
      </c>
      <c r="B33" s="275" t="s">
        <v>24</v>
      </c>
      <c r="C33" s="501">
        <f>'[52]Sch C'!D18</f>
        <v>4105</v>
      </c>
      <c r="D33" s="501">
        <f>'[52]Sch C'!F18</f>
        <v>0</v>
      </c>
      <c r="E33" s="246">
        <f t="shared" si="3"/>
        <v>4105</v>
      </c>
      <c r="F33" s="664"/>
      <c r="G33" s="246">
        <f t="shared" si="4"/>
        <v>4105</v>
      </c>
      <c r="H33" s="276">
        <f t="shared" si="5"/>
        <v>1.1301665103473657E-3</v>
      </c>
      <c r="I33" s="621"/>
      <c r="J33" s="168"/>
      <c r="K33" s="168"/>
    </row>
    <row r="34" spans="1:11" s="272" customFormat="1">
      <c r="A34" s="274" t="s">
        <v>92</v>
      </c>
      <c r="B34" s="275" t="s">
        <v>25</v>
      </c>
      <c r="C34" s="501">
        <f>'[52]Sch C'!D19</f>
        <v>14517</v>
      </c>
      <c r="D34" s="501">
        <f>'[52]Sch C'!F19</f>
        <v>-867</v>
      </c>
      <c r="E34" s="246">
        <f t="shared" si="3"/>
        <v>13650</v>
      </c>
      <c r="F34" s="664"/>
      <c r="G34" s="246">
        <f t="shared" si="4"/>
        <v>13650</v>
      </c>
      <c r="H34" s="276">
        <f t="shared" si="5"/>
        <v>3.7580445471964777E-3</v>
      </c>
      <c r="I34" s="621"/>
      <c r="J34" s="168"/>
      <c r="K34" s="168"/>
    </row>
    <row r="35" spans="1:11" s="272" customFormat="1">
      <c r="A35" s="274" t="s">
        <v>93</v>
      </c>
      <c r="B35" s="275" t="s">
        <v>26</v>
      </c>
      <c r="C35" s="501">
        <f>'[52]Sch C'!D20</f>
        <v>32377</v>
      </c>
      <c r="D35" s="501">
        <f>'[52]Sch C'!F20</f>
        <v>0</v>
      </c>
      <c r="E35" s="246">
        <f t="shared" si="3"/>
        <v>32377</v>
      </c>
      <c r="F35" s="664">
        <f>-562-710</f>
        <v>-1272</v>
      </c>
      <c r="G35" s="246">
        <f t="shared" si="4"/>
        <v>31105</v>
      </c>
      <c r="H35" s="276">
        <f t="shared" si="5"/>
        <v>8.563661219087651E-3</v>
      </c>
      <c r="I35" s="621"/>
      <c r="J35" s="168"/>
      <c r="K35" s="168"/>
    </row>
    <row r="36" spans="1:11" s="272" customFormat="1">
      <c r="A36" s="274" t="s">
        <v>94</v>
      </c>
      <c r="B36" s="275" t="s">
        <v>27</v>
      </c>
      <c r="C36" s="501">
        <f>'[52]Sch C'!D21</f>
        <v>14855</v>
      </c>
      <c r="D36" s="501">
        <f>'[52]Sch C'!F21</f>
        <v>0</v>
      </c>
      <c r="E36" s="246">
        <f t="shared" si="3"/>
        <v>14855</v>
      </c>
      <c r="F36" s="664">
        <v>-13167</v>
      </c>
      <c r="G36" s="246">
        <f t="shared" si="4"/>
        <v>1688</v>
      </c>
      <c r="H36" s="276">
        <f t="shared" si="5"/>
        <v>4.6473107660568893E-4</v>
      </c>
      <c r="I36" s="621"/>
      <c r="J36" s="168"/>
      <c r="K36" s="168"/>
    </row>
    <row r="37" spans="1:11" s="272" customFormat="1">
      <c r="A37" s="268">
        <v>130</v>
      </c>
      <c r="B37" s="275" t="s">
        <v>28</v>
      </c>
      <c r="C37" s="501">
        <f>'[52]Sch C'!D22</f>
        <v>0</v>
      </c>
      <c r="D37" s="501">
        <f>'[52]Sch C'!F22</f>
        <v>0</v>
      </c>
      <c r="E37" s="246">
        <f t="shared" si="3"/>
        <v>0</v>
      </c>
      <c r="F37" s="664"/>
      <c r="G37" s="246">
        <f t="shared" si="4"/>
        <v>0</v>
      </c>
      <c r="H37" s="276">
        <f t="shared" si="5"/>
        <v>0</v>
      </c>
      <c r="I37" s="621"/>
      <c r="J37" s="168"/>
      <c r="K37" s="168"/>
    </row>
    <row r="38" spans="1:11" s="272" customFormat="1">
      <c r="A38" s="268">
        <v>140</v>
      </c>
      <c r="B38" s="275" t="s">
        <v>149</v>
      </c>
      <c r="C38" s="501">
        <f>'[52]Sch C'!D23</f>
        <v>19929</v>
      </c>
      <c r="D38" s="501">
        <f>'[52]Sch C'!F23</f>
        <v>0</v>
      </c>
      <c r="E38" s="246">
        <f t="shared" si="3"/>
        <v>19929</v>
      </c>
      <c r="F38" s="664"/>
      <c r="G38" s="246">
        <f t="shared" si="4"/>
        <v>19929</v>
      </c>
      <c r="H38" s="276">
        <f t="shared" si="5"/>
        <v>5.4867450389068572E-3</v>
      </c>
      <c r="I38" s="621"/>
      <c r="J38" s="168"/>
      <c r="K38" s="168"/>
    </row>
    <row r="39" spans="1:11" s="272" customFormat="1">
      <c r="A39" s="268">
        <v>150</v>
      </c>
      <c r="B39" s="275" t="s">
        <v>29</v>
      </c>
      <c r="C39" s="501">
        <f>'[52]Sch C'!D24</f>
        <v>62759</v>
      </c>
      <c r="D39" s="501">
        <f>'[52]Sch C'!F24</f>
        <v>-9600</v>
      </c>
      <c r="E39" s="246">
        <f t="shared" si="3"/>
        <v>53159</v>
      </c>
      <c r="F39" s="664"/>
      <c r="G39" s="246">
        <f t="shared" si="4"/>
        <v>53159</v>
      </c>
      <c r="H39" s="276">
        <f t="shared" si="5"/>
        <v>1.4635449823034254E-2</v>
      </c>
      <c r="I39" s="621"/>
      <c r="J39" s="168"/>
      <c r="K39" s="168"/>
    </row>
    <row r="40" spans="1:11" s="272" customFormat="1">
      <c r="A40" s="268">
        <v>160</v>
      </c>
      <c r="B40" s="275" t="s">
        <v>30</v>
      </c>
      <c r="C40" s="501">
        <f>'[52]Sch C'!D25</f>
        <v>0</v>
      </c>
      <c r="D40" s="501">
        <f>'[52]Sch C'!F25</f>
        <v>0</v>
      </c>
      <c r="E40" s="246">
        <f t="shared" si="3"/>
        <v>0</v>
      </c>
      <c r="F40" s="664"/>
      <c r="G40" s="246">
        <f t="shared" si="4"/>
        <v>0</v>
      </c>
      <c r="H40" s="276">
        <f t="shared" si="5"/>
        <v>0</v>
      </c>
      <c r="I40" s="621"/>
      <c r="J40" s="168"/>
      <c r="K40" s="168"/>
    </row>
    <row r="41" spans="1:11" s="272" customFormat="1">
      <c r="A41" s="268">
        <v>170</v>
      </c>
      <c r="B41" s="275" t="s">
        <v>31</v>
      </c>
      <c r="C41" s="501">
        <f>'[52]Sch C'!D26</f>
        <v>236195</v>
      </c>
      <c r="D41" s="501">
        <f>'[52]Sch C'!F26</f>
        <v>0</v>
      </c>
      <c r="E41" s="246">
        <f t="shared" si="3"/>
        <v>236195</v>
      </c>
      <c r="F41" s="664"/>
      <c r="G41" s="246">
        <f t="shared" si="4"/>
        <v>236195</v>
      </c>
      <c r="H41" s="276">
        <f t="shared" si="5"/>
        <v>6.5027936397441172E-2</v>
      </c>
      <c r="I41" s="621"/>
      <c r="J41" s="168"/>
      <c r="K41" s="168"/>
    </row>
    <row r="42" spans="1:11" s="272" customFormat="1">
      <c r="A42" s="268">
        <v>180</v>
      </c>
      <c r="B42" s="275" t="s">
        <v>32</v>
      </c>
      <c r="C42" s="501">
        <f>'[52]Sch C'!D27</f>
        <v>0</v>
      </c>
      <c r="D42" s="501">
        <f>'[52]Sch C'!F27</f>
        <v>0</v>
      </c>
      <c r="E42" s="246">
        <f t="shared" si="3"/>
        <v>0</v>
      </c>
      <c r="F42" s="664"/>
      <c r="G42" s="246">
        <f t="shared" si="4"/>
        <v>0</v>
      </c>
      <c r="H42" s="276">
        <f t="shared" si="5"/>
        <v>0</v>
      </c>
      <c r="I42" s="621"/>
      <c r="J42" s="168"/>
      <c r="K42" s="168"/>
    </row>
    <row r="43" spans="1:11" s="272" customFormat="1">
      <c r="A43" s="268">
        <v>190</v>
      </c>
      <c r="B43" s="275" t="s">
        <v>33</v>
      </c>
      <c r="C43" s="501">
        <f>'[52]Sch C'!D28</f>
        <v>0</v>
      </c>
      <c r="D43" s="501">
        <f>'[52]Sch C'!F28</f>
        <v>0</v>
      </c>
      <c r="E43" s="246">
        <f t="shared" si="3"/>
        <v>0</v>
      </c>
      <c r="F43" s="664"/>
      <c r="G43" s="246">
        <f t="shared" si="4"/>
        <v>0</v>
      </c>
      <c r="H43" s="276">
        <f t="shared" si="5"/>
        <v>0</v>
      </c>
      <c r="I43" s="621"/>
      <c r="J43" s="168"/>
      <c r="K43" s="168"/>
    </row>
    <row r="44" spans="1:11" s="272" customFormat="1">
      <c r="A44" s="268">
        <v>200</v>
      </c>
      <c r="B44" s="275" t="s">
        <v>34</v>
      </c>
      <c r="C44" s="501">
        <f>'[52]Sch C'!D29</f>
        <v>36325</v>
      </c>
      <c r="D44" s="501">
        <f>'[52]Sch C'!F29</f>
        <v>-36325</v>
      </c>
      <c r="E44" s="246">
        <f t="shared" si="3"/>
        <v>0</v>
      </c>
      <c r="F44" s="664"/>
      <c r="G44" s="246">
        <f t="shared" si="4"/>
        <v>0</v>
      </c>
      <c r="H44" s="276">
        <f t="shared" si="5"/>
        <v>0</v>
      </c>
      <c r="I44" s="621"/>
      <c r="J44" s="168"/>
      <c r="K44" s="168"/>
    </row>
    <row r="45" spans="1:11" s="272" customFormat="1">
      <c r="A45" s="268">
        <v>210</v>
      </c>
      <c r="B45" s="275" t="s">
        <v>35</v>
      </c>
      <c r="C45" s="501">
        <f>'[52]Sch C'!D30</f>
        <v>0</v>
      </c>
      <c r="D45" s="501">
        <f>'[52]Sch C'!F30</f>
        <v>0</v>
      </c>
      <c r="E45" s="246">
        <f t="shared" si="3"/>
        <v>0</v>
      </c>
      <c r="F45" s="664"/>
      <c r="G45" s="246">
        <f t="shared" si="4"/>
        <v>0</v>
      </c>
      <c r="H45" s="276">
        <f t="shared" si="5"/>
        <v>0</v>
      </c>
      <c r="I45" s="621"/>
      <c r="J45" s="168"/>
      <c r="K45" s="168"/>
    </row>
    <row r="46" spans="1:11" s="272" customFormat="1">
      <c r="A46" s="268">
        <v>220</v>
      </c>
      <c r="B46" s="275" t="s">
        <v>190</v>
      </c>
      <c r="C46" s="501">
        <f>'[52]Sch C'!D31</f>
        <v>39372</v>
      </c>
      <c r="D46" s="501">
        <f>'[52]Sch C'!F31</f>
        <v>0</v>
      </c>
      <c r="E46" s="246">
        <f t="shared" si="3"/>
        <v>39372</v>
      </c>
      <c r="F46" s="664"/>
      <c r="G46" s="246">
        <f t="shared" si="4"/>
        <v>39372</v>
      </c>
      <c r="H46" s="276">
        <f t="shared" si="5"/>
        <v>1.0839687173056389E-2</v>
      </c>
      <c r="I46" s="621"/>
      <c r="J46" s="168"/>
      <c r="K46" s="168"/>
    </row>
    <row r="47" spans="1:11" s="272" customFormat="1">
      <c r="A47" s="268">
        <v>230</v>
      </c>
      <c r="B47" s="275" t="s">
        <v>191</v>
      </c>
      <c r="C47" s="501">
        <f>'[52]Sch C'!D32</f>
        <v>64000</v>
      </c>
      <c r="D47" s="501">
        <f>'[52]Sch C'!F32</f>
        <v>-21875</v>
      </c>
      <c r="E47" s="246">
        <f t="shared" si="3"/>
        <v>42125</v>
      </c>
      <c r="F47" s="664"/>
      <c r="G47" s="246">
        <f t="shared" si="4"/>
        <v>42125</v>
      </c>
      <c r="H47" s="276">
        <f t="shared" si="5"/>
        <v>1.1597628318729056E-2</v>
      </c>
      <c r="I47" s="621"/>
      <c r="J47" s="168"/>
      <c r="K47" s="168"/>
    </row>
    <row r="48" spans="1:11" s="272" customFormat="1">
      <c r="A48" s="268">
        <v>240</v>
      </c>
      <c r="B48" s="275" t="s">
        <v>201</v>
      </c>
      <c r="C48" s="501">
        <f>'[52]Sch C'!D33</f>
        <v>0</v>
      </c>
      <c r="D48" s="501">
        <f>'[52]Sch C'!F33</f>
        <v>0</v>
      </c>
      <c r="E48" s="246">
        <f t="shared" si="3"/>
        <v>0</v>
      </c>
      <c r="F48" s="664"/>
      <c r="G48" s="246">
        <f t="shared" si="4"/>
        <v>0</v>
      </c>
      <c r="H48" s="276">
        <f t="shared" si="5"/>
        <v>0</v>
      </c>
      <c r="I48" s="621"/>
      <c r="J48" s="168"/>
      <c r="K48" s="168"/>
    </row>
    <row r="49" spans="1:11" s="272" customFormat="1">
      <c r="A49" s="268">
        <v>250</v>
      </c>
      <c r="B49" s="275" t="s">
        <v>202</v>
      </c>
      <c r="C49" s="501">
        <f>'[52]Sch C'!D34</f>
        <v>0</v>
      </c>
      <c r="D49" s="501">
        <f>'[52]Sch C'!F34</f>
        <v>0</v>
      </c>
      <c r="E49" s="246">
        <f t="shared" si="3"/>
        <v>0</v>
      </c>
      <c r="F49" s="664"/>
      <c r="G49" s="246">
        <f t="shared" si="4"/>
        <v>0</v>
      </c>
      <c r="H49" s="276">
        <f t="shared" si="5"/>
        <v>0</v>
      </c>
      <c r="I49" s="621"/>
      <c r="J49" s="168"/>
      <c r="K49" s="168"/>
    </row>
    <row r="50" spans="1:11" s="272" customFormat="1">
      <c r="A50" s="268">
        <v>270</v>
      </c>
      <c r="B50" s="275" t="s">
        <v>203</v>
      </c>
      <c r="C50" s="501">
        <f>'[52]Sch C'!D35</f>
        <v>206</v>
      </c>
      <c r="D50" s="501">
        <f>'[52]Sch C'!F35</f>
        <v>-206</v>
      </c>
      <c r="E50" s="246">
        <f t="shared" si="3"/>
        <v>0</v>
      </c>
      <c r="F50" s="664"/>
      <c r="G50" s="246">
        <f t="shared" si="4"/>
        <v>0</v>
      </c>
      <c r="H50" s="276">
        <f t="shared" si="5"/>
        <v>0</v>
      </c>
      <c r="I50" s="621"/>
      <c r="J50" s="168"/>
      <c r="K50" s="168"/>
    </row>
    <row r="51" spans="1:11" s="272" customFormat="1">
      <c r="A51" s="268">
        <v>280</v>
      </c>
      <c r="B51" s="275" t="s">
        <v>204</v>
      </c>
      <c r="C51" s="501">
        <f>'[52]Sch C'!D36</f>
        <v>0</v>
      </c>
      <c r="D51" s="501">
        <f>'[52]Sch C'!F36</f>
        <v>0</v>
      </c>
      <c r="E51" s="246">
        <f t="shared" si="3"/>
        <v>0</v>
      </c>
      <c r="F51" s="664"/>
      <c r="G51" s="246">
        <f t="shared" si="4"/>
        <v>0</v>
      </c>
      <c r="H51" s="276">
        <f t="shared" si="5"/>
        <v>0</v>
      </c>
      <c r="I51" s="621"/>
      <c r="J51" s="183">
        <v>0</v>
      </c>
      <c r="K51" s="183">
        <v>0</v>
      </c>
    </row>
    <row r="52" spans="1:11" s="272" customFormat="1">
      <c r="A52" s="268">
        <v>290</v>
      </c>
      <c r="B52" s="275" t="s">
        <v>205</v>
      </c>
      <c r="C52" s="501">
        <f>'[52]Sch C'!D37</f>
        <v>0</v>
      </c>
      <c r="D52" s="501">
        <f>'[52]Sch C'!F37</f>
        <v>0</v>
      </c>
      <c r="E52" s="246">
        <f t="shared" si="3"/>
        <v>0</v>
      </c>
      <c r="F52" s="664"/>
      <c r="G52" s="246">
        <f t="shared" si="4"/>
        <v>0</v>
      </c>
      <c r="H52" s="276">
        <f t="shared" si="5"/>
        <v>0</v>
      </c>
      <c r="I52" s="621"/>
      <c r="J52" s="168"/>
      <c r="K52" s="168"/>
    </row>
    <row r="53" spans="1:11" s="272" customFormat="1">
      <c r="A53" s="268">
        <v>300</v>
      </c>
      <c r="B53" s="275" t="s">
        <v>206</v>
      </c>
      <c r="C53" s="501">
        <f>'[52]Sch C'!D38</f>
        <v>1144</v>
      </c>
      <c r="D53" s="501">
        <f>'[52]Sch C'!F38</f>
        <v>-1144</v>
      </c>
      <c r="E53" s="246">
        <f t="shared" si="3"/>
        <v>0</v>
      </c>
      <c r="F53" s="664"/>
      <c r="G53" s="246">
        <f t="shared" si="4"/>
        <v>0</v>
      </c>
      <c r="H53" s="276">
        <f t="shared" si="5"/>
        <v>0</v>
      </c>
      <c r="I53" s="621"/>
      <c r="J53" s="168"/>
      <c r="K53" s="168"/>
    </row>
    <row r="54" spans="1:11" s="272" customFormat="1">
      <c r="A54" s="268">
        <v>310</v>
      </c>
      <c r="B54" s="275" t="s">
        <v>207</v>
      </c>
      <c r="C54" s="501">
        <f>'[52]Sch C'!D39</f>
        <v>3650</v>
      </c>
      <c r="D54" s="501">
        <f>'[52]Sch C'!F39</f>
        <v>0</v>
      </c>
      <c r="E54" s="246">
        <f t="shared" si="3"/>
        <v>3650</v>
      </c>
      <c r="F54" s="664"/>
      <c r="G54" s="246">
        <f t="shared" si="4"/>
        <v>3650</v>
      </c>
      <c r="H54" s="276">
        <f t="shared" si="5"/>
        <v>1.0048983587741497E-3</v>
      </c>
      <c r="I54" s="621"/>
      <c r="J54" s="168"/>
      <c r="K54" s="168"/>
    </row>
    <row r="55" spans="1:11" s="272" customFormat="1">
      <c r="A55" s="268">
        <v>320</v>
      </c>
      <c r="B55" s="275" t="s">
        <v>208</v>
      </c>
      <c r="C55" s="501">
        <f>'[52]Sch C'!D40</f>
        <v>4179</v>
      </c>
      <c r="D55" s="501">
        <f>'[52]Sch C'!F40</f>
        <v>0</v>
      </c>
      <c r="E55" s="246">
        <f t="shared" si="3"/>
        <v>4179</v>
      </c>
      <c r="F55" s="664"/>
      <c r="G55" s="246">
        <f t="shared" si="4"/>
        <v>4179</v>
      </c>
      <c r="H55" s="276">
        <f t="shared" si="5"/>
        <v>1.1505397921416909E-3</v>
      </c>
      <c r="I55" s="621"/>
      <c r="J55" s="168"/>
      <c r="K55" s="168"/>
    </row>
    <row r="56" spans="1:11" s="272" customFormat="1">
      <c r="A56" s="268">
        <v>330</v>
      </c>
      <c r="B56" s="275" t="s">
        <v>48</v>
      </c>
      <c r="C56" s="501">
        <f>'[52]Sch C'!D41</f>
        <v>10738</v>
      </c>
      <c r="D56" s="501">
        <f>'[52]Sch C'!F41</f>
        <v>0</v>
      </c>
      <c r="E56" s="246">
        <f t="shared" si="3"/>
        <v>10738</v>
      </c>
      <c r="F56" s="664">
        <f>-348-495</f>
        <v>-843</v>
      </c>
      <c r="G56" s="246">
        <f t="shared" si="4"/>
        <v>9895</v>
      </c>
      <c r="H56" s="276">
        <f t="shared" si="5"/>
        <v>2.7242381534438934E-3</v>
      </c>
      <c r="I56" s="621"/>
      <c r="J56" s="168"/>
      <c r="K56" s="168"/>
    </row>
    <row r="57" spans="1:11" s="272" customFormat="1">
      <c r="A57" s="268">
        <v>340</v>
      </c>
      <c r="B57" s="275" t="s">
        <v>209</v>
      </c>
      <c r="C57" s="501">
        <f>'[52]Sch C'!D42</f>
        <v>4272</v>
      </c>
      <c r="D57" s="501">
        <f>'[52]Sch C'!F42</f>
        <v>0</v>
      </c>
      <c r="E57" s="246">
        <f t="shared" si="3"/>
        <v>4272</v>
      </c>
      <c r="F57" s="664"/>
      <c r="G57" s="246">
        <f t="shared" si="4"/>
        <v>4272</v>
      </c>
      <c r="H57" s="276">
        <f t="shared" si="5"/>
        <v>1.1761440516940185E-3</v>
      </c>
      <c r="I57" s="621"/>
      <c r="J57" s="168"/>
      <c r="K57" s="168"/>
    </row>
    <row r="58" spans="1:11" s="272" customFormat="1">
      <c r="A58" s="268">
        <v>350</v>
      </c>
      <c r="B58" s="275" t="s">
        <v>210</v>
      </c>
      <c r="C58" s="501">
        <f>'[52]Sch C'!D43</f>
        <v>0</v>
      </c>
      <c r="D58" s="501">
        <f>'[52]Sch C'!F43</f>
        <v>0</v>
      </c>
      <c r="E58" s="246">
        <f t="shared" si="3"/>
        <v>0</v>
      </c>
      <c r="F58" s="246"/>
      <c r="G58" s="246">
        <f t="shared" si="4"/>
        <v>0</v>
      </c>
      <c r="H58" s="276">
        <f t="shared" si="5"/>
        <v>0</v>
      </c>
      <c r="I58" s="621"/>
      <c r="J58" s="168"/>
      <c r="K58" s="168"/>
    </row>
    <row r="59" spans="1:11" s="272" customFormat="1">
      <c r="A59" s="268">
        <v>360</v>
      </c>
      <c r="B59" s="275" t="s">
        <v>211</v>
      </c>
      <c r="C59" s="501">
        <f>'[52]Sch C'!D44</f>
        <v>0</v>
      </c>
      <c r="D59" s="501">
        <f>'[52]Sch C'!F44</f>
        <v>0</v>
      </c>
      <c r="E59" s="246">
        <f t="shared" si="3"/>
        <v>0</v>
      </c>
      <c r="F59" s="246"/>
      <c r="G59" s="246">
        <f t="shared" si="4"/>
        <v>0</v>
      </c>
      <c r="H59" s="276">
        <f t="shared" si="5"/>
        <v>0</v>
      </c>
      <c r="I59" s="621"/>
      <c r="J59" s="168"/>
      <c r="K59" s="168"/>
    </row>
    <row r="60" spans="1:11" s="272" customFormat="1">
      <c r="A60" s="268">
        <v>490</v>
      </c>
      <c r="B60" s="275" t="s">
        <v>36</v>
      </c>
      <c r="C60" s="501">
        <f>'[52]Sch C'!D45</f>
        <v>1664</v>
      </c>
      <c r="D60" s="501">
        <f>'[52]Sch C'!F45</f>
        <v>-10437</v>
      </c>
      <c r="E60" s="246">
        <f t="shared" si="3"/>
        <v>-8773</v>
      </c>
      <c r="F60" s="246"/>
      <c r="G60" s="246">
        <f t="shared" si="4"/>
        <v>-8773</v>
      </c>
      <c r="H60" s="276">
        <f t="shared" si="5"/>
        <v>-2.4153351511029082E-3</v>
      </c>
      <c r="I60" s="621"/>
      <c r="J60" s="168"/>
      <c r="K60" s="168"/>
    </row>
    <row r="61" spans="1:11" s="272" customFormat="1">
      <c r="A61" s="268"/>
      <c r="B61" s="275" t="s">
        <v>177</v>
      </c>
      <c r="C61" s="501">
        <f>SUM(C25:C60)</f>
        <v>1422768</v>
      </c>
      <c r="D61" s="501">
        <f>SUM(D25:D60)</f>
        <v>-297043</v>
      </c>
      <c r="E61" s="246">
        <f t="shared" ref="E61:F61" si="6">SUM(E25:E60)</f>
        <v>1125725</v>
      </c>
      <c r="F61" s="246">
        <f t="shared" si="6"/>
        <v>-60496.655357559997</v>
      </c>
      <c r="G61" s="246">
        <f>SUM(G25:G60)</f>
        <v>1065228.3446424399</v>
      </c>
      <c r="H61" s="287">
        <f t="shared" si="5"/>
        <v>0.29327293568517593</v>
      </c>
      <c r="I61" s="626"/>
      <c r="J61" s="168"/>
      <c r="K61" s="168"/>
    </row>
    <row r="62" spans="1:11" s="272" customFormat="1">
      <c r="A62" s="268"/>
      <c r="C62" s="165"/>
      <c r="D62" s="165"/>
      <c r="E62" s="270"/>
      <c r="F62" s="270"/>
      <c r="G62" s="270"/>
      <c r="H62" s="187"/>
      <c r="I62" s="481"/>
      <c r="J62" s="168"/>
      <c r="K62" s="168"/>
    </row>
    <row r="63" spans="1:11" s="272" customFormat="1">
      <c r="A63" s="274" t="s">
        <v>162</v>
      </c>
      <c r="B63" s="275" t="s">
        <v>178</v>
      </c>
      <c r="C63" s="165"/>
      <c r="D63" s="165"/>
      <c r="E63" s="270"/>
      <c r="F63" s="270"/>
      <c r="G63" s="270"/>
      <c r="H63" s="187"/>
      <c r="I63" s="481"/>
      <c r="J63" s="168"/>
      <c r="K63" s="168"/>
    </row>
    <row r="64" spans="1:11" s="272" customFormat="1">
      <c r="A64" s="288">
        <v>230</v>
      </c>
      <c r="B64" s="289" t="s">
        <v>253</v>
      </c>
      <c r="C64" s="501">
        <f>'[52]Sch C'!D57</f>
        <v>333329</v>
      </c>
      <c r="D64" s="501">
        <f>'[52]Sch C'!F57</f>
        <v>0</v>
      </c>
      <c r="E64" s="246">
        <f t="shared" ref="E64:E78" si="7">C64+D64</f>
        <v>333329</v>
      </c>
      <c r="F64" s="664">
        <v>-333329</v>
      </c>
      <c r="G64" s="246">
        <f t="shared" ref="G64:G78" si="8">E64+F64</f>
        <v>0</v>
      </c>
      <c r="H64" s="276">
        <f t="shared" ref="H64:H79" si="9">IF($G$208=0,0,G64/$G$208)</f>
        <v>0</v>
      </c>
      <c r="I64" s="621"/>
      <c r="J64" s="190"/>
      <c r="K64" s="168"/>
    </row>
    <row r="65" spans="1:11" s="272" customFormat="1">
      <c r="A65" s="290">
        <v>240</v>
      </c>
      <c r="B65" s="289" t="s">
        <v>254</v>
      </c>
      <c r="C65" s="501">
        <f>'[52]Sch C'!D58</f>
        <v>3275</v>
      </c>
      <c r="D65" s="501">
        <f>'[52]Sch C'!F58</f>
        <v>0</v>
      </c>
      <c r="E65" s="246">
        <f t="shared" si="7"/>
        <v>3275</v>
      </c>
      <c r="F65" s="664">
        <v>114519</v>
      </c>
      <c r="G65" s="246">
        <f t="shared" si="8"/>
        <v>117794</v>
      </c>
      <c r="H65" s="276">
        <f t="shared" si="9"/>
        <v>3.2430410211901968E-2</v>
      </c>
      <c r="I65" s="621"/>
      <c r="J65" s="190"/>
      <c r="K65" s="168"/>
    </row>
    <row r="66" spans="1:11" s="272" customFormat="1">
      <c r="A66" s="291">
        <v>250</v>
      </c>
      <c r="B66" s="289" t="s">
        <v>307</v>
      </c>
      <c r="C66" s="501">
        <f>'[52]Sch C'!D59</f>
        <v>0</v>
      </c>
      <c r="D66" s="501">
        <f>'[52]Sch C'!F59</f>
        <v>0</v>
      </c>
      <c r="E66" s="246">
        <f t="shared" si="7"/>
        <v>0</v>
      </c>
      <c r="F66" s="664">
        <v>68064</v>
      </c>
      <c r="G66" s="246">
        <f t="shared" si="8"/>
        <v>68064</v>
      </c>
      <c r="H66" s="276">
        <f t="shared" si="9"/>
        <v>1.8739014216877733E-2</v>
      </c>
      <c r="I66" s="621"/>
      <c r="J66" s="190"/>
      <c r="K66" s="168"/>
    </row>
    <row r="67" spans="1:11" s="272" customFormat="1">
      <c r="A67" s="291">
        <v>260</v>
      </c>
      <c r="B67" s="292" t="s">
        <v>308</v>
      </c>
      <c r="C67" s="501">
        <f>'[52]Sch C'!D60</f>
        <v>12948</v>
      </c>
      <c r="D67" s="501">
        <f>'[52]Sch C'!F60</f>
        <v>0</v>
      </c>
      <c r="E67" s="246">
        <f t="shared" si="7"/>
        <v>12948</v>
      </c>
      <c r="F67" s="664"/>
      <c r="G67" s="246">
        <f t="shared" si="8"/>
        <v>12948</v>
      </c>
      <c r="H67" s="276">
        <f t="shared" si="9"/>
        <v>3.5647736847692303E-3</v>
      </c>
      <c r="I67" s="621"/>
      <c r="J67" s="193"/>
      <c r="K67" s="168"/>
    </row>
    <row r="68" spans="1:11" s="272" customFormat="1">
      <c r="A68" s="291">
        <v>270</v>
      </c>
      <c r="B68" s="292" t="s">
        <v>309</v>
      </c>
      <c r="C68" s="501">
        <f>'[52]Sch C'!D61</f>
        <v>6022</v>
      </c>
      <c r="D68" s="501">
        <f>'[52]Sch C'!F61</f>
        <v>0</v>
      </c>
      <c r="E68" s="246">
        <f t="shared" si="7"/>
        <v>6022</v>
      </c>
      <c r="F68" s="664"/>
      <c r="G68" s="246">
        <f t="shared" si="8"/>
        <v>6022</v>
      </c>
      <c r="H68" s="276">
        <f t="shared" si="9"/>
        <v>1.6579446346679258E-3</v>
      </c>
      <c r="I68" s="621"/>
      <c r="J68" s="193"/>
      <c r="K68" s="168"/>
    </row>
    <row r="69" spans="1:11" s="272" customFormat="1">
      <c r="A69" s="291">
        <v>280</v>
      </c>
      <c r="B69" s="293" t="s">
        <v>258</v>
      </c>
      <c r="C69" s="501">
        <f>'[52]Sch C'!D62</f>
        <v>8018</v>
      </c>
      <c r="D69" s="501">
        <f>'[52]Sch C'!F62</f>
        <v>0</v>
      </c>
      <c r="E69" s="246">
        <f t="shared" si="7"/>
        <v>8018</v>
      </c>
      <c r="F69" s="664"/>
      <c r="G69" s="246">
        <f t="shared" si="8"/>
        <v>8018</v>
      </c>
      <c r="H69" s="276">
        <f t="shared" si="9"/>
        <v>2.2074726138770224E-3</v>
      </c>
      <c r="I69" s="621"/>
      <c r="J69" s="195"/>
      <c r="K69" s="168"/>
    </row>
    <row r="70" spans="1:11" s="272" customFormat="1">
      <c r="A70" s="291">
        <v>290</v>
      </c>
      <c r="B70" s="293" t="s">
        <v>259</v>
      </c>
      <c r="C70" s="501">
        <f>'[52]Sch C'!D63</f>
        <v>0</v>
      </c>
      <c r="D70" s="501">
        <f>'[52]Sch C'!F63</f>
        <v>0</v>
      </c>
      <c r="E70" s="246">
        <f t="shared" si="7"/>
        <v>0</v>
      </c>
      <c r="F70" s="246"/>
      <c r="G70" s="246">
        <f t="shared" si="8"/>
        <v>0</v>
      </c>
      <c r="H70" s="276">
        <f t="shared" si="9"/>
        <v>0</v>
      </c>
      <c r="I70" s="621"/>
      <c r="J70" s="195"/>
      <c r="K70" s="168"/>
    </row>
    <row r="71" spans="1:11" s="272" customFormat="1">
      <c r="A71" s="291">
        <v>300</v>
      </c>
      <c r="B71" s="293" t="s">
        <v>260</v>
      </c>
      <c r="C71" s="501">
        <f>'[52]Sch C'!D64</f>
        <v>0</v>
      </c>
      <c r="D71" s="501">
        <f>'[52]Sch C'!F64</f>
        <v>0</v>
      </c>
      <c r="E71" s="246">
        <f t="shared" si="7"/>
        <v>0</v>
      </c>
      <c r="F71" s="246"/>
      <c r="G71" s="246">
        <f t="shared" si="8"/>
        <v>0</v>
      </c>
      <c r="H71" s="276">
        <f t="shared" si="9"/>
        <v>0</v>
      </c>
      <c r="I71" s="621"/>
      <c r="J71" s="195"/>
      <c r="K71" s="168"/>
    </row>
    <row r="72" spans="1:11" s="272" customFormat="1">
      <c r="A72" s="291">
        <v>310</v>
      </c>
      <c r="B72" s="293" t="s">
        <v>310</v>
      </c>
      <c r="C72" s="501">
        <f>'[52]Sch C'!D65</f>
        <v>8125</v>
      </c>
      <c r="D72" s="501">
        <f>'[52]Sch C'!F65</f>
        <v>0</v>
      </c>
      <c r="E72" s="246">
        <f t="shared" si="7"/>
        <v>8125</v>
      </c>
      <c r="F72" s="246"/>
      <c r="G72" s="246">
        <f t="shared" si="8"/>
        <v>8125</v>
      </c>
      <c r="H72" s="276">
        <f t="shared" si="9"/>
        <v>2.2369312780931416E-3</v>
      </c>
      <c r="I72" s="621"/>
      <c r="J72" s="195"/>
      <c r="K72" s="168"/>
    </row>
    <row r="73" spans="1:11" s="272" customFormat="1">
      <c r="A73" s="291">
        <v>320</v>
      </c>
      <c r="B73" s="293" t="s">
        <v>262</v>
      </c>
      <c r="C73" s="501">
        <f>'[52]Sch C'!D66</f>
        <v>7564</v>
      </c>
      <c r="D73" s="501">
        <f>'[52]Sch C'!F66</f>
        <v>0</v>
      </c>
      <c r="E73" s="246">
        <f t="shared" si="7"/>
        <v>7564</v>
      </c>
      <c r="F73" s="246"/>
      <c r="G73" s="246">
        <f t="shared" si="8"/>
        <v>7564</v>
      </c>
      <c r="H73" s="276">
        <f t="shared" si="9"/>
        <v>2.082479776922649E-3</v>
      </c>
      <c r="I73" s="621"/>
      <c r="J73" s="195"/>
      <c r="K73" s="168"/>
    </row>
    <row r="74" spans="1:11" s="272" customFormat="1">
      <c r="A74" s="291">
        <v>330</v>
      </c>
      <c r="B74" s="293" t="s">
        <v>263</v>
      </c>
      <c r="C74" s="501">
        <f>'[52]Sch C'!D67</f>
        <v>41377</v>
      </c>
      <c r="D74" s="501">
        <f>'[52]Sch C'!F67</f>
        <v>0</v>
      </c>
      <c r="E74" s="246">
        <f t="shared" si="7"/>
        <v>41377</v>
      </c>
      <c r="F74" s="246"/>
      <c r="G74" s="246">
        <f t="shared" si="8"/>
        <v>41377</v>
      </c>
      <c r="H74" s="276">
        <f t="shared" si="9"/>
        <v>1.1391692983835066E-2</v>
      </c>
      <c r="I74" s="621"/>
      <c r="J74" s="195"/>
      <c r="K74" s="168"/>
    </row>
    <row r="75" spans="1:11" s="272" customFormat="1">
      <c r="A75" s="291">
        <v>340</v>
      </c>
      <c r="B75" s="293" t="s">
        <v>264</v>
      </c>
      <c r="C75" s="501">
        <f>'[52]Sch C'!D68</f>
        <v>0</v>
      </c>
      <c r="D75" s="501">
        <f>'[52]Sch C'!F68</f>
        <v>0</v>
      </c>
      <c r="E75" s="246">
        <f t="shared" si="7"/>
        <v>0</v>
      </c>
      <c r="F75" s="246"/>
      <c r="G75" s="246">
        <f t="shared" si="8"/>
        <v>0</v>
      </c>
      <c r="H75" s="276">
        <f t="shared" si="9"/>
        <v>0</v>
      </c>
      <c r="I75" s="621"/>
      <c r="J75" s="195"/>
      <c r="K75" s="168"/>
    </row>
    <row r="76" spans="1:11" s="272" customFormat="1">
      <c r="A76" s="272">
        <v>350</v>
      </c>
      <c r="B76" s="195" t="s">
        <v>311</v>
      </c>
      <c r="C76" s="501">
        <f>'[52]Sch C'!D69</f>
        <v>4164</v>
      </c>
      <c r="D76" s="501">
        <f>'[52]Sch C'!F69</f>
        <v>0</v>
      </c>
      <c r="E76" s="246">
        <f t="shared" si="7"/>
        <v>4164</v>
      </c>
      <c r="F76" s="246"/>
      <c r="G76" s="246">
        <f t="shared" si="8"/>
        <v>4164</v>
      </c>
      <c r="H76" s="276">
        <f t="shared" si="9"/>
        <v>1.1464100728590574E-3</v>
      </c>
      <c r="I76" s="621"/>
      <c r="J76" s="195"/>
      <c r="K76" s="168"/>
    </row>
    <row r="77" spans="1:11" s="272" customFormat="1">
      <c r="A77" s="291">
        <v>360</v>
      </c>
      <c r="B77" s="293" t="s">
        <v>192</v>
      </c>
      <c r="C77" s="501">
        <f>'[52]Sch C'!D70</f>
        <v>0</v>
      </c>
      <c r="D77" s="501">
        <f>'[52]Sch C'!F70</f>
        <v>0</v>
      </c>
      <c r="E77" s="246">
        <f t="shared" si="7"/>
        <v>0</v>
      </c>
      <c r="F77" s="246"/>
      <c r="G77" s="246">
        <f t="shared" si="8"/>
        <v>0</v>
      </c>
      <c r="H77" s="276">
        <f t="shared" si="9"/>
        <v>0</v>
      </c>
      <c r="I77" s="621"/>
      <c r="J77" s="195"/>
      <c r="K77" s="168"/>
    </row>
    <row r="78" spans="1:11" s="272" customFormat="1">
      <c r="A78" s="291">
        <v>490</v>
      </c>
      <c r="B78" s="293" t="s">
        <v>312</v>
      </c>
      <c r="C78" s="501">
        <f>'[52]Sch C'!D71</f>
        <v>0</v>
      </c>
      <c r="D78" s="501">
        <f>'[52]Sch C'!F71</f>
        <v>0</v>
      </c>
      <c r="E78" s="246">
        <f t="shared" si="7"/>
        <v>0</v>
      </c>
      <c r="F78" s="246"/>
      <c r="G78" s="246">
        <f t="shared" si="8"/>
        <v>0</v>
      </c>
      <c r="H78" s="276">
        <f t="shared" si="9"/>
        <v>0</v>
      </c>
      <c r="I78" s="621"/>
      <c r="J78" s="195"/>
      <c r="K78" s="168"/>
    </row>
    <row r="79" spans="1:11" s="272" customFormat="1">
      <c r="A79" s="268"/>
      <c r="B79" s="275" t="s">
        <v>150</v>
      </c>
      <c r="C79" s="501">
        <f>SUM(C64:C78)</f>
        <v>424822</v>
      </c>
      <c r="D79" s="501">
        <f>SUM(D64:D78)</f>
        <v>0</v>
      </c>
      <c r="E79" s="246">
        <f t="shared" ref="E79:F79" si="10">SUM(E64:E78)</f>
        <v>424822</v>
      </c>
      <c r="F79" s="246">
        <f t="shared" si="10"/>
        <v>-150746</v>
      </c>
      <c r="G79" s="246">
        <f>SUM(G64:G78)</f>
        <v>274076</v>
      </c>
      <c r="H79" s="276">
        <f t="shared" si="9"/>
        <v>7.54571294738038E-2</v>
      </c>
      <c r="I79" s="621"/>
      <c r="J79" s="195"/>
      <c r="K79" s="168"/>
    </row>
    <row r="80" spans="1:11" s="272" customFormat="1">
      <c r="A80" s="268"/>
      <c r="B80" s="275"/>
      <c r="C80" s="196"/>
      <c r="D80" s="196"/>
      <c r="E80" s="294"/>
      <c r="F80" s="294"/>
      <c r="G80" s="294"/>
      <c r="H80" s="295"/>
      <c r="I80" s="621"/>
      <c r="J80" s="168"/>
      <c r="K80" s="168"/>
    </row>
    <row r="81" spans="1:11" s="272" customFormat="1">
      <c r="A81" s="274" t="s">
        <v>163</v>
      </c>
      <c r="B81" s="275" t="s">
        <v>43</v>
      </c>
      <c r="C81" s="165"/>
      <c r="D81" s="165"/>
      <c r="E81" s="270"/>
      <c r="F81" s="270"/>
      <c r="G81" s="270"/>
      <c r="H81" s="296"/>
      <c r="I81" s="623"/>
      <c r="J81" s="168"/>
      <c r="K81" s="168"/>
    </row>
    <row r="82" spans="1:11" s="272" customFormat="1">
      <c r="A82" s="274" t="s">
        <v>85</v>
      </c>
      <c r="B82" s="297" t="s">
        <v>44</v>
      </c>
      <c r="C82" s="501">
        <f>'[52]Sch C'!D75</f>
        <v>28374</v>
      </c>
      <c r="D82" s="501">
        <f>'[52]Sch C'!F75</f>
        <v>1402</v>
      </c>
      <c r="E82" s="246">
        <f t="shared" ref="E82:E92" si="11">C82+D82</f>
        <v>29776</v>
      </c>
      <c r="F82" s="246"/>
      <c r="G82" s="246">
        <f t="shared" ref="G82:G92" si="12">E82+F82</f>
        <v>29776</v>
      </c>
      <c r="H82" s="276">
        <f t="shared" ref="H82:H93" si="13">IF($G$208=0,0,G82/$G$208)</f>
        <v>8.1977680906463232E-3</v>
      </c>
      <c r="I82" s="621"/>
      <c r="J82" s="183">
        <v>2105</v>
      </c>
      <c r="K82" s="183">
        <v>2209</v>
      </c>
    </row>
    <row r="83" spans="1:11" s="272" customFormat="1">
      <c r="A83" s="274" t="s">
        <v>86</v>
      </c>
      <c r="B83" s="298" t="s">
        <v>45</v>
      </c>
      <c r="C83" s="501">
        <f>'[52]Sch C'!D76</f>
        <v>0</v>
      </c>
      <c r="D83" s="501">
        <f>'[52]Sch C'!F76</f>
        <v>3904</v>
      </c>
      <c r="E83" s="246">
        <f t="shared" si="11"/>
        <v>3904</v>
      </c>
      <c r="F83" s="246"/>
      <c r="G83" s="246">
        <f t="shared" si="12"/>
        <v>3904</v>
      </c>
      <c r="H83" s="276">
        <f t="shared" si="13"/>
        <v>1.0748282719600767E-3</v>
      </c>
      <c r="I83" s="621"/>
      <c r="J83" s="168"/>
      <c r="K83" s="168"/>
    </row>
    <row r="84" spans="1:11" s="272" customFormat="1">
      <c r="A84" s="274" t="s">
        <v>93</v>
      </c>
      <c r="B84" s="298" t="s">
        <v>47</v>
      </c>
      <c r="C84" s="501">
        <f>'[52]Sch C'!D77</f>
        <v>10266</v>
      </c>
      <c r="D84" s="501">
        <f>'[52]Sch C'!F77</f>
        <v>0</v>
      </c>
      <c r="E84" s="246">
        <f t="shared" si="11"/>
        <v>10266</v>
      </c>
      <c r="F84" s="246"/>
      <c r="G84" s="246">
        <f t="shared" si="12"/>
        <v>10266</v>
      </c>
      <c r="H84" s="276">
        <f t="shared" si="13"/>
        <v>2.8263798770343618E-3</v>
      </c>
      <c r="I84" s="621"/>
      <c r="J84" s="168"/>
      <c r="K84" s="168"/>
    </row>
    <row r="85" spans="1:11" s="272" customFormat="1">
      <c r="A85" s="274">
        <v>230</v>
      </c>
      <c r="B85" s="298" t="s">
        <v>46</v>
      </c>
      <c r="C85" s="501">
        <f>'[52]Sch C'!D78</f>
        <v>0</v>
      </c>
      <c r="D85" s="501">
        <f>'[52]Sch C'!F78</f>
        <v>0</v>
      </c>
      <c r="E85" s="246">
        <f t="shared" si="11"/>
        <v>0</v>
      </c>
      <c r="F85" s="246"/>
      <c r="G85" s="246">
        <f t="shared" si="12"/>
        <v>0</v>
      </c>
      <c r="H85" s="276">
        <f t="shared" si="13"/>
        <v>0</v>
      </c>
      <c r="I85" s="621"/>
      <c r="J85" s="168"/>
      <c r="K85" s="168"/>
    </row>
    <row r="86" spans="1:11" s="272" customFormat="1">
      <c r="A86" s="274">
        <v>240</v>
      </c>
      <c r="B86" s="299" t="s">
        <v>267</v>
      </c>
      <c r="C86" s="501">
        <f>'[52]Sch C'!D79</f>
        <v>2060</v>
      </c>
      <c r="D86" s="501">
        <f>'[52]Sch C'!F79</f>
        <v>0</v>
      </c>
      <c r="E86" s="246">
        <f t="shared" si="11"/>
        <v>2060</v>
      </c>
      <c r="F86" s="246"/>
      <c r="G86" s="246">
        <f>E86+F86</f>
        <v>2060</v>
      </c>
      <c r="H86" s="276">
        <f t="shared" si="13"/>
        <v>5.6714811481499959E-4</v>
      </c>
      <c r="I86" s="621"/>
      <c r="J86" s="168"/>
      <c r="K86" s="168"/>
    </row>
    <row r="87" spans="1:11" s="272" customFormat="1">
      <c r="A87" s="274">
        <v>310</v>
      </c>
      <c r="B87" s="298" t="s">
        <v>54</v>
      </c>
      <c r="C87" s="501">
        <f>'[52]Sch C'!D80</f>
        <v>5787</v>
      </c>
      <c r="D87" s="501">
        <f>'[52]Sch C'!F80</f>
        <v>0</v>
      </c>
      <c r="E87" s="246">
        <f t="shared" si="11"/>
        <v>5787</v>
      </c>
      <c r="F87" s="664"/>
      <c r="G87" s="246">
        <f t="shared" si="12"/>
        <v>5787</v>
      </c>
      <c r="H87" s="276">
        <f t="shared" si="13"/>
        <v>1.5932456992400013E-3</v>
      </c>
      <c r="I87" s="621"/>
      <c r="J87" s="168"/>
      <c r="K87" s="168"/>
    </row>
    <row r="88" spans="1:11" s="272" customFormat="1">
      <c r="A88" s="274">
        <v>320</v>
      </c>
      <c r="B88" s="300" t="s">
        <v>313</v>
      </c>
      <c r="C88" s="501">
        <f>'[52]Sch C'!D81</f>
        <v>3171</v>
      </c>
      <c r="D88" s="501">
        <f>'[52]Sch C'!F81</f>
        <v>0</v>
      </c>
      <c r="E88" s="246">
        <f t="shared" si="11"/>
        <v>3171</v>
      </c>
      <c r="F88" s="664"/>
      <c r="G88" s="246">
        <f t="shared" si="12"/>
        <v>3171</v>
      </c>
      <c r="H88" s="276">
        <f t="shared" si="13"/>
        <v>8.7302265634872016E-4</v>
      </c>
      <c r="I88" s="621"/>
      <c r="J88" s="168"/>
      <c r="K88" s="168"/>
    </row>
    <row r="89" spans="1:11" s="272" customFormat="1">
      <c r="A89" s="274">
        <v>330</v>
      </c>
      <c r="B89" s="300" t="s">
        <v>314</v>
      </c>
      <c r="C89" s="501">
        <f>'[52]Sch C'!D82</f>
        <v>1350</v>
      </c>
      <c r="D89" s="501">
        <f>'[52]Sch C'!F82</f>
        <v>0</v>
      </c>
      <c r="E89" s="246">
        <f t="shared" si="11"/>
        <v>1350</v>
      </c>
      <c r="F89" s="664">
        <f>562</f>
        <v>562</v>
      </c>
      <c r="G89" s="246">
        <f t="shared" si="12"/>
        <v>1912</v>
      </c>
      <c r="H89" s="276">
        <f t="shared" si="13"/>
        <v>5.2640155122634909E-4</v>
      </c>
      <c r="I89" s="621"/>
      <c r="J89" s="168"/>
      <c r="K89" s="168"/>
    </row>
    <row r="90" spans="1:11" s="272" customFormat="1">
      <c r="A90" s="268">
        <v>340</v>
      </c>
      <c r="B90" s="300" t="s">
        <v>349</v>
      </c>
      <c r="C90" s="501">
        <f>'[52]Sch C'!D83</f>
        <v>0</v>
      </c>
      <c r="D90" s="501">
        <f>'[52]Sch C'!F83</f>
        <v>0</v>
      </c>
      <c r="E90" s="246">
        <f t="shared" si="11"/>
        <v>0</v>
      </c>
      <c r="F90" s="664"/>
      <c r="G90" s="246">
        <f t="shared" si="12"/>
        <v>0</v>
      </c>
      <c r="H90" s="276">
        <f t="shared" si="13"/>
        <v>0</v>
      </c>
      <c r="I90" s="621"/>
      <c r="J90" s="168"/>
      <c r="K90" s="168"/>
    </row>
    <row r="91" spans="1:11" s="272" customFormat="1">
      <c r="A91" s="268">
        <v>350</v>
      </c>
      <c r="B91" s="298" t="s">
        <v>49</v>
      </c>
      <c r="C91" s="501">
        <f>'[52]Sch C'!D84</f>
        <v>76431</v>
      </c>
      <c r="D91" s="501">
        <f>'[52]Sch C'!F84</f>
        <v>0</v>
      </c>
      <c r="E91" s="246">
        <f t="shared" si="11"/>
        <v>76431</v>
      </c>
      <c r="F91" s="664"/>
      <c r="G91" s="246">
        <f t="shared" si="12"/>
        <v>76431</v>
      </c>
      <c r="H91" s="276">
        <f t="shared" si="13"/>
        <v>2.1042571632730694E-2</v>
      </c>
      <c r="I91" s="621"/>
      <c r="J91" s="168"/>
      <c r="K91" s="168"/>
    </row>
    <row r="92" spans="1:11" s="272" customFormat="1">
      <c r="A92" s="268">
        <v>490</v>
      </c>
      <c r="B92" s="297" t="s">
        <v>312</v>
      </c>
      <c r="C92" s="501">
        <f>'[52]Sch C'!D85</f>
        <v>0</v>
      </c>
      <c r="D92" s="501">
        <f>'[52]Sch C'!F85</f>
        <v>0</v>
      </c>
      <c r="E92" s="246">
        <f t="shared" si="11"/>
        <v>0</v>
      </c>
      <c r="F92" s="246"/>
      <c r="G92" s="246">
        <f t="shared" si="12"/>
        <v>0</v>
      </c>
      <c r="H92" s="276">
        <f t="shared" si="13"/>
        <v>0</v>
      </c>
      <c r="I92" s="621"/>
      <c r="J92" s="168"/>
      <c r="K92" s="168"/>
    </row>
    <row r="93" spans="1:11" s="272" customFormat="1">
      <c r="A93" s="268"/>
      <c r="B93" s="275" t="s">
        <v>50</v>
      </c>
      <c r="C93" s="501">
        <f>SUM(C82:C92)</f>
        <v>127439</v>
      </c>
      <c r="D93" s="501">
        <f>SUM(D82:D92)</f>
        <v>5306</v>
      </c>
      <c r="E93" s="246">
        <f t="shared" ref="E93:F93" si="14">SUM(E82:E92)</f>
        <v>132745</v>
      </c>
      <c r="F93" s="246">
        <f t="shared" si="14"/>
        <v>562</v>
      </c>
      <c r="G93" s="246">
        <f>SUM(G82:G92)</f>
        <v>133307</v>
      </c>
      <c r="H93" s="276">
        <f t="shared" si="13"/>
        <v>3.6701365894001525E-2</v>
      </c>
      <c r="I93" s="621"/>
      <c r="J93" s="168"/>
      <c r="K93" s="168"/>
    </row>
    <row r="94" spans="1:11" s="272" customFormat="1">
      <c r="A94" s="268"/>
      <c r="C94" s="165"/>
      <c r="D94" s="165"/>
      <c r="E94" s="270"/>
      <c r="F94" s="270"/>
      <c r="G94" s="270"/>
      <c r="H94" s="296"/>
      <c r="I94" s="623"/>
      <c r="J94" s="168"/>
      <c r="K94" s="168"/>
    </row>
    <row r="95" spans="1:11" s="272" customFormat="1">
      <c r="A95" s="274" t="s">
        <v>164</v>
      </c>
      <c r="B95" s="275" t="s">
        <v>51</v>
      </c>
      <c r="C95" s="165"/>
      <c r="D95" s="165"/>
      <c r="E95" s="270"/>
      <c r="F95" s="270"/>
      <c r="G95" s="270"/>
      <c r="H95" s="296"/>
      <c r="I95" s="623"/>
      <c r="J95" s="168"/>
      <c r="K95" s="168"/>
    </row>
    <row r="96" spans="1:11" s="272" customFormat="1">
      <c r="A96" s="274" t="s">
        <v>85</v>
      </c>
      <c r="B96" s="275" t="s">
        <v>44</v>
      </c>
      <c r="C96" s="501">
        <f>'[52]Sch C'!D89</f>
        <v>103193</v>
      </c>
      <c r="D96" s="501">
        <f>'[52]Sch C'!F89</f>
        <v>5098</v>
      </c>
      <c r="E96" s="246">
        <f t="shared" ref="E96:E101" si="15">C96+D96</f>
        <v>108291</v>
      </c>
      <c r="F96" s="246"/>
      <c r="G96" s="246">
        <f t="shared" ref="G96:G101" si="16">E96+F96</f>
        <v>108291</v>
      </c>
      <c r="H96" s="276">
        <f t="shared" ref="H96:H102" si="17">IF($G$208=0,0,G96/$G$208)</f>
        <v>2.9814095389044233E-2</v>
      </c>
      <c r="I96" s="621"/>
      <c r="J96" s="183">
        <v>10197</v>
      </c>
      <c r="K96" s="183">
        <v>10701</v>
      </c>
    </row>
    <row r="97" spans="1:11" s="272" customFormat="1">
      <c r="A97" s="274" t="s">
        <v>86</v>
      </c>
      <c r="B97" s="275" t="s">
        <v>45</v>
      </c>
      <c r="C97" s="501">
        <f>'[52]Sch C'!D90</f>
        <v>0</v>
      </c>
      <c r="D97" s="501">
        <f>'[52]Sch C'!F90</f>
        <v>14196</v>
      </c>
      <c r="E97" s="246">
        <f t="shared" si="15"/>
        <v>14196</v>
      </c>
      <c r="F97" s="246"/>
      <c r="G97" s="246">
        <f t="shared" si="16"/>
        <v>14196</v>
      </c>
      <c r="H97" s="276">
        <f t="shared" si="17"/>
        <v>3.908366329084337E-3</v>
      </c>
      <c r="I97" s="621"/>
      <c r="J97" s="168"/>
      <c r="K97" s="168"/>
    </row>
    <row r="98" spans="1:11" s="272" customFormat="1">
      <c r="A98" s="274">
        <v>310</v>
      </c>
      <c r="B98" s="275" t="s">
        <v>54</v>
      </c>
      <c r="C98" s="501">
        <f>'[52]Sch C'!D91</f>
        <v>12685</v>
      </c>
      <c r="D98" s="501">
        <f>'[52]Sch C'!F91</f>
        <v>0</v>
      </c>
      <c r="E98" s="246">
        <f t="shared" si="15"/>
        <v>12685</v>
      </c>
      <c r="F98" s="246"/>
      <c r="G98" s="246">
        <f t="shared" si="16"/>
        <v>12685</v>
      </c>
      <c r="H98" s="276">
        <f t="shared" si="17"/>
        <v>3.492365940013723E-3</v>
      </c>
      <c r="I98" s="621"/>
      <c r="J98" s="168"/>
      <c r="K98" s="168"/>
    </row>
    <row r="99" spans="1:11" s="272" customFormat="1">
      <c r="A99" s="274">
        <v>380</v>
      </c>
      <c r="B99" s="275" t="s">
        <v>52</v>
      </c>
      <c r="C99" s="501">
        <f>'[52]Sch C'!D92</f>
        <v>99315</v>
      </c>
      <c r="D99" s="501">
        <f>'[52]Sch C'!F92</f>
        <v>0</v>
      </c>
      <c r="E99" s="246">
        <f t="shared" si="15"/>
        <v>99315</v>
      </c>
      <c r="F99" s="246"/>
      <c r="G99" s="246">
        <f t="shared" si="16"/>
        <v>99315</v>
      </c>
      <c r="H99" s="276">
        <f t="shared" si="17"/>
        <v>2.7342871370316352E-2</v>
      </c>
      <c r="I99" s="621"/>
      <c r="J99" s="168"/>
      <c r="K99" s="168"/>
    </row>
    <row r="100" spans="1:11" s="272" customFormat="1">
      <c r="A100" s="274">
        <v>390</v>
      </c>
      <c r="B100" s="275" t="s">
        <v>53</v>
      </c>
      <c r="C100" s="501">
        <f>'[52]Sch C'!D93</f>
        <v>14155</v>
      </c>
      <c r="D100" s="501">
        <f>'[52]Sch C'!F93</f>
        <v>0</v>
      </c>
      <c r="E100" s="246">
        <f t="shared" si="15"/>
        <v>14155</v>
      </c>
      <c r="F100" s="246"/>
      <c r="G100" s="246">
        <f t="shared" si="16"/>
        <v>14155</v>
      </c>
      <c r="H100" s="276">
        <f t="shared" si="17"/>
        <v>3.8970784297118052E-3</v>
      </c>
      <c r="I100" s="621"/>
      <c r="J100" s="168"/>
      <c r="K100" s="168"/>
    </row>
    <row r="101" spans="1:11" s="272" customFormat="1">
      <c r="A101" s="274">
        <v>490</v>
      </c>
      <c r="B101" s="23" t="s">
        <v>312</v>
      </c>
      <c r="C101" s="501">
        <f>'[52]Sch C'!D94</f>
        <v>0</v>
      </c>
      <c r="D101" s="501">
        <f>'[52]Sch C'!F94</f>
        <v>0</v>
      </c>
      <c r="E101" s="246">
        <f t="shared" si="15"/>
        <v>0</v>
      </c>
      <c r="F101" s="246"/>
      <c r="G101" s="246">
        <f t="shared" si="16"/>
        <v>0</v>
      </c>
      <c r="H101" s="276">
        <f t="shared" si="17"/>
        <v>0</v>
      </c>
      <c r="I101" s="621"/>
      <c r="J101" s="168"/>
      <c r="K101" s="168"/>
    </row>
    <row r="102" spans="1:11" s="272" customFormat="1">
      <c r="A102" s="274"/>
      <c r="B102" s="275" t="s">
        <v>55</v>
      </c>
      <c r="C102" s="501">
        <f>SUM(C96:C101)</f>
        <v>229348</v>
      </c>
      <c r="D102" s="501">
        <f>SUM(D96:D101)</f>
        <v>19294</v>
      </c>
      <c r="E102" s="246">
        <f t="shared" ref="E102:F102" si="18">SUM(E96:E101)</f>
        <v>248642</v>
      </c>
      <c r="F102" s="246">
        <f t="shared" si="18"/>
        <v>0</v>
      </c>
      <c r="G102" s="246">
        <f>SUM(G96:G101)</f>
        <v>248642</v>
      </c>
      <c r="H102" s="276">
        <f t="shared" si="17"/>
        <v>6.845477745817044E-2</v>
      </c>
      <c r="I102" s="621"/>
      <c r="J102" s="168"/>
      <c r="K102" s="168"/>
    </row>
    <row r="103" spans="1:11" s="272" customFormat="1">
      <c r="A103" s="268"/>
      <c r="C103" s="165"/>
      <c r="D103" s="165"/>
      <c r="E103" s="270"/>
      <c r="F103" s="270"/>
      <c r="G103" s="270"/>
      <c r="H103" s="296"/>
      <c r="I103" s="623"/>
      <c r="J103" s="168"/>
      <c r="K103" s="168"/>
    </row>
    <row r="104" spans="1:11" s="272" customFormat="1">
      <c r="A104" s="274" t="s">
        <v>165</v>
      </c>
      <c r="B104" s="275" t="s">
        <v>56</v>
      </c>
      <c r="C104" s="165"/>
      <c r="D104" s="165"/>
      <c r="E104" s="270"/>
      <c r="F104" s="270"/>
      <c r="G104" s="270"/>
      <c r="H104" s="296"/>
      <c r="I104" s="623"/>
      <c r="J104" s="168"/>
      <c r="K104" s="168"/>
    </row>
    <row r="105" spans="1:11" s="272" customFormat="1">
      <c r="A105" s="274" t="s">
        <v>85</v>
      </c>
      <c r="B105" s="275" t="s">
        <v>44</v>
      </c>
      <c r="C105" s="501">
        <f>'[52]Sch C'!D98</f>
        <v>0</v>
      </c>
      <c r="D105" s="501">
        <f>'[52]Sch C'!F98</f>
        <v>0</v>
      </c>
      <c r="E105" s="246">
        <f t="shared" ref="E105:E110" si="19">C105+D105</f>
        <v>0</v>
      </c>
      <c r="F105" s="246"/>
      <c r="G105" s="246">
        <f t="shared" ref="G105:G110" si="20">E105+F105</f>
        <v>0</v>
      </c>
      <c r="H105" s="276">
        <f t="shared" ref="H105:H111" si="21">IF($G$208=0,0,G105/$G$208)</f>
        <v>0</v>
      </c>
      <c r="I105" s="621"/>
      <c r="J105" s="183">
        <v>0</v>
      </c>
      <c r="K105" s="183">
        <v>0</v>
      </c>
    </row>
    <row r="106" spans="1:11" s="272" customFormat="1">
      <c r="A106" s="274" t="s">
        <v>86</v>
      </c>
      <c r="B106" s="275" t="s">
        <v>45</v>
      </c>
      <c r="C106" s="501">
        <f>'[52]Sch C'!D99</f>
        <v>0</v>
      </c>
      <c r="D106" s="501">
        <f>'[52]Sch C'!F99</f>
        <v>0</v>
      </c>
      <c r="E106" s="246">
        <f t="shared" si="19"/>
        <v>0</v>
      </c>
      <c r="F106" s="246"/>
      <c r="G106" s="246">
        <f t="shared" si="20"/>
        <v>0</v>
      </c>
      <c r="H106" s="276">
        <f t="shared" si="21"/>
        <v>0</v>
      </c>
      <c r="I106" s="621"/>
      <c r="J106" s="168"/>
      <c r="K106" s="168"/>
    </row>
    <row r="107" spans="1:11" s="272" customFormat="1">
      <c r="A107" s="274">
        <v>110</v>
      </c>
      <c r="B107" s="275" t="s">
        <v>47</v>
      </c>
      <c r="C107" s="501">
        <f>'[52]Sch C'!D100</f>
        <v>177</v>
      </c>
      <c r="D107" s="501">
        <f>'[52]Sch C'!F100</f>
        <v>0</v>
      </c>
      <c r="E107" s="246">
        <f t="shared" si="19"/>
        <v>177</v>
      </c>
      <c r="F107" s="246"/>
      <c r="G107" s="246">
        <f t="shared" si="20"/>
        <v>177</v>
      </c>
      <c r="H107" s="276">
        <f t="shared" si="21"/>
        <v>4.8730687535075207E-5</v>
      </c>
      <c r="I107" s="621"/>
      <c r="J107" s="168"/>
      <c r="K107" s="168"/>
    </row>
    <row r="108" spans="1:11" s="272" customFormat="1">
      <c r="A108" s="274">
        <v>310</v>
      </c>
      <c r="B108" s="275" t="s">
        <v>54</v>
      </c>
      <c r="C108" s="501">
        <f>'[52]Sch C'!D101</f>
        <v>0</v>
      </c>
      <c r="D108" s="501">
        <f>'[52]Sch C'!F101</f>
        <v>0</v>
      </c>
      <c r="E108" s="246">
        <f t="shared" si="19"/>
        <v>0</v>
      </c>
      <c r="F108" s="246"/>
      <c r="G108" s="246">
        <f t="shared" si="20"/>
        <v>0</v>
      </c>
      <c r="H108" s="276">
        <f t="shared" si="21"/>
        <v>0</v>
      </c>
      <c r="I108" s="621"/>
      <c r="J108" s="168"/>
      <c r="K108" s="168"/>
    </row>
    <row r="109" spans="1:11" s="272" customFormat="1">
      <c r="A109" s="274">
        <v>410</v>
      </c>
      <c r="B109" s="275" t="s">
        <v>57</v>
      </c>
      <c r="C109" s="501">
        <f>'[52]Sch C'!D102</f>
        <v>1198</v>
      </c>
      <c r="D109" s="501">
        <f>'[52]Sch C'!F102</f>
        <v>0</v>
      </c>
      <c r="E109" s="246">
        <f t="shared" si="19"/>
        <v>1198</v>
      </c>
      <c r="F109" s="246"/>
      <c r="G109" s="246">
        <f t="shared" si="20"/>
        <v>1198</v>
      </c>
      <c r="H109" s="276">
        <f t="shared" si="21"/>
        <v>3.2982691337299488E-4</v>
      </c>
      <c r="I109" s="621"/>
      <c r="J109" s="168"/>
      <c r="K109" s="168"/>
    </row>
    <row r="110" spans="1:11" s="272" customFormat="1">
      <c r="A110" s="274">
        <v>490</v>
      </c>
      <c r="B110" s="23" t="s">
        <v>312</v>
      </c>
      <c r="C110" s="501">
        <f>'[52]Sch C'!D103</f>
        <v>0</v>
      </c>
      <c r="D110" s="501">
        <f>'[52]Sch C'!F103</f>
        <v>0</v>
      </c>
      <c r="E110" s="246">
        <f t="shared" si="19"/>
        <v>0</v>
      </c>
      <c r="F110" s="246"/>
      <c r="G110" s="246">
        <f t="shared" si="20"/>
        <v>0</v>
      </c>
      <c r="H110" s="276">
        <f t="shared" si="21"/>
        <v>0</v>
      </c>
      <c r="I110" s="621"/>
      <c r="J110" s="168"/>
      <c r="K110" s="168"/>
    </row>
    <row r="111" spans="1:11" s="272" customFormat="1">
      <c r="A111" s="268"/>
      <c r="B111" s="275" t="s">
        <v>58</v>
      </c>
      <c r="C111" s="501">
        <f>SUM(C105:C110)</f>
        <v>1375</v>
      </c>
      <c r="D111" s="501">
        <f>SUM(D105:D110)</f>
        <v>0</v>
      </c>
      <c r="E111" s="246">
        <f t="shared" ref="E111:F111" si="22">SUM(E105:E110)</f>
        <v>1375</v>
      </c>
      <c r="F111" s="246">
        <f t="shared" si="22"/>
        <v>0</v>
      </c>
      <c r="G111" s="246">
        <f>SUM(G105:G110)</f>
        <v>1375</v>
      </c>
      <c r="H111" s="276">
        <f t="shared" si="21"/>
        <v>3.7855760090807012E-4</v>
      </c>
      <c r="I111" s="621"/>
      <c r="J111" s="168"/>
      <c r="K111" s="168"/>
    </row>
    <row r="112" spans="1:11" s="272" customFormat="1">
      <c r="A112" s="268"/>
      <c r="C112" s="165"/>
      <c r="D112" s="165"/>
      <c r="E112" s="270"/>
      <c r="F112" s="270"/>
      <c r="G112" s="270"/>
      <c r="H112" s="296"/>
      <c r="I112" s="623"/>
      <c r="J112" s="168"/>
      <c r="K112" s="168"/>
    </row>
    <row r="113" spans="1:11" s="272" customFormat="1">
      <c r="A113" s="274" t="s">
        <v>166</v>
      </c>
      <c r="B113" s="275" t="s">
        <v>59</v>
      </c>
      <c r="C113" s="165"/>
      <c r="D113" s="165"/>
      <c r="E113" s="270"/>
      <c r="F113" s="270"/>
      <c r="G113" s="270"/>
      <c r="H113" s="296"/>
      <c r="I113" s="623"/>
      <c r="J113" s="168"/>
      <c r="K113" s="168"/>
    </row>
    <row r="114" spans="1:11" s="272" customFormat="1">
      <c r="A114" s="274" t="s">
        <v>85</v>
      </c>
      <c r="B114" s="275" t="s">
        <v>44</v>
      </c>
      <c r="C114" s="501">
        <f>'[52]Sch C'!D115</f>
        <v>57810</v>
      </c>
      <c r="D114" s="501">
        <f>'[52]Sch C'!F115</f>
        <v>2856</v>
      </c>
      <c r="E114" s="246">
        <f t="shared" ref="E114:E118" si="23">C114+D114</f>
        <v>60666</v>
      </c>
      <c r="F114" s="246"/>
      <c r="G114" s="246">
        <f>E114+F114</f>
        <v>60666</v>
      </c>
      <c r="H114" s="276">
        <f t="shared" ref="H114:H119" si="24">IF($G$208=0,0,G114/$G$208)</f>
        <v>1.6702236666682895E-2</v>
      </c>
      <c r="I114" s="621"/>
      <c r="J114" s="183">
        <v>6496</v>
      </c>
      <c r="K114" s="183">
        <v>6817</v>
      </c>
    </row>
    <row r="115" spans="1:11" s="272" customFormat="1">
      <c r="A115" s="274" t="s">
        <v>86</v>
      </c>
      <c r="B115" s="275" t="s">
        <v>151</v>
      </c>
      <c r="C115" s="501">
        <f>'[52]Sch C'!D116</f>
        <v>0</v>
      </c>
      <c r="D115" s="501">
        <f>'[52]Sch C'!F116</f>
        <v>7952</v>
      </c>
      <c r="E115" s="246">
        <f t="shared" si="23"/>
        <v>7952</v>
      </c>
      <c r="F115" s="246"/>
      <c r="G115" s="246">
        <f>E115+F115</f>
        <v>7952</v>
      </c>
      <c r="H115" s="276">
        <f t="shared" si="24"/>
        <v>2.1893018490334354E-3</v>
      </c>
      <c r="I115" s="621"/>
      <c r="J115" s="168"/>
      <c r="K115" s="168"/>
    </row>
    <row r="116" spans="1:11" s="272" customFormat="1">
      <c r="A116" s="274" t="s">
        <v>93</v>
      </c>
      <c r="B116" s="275" t="s">
        <v>47</v>
      </c>
      <c r="C116" s="501">
        <f>'[52]Sch C'!D117</f>
        <v>15700</v>
      </c>
      <c r="D116" s="501">
        <f>'[52]Sch C'!F117</f>
        <v>0</v>
      </c>
      <c r="E116" s="246">
        <f t="shared" si="23"/>
        <v>15700</v>
      </c>
      <c r="F116" s="246"/>
      <c r="G116" s="246">
        <f>E116+F116</f>
        <v>15700</v>
      </c>
      <c r="H116" s="276">
        <f t="shared" si="24"/>
        <v>4.3224395158230552E-3</v>
      </c>
      <c r="I116" s="621"/>
      <c r="J116" s="168"/>
      <c r="K116" s="168"/>
    </row>
    <row r="117" spans="1:11" s="272" customFormat="1">
      <c r="A117" s="274">
        <v>310</v>
      </c>
      <c r="B117" s="275" t="s">
        <v>60</v>
      </c>
      <c r="C117" s="501">
        <f>'[52]Sch C'!D118</f>
        <v>0</v>
      </c>
      <c r="D117" s="501">
        <f>'[52]Sch C'!F118</f>
        <v>0</v>
      </c>
      <c r="E117" s="246">
        <f t="shared" si="23"/>
        <v>0</v>
      </c>
      <c r="F117" s="246"/>
      <c r="G117" s="246">
        <f>E117+F117</f>
        <v>0</v>
      </c>
      <c r="H117" s="276">
        <f t="shared" si="24"/>
        <v>0</v>
      </c>
      <c r="I117" s="621"/>
      <c r="J117" s="168"/>
      <c r="K117" s="168"/>
    </row>
    <row r="118" spans="1:11" s="272" customFormat="1">
      <c r="A118" s="274">
        <v>490</v>
      </c>
      <c r="B118" s="23" t="s">
        <v>312</v>
      </c>
      <c r="C118" s="501">
        <f>'[52]Sch C'!D119</f>
        <v>0</v>
      </c>
      <c r="D118" s="501">
        <f>'[52]Sch C'!F119</f>
        <v>0</v>
      </c>
      <c r="E118" s="246">
        <f t="shared" si="23"/>
        <v>0</v>
      </c>
      <c r="F118" s="246"/>
      <c r="G118" s="246">
        <f>E118+F118</f>
        <v>0</v>
      </c>
      <c r="H118" s="276">
        <f t="shared" si="24"/>
        <v>0</v>
      </c>
      <c r="I118" s="621"/>
      <c r="J118" s="168"/>
      <c r="K118" s="168"/>
    </row>
    <row r="119" spans="1:11" s="272" customFormat="1">
      <c r="A119" s="268"/>
      <c r="B119" s="275" t="s">
        <v>61</v>
      </c>
      <c r="C119" s="501">
        <f>SUM(C114:C118)</f>
        <v>73510</v>
      </c>
      <c r="D119" s="501">
        <f>SUM(D114:D118)</f>
        <v>10808</v>
      </c>
      <c r="E119" s="246">
        <f t="shared" ref="E119:F119" si="25">SUM(E114:E118)</f>
        <v>84318</v>
      </c>
      <c r="F119" s="246">
        <f t="shared" si="25"/>
        <v>0</v>
      </c>
      <c r="G119" s="246">
        <f>SUM(G114:G118)</f>
        <v>84318</v>
      </c>
      <c r="H119" s="276">
        <f t="shared" si="24"/>
        <v>2.3213978031539385E-2</v>
      </c>
      <c r="I119" s="621"/>
      <c r="J119" s="168"/>
      <c r="K119" s="168"/>
    </row>
    <row r="120" spans="1:11" s="272" customFormat="1">
      <c r="A120" s="268"/>
      <c r="B120" s="275"/>
      <c r="C120" s="196"/>
      <c r="D120" s="196"/>
      <c r="E120" s="294"/>
      <c r="F120" s="294"/>
      <c r="G120" s="294"/>
      <c r="H120" s="295"/>
      <c r="I120" s="621"/>
      <c r="J120" s="203"/>
      <c r="K120" s="203"/>
    </row>
    <row r="121" spans="1:11" s="272" customFormat="1">
      <c r="A121" s="274" t="s">
        <v>167</v>
      </c>
      <c r="B121" s="275" t="s">
        <v>62</v>
      </c>
      <c r="C121" s="165"/>
      <c r="D121" s="165"/>
      <c r="E121" s="270"/>
      <c r="F121" s="270"/>
      <c r="G121" s="270"/>
      <c r="H121" s="296"/>
      <c r="I121" s="623"/>
      <c r="J121" s="204"/>
      <c r="K121" s="204"/>
    </row>
    <row r="122" spans="1:11" s="272" customFormat="1">
      <c r="A122" s="274" t="s">
        <v>85</v>
      </c>
      <c r="B122" s="275" t="s">
        <v>63</v>
      </c>
      <c r="C122" s="165"/>
      <c r="D122" s="165"/>
      <c r="E122" s="270"/>
      <c r="F122" s="270"/>
      <c r="G122" s="270"/>
      <c r="H122" s="296"/>
      <c r="I122" s="623"/>
      <c r="J122" s="204"/>
      <c r="K122" s="204"/>
    </row>
    <row r="123" spans="1:11" s="272" customFormat="1">
      <c r="B123" s="268" t="s">
        <v>232</v>
      </c>
      <c r="C123" s="501">
        <f>'[52]Sch C'!D124</f>
        <v>0</v>
      </c>
      <c r="D123" s="501">
        <f>'[52]Sch C'!F124</f>
        <v>0</v>
      </c>
      <c r="E123" s="246">
        <f t="shared" ref="E123:E127" si="26">C123+D123</f>
        <v>0</v>
      </c>
      <c r="F123" s="246"/>
      <c r="G123" s="246">
        <f>E123+F123</f>
        <v>0</v>
      </c>
      <c r="H123" s="276">
        <f>IF($G$208=0,0,G123/$G$208)</f>
        <v>0</v>
      </c>
      <c r="I123" s="621"/>
      <c r="J123" s="183">
        <v>0</v>
      </c>
      <c r="K123" s="183">
        <v>0</v>
      </c>
    </row>
    <row r="124" spans="1:11" s="272" customFormat="1">
      <c r="B124" s="268" t="s">
        <v>194</v>
      </c>
      <c r="C124" s="501">
        <f>'[52]Sch C'!D125</f>
        <v>121721</v>
      </c>
      <c r="D124" s="501">
        <f>'[52]Sch C'!F125</f>
        <v>6013</v>
      </c>
      <c r="E124" s="246">
        <f t="shared" si="26"/>
        <v>127734</v>
      </c>
      <c r="F124" s="664">
        <v>42657</v>
      </c>
      <c r="G124" s="246">
        <f>E124+F124</f>
        <v>170391</v>
      </c>
      <c r="H124" s="276">
        <f>IF($G$208=0,0,G124/$G$208)</f>
        <v>4.6911133219146889E-2</v>
      </c>
      <c r="I124" s="621" t="s">
        <v>402</v>
      </c>
      <c r="J124" s="183">
        <v>3290</v>
      </c>
      <c r="K124" s="183">
        <v>3453</v>
      </c>
    </row>
    <row r="125" spans="1:11" s="272" customFormat="1">
      <c r="A125" s="268" t="s">
        <v>198</v>
      </c>
      <c r="B125" s="268" t="s">
        <v>195</v>
      </c>
      <c r="C125" s="501">
        <f>'[52]Sch C'!D126</f>
        <v>52744</v>
      </c>
      <c r="D125" s="501">
        <f>'[52]Sch C'!F126</f>
        <v>2606</v>
      </c>
      <c r="E125" s="246">
        <f t="shared" si="26"/>
        <v>55350</v>
      </c>
      <c r="F125" s="246"/>
      <c r="G125" s="246">
        <f>E125+F125</f>
        <v>55350</v>
      </c>
      <c r="H125" s="276">
        <f>IF($G$208=0,0,G125/$G$208)</f>
        <v>1.5238664152917586E-2</v>
      </c>
      <c r="I125" s="621"/>
      <c r="J125" s="183">
        <v>1960</v>
      </c>
      <c r="K125" s="183">
        <v>2057</v>
      </c>
    </row>
    <row r="126" spans="1:11" s="272" customFormat="1">
      <c r="A126" s="274"/>
      <c r="B126" s="268" t="s">
        <v>196</v>
      </c>
      <c r="C126" s="501">
        <f>'[52]Sch C'!D127</f>
        <v>0</v>
      </c>
      <c r="D126" s="501">
        <f>'[52]Sch C'!F127</f>
        <v>0</v>
      </c>
      <c r="E126" s="246">
        <f t="shared" si="26"/>
        <v>0</v>
      </c>
      <c r="F126" s="246"/>
      <c r="G126" s="246">
        <f>E126+F126</f>
        <v>0</v>
      </c>
      <c r="H126" s="276">
        <f>IF($G$208=0,0,G126/$G$208)</f>
        <v>0</v>
      </c>
      <c r="I126" s="621"/>
      <c r="J126" s="183">
        <v>0</v>
      </c>
      <c r="K126" s="183">
        <v>0</v>
      </c>
    </row>
    <row r="127" spans="1:11" s="272" customFormat="1">
      <c r="A127" s="274"/>
      <c r="B127" s="268" t="s">
        <v>197</v>
      </c>
      <c r="C127" s="501">
        <f>'[52]Sch C'!D128</f>
        <v>30284</v>
      </c>
      <c r="D127" s="501">
        <f>'[52]Sch C'!F128</f>
        <v>1496</v>
      </c>
      <c r="E127" s="246">
        <f t="shared" si="26"/>
        <v>31780</v>
      </c>
      <c r="F127" s="246"/>
      <c r="G127" s="246">
        <f>E127+F127</f>
        <v>31780</v>
      </c>
      <c r="H127" s="276">
        <f>IF($G$208=0,0,G127/$G$208)</f>
        <v>8.7494985868061589E-3</v>
      </c>
      <c r="I127" s="621"/>
      <c r="J127" s="183">
        <v>2002</v>
      </c>
      <c r="K127" s="183">
        <v>2101</v>
      </c>
    </row>
    <row r="128" spans="1:11" s="272" customFormat="1">
      <c r="A128" s="274" t="s">
        <v>95</v>
      </c>
      <c r="B128" s="275" t="s">
        <v>152</v>
      </c>
      <c r="C128" s="505"/>
      <c r="D128" s="505"/>
      <c r="E128" s="301"/>
      <c r="F128" s="301"/>
      <c r="G128" s="301"/>
      <c r="H128" s="302"/>
      <c r="I128" s="627"/>
      <c r="J128" s="207"/>
      <c r="K128" s="207"/>
    </row>
    <row r="129" spans="1:11" s="272" customFormat="1">
      <c r="A129" s="274"/>
      <c r="B129" s="268" t="s">
        <v>232</v>
      </c>
      <c r="C129" s="501">
        <f>'[52]Sch C'!D130</f>
        <v>0</v>
      </c>
      <c r="D129" s="501">
        <f>'[52]Sch C'!F130</f>
        <v>0</v>
      </c>
      <c r="E129" s="246">
        <f t="shared" ref="E129:E133" si="27">C129+D129</f>
        <v>0</v>
      </c>
      <c r="F129" s="246"/>
      <c r="G129" s="246">
        <f>E129+F129</f>
        <v>0</v>
      </c>
      <c r="H129" s="276">
        <f>IF($G$208=0,0,G129/$G$208)</f>
        <v>0</v>
      </c>
      <c r="I129" s="621"/>
      <c r="J129" s="204"/>
      <c r="K129" s="204"/>
    </row>
    <row r="130" spans="1:11" s="272" customFormat="1">
      <c r="A130" s="274"/>
      <c r="B130" s="268" t="s">
        <v>194</v>
      </c>
      <c r="C130" s="501">
        <f>'[52]Sch C'!D131</f>
        <v>0</v>
      </c>
      <c r="D130" s="501">
        <f>'[52]Sch C'!F131</f>
        <v>16744</v>
      </c>
      <c r="E130" s="246">
        <f t="shared" si="27"/>
        <v>16744</v>
      </c>
      <c r="F130" s="246">
        <v>2557.7967386876689</v>
      </c>
      <c r="G130" s="246">
        <f>E130+F130</f>
        <v>19301.79673868767</v>
      </c>
      <c r="H130" s="276">
        <f>IF($G$208=0,0,G130/$G$208)</f>
        <v>5.3140668120820475E-3</v>
      </c>
      <c r="I130" s="621" t="s">
        <v>402</v>
      </c>
      <c r="J130" s="204"/>
      <c r="K130" s="204"/>
    </row>
    <row r="131" spans="1:11" s="272" customFormat="1">
      <c r="B131" s="268" t="s">
        <v>195</v>
      </c>
      <c r="C131" s="501">
        <f>'[52]Sch C'!D132</f>
        <v>0</v>
      </c>
      <c r="D131" s="501">
        <f>'[52]Sch C'!F132</f>
        <v>7256</v>
      </c>
      <c r="E131" s="246">
        <f t="shared" si="27"/>
        <v>7256</v>
      </c>
      <c r="F131" s="246"/>
      <c r="G131" s="246">
        <f>E131+F131</f>
        <v>7256</v>
      </c>
      <c r="H131" s="276">
        <f>IF($G$208=0,0,G131/$G$208)</f>
        <v>1.9976828743192413E-3</v>
      </c>
      <c r="I131" s="621"/>
      <c r="J131" s="168"/>
      <c r="K131" s="168"/>
    </row>
    <row r="132" spans="1:11" s="272" customFormat="1">
      <c r="B132" s="268" t="s">
        <v>196</v>
      </c>
      <c r="C132" s="501">
        <f>'[52]Sch C'!D133</f>
        <v>0</v>
      </c>
      <c r="D132" s="501">
        <f>'[52]Sch C'!F133</f>
        <v>0</v>
      </c>
      <c r="E132" s="246">
        <f t="shared" si="27"/>
        <v>0</v>
      </c>
      <c r="F132" s="246"/>
      <c r="G132" s="246">
        <f>E132+F132</f>
        <v>0</v>
      </c>
      <c r="H132" s="276">
        <f>IF($G$208=0,0,G132/$G$208)</f>
        <v>0</v>
      </c>
      <c r="I132" s="621"/>
      <c r="J132" s="168"/>
      <c r="K132" s="168"/>
    </row>
    <row r="133" spans="1:11" s="272" customFormat="1">
      <c r="B133" s="268" t="s">
        <v>197</v>
      </c>
      <c r="C133" s="501">
        <f>'[52]Sch C'!D134</f>
        <v>0</v>
      </c>
      <c r="D133" s="501">
        <f>'[52]Sch C'!F134</f>
        <v>4166</v>
      </c>
      <c r="E133" s="246">
        <f t="shared" si="27"/>
        <v>4166</v>
      </c>
      <c r="F133" s="246"/>
      <c r="G133" s="246">
        <f>E133+F133</f>
        <v>4166</v>
      </c>
      <c r="H133" s="276">
        <f>IF($G$208=0,0,G133/$G$208)</f>
        <v>1.1469607020967419E-3</v>
      </c>
      <c r="I133" s="621"/>
      <c r="J133" s="168"/>
      <c r="K133" s="168"/>
    </row>
    <row r="134" spans="1:11" s="272" customFormat="1">
      <c r="A134" s="274" t="s">
        <v>86</v>
      </c>
      <c r="B134" s="275" t="s">
        <v>64</v>
      </c>
      <c r="C134" s="196"/>
      <c r="D134" s="196"/>
      <c r="E134" s="294"/>
      <c r="F134" s="294"/>
      <c r="G134" s="294"/>
      <c r="H134" s="295"/>
      <c r="I134" s="621"/>
      <c r="J134" s="204"/>
      <c r="K134" s="204"/>
    </row>
    <row r="135" spans="1:11" s="272" customFormat="1">
      <c r="A135" s="274"/>
      <c r="B135" s="268" t="s">
        <v>194</v>
      </c>
      <c r="C135" s="501">
        <f>'[52]Sch C'!D136</f>
        <v>207206</v>
      </c>
      <c r="D135" s="501">
        <f>'[52]Sch C'!F136</f>
        <v>10236</v>
      </c>
      <c r="E135" s="246">
        <f t="shared" ref="E135:E138" si="28">C135+D135</f>
        <v>217442</v>
      </c>
      <c r="F135" s="246"/>
      <c r="G135" s="246">
        <f>E135+F135</f>
        <v>217442</v>
      </c>
      <c r="H135" s="276">
        <f>IF($G$208=0,0,G135/$G$208)</f>
        <v>5.9864961350292782E-2</v>
      </c>
      <c r="I135" s="621"/>
      <c r="J135" s="183">
        <v>7694</v>
      </c>
      <c r="K135" s="183">
        <v>8074</v>
      </c>
    </row>
    <row r="136" spans="1:11" s="272" customFormat="1">
      <c r="A136" s="274"/>
      <c r="B136" s="268" t="s">
        <v>195</v>
      </c>
      <c r="C136" s="501">
        <f>'[52]Sch C'!D137</f>
        <v>124975</v>
      </c>
      <c r="D136" s="501">
        <f>'[52]Sch C'!F137</f>
        <v>6174</v>
      </c>
      <c r="E136" s="246">
        <f t="shared" si="28"/>
        <v>131149</v>
      </c>
      <c r="F136" s="246"/>
      <c r="G136" s="246">
        <f>E136+F136</f>
        <v>131149</v>
      </c>
      <c r="H136" s="276">
        <f>IF($G$208=0,0,G136/$G$208)</f>
        <v>3.6107236946539986E-2</v>
      </c>
      <c r="I136" s="621"/>
      <c r="J136" s="183">
        <v>6811</v>
      </c>
      <c r="K136" s="183">
        <v>7147</v>
      </c>
    </row>
    <row r="137" spans="1:11" s="272" customFormat="1">
      <c r="A137" s="274"/>
      <c r="B137" s="268" t="s">
        <v>196</v>
      </c>
      <c r="C137" s="501">
        <f>'[52]Sch C'!D138</f>
        <v>309350</v>
      </c>
      <c r="D137" s="501">
        <f>'[52]Sch C'!F138</f>
        <v>15282</v>
      </c>
      <c r="E137" s="246">
        <f t="shared" si="28"/>
        <v>324632</v>
      </c>
      <c r="F137" s="246"/>
      <c r="G137" s="246">
        <f>E137+F137</f>
        <v>324632</v>
      </c>
      <c r="H137" s="276">
        <f>IF($G$208=0,0,G137/$G$208)</f>
        <v>8.9375935343991714E-2</v>
      </c>
      <c r="I137" s="621"/>
      <c r="J137" s="183">
        <v>26061</v>
      </c>
      <c r="K137" s="183">
        <v>27348</v>
      </c>
    </row>
    <row r="138" spans="1:11" s="272" customFormat="1">
      <c r="A138" s="274"/>
      <c r="B138" s="268" t="s">
        <v>197</v>
      </c>
      <c r="C138" s="501">
        <f>'[52]Sch C'!D139</f>
        <v>108106</v>
      </c>
      <c r="D138" s="501">
        <f>'[52]Sch C'!F139</f>
        <v>5340</v>
      </c>
      <c r="E138" s="246">
        <f t="shared" si="28"/>
        <v>113446</v>
      </c>
      <c r="F138" s="246"/>
      <c r="G138" s="246">
        <f>E138+F138</f>
        <v>113446</v>
      </c>
      <c r="H138" s="276">
        <f>IF($G$208=0,0,G138/$G$208)</f>
        <v>3.1233342249175941E-2</v>
      </c>
      <c r="I138" s="621"/>
      <c r="J138" s="183">
        <v>11662</v>
      </c>
      <c r="K138" s="183">
        <v>12238</v>
      </c>
    </row>
    <row r="139" spans="1:11" s="272" customFormat="1">
      <c r="A139" s="274" t="s">
        <v>96</v>
      </c>
      <c r="B139" s="275" t="s">
        <v>153</v>
      </c>
      <c r="C139" s="196"/>
      <c r="D139" s="196"/>
      <c r="E139" s="294"/>
      <c r="F139" s="294"/>
      <c r="G139" s="294"/>
      <c r="H139" s="295"/>
      <c r="I139" s="621"/>
      <c r="J139" s="372"/>
      <c r="K139" s="372"/>
    </row>
    <row r="140" spans="1:11" s="272" customFormat="1">
      <c r="A140" s="274"/>
      <c r="B140" s="268" t="s">
        <v>194</v>
      </c>
      <c r="C140" s="501">
        <f>'[52]Sch C'!D141</f>
        <v>0</v>
      </c>
      <c r="D140" s="501">
        <f>'[52]Sch C'!F141</f>
        <v>28504</v>
      </c>
      <c r="E140" s="246">
        <f t="shared" ref="E140:E143" si="29">C140+D140</f>
        <v>28504</v>
      </c>
      <c r="F140" s="246"/>
      <c r="G140" s="246">
        <f>E140+F140</f>
        <v>28504</v>
      </c>
      <c r="H140" s="276">
        <f>IF($G$208=0,0,G140/$G$208)</f>
        <v>7.8475678954790032E-3</v>
      </c>
      <c r="I140" s="621"/>
      <c r="J140" s="168"/>
      <c r="K140" s="168"/>
    </row>
    <row r="141" spans="1:11" s="272" customFormat="1">
      <c r="A141" s="274"/>
      <c r="B141" s="268" t="s">
        <v>195</v>
      </c>
      <c r="C141" s="501">
        <f>'[52]Sch C'!D142</f>
        <v>0</v>
      </c>
      <c r="D141" s="501">
        <f>'[52]Sch C'!F142</f>
        <v>17192</v>
      </c>
      <c r="E141" s="246">
        <f t="shared" si="29"/>
        <v>17192</v>
      </c>
      <c r="F141" s="246"/>
      <c r="G141" s="246">
        <f>E141+F141</f>
        <v>17192</v>
      </c>
      <c r="H141" s="276">
        <f>IF($G$208=0,0,G141/$G$208)</f>
        <v>4.733208927135666E-3</v>
      </c>
      <c r="I141" s="621"/>
      <c r="J141" s="168"/>
      <c r="K141" s="168"/>
    </row>
    <row r="142" spans="1:11" s="272" customFormat="1">
      <c r="A142" s="274"/>
      <c r="B142" s="268" t="s">
        <v>196</v>
      </c>
      <c r="C142" s="501">
        <f>'[52]Sch C'!D143</f>
        <v>0</v>
      </c>
      <c r="D142" s="501">
        <f>'[52]Sch C'!F143</f>
        <v>42555</v>
      </c>
      <c r="E142" s="246">
        <f t="shared" si="29"/>
        <v>42555</v>
      </c>
      <c r="F142" s="246"/>
      <c r="G142" s="246">
        <f>E142+F142</f>
        <v>42555</v>
      </c>
      <c r="H142" s="276">
        <f>IF($G$208=0,0,G142/$G$208)</f>
        <v>1.1716013604831217E-2</v>
      </c>
      <c r="I142" s="621"/>
      <c r="J142" s="168"/>
      <c r="K142" s="168"/>
    </row>
    <row r="143" spans="1:11" s="272" customFormat="1">
      <c r="A143" s="274"/>
      <c r="B143" s="268" t="s">
        <v>197</v>
      </c>
      <c r="C143" s="501">
        <f>'[52]Sch C'!D144</f>
        <v>0</v>
      </c>
      <c r="D143" s="501">
        <f>'[52]Sch C'!F144</f>
        <v>14872</v>
      </c>
      <c r="E143" s="246">
        <f t="shared" si="29"/>
        <v>14872</v>
      </c>
      <c r="F143" s="246"/>
      <c r="G143" s="246">
        <f>E143+F143</f>
        <v>14872</v>
      </c>
      <c r="H143" s="276">
        <f>IF($G$208=0,0,G143/$G$208)</f>
        <v>4.0944790114216863E-3</v>
      </c>
      <c r="I143" s="621"/>
      <c r="J143" s="168"/>
      <c r="K143" s="168"/>
    </row>
    <row r="144" spans="1:11" s="272" customFormat="1">
      <c r="A144" s="274" t="s">
        <v>87</v>
      </c>
      <c r="B144" s="275" t="s">
        <v>98</v>
      </c>
      <c r="C144" s="196"/>
      <c r="D144" s="196"/>
      <c r="E144" s="294"/>
      <c r="F144" s="294"/>
      <c r="G144" s="294"/>
      <c r="H144" s="295"/>
      <c r="I144" s="621"/>
      <c r="J144" s="204"/>
      <c r="K144" s="204"/>
    </row>
    <row r="145" spans="1:11" s="272" customFormat="1">
      <c r="A145" s="274"/>
      <c r="B145" s="268" t="s">
        <v>232</v>
      </c>
      <c r="C145" s="501">
        <f>'[52]Sch C'!D146</f>
        <v>18000</v>
      </c>
      <c r="D145" s="501">
        <f>'[52]Sch C'!F146</f>
        <v>0</v>
      </c>
      <c r="E145" s="246">
        <f t="shared" ref="E145:E153" si="30">C145+D145</f>
        <v>18000</v>
      </c>
      <c r="F145" s="246"/>
      <c r="G145" s="246">
        <f t="shared" ref="G145:G153" si="31">E145+F145</f>
        <v>18000</v>
      </c>
      <c r="H145" s="276">
        <f t="shared" ref="H145:H153" si="32">IF($G$208=0,0,G145/$G$208)</f>
        <v>4.9556631391601902E-3</v>
      </c>
      <c r="I145" s="621"/>
      <c r="J145" s="183">
        <v>0</v>
      </c>
      <c r="K145" s="183">
        <v>0</v>
      </c>
    </row>
    <row r="146" spans="1:11" s="272" customFormat="1">
      <c r="A146" s="274"/>
      <c r="B146" s="268" t="s">
        <v>194</v>
      </c>
      <c r="C146" s="501">
        <f>'[52]Sch C'!D147</f>
        <v>0</v>
      </c>
      <c r="D146" s="501">
        <f>'[52]Sch C'!F147</f>
        <v>0</v>
      </c>
      <c r="E146" s="246">
        <f t="shared" si="30"/>
        <v>0</v>
      </c>
      <c r="F146" s="246"/>
      <c r="G146" s="246">
        <f t="shared" si="31"/>
        <v>0</v>
      </c>
      <c r="H146" s="276">
        <f t="shared" si="32"/>
        <v>0</v>
      </c>
      <c r="I146" s="621"/>
      <c r="J146" s="183">
        <v>0</v>
      </c>
      <c r="K146" s="183">
        <v>0</v>
      </c>
    </row>
    <row r="147" spans="1:11" s="272" customFormat="1">
      <c r="A147" s="274"/>
      <c r="B147" s="268" t="s">
        <v>195</v>
      </c>
      <c r="C147" s="501">
        <f>'[52]Sch C'!D148</f>
        <v>0</v>
      </c>
      <c r="D147" s="501">
        <f>'[52]Sch C'!F148</f>
        <v>0</v>
      </c>
      <c r="E147" s="246">
        <f t="shared" si="30"/>
        <v>0</v>
      </c>
      <c r="F147" s="246"/>
      <c r="G147" s="246">
        <f t="shared" si="31"/>
        <v>0</v>
      </c>
      <c r="H147" s="276">
        <f t="shared" si="32"/>
        <v>0</v>
      </c>
      <c r="I147" s="621"/>
      <c r="J147" s="183">
        <v>0</v>
      </c>
      <c r="K147" s="183">
        <v>0</v>
      </c>
    </row>
    <row r="148" spans="1:11" s="272" customFormat="1">
      <c r="A148" s="274"/>
      <c r="B148" s="268" t="s">
        <v>196</v>
      </c>
      <c r="C148" s="501">
        <f>'[52]Sch C'!D149</f>
        <v>0</v>
      </c>
      <c r="D148" s="501">
        <f>'[52]Sch C'!F149</f>
        <v>0</v>
      </c>
      <c r="E148" s="246">
        <f t="shared" si="30"/>
        <v>0</v>
      </c>
      <c r="F148" s="246"/>
      <c r="G148" s="246">
        <f t="shared" si="31"/>
        <v>0</v>
      </c>
      <c r="H148" s="276">
        <f t="shared" si="32"/>
        <v>0</v>
      </c>
      <c r="I148" s="621"/>
      <c r="J148" s="183">
        <v>0</v>
      </c>
      <c r="K148" s="183">
        <v>0</v>
      </c>
    </row>
    <row r="149" spans="1:11" s="272" customFormat="1">
      <c r="A149" s="274"/>
      <c r="B149" s="268" t="s">
        <v>197</v>
      </c>
      <c r="C149" s="501">
        <f>'[52]Sch C'!D150</f>
        <v>5422</v>
      </c>
      <c r="D149" s="501">
        <f>'[52]Sch C'!F150</f>
        <v>0</v>
      </c>
      <c r="E149" s="246">
        <f t="shared" si="30"/>
        <v>5422</v>
      </c>
      <c r="F149" s="246"/>
      <c r="G149" s="246">
        <f t="shared" si="31"/>
        <v>5422</v>
      </c>
      <c r="H149" s="276">
        <f t="shared" si="32"/>
        <v>1.4927558633625862E-3</v>
      </c>
      <c r="I149" s="621"/>
      <c r="J149" s="183">
        <v>361</v>
      </c>
      <c r="K149" s="183">
        <v>361</v>
      </c>
    </row>
    <row r="150" spans="1:11" s="272" customFormat="1">
      <c r="A150" s="274">
        <v>110</v>
      </c>
      <c r="B150" s="272" t="s">
        <v>65</v>
      </c>
      <c r="C150" s="501">
        <f>'[52]Sch C'!D151</f>
        <v>63858</v>
      </c>
      <c r="D150" s="501">
        <f>'[52]Sch C'!F151</f>
        <v>0</v>
      </c>
      <c r="E150" s="246">
        <f t="shared" si="30"/>
        <v>63858</v>
      </c>
      <c r="F150" s="246"/>
      <c r="G150" s="246">
        <f t="shared" si="31"/>
        <v>63858</v>
      </c>
      <c r="H150" s="276">
        <f t="shared" si="32"/>
        <v>1.7581040930027301E-2</v>
      </c>
      <c r="I150" s="621"/>
      <c r="J150" s="168"/>
      <c r="K150" s="168"/>
    </row>
    <row r="151" spans="1:11" s="272" customFormat="1">
      <c r="A151" s="274">
        <v>111</v>
      </c>
      <c r="B151" s="275" t="s">
        <v>97</v>
      </c>
      <c r="C151" s="501">
        <f>'[52]Sch C'!D152</f>
        <v>353</v>
      </c>
      <c r="D151" s="501">
        <f>'[52]Sch C'!F152</f>
        <v>0</v>
      </c>
      <c r="E151" s="246">
        <f t="shared" si="30"/>
        <v>353</v>
      </c>
      <c r="F151" s="246"/>
      <c r="G151" s="246">
        <f t="shared" si="31"/>
        <v>353</v>
      </c>
      <c r="H151" s="276">
        <f t="shared" si="32"/>
        <v>9.7186060451308172E-5</v>
      </c>
      <c r="I151" s="621"/>
      <c r="J151" s="168"/>
      <c r="K151" s="168"/>
    </row>
    <row r="152" spans="1:11" s="272" customFormat="1">
      <c r="A152" s="274">
        <v>230</v>
      </c>
      <c r="B152" s="275" t="s">
        <v>66</v>
      </c>
      <c r="C152" s="501">
        <f>'[52]Sch C'!D153</f>
        <v>192</v>
      </c>
      <c r="D152" s="501">
        <f>'[52]Sch C'!F153</f>
        <v>0</v>
      </c>
      <c r="E152" s="246">
        <f t="shared" si="30"/>
        <v>192</v>
      </c>
      <c r="F152" s="246"/>
      <c r="G152" s="246">
        <f t="shared" si="31"/>
        <v>192</v>
      </c>
      <c r="H152" s="276">
        <f t="shared" si="32"/>
        <v>5.2860406817708696E-5</v>
      </c>
      <c r="I152" s="621"/>
      <c r="J152" s="168"/>
      <c r="K152" s="168"/>
    </row>
    <row r="153" spans="1:11" s="272" customFormat="1">
      <c r="A153" s="274">
        <v>430</v>
      </c>
      <c r="B153" s="275" t="s">
        <v>99</v>
      </c>
      <c r="C153" s="501">
        <f>'[52]Sch C'!D154</f>
        <v>0</v>
      </c>
      <c r="D153" s="501">
        <f>'[52]Sch C'!F154</f>
        <v>0</v>
      </c>
      <c r="E153" s="246">
        <f t="shared" si="30"/>
        <v>0</v>
      </c>
      <c r="F153" s="246"/>
      <c r="G153" s="246">
        <f t="shared" si="31"/>
        <v>0</v>
      </c>
      <c r="H153" s="276">
        <f t="shared" si="32"/>
        <v>0</v>
      </c>
      <c r="I153" s="621"/>
      <c r="J153" s="168"/>
      <c r="K153" s="168"/>
    </row>
    <row r="154" spans="1:11" s="272" customFormat="1">
      <c r="A154" s="274"/>
      <c r="B154" s="209" t="s">
        <v>302</v>
      </c>
      <c r="C154" s="500"/>
      <c r="D154" s="500"/>
      <c r="E154" s="303"/>
      <c r="F154" s="303"/>
      <c r="G154" s="303"/>
      <c r="H154" s="304"/>
      <c r="I154" s="621"/>
      <c r="J154" s="168"/>
      <c r="K154" s="168"/>
    </row>
    <row r="155" spans="1:11" s="272" customFormat="1">
      <c r="A155" s="274">
        <v>440.1</v>
      </c>
      <c r="B155" s="268" t="s">
        <v>223</v>
      </c>
      <c r="C155" s="501">
        <f>'[52]Sch C'!D156</f>
        <v>0</v>
      </c>
      <c r="D155" s="501">
        <f>'[52]Sch C'!F156</f>
        <v>0</v>
      </c>
      <c r="E155" s="246">
        <f t="shared" ref="E155:E160" si="33">C155+D155</f>
        <v>0</v>
      </c>
      <c r="F155" s="246"/>
      <c r="G155" s="246">
        <f t="shared" ref="G155:G160" si="34">E155+F155</f>
        <v>0</v>
      </c>
      <c r="H155" s="276">
        <f t="shared" ref="H155:H161" si="35">IF($G$208=0,0,G155/$G$208)</f>
        <v>0</v>
      </c>
      <c r="I155" s="621"/>
      <c r="J155" s="168"/>
      <c r="K155" s="168"/>
    </row>
    <row r="156" spans="1:11" s="272" customFormat="1">
      <c r="A156" s="274">
        <v>440.2</v>
      </c>
      <c r="B156" s="268" t="s">
        <v>224</v>
      </c>
      <c r="C156" s="501">
        <f>'[52]Sch C'!D157</f>
        <v>0</v>
      </c>
      <c r="D156" s="501">
        <f>'[52]Sch C'!F157</f>
        <v>0</v>
      </c>
      <c r="E156" s="246">
        <f t="shared" si="33"/>
        <v>0</v>
      </c>
      <c r="F156" s="246"/>
      <c r="G156" s="246">
        <f t="shared" si="34"/>
        <v>0</v>
      </c>
      <c r="H156" s="276">
        <f t="shared" si="35"/>
        <v>0</v>
      </c>
      <c r="I156" s="621"/>
      <c r="J156" s="168"/>
      <c r="K156" s="168"/>
    </row>
    <row r="157" spans="1:11" s="272" customFormat="1">
      <c r="A157" s="274">
        <v>440.3</v>
      </c>
      <c r="B157" s="268" t="s">
        <v>225</v>
      </c>
      <c r="C157" s="501">
        <f>'[52]Sch C'!D158</f>
        <v>0</v>
      </c>
      <c r="D157" s="501">
        <f>'[52]Sch C'!F158</f>
        <v>0</v>
      </c>
      <c r="E157" s="246">
        <f t="shared" si="33"/>
        <v>0</v>
      </c>
      <c r="F157" s="246"/>
      <c r="G157" s="246">
        <f t="shared" si="34"/>
        <v>0</v>
      </c>
      <c r="H157" s="276">
        <f t="shared" si="35"/>
        <v>0</v>
      </c>
      <c r="I157" s="621"/>
      <c r="J157" s="168"/>
      <c r="K157" s="168"/>
    </row>
    <row r="158" spans="1:11" s="272" customFormat="1">
      <c r="A158" s="274">
        <v>440.4</v>
      </c>
      <c r="B158" s="268" t="s">
        <v>226</v>
      </c>
      <c r="C158" s="501">
        <f>'[52]Sch C'!D159</f>
        <v>0</v>
      </c>
      <c r="D158" s="501">
        <f>'[52]Sch C'!F159</f>
        <v>0</v>
      </c>
      <c r="E158" s="246">
        <f t="shared" si="33"/>
        <v>0</v>
      </c>
      <c r="F158" s="246"/>
      <c r="G158" s="246">
        <f t="shared" si="34"/>
        <v>0</v>
      </c>
      <c r="H158" s="276">
        <f t="shared" si="35"/>
        <v>0</v>
      </c>
      <c r="I158" s="621"/>
      <c r="J158" s="168"/>
      <c r="K158" s="168"/>
    </row>
    <row r="159" spans="1:11" s="272" customFormat="1">
      <c r="A159" s="274">
        <v>440.5</v>
      </c>
      <c r="B159" s="268" t="s">
        <v>301</v>
      </c>
      <c r="C159" s="501">
        <f>'[52]Sch C'!D160</f>
        <v>0</v>
      </c>
      <c r="D159" s="501">
        <f>'[52]Sch C'!F160</f>
        <v>0</v>
      </c>
      <c r="E159" s="246">
        <f t="shared" si="33"/>
        <v>0</v>
      </c>
      <c r="F159" s="246"/>
      <c r="G159" s="246">
        <f t="shared" si="34"/>
        <v>0</v>
      </c>
      <c r="H159" s="276">
        <f t="shared" si="35"/>
        <v>0</v>
      </c>
      <c r="I159" s="621"/>
      <c r="J159" s="168"/>
      <c r="K159" s="168"/>
    </row>
    <row r="160" spans="1:11" s="272" customFormat="1">
      <c r="A160" s="274">
        <v>490</v>
      </c>
      <c r="B160" s="23" t="s">
        <v>315</v>
      </c>
      <c r="C160" s="501">
        <f>'[52]Sch C'!D161</f>
        <v>1120</v>
      </c>
      <c r="D160" s="501">
        <f>'[52]Sch C'!F161</f>
        <v>0</v>
      </c>
      <c r="E160" s="246">
        <f t="shared" si="33"/>
        <v>1120</v>
      </c>
      <c r="F160" s="246"/>
      <c r="G160" s="246">
        <f t="shared" si="34"/>
        <v>1120</v>
      </c>
      <c r="H160" s="276">
        <f t="shared" si="35"/>
        <v>3.0835237310330071E-4</v>
      </c>
      <c r="I160" s="621"/>
      <c r="J160" s="168"/>
      <c r="K160" s="168"/>
    </row>
    <row r="161" spans="1:12" s="272" customFormat="1">
      <c r="A161" s="274"/>
      <c r="B161" s="275" t="s">
        <v>233</v>
      </c>
      <c r="C161" s="501">
        <f>SUM(C123:C160)</f>
        <v>1043331</v>
      </c>
      <c r="D161" s="501">
        <f>SUM(D123:D160)</f>
        <v>178436</v>
      </c>
      <c r="E161" s="246">
        <f t="shared" ref="E161:F161" si="36">SUM(E123:E160)</f>
        <v>1221767</v>
      </c>
      <c r="F161" s="246">
        <f t="shared" si="36"/>
        <v>45214.79673868767</v>
      </c>
      <c r="G161" s="246">
        <f>SUM(G123:G160)</f>
        <v>1266981.7967386877</v>
      </c>
      <c r="H161" s="276">
        <f t="shared" si="35"/>
        <v>0.34881861044915907</v>
      </c>
      <c r="I161" s="621"/>
      <c r="J161" s="168"/>
      <c r="K161" s="168"/>
    </row>
    <row r="162" spans="1:12" s="272" customFormat="1">
      <c r="A162" s="274"/>
      <c r="B162" s="170"/>
      <c r="C162" s="196"/>
      <c r="D162" s="196"/>
      <c r="E162" s="294"/>
      <c r="F162" s="294"/>
      <c r="G162" s="294"/>
      <c r="H162" s="295"/>
      <c r="I162" s="621"/>
      <c r="J162" s="168"/>
      <c r="K162" s="168"/>
    </row>
    <row r="163" spans="1:12" s="272" customFormat="1" ht="26">
      <c r="A163" s="274" t="s">
        <v>168</v>
      </c>
      <c r="B163" s="212" t="s">
        <v>100</v>
      </c>
      <c r="C163" s="213"/>
      <c r="D163" s="213"/>
      <c r="E163" s="305"/>
      <c r="F163" s="305"/>
      <c r="G163" s="305"/>
      <c r="H163" s="306"/>
      <c r="I163" s="621"/>
      <c r="J163" s="168"/>
      <c r="K163" s="168"/>
    </row>
    <row r="164" spans="1:12" s="308" customFormat="1">
      <c r="A164" s="307" t="s">
        <v>95</v>
      </c>
      <c r="B164" s="297" t="s">
        <v>102</v>
      </c>
      <c r="C164" s="501">
        <f>'[52]Sch C'!D175</f>
        <v>0</v>
      </c>
      <c r="D164" s="501">
        <f>'[52]Sch C'!F175</f>
        <v>0</v>
      </c>
      <c r="E164" s="246">
        <f t="shared" ref="E164:E196" si="37">C164+D164</f>
        <v>0</v>
      </c>
      <c r="F164" s="216"/>
      <c r="G164" s="246">
        <f t="shared" ref="G164:G196" si="38">E164+F164</f>
        <v>0</v>
      </c>
      <c r="H164" s="276">
        <f t="shared" ref="H164:H196" si="39">IF($G$208=0,0,G164/$G$208)</f>
        <v>0</v>
      </c>
      <c r="I164" s="628"/>
      <c r="J164" s="183">
        <v>0</v>
      </c>
      <c r="K164" s="183">
        <v>0</v>
      </c>
      <c r="L164" s="220"/>
    </row>
    <row r="165" spans="1:12" s="308" customFormat="1">
      <c r="A165" s="307" t="s">
        <v>123</v>
      </c>
      <c r="B165" s="297" t="s">
        <v>103</v>
      </c>
      <c r="C165" s="501">
        <f>'[52]Sch C'!D176</f>
        <v>0</v>
      </c>
      <c r="D165" s="501">
        <f>'[52]Sch C'!F176</f>
        <v>0</v>
      </c>
      <c r="E165" s="246">
        <f t="shared" si="37"/>
        <v>0</v>
      </c>
      <c r="F165" s="216"/>
      <c r="G165" s="246">
        <f t="shared" si="38"/>
        <v>0</v>
      </c>
      <c r="H165" s="276">
        <f t="shared" si="39"/>
        <v>0</v>
      </c>
      <c r="I165" s="629"/>
      <c r="J165" s="222"/>
      <c r="K165" s="222"/>
      <c r="L165" s="220"/>
    </row>
    <row r="166" spans="1:12" s="308" customFormat="1">
      <c r="A166" s="307" t="s">
        <v>124</v>
      </c>
      <c r="B166" s="297" t="s">
        <v>104</v>
      </c>
      <c r="C166" s="501">
        <f>'[52]Sch C'!D177</f>
        <v>184147</v>
      </c>
      <c r="D166" s="501">
        <f>'[52]Sch C'!F177</f>
        <v>9097</v>
      </c>
      <c r="E166" s="246">
        <f t="shared" si="37"/>
        <v>193244</v>
      </c>
      <c r="F166" s="216"/>
      <c r="G166" s="246">
        <f t="shared" si="38"/>
        <v>193244</v>
      </c>
      <c r="H166" s="276">
        <f t="shared" si="39"/>
        <v>5.3202898203548434E-2</v>
      </c>
      <c r="I166" s="628"/>
      <c r="J166" s="183">
        <v>5717</v>
      </c>
      <c r="K166" s="183">
        <v>5999</v>
      </c>
      <c r="L166" s="220"/>
    </row>
    <row r="167" spans="1:12" s="308" customFormat="1">
      <c r="A167" s="307" t="s">
        <v>157</v>
      </c>
      <c r="B167" s="297" t="s">
        <v>105</v>
      </c>
      <c r="C167" s="501">
        <f>'[52]Sch C'!D178</f>
        <v>0</v>
      </c>
      <c r="D167" s="501">
        <f>'[52]Sch C'!F178</f>
        <v>25332</v>
      </c>
      <c r="E167" s="246">
        <f t="shared" si="37"/>
        <v>25332</v>
      </c>
      <c r="F167" s="216"/>
      <c r="G167" s="246">
        <f t="shared" si="38"/>
        <v>25332</v>
      </c>
      <c r="H167" s="276">
        <f t="shared" si="39"/>
        <v>6.9742699245114413E-3</v>
      </c>
      <c r="I167" s="629"/>
      <c r="J167" s="222"/>
      <c r="K167" s="222"/>
      <c r="L167" s="220"/>
    </row>
    <row r="168" spans="1:12" s="308" customFormat="1">
      <c r="A168" s="307" t="s">
        <v>158</v>
      </c>
      <c r="B168" s="297" t="s">
        <v>316</v>
      </c>
      <c r="C168" s="501">
        <f>'[52]Sch C'!D179</f>
        <v>0</v>
      </c>
      <c r="D168" s="501">
        <f>'[52]Sch C'!F179</f>
        <v>0</v>
      </c>
      <c r="E168" s="246">
        <f t="shared" si="37"/>
        <v>0</v>
      </c>
      <c r="F168" s="216"/>
      <c r="G168" s="246">
        <f t="shared" si="38"/>
        <v>0</v>
      </c>
      <c r="H168" s="276">
        <f t="shared" si="39"/>
        <v>0</v>
      </c>
      <c r="I168" s="628"/>
      <c r="J168" s="183">
        <v>0</v>
      </c>
      <c r="K168" s="183">
        <v>0</v>
      </c>
      <c r="L168" s="220"/>
    </row>
    <row r="169" spans="1:12" s="308" customFormat="1">
      <c r="A169" s="307" t="s">
        <v>86</v>
      </c>
      <c r="B169" s="297" t="s">
        <v>317</v>
      </c>
      <c r="C169" s="501">
        <f>'[52]Sch C'!D180</f>
        <v>0</v>
      </c>
      <c r="D169" s="501">
        <f>'[52]Sch C'!F180</f>
        <v>0</v>
      </c>
      <c r="E169" s="246">
        <f t="shared" si="37"/>
        <v>0</v>
      </c>
      <c r="F169" s="216"/>
      <c r="G169" s="246">
        <f t="shared" si="38"/>
        <v>0</v>
      </c>
      <c r="H169" s="276">
        <f t="shared" si="39"/>
        <v>0</v>
      </c>
      <c r="I169" s="629"/>
      <c r="J169" s="222"/>
      <c r="K169" s="222"/>
      <c r="L169" s="220"/>
    </row>
    <row r="170" spans="1:12" s="308" customFormat="1">
      <c r="A170" s="307" t="s">
        <v>96</v>
      </c>
      <c r="B170" s="297" t="s">
        <v>318</v>
      </c>
      <c r="C170" s="501">
        <f>'[52]Sch C'!D181</f>
        <v>0</v>
      </c>
      <c r="D170" s="501">
        <f>'[52]Sch C'!F181</f>
        <v>0</v>
      </c>
      <c r="E170" s="246">
        <f t="shared" si="37"/>
        <v>0</v>
      </c>
      <c r="F170" s="216"/>
      <c r="G170" s="246">
        <f t="shared" si="38"/>
        <v>0</v>
      </c>
      <c r="H170" s="276">
        <f t="shared" si="39"/>
        <v>0</v>
      </c>
      <c r="I170" s="628"/>
      <c r="J170" s="183">
        <v>0</v>
      </c>
      <c r="K170" s="183">
        <v>0</v>
      </c>
      <c r="L170" s="220"/>
    </row>
    <row r="171" spans="1:12" s="308" customFormat="1">
      <c r="A171" s="307" t="s">
        <v>125</v>
      </c>
      <c r="B171" s="297" t="s">
        <v>109</v>
      </c>
      <c r="C171" s="501">
        <f>'[52]Sch C'!D182</f>
        <v>0</v>
      </c>
      <c r="D171" s="501">
        <f>'[52]Sch C'!F182</f>
        <v>0</v>
      </c>
      <c r="E171" s="246">
        <f t="shared" si="37"/>
        <v>0</v>
      </c>
      <c r="F171" s="216"/>
      <c r="G171" s="246">
        <f t="shared" si="38"/>
        <v>0</v>
      </c>
      <c r="H171" s="276">
        <f t="shared" si="39"/>
        <v>0</v>
      </c>
      <c r="I171" s="629"/>
      <c r="J171" s="222"/>
      <c r="K171" s="222"/>
      <c r="L171" s="220"/>
    </row>
    <row r="172" spans="1:12" s="308" customFormat="1">
      <c r="A172" s="307" t="s">
        <v>126</v>
      </c>
      <c r="B172" s="297" t="s">
        <v>319</v>
      </c>
      <c r="C172" s="501">
        <f>'[52]Sch C'!D183</f>
        <v>103280</v>
      </c>
      <c r="D172" s="501">
        <f>'[52]Sch C'!F183</f>
        <v>5102</v>
      </c>
      <c r="E172" s="246">
        <f t="shared" si="37"/>
        <v>108382</v>
      </c>
      <c r="F172" s="216"/>
      <c r="G172" s="246">
        <f t="shared" si="38"/>
        <v>108382</v>
      </c>
      <c r="H172" s="276">
        <f t="shared" si="39"/>
        <v>2.9839149019358874E-2</v>
      </c>
      <c r="I172" s="628"/>
      <c r="J172" s="183">
        <v>1848</v>
      </c>
      <c r="K172" s="183">
        <v>1939</v>
      </c>
      <c r="L172" s="220"/>
    </row>
    <row r="173" spans="1:12" s="308" customFormat="1" ht="13.5">
      <c r="A173" s="307" t="s">
        <v>127</v>
      </c>
      <c r="B173" s="309" t="s">
        <v>111</v>
      </c>
      <c r="C173" s="501">
        <f>'[52]Sch C'!D184</f>
        <v>0</v>
      </c>
      <c r="D173" s="501">
        <f>'[52]Sch C'!F184</f>
        <v>14208</v>
      </c>
      <c r="E173" s="246">
        <f t="shared" si="37"/>
        <v>14208</v>
      </c>
      <c r="F173" s="216"/>
      <c r="G173" s="246">
        <f t="shared" si="38"/>
        <v>14208</v>
      </c>
      <c r="H173" s="276">
        <f t="shared" si="39"/>
        <v>3.9116701045104436E-3</v>
      </c>
      <c r="I173" s="629"/>
      <c r="J173" s="222"/>
      <c r="K173" s="222"/>
      <c r="L173" s="220"/>
    </row>
    <row r="174" spans="1:12" s="308" customFormat="1">
      <c r="A174" s="307" t="s">
        <v>128</v>
      </c>
      <c r="B174" s="297" t="s">
        <v>320</v>
      </c>
      <c r="C174" s="501">
        <f>'[52]Sch C'!D185</f>
        <v>0</v>
      </c>
      <c r="D174" s="501">
        <f>'[52]Sch C'!F185</f>
        <v>0</v>
      </c>
      <c r="E174" s="246">
        <f t="shared" si="37"/>
        <v>0</v>
      </c>
      <c r="F174" s="216"/>
      <c r="G174" s="246">
        <f t="shared" si="38"/>
        <v>0</v>
      </c>
      <c r="H174" s="276">
        <f t="shared" si="39"/>
        <v>0</v>
      </c>
      <c r="I174" s="628"/>
      <c r="J174" s="183">
        <v>0</v>
      </c>
      <c r="K174" s="183">
        <v>0</v>
      </c>
      <c r="L174" s="220"/>
    </row>
    <row r="175" spans="1:12" s="308" customFormat="1" ht="13.5">
      <c r="A175" s="307" t="s">
        <v>129</v>
      </c>
      <c r="B175" s="309" t="s">
        <v>321</v>
      </c>
      <c r="C175" s="501">
        <f>'[52]Sch C'!D186</f>
        <v>0</v>
      </c>
      <c r="D175" s="501">
        <f>'[52]Sch C'!F186</f>
        <v>0</v>
      </c>
      <c r="E175" s="246">
        <f t="shared" si="37"/>
        <v>0</v>
      </c>
      <c r="F175" s="216"/>
      <c r="G175" s="246">
        <f t="shared" si="38"/>
        <v>0</v>
      </c>
      <c r="H175" s="276">
        <f t="shared" si="39"/>
        <v>0</v>
      </c>
      <c r="I175" s="621"/>
      <c r="J175" s="223"/>
      <c r="K175" s="218"/>
      <c r="L175" s="220"/>
    </row>
    <row r="176" spans="1:12" s="308" customFormat="1">
      <c r="A176" s="310" t="s">
        <v>293</v>
      </c>
      <c r="B176" s="297" t="s">
        <v>154</v>
      </c>
      <c r="C176" s="501">
        <f>'[52]Sch C'!D187</f>
        <v>0</v>
      </c>
      <c r="D176" s="501">
        <f>'[52]Sch C'!F187</f>
        <v>0</v>
      </c>
      <c r="E176" s="246">
        <f t="shared" si="37"/>
        <v>0</v>
      </c>
      <c r="F176" s="216"/>
      <c r="G176" s="246">
        <f t="shared" si="38"/>
        <v>0</v>
      </c>
      <c r="H176" s="276">
        <f t="shared" si="39"/>
        <v>0</v>
      </c>
      <c r="I176" s="621"/>
      <c r="J176" s="223"/>
      <c r="K176" s="218"/>
      <c r="L176" s="220"/>
    </row>
    <row r="177" spans="1:12" s="308" customFormat="1">
      <c r="A177" s="310" t="s">
        <v>294</v>
      </c>
      <c r="B177" s="297" t="s">
        <v>322</v>
      </c>
      <c r="C177" s="501">
        <f>'[52]Sch C'!D188</f>
        <v>1131</v>
      </c>
      <c r="D177" s="501">
        <f>'[52]Sch C'!F188</f>
        <v>0</v>
      </c>
      <c r="E177" s="246">
        <f t="shared" si="37"/>
        <v>1131</v>
      </c>
      <c r="F177" s="216"/>
      <c r="G177" s="246">
        <f t="shared" si="38"/>
        <v>1131</v>
      </c>
      <c r="H177" s="276">
        <f t="shared" si="39"/>
        <v>3.1138083391056527E-4</v>
      </c>
      <c r="I177" s="621"/>
      <c r="J177" s="223"/>
      <c r="K177" s="218"/>
      <c r="L177" s="220"/>
    </row>
    <row r="178" spans="1:12" s="308" customFormat="1">
      <c r="A178" s="310" t="s">
        <v>295</v>
      </c>
      <c r="B178" s="297" t="s">
        <v>323</v>
      </c>
      <c r="C178" s="501">
        <f>'[52]Sch C'!D189</f>
        <v>0</v>
      </c>
      <c r="D178" s="501">
        <f>'[52]Sch C'!F189</f>
        <v>0</v>
      </c>
      <c r="E178" s="246">
        <f t="shared" si="37"/>
        <v>0</v>
      </c>
      <c r="F178" s="216"/>
      <c r="G178" s="246">
        <f t="shared" si="38"/>
        <v>0</v>
      </c>
      <c r="H178" s="276">
        <f t="shared" si="39"/>
        <v>0</v>
      </c>
      <c r="I178" s="621"/>
      <c r="J178" s="223"/>
      <c r="K178" s="218"/>
      <c r="L178" s="220"/>
    </row>
    <row r="179" spans="1:12" s="308" customFormat="1">
      <c r="A179" s="310" t="s">
        <v>296</v>
      </c>
      <c r="B179" s="297" t="s">
        <v>324</v>
      </c>
      <c r="C179" s="501">
        <f>'[52]Sch C'!D190</f>
        <v>0</v>
      </c>
      <c r="D179" s="501">
        <f>'[52]Sch C'!F190</f>
        <v>0</v>
      </c>
      <c r="E179" s="246">
        <f t="shared" si="37"/>
        <v>0</v>
      </c>
      <c r="F179" s="216"/>
      <c r="G179" s="246">
        <f t="shared" si="38"/>
        <v>0</v>
      </c>
      <c r="H179" s="276">
        <f t="shared" si="39"/>
        <v>0</v>
      </c>
      <c r="I179" s="621"/>
      <c r="J179" s="223"/>
      <c r="K179" s="218"/>
      <c r="L179" s="220"/>
    </row>
    <row r="180" spans="1:12" s="308" customFormat="1">
      <c r="A180" s="310" t="s">
        <v>297</v>
      </c>
      <c r="B180" s="297" t="s">
        <v>325</v>
      </c>
      <c r="C180" s="501">
        <f>'[52]Sch C'!D191</f>
        <v>0</v>
      </c>
      <c r="D180" s="501">
        <f>'[52]Sch C'!F191</f>
        <v>0</v>
      </c>
      <c r="E180" s="246">
        <f t="shared" si="37"/>
        <v>0</v>
      </c>
      <c r="F180" s="216"/>
      <c r="G180" s="246">
        <f t="shared" si="38"/>
        <v>0</v>
      </c>
      <c r="H180" s="276">
        <f t="shared" si="39"/>
        <v>0</v>
      </c>
      <c r="I180" s="621"/>
      <c r="J180" s="223"/>
      <c r="K180" s="218"/>
      <c r="L180" s="220"/>
    </row>
    <row r="181" spans="1:12" s="308" customFormat="1">
      <c r="A181" s="310" t="s">
        <v>298</v>
      </c>
      <c r="B181" s="297" t="s">
        <v>117</v>
      </c>
      <c r="C181" s="501">
        <f>'[52]Sch C'!D192</f>
        <v>0</v>
      </c>
      <c r="D181" s="501">
        <f>'[52]Sch C'!F192</f>
        <v>0</v>
      </c>
      <c r="E181" s="246">
        <f t="shared" si="37"/>
        <v>0</v>
      </c>
      <c r="F181" s="216"/>
      <c r="G181" s="246">
        <f t="shared" si="38"/>
        <v>0</v>
      </c>
      <c r="H181" s="276">
        <f t="shared" si="39"/>
        <v>0</v>
      </c>
      <c r="I181" s="621"/>
      <c r="J181" s="223"/>
      <c r="K181" s="218"/>
      <c r="L181" s="220"/>
    </row>
    <row r="182" spans="1:12" s="308" customFormat="1">
      <c r="A182" s="310" t="s">
        <v>132</v>
      </c>
      <c r="B182" s="297" t="s">
        <v>118</v>
      </c>
      <c r="C182" s="501">
        <f>'[52]Sch C'!D193</f>
        <v>0</v>
      </c>
      <c r="D182" s="501">
        <f>'[52]Sch C'!F193</f>
        <v>0</v>
      </c>
      <c r="E182" s="246">
        <f t="shared" si="37"/>
        <v>0</v>
      </c>
      <c r="F182" s="216"/>
      <c r="G182" s="246">
        <f t="shared" si="38"/>
        <v>0</v>
      </c>
      <c r="H182" s="276">
        <f t="shared" si="39"/>
        <v>0</v>
      </c>
      <c r="I182" s="621"/>
      <c r="J182" s="223"/>
      <c r="K182" s="218"/>
      <c r="L182" s="220"/>
    </row>
    <row r="183" spans="1:12" s="308" customFormat="1">
      <c r="A183" s="310" t="s">
        <v>133</v>
      </c>
      <c r="B183" s="297" t="s">
        <v>119</v>
      </c>
      <c r="C183" s="501">
        <f>'[52]Sch C'!D194</f>
        <v>409</v>
      </c>
      <c r="D183" s="501">
        <f>'[52]Sch C'!F194</f>
        <v>0</v>
      </c>
      <c r="E183" s="246">
        <f t="shared" si="37"/>
        <v>409</v>
      </c>
      <c r="F183" s="216"/>
      <c r="G183" s="246">
        <f t="shared" si="38"/>
        <v>409</v>
      </c>
      <c r="H183" s="276">
        <f t="shared" si="39"/>
        <v>1.1260367910647321E-4</v>
      </c>
      <c r="I183" s="621"/>
      <c r="J183" s="223"/>
      <c r="K183" s="218"/>
      <c r="L183" s="220"/>
    </row>
    <row r="184" spans="1:12" s="308" customFormat="1">
      <c r="A184" s="310" t="s">
        <v>134</v>
      </c>
      <c r="B184" s="297" t="s">
        <v>326</v>
      </c>
      <c r="C184" s="501">
        <f>'[52]Sch C'!D195</f>
        <v>4989</v>
      </c>
      <c r="D184" s="501">
        <f>'[52]Sch C'!F195</f>
        <v>0</v>
      </c>
      <c r="E184" s="246">
        <f t="shared" si="37"/>
        <v>4989</v>
      </c>
      <c r="F184" s="216"/>
      <c r="G184" s="246">
        <f t="shared" si="38"/>
        <v>4989</v>
      </c>
      <c r="H184" s="276">
        <f t="shared" si="39"/>
        <v>1.3735446334038994E-3</v>
      </c>
      <c r="I184" s="621"/>
      <c r="J184" s="223"/>
      <c r="K184" s="218"/>
      <c r="L184" s="220"/>
    </row>
    <row r="185" spans="1:12" s="308" customFormat="1">
      <c r="A185" s="310" t="s">
        <v>135</v>
      </c>
      <c r="B185" s="297" t="s">
        <v>327</v>
      </c>
      <c r="C185" s="501">
        <f>'[52]Sch C'!D196</f>
        <v>0</v>
      </c>
      <c r="D185" s="501">
        <f>'[52]Sch C'!F196</f>
        <v>0</v>
      </c>
      <c r="E185" s="246">
        <f t="shared" si="37"/>
        <v>0</v>
      </c>
      <c r="F185" s="216"/>
      <c r="G185" s="246">
        <f t="shared" si="38"/>
        <v>0</v>
      </c>
      <c r="H185" s="276">
        <f t="shared" si="39"/>
        <v>0</v>
      </c>
      <c r="I185" s="621"/>
      <c r="J185" s="223"/>
      <c r="K185" s="218"/>
      <c r="L185" s="220"/>
    </row>
    <row r="186" spans="1:12" s="308" customFormat="1">
      <c r="A186" s="310" t="s">
        <v>136</v>
      </c>
      <c r="B186" s="297" t="s">
        <v>328</v>
      </c>
      <c r="C186" s="501">
        <f>'[52]Sch C'!D197</f>
        <v>-325</v>
      </c>
      <c r="D186" s="501">
        <f>'[52]Sch C'!F197</f>
        <v>0</v>
      </c>
      <c r="E186" s="246">
        <f t="shared" si="37"/>
        <v>-325</v>
      </c>
      <c r="F186" s="216"/>
      <c r="G186" s="246">
        <f t="shared" si="38"/>
        <v>-325</v>
      </c>
      <c r="H186" s="276">
        <f t="shared" si="39"/>
        <v>-8.9477251123725653E-5</v>
      </c>
      <c r="I186" s="621"/>
      <c r="J186" s="223"/>
      <c r="K186" s="218"/>
      <c r="L186" s="220"/>
    </row>
    <row r="187" spans="1:12" s="308" customFormat="1">
      <c r="A187" s="310" t="s">
        <v>137</v>
      </c>
      <c r="B187" s="297" t="s">
        <v>122</v>
      </c>
      <c r="C187" s="501">
        <f>'[52]Sch C'!D198</f>
        <v>26593</v>
      </c>
      <c r="D187" s="501">
        <f>'[52]Sch C'!F198</f>
        <v>0</v>
      </c>
      <c r="E187" s="246">
        <f t="shared" si="37"/>
        <v>26593</v>
      </c>
      <c r="F187" s="216"/>
      <c r="G187" s="246">
        <f t="shared" si="38"/>
        <v>26593</v>
      </c>
      <c r="H187" s="276">
        <f t="shared" si="39"/>
        <v>7.321441658871497E-3</v>
      </c>
      <c r="I187" s="621"/>
      <c r="J187" s="223"/>
      <c r="K187" s="218"/>
      <c r="L187" s="220"/>
    </row>
    <row r="188" spans="1:12" s="308" customFormat="1">
      <c r="A188" s="310" t="s">
        <v>275</v>
      </c>
      <c r="B188" s="297" t="s">
        <v>329</v>
      </c>
      <c r="C188" s="501">
        <f>'[52]Sch C'!D199</f>
        <v>0</v>
      </c>
      <c r="D188" s="501">
        <f>'[52]Sch C'!F199</f>
        <v>0</v>
      </c>
      <c r="E188" s="246">
        <f t="shared" si="37"/>
        <v>0</v>
      </c>
      <c r="F188" s="216"/>
      <c r="G188" s="246">
        <f t="shared" si="38"/>
        <v>0</v>
      </c>
      <c r="H188" s="276">
        <f t="shared" si="39"/>
        <v>0</v>
      </c>
      <c r="I188" s="621"/>
      <c r="J188" s="223"/>
      <c r="K188" s="218"/>
      <c r="L188" s="220"/>
    </row>
    <row r="189" spans="1:12" s="308" customFormat="1">
      <c r="A189" s="310" t="s">
        <v>277</v>
      </c>
      <c r="B189" s="297" t="s">
        <v>278</v>
      </c>
      <c r="C189" s="501">
        <f>'[52]Sch C'!D200</f>
        <v>0</v>
      </c>
      <c r="D189" s="501">
        <f>'[52]Sch C'!F200</f>
        <v>0</v>
      </c>
      <c r="E189" s="246">
        <f t="shared" si="37"/>
        <v>0</v>
      </c>
      <c r="F189" s="216"/>
      <c r="G189" s="246">
        <f t="shared" si="38"/>
        <v>0</v>
      </c>
      <c r="H189" s="276">
        <f t="shared" si="39"/>
        <v>0</v>
      </c>
      <c r="I189" s="621"/>
      <c r="J189" s="223"/>
      <c r="K189" s="218"/>
      <c r="L189" s="220"/>
    </row>
    <row r="190" spans="1:12" s="308" customFormat="1">
      <c r="A190" s="311" t="s">
        <v>279</v>
      </c>
      <c r="B190" s="312" t="s">
        <v>280</v>
      </c>
      <c r="C190" s="501">
        <f>'[52]Sch C'!D201</f>
        <v>0</v>
      </c>
      <c r="D190" s="501">
        <f>'[52]Sch C'!F201</f>
        <v>0</v>
      </c>
      <c r="E190" s="246">
        <f t="shared" si="37"/>
        <v>0</v>
      </c>
      <c r="F190" s="216"/>
      <c r="G190" s="246">
        <f t="shared" si="38"/>
        <v>0</v>
      </c>
      <c r="H190" s="276">
        <f t="shared" si="39"/>
        <v>0</v>
      </c>
      <c r="I190" s="621"/>
      <c r="J190" s="223"/>
      <c r="K190" s="218"/>
      <c r="L190" s="220"/>
    </row>
    <row r="191" spans="1:12" s="308" customFormat="1">
      <c r="A191" s="311" t="s">
        <v>281</v>
      </c>
      <c r="B191" s="312" t="s">
        <v>282</v>
      </c>
      <c r="C191" s="501">
        <f>'[52]Sch C'!D202</f>
        <v>0</v>
      </c>
      <c r="D191" s="501">
        <f>'[52]Sch C'!F202</f>
        <v>0</v>
      </c>
      <c r="E191" s="246">
        <f t="shared" si="37"/>
        <v>0</v>
      </c>
      <c r="F191" s="216"/>
      <c r="G191" s="246">
        <f t="shared" si="38"/>
        <v>0</v>
      </c>
      <c r="H191" s="276">
        <f t="shared" si="39"/>
        <v>0</v>
      </c>
      <c r="I191" s="621"/>
      <c r="J191" s="223"/>
      <c r="K191" s="218"/>
      <c r="L191" s="220"/>
    </row>
    <row r="192" spans="1:12" s="308" customFormat="1">
      <c r="A192" s="311" t="s">
        <v>283</v>
      </c>
      <c r="B192" s="312" t="s">
        <v>330</v>
      </c>
      <c r="C192" s="501">
        <f>'[52]Sch C'!D203</f>
        <v>0</v>
      </c>
      <c r="D192" s="501">
        <f>'[52]Sch C'!F203</f>
        <v>0</v>
      </c>
      <c r="E192" s="246">
        <f t="shared" si="37"/>
        <v>0</v>
      </c>
      <c r="F192" s="216"/>
      <c r="G192" s="246">
        <f t="shared" si="38"/>
        <v>0</v>
      </c>
      <c r="H192" s="276">
        <f t="shared" si="39"/>
        <v>0</v>
      </c>
      <c r="I192" s="621"/>
      <c r="J192" s="223"/>
      <c r="K192" s="218"/>
      <c r="L192" s="220"/>
    </row>
    <row r="193" spans="1:12" s="308" customFormat="1">
      <c r="A193" s="311" t="s">
        <v>285</v>
      </c>
      <c r="B193" s="312" t="s">
        <v>331</v>
      </c>
      <c r="C193" s="501">
        <f>'[52]Sch C'!D204</f>
        <v>0</v>
      </c>
      <c r="D193" s="501">
        <f>'[52]Sch C'!F204</f>
        <v>0</v>
      </c>
      <c r="E193" s="246">
        <f t="shared" si="37"/>
        <v>0</v>
      </c>
      <c r="F193" s="216"/>
      <c r="G193" s="246">
        <f t="shared" si="38"/>
        <v>0</v>
      </c>
      <c r="H193" s="276">
        <f t="shared" si="39"/>
        <v>0</v>
      </c>
      <c r="I193" s="621"/>
      <c r="J193" s="223"/>
      <c r="K193" s="218"/>
      <c r="L193" s="220"/>
    </row>
    <row r="194" spans="1:12" s="308" customFormat="1">
      <c r="A194" s="310" t="s">
        <v>138</v>
      </c>
      <c r="B194" s="297" t="s">
        <v>332</v>
      </c>
      <c r="C194" s="501">
        <f>'[52]Sch C'!D205</f>
        <v>74136</v>
      </c>
      <c r="D194" s="501">
        <f>'[52]Sch C'!F205</f>
        <v>0</v>
      </c>
      <c r="E194" s="246">
        <f t="shared" si="37"/>
        <v>74136</v>
      </c>
      <c r="F194" s="216"/>
      <c r="G194" s="246">
        <f t="shared" si="38"/>
        <v>74136</v>
      </c>
      <c r="H194" s="276">
        <f t="shared" si="39"/>
        <v>2.0410724582487771E-2</v>
      </c>
      <c r="I194" s="621"/>
      <c r="J194" s="223"/>
      <c r="K194" s="218"/>
      <c r="L194" s="220"/>
    </row>
    <row r="195" spans="1:12" s="308" customFormat="1">
      <c r="A195" s="310" t="s">
        <v>139</v>
      </c>
      <c r="B195" s="297" t="s">
        <v>67</v>
      </c>
      <c r="C195" s="501">
        <f>'[52]Sch C'!D206</f>
        <v>3861</v>
      </c>
      <c r="D195" s="501">
        <f>'[52]Sch C'!F206</f>
        <v>0</v>
      </c>
      <c r="E195" s="246">
        <f t="shared" si="37"/>
        <v>3861</v>
      </c>
      <c r="F195" s="216"/>
      <c r="G195" s="246">
        <f t="shared" si="38"/>
        <v>3861</v>
      </c>
      <c r="H195" s="276">
        <f t="shared" si="39"/>
        <v>1.0629897433498609E-3</v>
      </c>
      <c r="I195" s="621"/>
      <c r="J195" s="223"/>
      <c r="K195" s="218"/>
      <c r="L195" s="220"/>
    </row>
    <row r="196" spans="1:12" s="308" customFormat="1">
      <c r="A196" s="311" t="s">
        <v>143</v>
      </c>
      <c r="B196" s="293" t="s">
        <v>333</v>
      </c>
      <c r="C196" s="501">
        <f>'[52]Sch C'!D207</f>
        <v>15648</v>
      </c>
      <c r="D196" s="501">
        <f>'[52]Sch C'!F207</f>
        <v>-279</v>
      </c>
      <c r="E196" s="246">
        <f t="shared" si="37"/>
        <v>15369</v>
      </c>
      <c r="F196" s="216"/>
      <c r="G196" s="246">
        <f t="shared" si="38"/>
        <v>15369</v>
      </c>
      <c r="H196" s="276">
        <f t="shared" si="39"/>
        <v>4.2313103769862758E-3</v>
      </c>
      <c r="I196" s="621"/>
      <c r="J196" s="223"/>
      <c r="K196" s="218"/>
      <c r="L196" s="220"/>
    </row>
    <row r="197" spans="1:12" s="272" customFormat="1" ht="26">
      <c r="A197" s="268"/>
      <c r="B197" s="313" t="s">
        <v>130</v>
      </c>
      <c r="C197" s="501">
        <f>SUM(C164:C196)</f>
        <v>413869</v>
      </c>
      <c r="D197" s="501">
        <f>SUM(D164:D196)</f>
        <v>53460</v>
      </c>
      <c r="E197" s="246">
        <f t="shared" ref="E197:F197" si="40">SUM(E164:E196)</f>
        <v>467329</v>
      </c>
      <c r="F197" s="246">
        <f t="shared" si="40"/>
        <v>0</v>
      </c>
      <c r="G197" s="246">
        <f>SUM(G164:G196)</f>
        <v>467329</v>
      </c>
      <c r="H197" s="276">
        <f>IF($G$208=0,0,G197/$G$208)</f>
        <v>0.1286625055089218</v>
      </c>
      <c r="I197" s="621"/>
      <c r="J197" s="168"/>
      <c r="K197" s="168"/>
    </row>
    <row r="198" spans="1:12" s="272" customFormat="1">
      <c r="A198" s="268"/>
      <c r="C198" s="165"/>
      <c r="D198" s="165"/>
      <c r="E198" s="270"/>
      <c r="F198" s="270"/>
      <c r="G198" s="270"/>
      <c r="H198" s="296"/>
      <c r="I198" s="623"/>
      <c r="J198" s="168"/>
      <c r="K198" s="168"/>
    </row>
    <row r="199" spans="1:12" s="272" customFormat="1">
      <c r="A199" s="274" t="s">
        <v>169</v>
      </c>
      <c r="B199" s="275" t="s">
        <v>68</v>
      </c>
      <c r="C199" s="165"/>
      <c r="D199" s="165"/>
      <c r="E199" s="270"/>
      <c r="F199" s="270"/>
      <c r="G199" s="270"/>
      <c r="H199" s="296"/>
      <c r="I199" s="623"/>
      <c r="J199" s="168"/>
      <c r="K199" s="168"/>
    </row>
    <row r="200" spans="1:12" s="272" customFormat="1">
      <c r="A200" s="274" t="s">
        <v>85</v>
      </c>
      <c r="B200" s="275" t="s">
        <v>69</v>
      </c>
      <c r="C200" s="501">
        <f>'[52]Sch C'!D211</f>
        <v>69299</v>
      </c>
      <c r="D200" s="501">
        <f>'[52]Sch C'!F211</f>
        <v>3423</v>
      </c>
      <c r="E200" s="246">
        <f t="shared" ref="E200:E205" si="41">C200+D200</f>
        <v>72722</v>
      </c>
      <c r="F200" s="246"/>
      <c r="G200" s="246">
        <f t="shared" ref="G200:G205" si="42">E200+F200</f>
        <v>72722</v>
      </c>
      <c r="H200" s="276">
        <f t="shared" ref="H200:H206" si="43">IF($G$208=0,0,G200/$G$208)</f>
        <v>2.0021429711444855E-2</v>
      </c>
      <c r="I200" s="621"/>
      <c r="J200" s="183">
        <v>5662</v>
      </c>
      <c r="K200" s="183">
        <v>5942</v>
      </c>
    </row>
    <row r="201" spans="1:12" s="272" customFormat="1">
      <c r="A201" s="274" t="s">
        <v>86</v>
      </c>
      <c r="B201" s="275" t="s">
        <v>45</v>
      </c>
      <c r="C201" s="501">
        <f>'[52]Sch C'!D212</f>
        <v>0</v>
      </c>
      <c r="D201" s="501">
        <f>'[52]Sch C'!F212</f>
        <v>9533</v>
      </c>
      <c r="E201" s="246">
        <f t="shared" si="41"/>
        <v>9533</v>
      </c>
      <c r="F201" s="246"/>
      <c r="G201" s="246">
        <f t="shared" si="42"/>
        <v>9533</v>
      </c>
      <c r="H201" s="276">
        <f t="shared" si="43"/>
        <v>2.6245742614230054E-3</v>
      </c>
      <c r="I201" s="621"/>
      <c r="J201" s="168"/>
      <c r="K201" s="168"/>
    </row>
    <row r="202" spans="1:12" s="272" customFormat="1">
      <c r="A202" s="274" t="s">
        <v>140</v>
      </c>
      <c r="B202" s="275" t="s">
        <v>54</v>
      </c>
      <c r="C202" s="501">
        <f>'[52]Sch C'!D213</f>
        <v>1710</v>
      </c>
      <c r="D202" s="501">
        <f>'[52]Sch C'!F213</f>
        <v>0</v>
      </c>
      <c r="E202" s="246">
        <f t="shared" si="41"/>
        <v>1710</v>
      </c>
      <c r="F202" s="246"/>
      <c r="G202" s="246">
        <f t="shared" si="42"/>
        <v>1710</v>
      </c>
      <c r="H202" s="276">
        <f t="shared" si="43"/>
        <v>4.7078799822021809E-4</v>
      </c>
      <c r="I202" s="621"/>
      <c r="J202" s="168"/>
      <c r="K202" s="168"/>
    </row>
    <row r="203" spans="1:12" s="272" customFormat="1">
      <c r="A203" s="274" t="s">
        <v>141</v>
      </c>
      <c r="B203" s="275" t="s">
        <v>70</v>
      </c>
      <c r="C203" s="501">
        <f>'[52]Sch C'!D214</f>
        <v>0</v>
      </c>
      <c r="D203" s="501">
        <f>'[52]Sch C'!F214</f>
        <v>0</v>
      </c>
      <c r="E203" s="246">
        <f t="shared" si="41"/>
        <v>0</v>
      </c>
      <c r="F203" s="246"/>
      <c r="G203" s="246">
        <f t="shared" si="42"/>
        <v>0</v>
      </c>
      <c r="H203" s="276">
        <f t="shared" si="43"/>
        <v>0</v>
      </c>
      <c r="I203" s="621"/>
      <c r="J203" s="168"/>
      <c r="K203" s="168"/>
    </row>
    <row r="204" spans="1:12" s="272" customFormat="1">
      <c r="A204" s="274" t="s">
        <v>142</v>
      </c>
      <c r="B204" s="23" t="s">
        <v>71</v>
      </c>
      <c r="C204" s="501">
        <f>'[52]Sch C'!D215</f>
        <v>0</v>
      </c>
      <c r="D204" s="501">
        <f>'[52]Sch C'!F215</f>
        <v>0</v>
      </c>
      <c r="E204" s="246">
        <f t="shared" si="41"/>
        <v>0</v>
      </c>
      <c r="F204" s="246"/>
      <c r="G204" s="246">
        <f t="shared" si="42"/>
        <v>0</v>
      </c>
      <c r="H204" s="276">
        <f t="shared" si="43"/>
        <v>0</v>
      </c>
      <c r="I204" s="621"/>
      <c r="J204" s="168"/>
      <c r="K204" s="168"/>
    </row>
    <row r="205" spans="1:12" s="272" customFormat="1">
      <c r="A205" s="274" t="s">
        <v>143</v>
      </c>
      <c r="B205" s="275" t="s">
        <v>312</v>
      </c>
      <c r="C205" s="501">
        <f>'[52]Sch C'!D216</f>
        <v>6986</v>
      </c>
      <c r="D205" s="501">
        <f>'[52]Sch C'!F216</f>
        <v>0</v>
      </c>
      <c r="E205" s="246">
        <f t="shared" si="41"/>
        <v>6986</v>
      </c>
      <c r="F205" s="246"/>
      <c r="G205" s="246">
        <f t="shared" si="42"/>
        <v>6986</v>
      </c>
      <c r="H205" s="276">
        <f t="shared" si="43"/>
        <v>1.9233479272318383E-3</v>
      </c>
      <c r="I205" s="621"/>
      <c r="J205" s="168"/>
      <c r="K205" s="168"/>
    </row>
    <row r="206" spans="1:12" s="272" customFormat="1">
      <c r="A206" s="268"/>
      <c r="B206" s="275" t="s">
        <v>144</v>
      </c>
      <c r="C206" s="501">
        <f>SUM(C200:C205)</f>
        <v>77995</v>
      </c>
      <c r="D206" s="501">
        <f>SUM(D200:D205)</f>
        <v>12956</v>
      </c>
      <c r="E206" s="246">
        <f t="shared" ref="E206:F206" si="44">SUM(E200:E205)</f>
        <v>90951</v>
      </c>
      <c r="F206" s="246">
        <f t="shared" si="44"/>
        <v>0</v>
      </c>
      <c r="G206" s="246">
        <f>SUM(G200:G205)</f>
        <v>90951</v>
      </c>
      <c r="H206" s="276">
        <f t="shared" si="43"/>
        <v>2.5040139898319914E-2</v>
      </c>
      <c r="I206" s="621"/>
      <c r="J206" s="168"/>
      <c r="K206" s="168"/>
    </row>
    <row r="207" spans="1:12" s="272" customFormat="1">
      <c r="A207" s="268"/>
      <c r="C207" s="165"/>
      <c r="D207" s="165"/>
      <c r="E207" s="270"/>
      <c r="F207" s="270"/>
      <c r="G207" s="270"/>
      <c r="H207" s="296"/>
      <c r="I207" s="623"/>
      <c r="J207" s="168"/>
      <c r="K207" s="168"/>
    </row>
    <row r="208" spans="1:12" s="272" customFormat="1">
      <c r="A208" s="227"/>
      <c r="B208" s="281" t="s">
        <v>145</v>
      </c>
      <c r="C208" s="501">
        <f>SUM(C25:C206)/2</f>
        <v>3814457</v>
      </c>
      <c r="D208" s="501">
        <f>SUM(D25:D206)/2</f>
        <v>-16783</v>
      </c>
      <c r="E208" s="246">
        <f t="shared" ref="E208:F208" si="45">SUM(E25:E206)/2</f>
        <v>3797674</v>
      </c>
      <c r="F208" s="246">
        <f t="shared" si="45"/>
        <v>-165465.85861887233</v>
      </c>
      <c r="G208" s="246">
        <f>SUM(G25:G206)/2</f>
        <v>3632208.1413811278</v>
      </c>
      <c r="H208" s="276">
        <f>IF($G$208=0,0,G208/$G$208)</f>
        <v>1</v>
      </c>
      <c r="I208" s="621"/>
      <c r="J208" s="183">
        <f>SUM(J25:J200)</f>
        <v>101013</v>
      </c>
      <c r="K208" s="183">
        <f>SUM(K25:K200)</f>
        <v>105984</v>
      </c>
    </row>
    <row r="209" spans="1:11" s="272" customFormat="1" ht="15.5">
      <c r="A209" s="268"/>
      <c r="B209" s="275"/>
      <c r="C209" s="165"/>
      <c r="D209" s="165"/>
      <c r="E209" s="270"/>
      <c r="F209"/>
      <c r="G209"/>
      <c r="I209" s="623"/>
      <c r="J209" s="168"/>
      <c r="K209" s="168"/>
    </row>
    <row r="210" spans="1:11" s="272" customFormat="1" ht="15.5">
      <c r="A210" s="268"/>
      <c r="B210" s="275"/>
      <c r="C210" s="165"/>
      <c r="D210" s="165"/>
      <c r="E210" s="270"/>
      <c r="F210"/>
      <c r="G210"/>
      <c r="I210" s="623"/>
      <c r="J210" s="168"/>
      <c r="K210" s="168"/>
    </row>
    <row r="211" spans="1:11" s="272" customFormat="1" ht="15.5">
      <c r="A211" s="268"/>
      <c r="B211" s="228" t="s">
        <v>181</v>
      </c>
      <c r="C211" s="501">
        <f>'[52]Sch C'!D221</f>
        <v>3814457</v>
      </c>
      <c r="D211" s="196"/>
      <c r="E211" s="270"/>
      <c r="F211" s="552"/>
      <c r="G211"/>
      <c r="I211" s="623"/>
      <c r="J211" s="168"/>
      <c r="K211" s="168"/>
    </row>
    <row r="212" spans="1:11" s="272" customFormat="1" ht="15.5">
      <c r="A212" s="268"/>
      <c r="B212" s="275" t="s">
        <v>147</v>
      </c>
      <c r="C212" s="501">
        <f>C208-C211</f>
        <v>0</v>
      </c>
      <c r="D212" s="229"/>
      <c r="E212" s="270"/>
      <c r="F212" s="552"/>
      <c r="G212"/>
      <c r="I212" s="623"/>
      <c r="J212" s="168"/>
      <c r="K212" s="168"/>
    </row>
    <row r="213" spans="1:11" s="272" customFormat="1">
      <c r="A213" s="268"/>
      <c r="B213" s="314"/>
      <c r="C213" s="581"/>
      <c r="D213" s="231"/>
      <c r="E213" s="315"/>
      <c r="F213" s="421"/>
      <c r="G213" s="315"/>
      <c r="H213" s="271"/>
      <c r="I213" s="624"/>
      <c r="J213" s="168"/>
      <c r="K213" s="168"/>
    </row>
    <row r="214" spans="1:11" s="272" customFormat="1">
      <c r="A214" s="274"/>
      <c r="B214" s="281"/>
      <c r="C214" s="165"/>
      <c r="D214" s="165"/>
      <c r="E214" s="270"/>
      <c r="F214" s="270"/>
      <c r="G214" s="270"/>
      <c r="I214" s="623"/>
      <c r="J214" s="168"/>
      <c r="K214" s="168"/>
    </row>
    <row r="215" spans="1:11" s="272" customFormat="1">
      <c r="A215" s="268"/>
      <c r="B215" s="281" t="s">
        <v>78</v>
      </c>
      <c r="C215" s="501">
        <f>C21-C208</f>
        <v>590099</v>
      </c>
      <c r="D215" s="501">
        <f>D21-D208</f>
        <v>16783</v>
      </c>
      <c r="E215" s="246">
        <f t="shared" ref="E215:F215" si="46">E21-E208</f>
        <v>606882</v>
      </c>
      <c r="F215" s="246">
        <f t="shared" si="46"/>
        <v>610744.85861887236</v>
      </c>
      <c r="G215" s="246">
        <f>G21-G208</f>
        <v>1217626.8586188722</v>
      </c>
      <c r="I215" s="623"/>
      <c r="J215" s="168"/>
      <c r="K215" s="168"/>
    </row>
    <row r="216" spans="1:11" s="272" customFormat="1">
      <c r="A216" s="268"/>
      <c r="B216" s="281"/>
      <c r="C216" s="196"/>
      <c r="D216" s="196"/>
      <c r="E216" s="294"/>
      <c r="F216" s="294"/>
      <c r="G216" s="294"/>
      <c r="I216" s="623"/>
      <c r="J216" s="168"/>
      <c r="K216" s="168"/>
    </row>
    <row r="217" spans="1:11" s="272" customFormat="1" ht="15.5">
      <c r="A217" s="268"/>
      <c r="B217" s="281"/>
      <c r="C217" s="196"/>
      <c r="D217" s="196"/>
      <c r="E217" s="294"/>
      <c r="F217"/>
      <c r="G217" s="294"/>
      <c r="I217" s="623"/>
      <c r="J217" s="168"/>
      <c r="K217" s="168"/>
    </row>
    <row r="218" spans="1:11" ht="15.5">
      <c r="A218" s="268"/>
      <c r="B218" s="269" t="s">
        <v>159</v>
      </c>
      <c r="C218" s="165"/>
      <c r="D218" s="165"/>
      <c r="E218" s="270"/>
      <c r="F218"/>
      <c r="G218" s="270"/>
      <c r="H218" s="271"/>
      <c r="I218" s="624"/>
      <c r="J218" s="168"/>
      <c r="K218" s="168"/>
    </row>
    <row r="219" spans="1:11">
      <c r="A219" s="268"/>
      <c r="B219" s="275" t="s">
        <v>218</v>
      </c>
      <c r="C219" s="530">
        <f>'[52]Sch D'!C9</f>
        <v>9883</v>
      </c>
      <c r="D219" s="530"/>
      <c r="E219" s="317">
        <f t="shared" ref="E219:G227" si="47">C219+D219</f>
        <v>9883</v>
      </c>
      <c r="F219" s="316"/>
      <c r="G219" s="317">
        <f t="shared" si="47"/>
        <v>9883</v>
      </c>
      <c r="H219" s="276">
        <f t="shared" ref="H219:H228" si="48">IF($G$228=0,0,G219/$G$228)</f>
        <v>0.62677574835109084</v>
      </c>
      <c r="I219" s="621"/>
      <c r="J219" s="168"/>
      <c r="K219" s="168"/>
    </row>
    <row r="220" spans="1:11">
      <c r="A220" s="268"/>
      <c r="B220" s="275" t="s">
        <v>217</v>
      </c>
      <c r="C220" s="530">
        <f>'[52]Sch D'!D9</f>
        <v>0</v>
      </c>
      <c r="D220" s="530"/>
      <c r="E220" s="317">
        <f t="shared" ref="E220:E227" si="49">C220+D220</f>
        <v>0</v>
      </c>
      <c r="F220" s="316"/>
      <c r="G220" s="317">
        <f t="shared" si="47"/>
        <v>0</v>
      </c>
      <c r="H220" s="276">
        <f t="shared" si="48"/>
        <v>0</v>
      </c>
      <c r="I220" s="621"/>
      <c r="J220" s="168"/>
      <c r="K220" s="168"/>
    </row>
    <row r="221" spans="1:11">
      <c r="A221" s="268"/>
      <c r="B221" s="275" t="s">
        <v>72</v>
      </c>
      <c r="C221" s="530">
        <f>'[52]Sch D'!E9</f>
        <v>3036</v>
      </c>
      <c r="D221" s="530"/>
      <c r="E221" s="317">
        <f t="shared" si="49"/>
        <v>3036</v>
      </c>
      <c r="F221" s="316"/>
      <c r="G221" s="317">
        <f t="shared" si="47"/>
        <v>3036</v>
      </c>
      <c r="H221" s="276">
        <f t="shared" si="48"/>
        <v>0.19254185692541856</v>
      </c>
      <c r="I221" s="621"/>
      <c r="J221" s="168"/>
      <c r="K221" s="168"/>
    </row>
    <row r="222" spans="1:11">
      <c r="A222" s="268"/>
      <c r="B222" s="318" t="s">
        <v>334</v>
      </c>
      <c r="C222" s="530">
        <f>'[52]Sch D'!F9</f>
        <v>169</v>
      </c>
      <c r="D222" s="530"/>
      <c r="E222" s="317">
        <f>C222+D222</f>
        <v>169</v>
      </c>
      <c r="F222" s="316"/>
      <c r="G222" s="317">
        <f>E222+F222</f>
        <v>169</v>
      </c>
      <c r="H222" s="276">
        <f t="shared" si="48"/>
        <v>1.071790969051243E-2</v>
      </c>
      <c r="I222" s="621"/>
      <c r="J222" s="168"/>
      <c r="K222" s="168"/>
    </row>
    <row r="223" spans="1:11">
      <c r="A223" s="268"/>
      <c r="B223" s="275" t="s">
        <v>73</v>
      </c>
      <c r="C223" s="530">
        <f>'[52]Sch D'!G9</f>
        <v>0</v>
      </c>
      <c r="D223" s="530"/>
      <c r="E223" s="317">
        <f t="shared" si="49"/>
        <v>0</v>
      </c>
      <c r="F223" s="316"/>
      <c r="G223" s="317">
        <f t="shared" si="47"/>
        <v>0</v>
      </c>
      <c r="H223" s="276">
        <f t="shared" si="48"/>
        <v>0</v>
      </c>
      <c r="I223" s="621"/>
      <c r="J223" s="168"/>
      <c r="K223" s="168"/>
    </row>
    <row r="224" spans="1:11">
      <c r="A224" s="268"/>
      <c r="B224" s="275" t="s">
        <v>74</v>
      </c>
      <c r="C224" s="530">
        <f>'[52]Sch D'!H9</f>
        <v>2356</v>
      </c>
      <c r="D224" s="530"/>
      <c r="E224" s="317">
        <f t="shared" si="49"/>
        <v>2356</v>
      </c>
      <c r="F224" s="316"/>
      <c r="G224" s="317">
        <f t="shared" si="47"/>
        <v>2356</v>
      </c>
      <c r="H224" s="276">
        <f t="shared" si="48"/>
        <v>0.14941653982749872</v>
      </c>
      <c r="I224" s="621"/>
      <c r="J224" s="168"/>
      <c r="K224" s="168"/>
    </row>
    <row r="225" spans="1:11">
      <c r="A225" s="268"/>
      <c r="B225" s="275" t="s">
        <v>236</v>
      </c>
      <c r="C225" s="530">
        <f>'[52]Sch D'!I9</f>
        <v>0</v>
      </c>
      <c r="D225" s="530"/>
      <c r="E225" s="317">
        <f t="shared" si="49"/>
        <v>0</v>
      </c>
      <c r="F225" s="316"/>
      <c r="G225" s="317">
        <f t="shared" si="47"/>
        <v>0</v>
      </c>
      <c r="H225" s="276">
        <f t="shared" si="48"/>
        <v>0</v>
      </c>
      <c r="I225" s="621"/>
      <c r="J225" s="168"/>
      <c r="K225" s="168"/>
    </row>
    <row r="226" spans="1:11">
      <c r="A226" s="268"/>
      <c r="B226" s="275" t="s">
        <v>235</v>
      </c>
      <c r="C226" s="530">
        <f>'[52]Sch D'!J9</f>
        <v>324</v>
      </c>
      <c r="D226" s="530"/>
      <c r="E226" s="317">
        <f>C226+D226</f>
        <v>324</v>
      </c>
      <c r="F226" s="316"/>
      <c r="G226" s="317">
        <f>E226+F226</f>
        <v>324</v>
      </c>
      <c r="H226" s="276">
        <f t="shared" si="48"/>
        <v>2.0547945205479451E-2</v>
      </c>
      <c r="I226" s="621"/>
      <c r="J226" s="168"/>
      <c r="K226" s="168"/>
    </row>
    <row r="227" spans="1:11">
      <c r="A227" s="268"/>
      <c r="B227" s="275" t="s">
        <v>179</v>
      </c>
      <c r="C227" s="530">
        <f>'[52]Sch D'!K9</f>
        <v>0</v>
      </c>
      <c r="D227" s="530"/>
      <c r="E227" s="317">
        <f t="shared" si="49"/>
        <v>0</v>
      </c>
      <c r="F227" s="316"/>
      <c r="G227" s="317">
        <f t="shared" si="47"/>
        <v>0</v>
      </c>
      <c r="H227" s="276">
        <f t="shared" si="48"/>
        <v>0</v>
      </c>
      <c r="I227" s="621"/>
      <c r="J227" s="168"/>
      <c r="K227" s="168"/>
    </row>
    <row r="228" spans="1:11" ht="13.5" thickBot="1">
      <c r="A228" s="268"/>
      <c r="B228" s="319" t="s">
        <v>75</v>
      </c>
      <c r="C228" s="530">
        <f>SUM(C219:C227)</f>
        <v>15768</v>
      </c>
      <c r="D228" s="530">
        <f>SUM(D219:D227)</f>
        <v>0</v>
      </c>
      <c r="E228" s="320">
        <f>SUM(E219:E227)</f>
        <v>15768</v>
      </c>
      <c r="F228" s="320">
        <f>SUM(F219:F227)</f>
        <v>0</v>
      </c>
      <c r="G228" s="320">
        <f>SUM(G219:G227)</f>
        <v>15768</v>
      </c>
      <c r="H228" s="276">
        <f t="shared" si="48"/>
        <v>1</v>
      </c>
      <c r="I228" s="621"/>
      <c r="J228" s="168"/>
      <c r="K228" s="168"/>
    </row>
    <row r="229" spans="1:11" ht="13.5" thickTop="1">
      <c r="A229" s="268"/>
      <c r="B229" s="272"/>
      <c r="C229" s="582"/>
      <c r="D229" s="237"/>
      <c r="E229" s="315"/>
      <c r="F229" s="321"/>
      <c r="G229" s="315"/>
      <c r="H229" s="272"/>
      <c r="I229" s="623"/>
      <c r="J229" s="168"/>
      <c r="K229" s="168"/>
    </row>
    <row r="230" spans="1:11">
      <c r="A230" s="268"/>
      <c r="B230" s="269" t="s">
        <v>160</v>
      </c>
      <c r="C230" s="581"/>
      <c r="D230" s="231"/>
      <c r="E230" s="315"/>
      <c r="F230" s="315"/>
      <c r="G230" s="315"/>
      <c r="H230" s="272"/>
      <c r="I230" s="623"/>
      <c r="J230" s="168"/>
      <c r="K230" s="168"/>
    </row>
    <row r="231" spans="1:11">
      <c r="A231" s="268"/>
      <c r="B231" s="23" t="s">
        <v>219</v>
      </c>
      <c r="C231" s="531">
        <f>'[52]Sch D'!N22</f>
        <v>100</v>
      </c>
      <c r="D231" s="502"/>
      <c r="E231" s="317">
        <f>C231+D231</f>
        <v>100</v>
      </c>
      <c r="F231" s="317"/>
      <c r="G231" s="317">
        <f>E231+F231</f>
        <v>100</v>
      </c>
      <c r="H231" s="272"/>
      <c r="I231" s="623"/>
      <c r="J231" s="168"/>
      <c r="K231" s="168"/>
    </row>
    <row r="232" spans="1:11">
      <c r="A232" s="268"/>
      <c r="B232" s="23" t="s">
        <v>290</v>
      </c>
      <c r="C232" s="531">
        <f>'[52]Sch D'!N24</f>
        <v>100</v>
      </c>
      <c r="D232" s="502"/>
      <c r="E232" s="317">
        <f>C232+D232</f>
        <v>100</v>
      </c>
      <c r="F232" s="317"/>
      <c r="G232" s="317">
        <f>E232+F232</f>
        <v>100</v>
      </c>
      <c r="H232" s="272"/>
      <c r="I232" s="623"/>
      <c r="J232" s="168"/>
      <c r="K232" s="168"/>
    </row>
    <row r="233" spans="1:11">
      <c r="A233" s="268"/>
      <c r="B233" s="23" t="s">
        <v>76</v>
      </c>
      <c r="C233" s="531">
        <f>$C$4-$C$3+1</f>
        <v>365</v>
      </c>
      <c r="D233" s="438"/>
      <c r="E233" s="317">
        <f>C233+D233</f>
        <v>365</v>
      </c>
      <c r="F233" s="322"/>
      <c r="G233" s="317">
        <f>E233+F233</f>
        <v>365</v>
      </c>
      <c r="H233" s="272"/>
      <c r="I233" s="623"/>
      <c r="J233" s="168"/>
      <c r="K233" s="168"/>
    </row>
    <row r="234" spans="1:11">
      <c r="A234" s="268"/>
      <c r="B234" s="323"/>
      <c r="C234" s="583"/>
      <c r="D234" s="238"/>
      <c r="E234" s="324"/>
      <c r="F234" s="322"/>
      <c r="G234" s="324"/>
      <c r="H234" s="272"/>
      <c r="I234" s="623"/>
      <c r="J234" s="168"/>
      <c r="K234" s="168"/>
    </row>
    <row r="235" spans="1:11" ht="26">
      <c r="A235" s="268"/>
      <c r="B235" s="325" t="s">
        <v>237</v>
      </c>
      <c r="C235" s="531">
        <f>'[52]Sch D'!N28</f>
        <v>36500</v>
      </c>
      <c r="D235" s="438"/>
      <c r="E235" s="316">
        <f>E231*E233</f>
        <v>36500</v>
      </c>
      <c r="F235" s="322"/>
      <c r="G235" s="316">
        <f>G231*G233</f>
        <v>36500</v>
      </c>
      <c r="H235" s="272"/>
      <c r="I235" s="623"/>
      <c r="J235" s="168"/>
      <c r="K235" s="168"/>
    </row>
    <row r="236" spans="1:11" ht="26">
      <c r="A236" s="268"/>
      <c r="B236" s="325" t="s">
        <v>238</v>
      </c>
      <c r="C236" s="532">
        <f>'[52]Sch D'!N30</f>
        <v>0.432</v>
      </c>
      <c r="D236" s="238"/>
      <c r="E236" s="326">
        <f>E228/E235</f>
        <v>0.432</v>
      </c>
      <c r="F236" s="327"/>
      <c r="G236" s="326">
        <f>G228/G235</f>
        <v>0.432</v>
      </c>
      <c r="H236" s="272"/>
      <c r="I236" s="623"/>
      <c r="J236" s="168"/>
      <c r="K236" s="168"/>
    </row>
    <row r="237" spans="1:11" ht="26">
      <c r="A237" s="268"/>
      <c r="B237" s="325" t="s">
        <v>239</v>
      </c>
      <c r="C237" s="532">
        <f>'[52]Sch D'!N32</f>
        <v>0.27076712328767122</v>
      </c>
      <c r="D237" s="238"/>
      <c r="E237" s="326">
        <f>(E219+E220)/E235</f>
        <v>0.27076712328767122</v>
      </c>
      <c r="F237" s="327"/>
      <c r="G237" s="326">
        <f>(G219+G220)/G235</f>
        <v>0.27076712328767122</v>
      </c>
      <c r="H237" s="272"/>
      <c r="I237" s="623"/>
      <c r="J237" s="168"/>
      <c r="K237" s="168"/>
    </row>
    <row r="238" spans="1:11" ht="39">
      <c r="A238" s="268"/>
      <c r="B238" s="325" t="s">
        <v>240</v>
      </c>
      <c r="C238" s="532">
        <f>'[52]Sch D'!N34</f>
        <v>0.62677574835109084</v>
      </c>
      <c r="D238" s="238"/>
      <c r="E238" s="326">
        <f>(E237/E236)</f>
        <v>0.62677574835109084</v>
      </c>
      <c r="F238" s="327"/>
      <c r="G238" s="326">
        <f>(G237/G236)</f>
        <v>0.62677574835109084</v>
      </c>
      <c r="H238" s="272"/>
      <c r="I238" s="623"/>
      <c r="J238" s="168"/>
      <c r="K238" s="168"/>
    </row>
    <row r="239" spans="1:11">
      <c r="C239" s="140"/>
      <c r="D239" s="140"/>
      <c r="I239" s="623"/>
      <c r="J239" s="141"/>
      <c r="K239" s="141"/>
    </row>
    <row r="240" spans="1:11">
      <c r="C240" s="140"/>
      <c r="D240" s="140"/>
      <c r="I240" s="623"/>
      <c r="J240" s="141"/>
      <c r="K240" s="141"/>
    </row>
    <row r="241" spans="2:11" ht="15.5">
      <c r="B241" s="253" t="s">
        <v>339</v>
      </c>
      <c r="C241" s="140"/>
      <c r="D241"/>
      <c r="E241"/>
      <c r="F241" s="249" t="s">
        <v>340</v>
      </c>
      <c r="G241" s="501">
        <f>'[52]Sch B'!C85</f>
        <v>134.5390625</v>
      </c>
      <c r="I241" s="623"/>
      <c r="J241" s="141"/>
      <c r="K241" s="141"/>
    </row>
    <row r="242" spans="2:11" ht="15.5">
      <c r="C242" s="140"/>
      <c r="D242"/>
      <c r="E242"/>
      <c r="F242" s="249" t="s">
        <v>341</v>
      </c>
      <c r="G242" s="501">
        <f>'[52]Sch B'!E85</f>
        <v>136.5952380952381</v>
      </c>
      <c r="I242" s="623"/>
      <c r="J242" s="141"/>
      <c r="K242" s="141"/>
    </row>
    <row r="243" spans="2:11" ht="15.5">
      <c r="C243" s="140"/>
      <c r="D243"/>
      <c r="E243"/>
      <c r="F243" s="249" t="s">
        <v>342</v>
      </c>
      <c r="G243" s="501">
        <f>'[52]Sch B'!G85</f>
        <v>139.98294243070362</v>
      </c>
      <c r="I243" s="623"/>
      <c r="J243" s="141"/>
      <c r="K243" s="141"/>
    </row>
    <row r="244" spans="2:11" ht="15.5">
      <c r="C244" s="140"/>
      <c r="D244"/>
      <c r="E244"/>
      <c r="F244" s="249" t="s">
        <v>343</v>
      </c>
      <c r="G244" s="501">
        <f>'[52]Sch B'!I85</f>
        <v>138.4858757062147</v>
      </c>
      <c r="I244" s="623"/>
      <c r="J244" s="141"/>
      <c r="K244" s="141"/>
    </row>
    <row r="245" spans="2:11">
      <c r="C245" s="140"/>
      <c r="D245" s="140"/>
      <c r="F245" s="249"/>
      <c r="I245" s="623"/>
      <c r="J245" s="141"/>
      <c r="K245" s="141"/>
    </row>
    <row r="246" spans="2:11">
      <c r="C246" s="140"/>
      <c r="D246" s="140"/>
      <c r="I246" s="623"/>
      <c r="J246" s="141"/>
      <c r="K246" s="141"/>
    </row>
    <row r="247" spans="2:11">
      <c r="C247" s="140"/>
      <c r="D247" s="140"/>
      <c r="J247" s="141"/>
      <c r="K247" s="141"/>
    </row>
    <row r="248" spans="2:11">
      <c r="C248" s="140"/>
      <c r="D248" s="140"/>
      <c r="J248" s="141"/>
      <c r="K248" s="141"/>
    </row>
    <row r="249" spans="2:11">
      <c r="C249" s="140"/>
      <c r="D249" s="140"/>
      <c r="J249" s="141"/>
      <c r="K249" s="141"/>
    </row>
    <row r="250" spans="2:11">
      <c r="C250" s="140"/>
      <c r="D250" s="140"/>
      <c r="J250" s="141"/>
      <c r="K250" s="141"/>
    </row>
    <row r="251" spans="2:11">
      <c r="C251" s="140"/>
      <c r="D251" s="140"/>
      <c r="J251" s="141"/>
      <c r="K251" s="141"/>
    </row>
    <row r="252" spans="2:11">
      <c r="J252" s="141"/>
      <c r="K252" s="141"/>
    </row>
    <row r="253" spans="2:11">
      <c r="J253" s="141"/>
      <c r="K253" s="141"/>
    </row>
    <row r="254" spans="2:11">
      <c r="J254" s="141"/>
      <c r="K254" s="141"/>
    </row>
  </sheetData>
  <customSheetViews>
    <customSheetView guid="{8B6AA640-12E9-11D5-ABB1-E7A21A3D4A14}" showGridLines="0" showRuler="0">
      <pageMargins left="0" right="0" top="0" bottom="1" header="0.5" footer="0.5"/>
      <printOptions horizontalCentered="1"/>
      <pageSetup scale="75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20" sqref="F20"/>
      <pageMargins left="0" right="0" top="0" bottom="1" header="0.5" footer="0.5"/>
      <printOptions horizontalCentered="1"/>
      <pageSetup scale="75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>
    <tabColor rgb="FFE28CAB"/>
  </sheetPr>
  <dimension ref="A1:O246"/>
  <sheetViews>
    <sheetView showGridLines="0" zoomScaleNormal="100" workbookViewId="0">
      <pane xSplit="2" ySplit="8" topLeftCell="C47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353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v>1374238</v>
      </c>
      <c r="D11" s="501">
        <v>0</v>
      </c>
      <c r="E11" s="171">
        <f>C11+D11</f>
        <v>1374238</v>
      </c>
      <c r="F11" s="171"/>
      <c r="G11" s="171">
        <f t="shared" ref="G11:G20" si="0">E11+F11</f>
        <v>1374238</v>
      </c>
      <c r="H11" s="172">
        <f t="shared" ref="H11:H21" si="1">IF($G$21=0,0,G11/$G$21)</f>
        <v>0.43236513739530963</v>
      </c>
      <c r="I11" s="473"/>
      <c r="J11" s="336" t="s">
        <v>344</v>
      </c>
      <c r="K11" s="337">
        <f>G21</f>
        <v>3178420</v>
      </c>
    </row>
    <row r="12" spans="1:11" s="167" customFormat="1">
      <c r="A12" s="169" t="s">
        <v>15</v>
      </c>
      <c r="B12" s="170" t="s">
        <v>212</v>
      </c>
      <c r="C12" s="501">
        <v>0</v>
      </c>
      <c r="D12" s="501"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3351180.36</v>
      </c>
    </row>
    <row r="13" spans="1:11" s="167" customFormat="1">
      <c r="A13" s="169" t="s">
        <v>16</v>
      </c>
      <c r="B13" s="170" t="s">
        <v>170</v>
      </c>
      <c r="C13" s="501">
        <v>521242</v>
      </c>
      <c r="D13" s="501">
        <v>0</v>
      </c>
      <c r="E13" s="171">
        <f t="shared" si="2"/>
        <v>521242</v>
      </c>
      <c r="F13" s="171"/>
      <c r="G13" s="171">
        <f t="shared" si="0"/>
        <v>521242</v>
      </c>
      <c r="H13" s="172">
        <f t="shared" si="1"/>
        <v>0.16399405994173205</v>
      </c>
      <c r="I13" s="473"/>
      <c r="J13" s="338" t="s">
        <v>346</v>
      </c>
      <c r="K13" s="339">
        <f>G228</f>
        <v>13654</v>
      </c>
    </row>
    <row r="14" spans="1:11" s="167" customFormat="1">
      <c r="A14" s="173" t="s">
        <v>18</v>
      </c>
      <c r="B14" s="174" t="s">
        <v>306</v>
      </c>
      <c r="C14" s="501">
        <v>264165</v>
      </c>
      <c r="D14" s="501">
        <v>0</v>
      </c>
      <c r="E14" s="171">
        <f t="shared" si="2"/>
        <v>264165</v>
      </c>
      <c r="F14" s="175"/>
      <c r="G14" s="175">
        <f>E14+F14</f>
        <v>264165</v>
      </c>
      <c r="H14" s="176">
        <f t="shared" si="1"/>
        <v>8.3112049383026784E-2</v>
      </c>
      <c r="I14" s="479"/>
      <c r="J14" s="338" t="s">
        <v>347</v>
      </c>
      <c r="K14" s="339">
        <f>G231</f>
        <v>72</v>
      </c>
    </row>
    <row r="15" spans="1:11" s="167" customFormat="1">
      <c r="A15" s="169" t="s">
        <v>19</v>
      </c>
      <c r="B15" s="170" t="s">
        <v>171</v>
      </c>
      <c r="C15" s="501">
        <v>420361</v>
      </c>
      <c r="D15" s="501">
        <v>0</v>
      </c>
      <c r="E15" s="171">
        <f t="shared" si="2"/>
        <v>420361</v>
      </c>
      <c r="F15" s="171"/>
      <c r="G15" s="171">
        <f t="shared" si="0"/>
        <v>420361</v>
      </c>
      <c r="H15" s="172">
        <f t="shared" si="1"/>
        <v>0.13225470516797655</v>
      </c>
      <c r="I15" s="473"/>
      <c r="J15" s="338" t="s">
        <v>348</v>
      </c>
      <c r="K15" s="339">
        <f>G235</f>
        <v>26280</v>
      </c>
    </row>
    <row r="16" spans="1:11" s="167" customFormat="1">
      <c r="A16" s="169" t="s">
        <v>21</v>
      </c>
      <c r="B16" s="170" t="s">
        <v>172</v>
      </c>
      <c r="C16" s="501">
        <v>281180</v>
      </c>
      <c r="D16" s="501">
        <v>0</v>
      </c>
      <c r="E16" s="171">
        <f t="shared" si="2"/>
        <v>281180</v>
      </c>
      <c r="F16" s="171"/>
      <c r="G16" s="171">
        <f t="shared" si="0"/>
        <v>281180</v>
      </c>
      <c r="H16" s="172">
        <f t="shared" si="1"/>
        <v>8.8465338123973544E-2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v>234120</v>
      </c>
      <c r="D17" s="501">
        <v>0</v>
      </c>
      <c r="E17" s="171">
        <f t="shared" si="2"/>
        <v>234120</v>
      </c>
      <c r="F17" s="171"/>
      <c r="G17" s="171">
        <f>E17+F17</f>
        <v>234120</v>
      </c>
      <c r="H17" s="172">
        <f t="shared" si="1"/>
        <v>7.3659239496353529E-2</v>
      </c>
      <c r="I17" s="473"/>
      <c r="J17" s="338" t="s">
        <v>156</v>
      </c>
      <c r="K17" s="339">
        <f>J208</f>
        <v>64899</v>
      </c>
    </row>
    <row r="18" spans="1:11" s="167" customFormat="1" ht="13.5" thickBot="1">
      <c r="A18" s="169" t="s">
        <v>216</v>
      </c>
      <c r="B18" s="170" t="s">
        <v>229</v>
      </c>
      <c r="C18" s="501">
        <v>0</v>
      </c>
      <c r="D18" s="501"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69331</v>
      </c>
    </row>
    <row r="19" spans="1:11" s="167" customFormat="1">
      <c r="A19" s="169" t="s">
        <v>227</v>
      </c>
      <c r="B19" s="177" t="s">
        <v>173</v>
      </c>
      <c r="C19" s="501">
        <v>21656</v>
      </c>
      <c r="D19" s="501">
        <v>0</v>
      </c>
      <c r="E19" s="171">
        <f t="shared" si="2"/>
        <v>21656</v>
      </c>
      <c r="F19" s="171"/>
      <c r="G19" s="171">
        <f t="shared" si="0"/>
        <v>21656</v>
      </c>
      <c r="H19" s="172">
        <f t="shared" si="1"/>
        <v>6.8134481912396723E-3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v>65438</v>
      </c>
      <c r="D20" s="501">
        <v>-3980</v>
      </c>
      <c r="E20" s="171">
        <f t="shared" si="2"/>
        <v>61458</v>
      </c>
      <c r="F20" s="171"/>
      <c r="G20" s="171">
        <f t="shared" si="0"/>
        <v>61458</v>
      </c>
      <c r="H20" s="172">
        <f t="shared" si="1"/>
        <v>1.9336022300388243E-2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v>3182400</v>
      </c>
      <c r="D21" s="501">
        <v>-3980</v>
      </c>
      <c r="E21" s="171">
        <f>SUM(E11:E20)</f>
        <v>3178420</v>
      </c>
      <c r="F21" s="171">
        <f>SUM(F11:F20)</f>
        <v>0</v>
      </c>
      <c r="G21" s="171">
        <f>SUM(G11:G20)</f>
        <v>3178420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v>0</v>
      </c>
      <c r="D25" s="501">
        <v>97219</v>
      </c>
      <c r="E25" s="171">
        <f t="shared" ref="E25:E60" si="3">C25+D25</f>
        <v>97219</v>
      </c>
      <c r="F25" s="171"/>
      <c r="G25" s="182">
        <f>E25+F25</f>
        <v>97219</v>
      </c>
      <c r="H25" s="172">
        <f>IF($G$208=0,0,G25/$G$208)</f>
        <v>2.9010375317429948E-2</v>
      </c>
      <c r="I25" s="473"/>
      <c r="J25" s="183">
        <v>1939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v>0</v>
      </c>
      <c r="D26" s="501"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v>180130</v>
      </c>
      <c r="D27" s="501">
        <v>-97219</v>
      </c>
      <c r="E27" s="171">
        <f t="shared" si="3"/>
        <v>82911</v>
      </c>
      <c r="F27" s="171"/>
      <c r="G27" s="171">
        <f t="shared" si="4"/>
        <v>82911</v>
      </c>
      <c r="H27" s="172">
        <f t="shared" si="5"/>
        <v>2.4740834897946228E-2</v>
      </c>
      <c r="I27" s="473"/>
      <c r="J27" s="183">
        <v>3681</v>
      </c>
      <c r="K27" s="183">
        <v>4005</v>
      </c>
    </row>
    <row r="28" spans="1:11" s="167" customFormat="1">
      <c r="A28" s="169" t="s">
        <v>86</v>
      </c>
      <c r="B28" s="170" t="s">
        <v>45</v>
      </c>
      <c r="C28" s="501">
        <v>34921</v>
      </c>
      <c r="D28" s="501">
        <v>299</v>
      </c>
      <c r="E28" s="171">
        <f t="shared" si="3"/>
        <v>35220</v>
      </c>
      <c r="F28" s="171"/>
      <c r="G28" s="171">
        <f t="shared" si="4"/>
        <v>35220</v>
      </c>
      <c r="H28" s="172">
        <f t="shared" si="5"/>
        <v>1.050972977175123E-2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v>0</v>
      </c>
      <c r="D29" s="501"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v>0</v>
      </c>
      <c r="D30" s="501"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v>159787</v>
      </c>
      <c r="D31" s="501">
        <v>4704</v>
      </c>
      <c r="E31" s="171">
        <f t="shared" si="3"/>
        <v>164491</v>
      </c>
      <c r="F31" s="171"/>
      <c r="G31" s="171">
        <f t="shared" si="4"/>
        <v>164491</v>
      </c>
      <c r="H31" s="172">
        <f t="shared" si="5"/>
        <v>4.9084496305653931E-2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v>406</v>
      </c>
      <c r="D32" s="501">
        <v>-406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v>9816</v>
      </c>
      <c r="D33" s="501">
        <v>0</v>
      </c>
      <c r="E33" s="171">
        <f t="shared" si="3"/>
        <v>9816</v>
      </c>
      <c r="F33" s="171"/>
      <c r="G33" s="171">
        <f t="shared" si="4"/>
        <v>9816</v>
      </c>
      <c r="H33" s="172">
        <f t="shared" si="5"/>
        <v>2.9291171902189115E-3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v>9376</v>
      </c>
      <c r="D34" s="501">
        <v>0</v>
      </c>
      <c r="E34" s="171">
        <f t="shared" si="3"/>
        <v>9376</v>
      </c>
      <c r="F34" s="171"/>
      <c r="G34" s="171">
        <f t="shared" si="4"/>
        <v>9376</v>
      </c>
      <c r="H34" s="172">
        <f t="shared" si="5"/>
        <v>2.7978201686524565E-3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v>6247</v>
      </c>
      <c r="D35" s="501">
        <v>0</v>
      </c>
      <c r="E35" s="171">
        <f t="shared" si="3"/>
        <v>6247</v>
      </c>
      <c r="F35" s="171"/>
      <c r="G35" s="171">
        <f t="shared" si="4"/>
        <v>6247</v>
      </c>
      <c r="H35" s="172">
        <f t="shared" si="5"/>
        <v>1.8641193039219174E-3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v>9306</v>
      </c>
      <c r="D36" s="501">
        <v>0</v>
      </c>
      <c r="E36" s="171">
        <f t="shared" si="3"/>
        <v>9306</v>
      </c>
      <c r="F36" s="171"/>
      <c r="G36" s="171">
        <f t="shared" si="4"/>
        <v>9306</v>
      </c>
      <c r="H36" s="172">
        <f t="shared" si="5"/>
        <v>2.7769320061305208E-3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v>0</v>
      </c>
      <c r="D37" s="501"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v>1703</v>
      </c>
      <c r="D38" s="501">
        <v>0</v>
      </c>
      <c r="E38" s="171">
        <f t="shared" si="3"/>
        <v>1703</v>
      </c>
      <c r="F38" s="171"/>
      <c r="G38" s="171">
        <f t="shared" si="4"/>
        <v>1703</v>
      </c>
      <c r="H38" s="172">
        <f t="shared" si="5"/>
        <v>5.0817915392652874E-4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v>10925</v>
      </c>
      <c r="D39" s="501">
        <v>0</v>
      </c>
      <c r="E39" s="171">
        <f t="shared" si="3"/>
        <v>10925</v>
      </c>
      <c r="F39" s="171"/>
      <c r="G39" s="171">
        <f t="shared" si="4"/>
        <v>10925</v>
      </c>
      <c r="H39" s="172">
        <f t="shared" si="5"/>
        <v>3.2600453650307262E-3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v>4736</v>
      </c>
      <c r="D40" s="501">
        <v>0</v>
      </c>
      <c r="E40" s="171">
        <f t="shared" si="3"/>
        <v>4736</v>
      </c>
      <c r="F40" s="171"/>
      <c r="G40" s="171">
        <f t="shared" si="4"/>
        <v>4736</v>
      </c>
      <c r="H40" s="172">
        <f t="shared" si="5"/>
        <v>1.4132333957698417E-3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v>224768</v>
      </c>
      <c r="D41" s="501">
        <v>0</v>
      </c>
      <c r="E41" s="171">
        <f t="shared" si="3"/>
        <v>224768</v>
      </c>
      <c r="F41" s="171"/>
      <c r="G41" s="171">
        <f t="shared" si="4"/>
        <v>224768</v>
      </c>
      <c r="H41" s="172">
        <f t="shared" si="5"/>
        <v>6.7071293053293027E-2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v>15331</v>
      </c>
      <c r="D42" s="501">
        <v>-2</v>
      </c>
      <c r="E42" s="171">
        <f t="shared" si="3"/>
        <v>15329</v>
      </c>
      <c r="F42" s="171"/>
      <c r="G42" s="171">
        <f t="shared" si="4"/>
        <v>15329</v>
      </c>
      <c r="H42" s="172">
        <f t="shared" si="5"/>
        <v>4.5742091899822427E-3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v>0</v>
      </c>
      <c r="D43" s="501"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v>24281</v>
      </c>
      <c r="D44" s="501">
        <v>-24281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v>0</v>
      </c>
      <c r="D45" s="501"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v>0</v>
      </c>
      <c r="D46" s="501"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v>41355</v>
      </c>
      <c r="D47" s="501">
        <v>0</v>
      </c>
      <c r="E47" s="171">
        <f t="shared" si="3"/>
        <v>41355</v>
      </c>
      <c r="F47" s="171"/>
      <c r="G47" s="171">
        <f t="shared" si="4"/>
        <v>41355</v>
      </c>
      <c r="H47" s="172">
        <f t="shared" si="5"/>
        <v>1.2340428015638049E-2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v>0</v>
      </c>
      <c r="D48" s="501"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v>191</v>
      </c>
      <c r="D49" s="501">
        <v>0</v>
      </c>
      <c r="E49" s="171">
        <f t="shared" si="3"/>
        <v>191</v>
      </c>
      <c r="F49" s="171"/>
      <c r="G49" s="171">
        <f t="shared" si="4"/>
        <v>191</v>
      </c>
      <c r="H49" s="172">
        <f t="shared" si="5"/>
        <v>5.6994843452711093E-5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v>0</v>
      </c>
      <c r="D50" s="501"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v>19900</v>
      </c>
      <c r="D51" s="501">
        <v>0</v>
      </c>
      <c r="E51" s="171">
        <f t="shared" si="3"/>
        <v>19900</v>
      </c>
      <c r="F51" s="171"/>
      <c r="G51" s="171">
        <f t="shared" si="4"/>
        <v>19900</v>
      </c>
      <c r="H51" s="172">
        <f t="shared" si="5"/>
        <v>5.9382062026646634E-3</v>
      </c>
      <c r="I51" s="473"/>
      <c r="J51" s="183">
        <v>1676</v>
      </c>
      <c r="K51" s="183">
        <v>1725</v>
      </c>
    </row>
    <row r="52" spans="1:11" s="167" customFormat="1">
      <c r="A52" s="163">
        <v>290</v>
      </c>
      <c r="B52" s="170" t="s">
        <v>205</v>
      </c>
      <c r="C52" s="501">
        <v>2271</v>
      </c>
      <c r="D52" s="501">
        <v>0</v>
      </c>
      <c r="E52" s="171">
        <f t="shared" si="3"/>
        <v>2271</v>
      </c>
      <c r="F52" s="171"/>
      <c r="G52" s="171">
        <f t="shared" si="4"/>
        <v>2271</v>
      </c>
      <c r="H52" s="172">
        <f t="shared" si="5"/>
        <v>6.7767167267595229E-4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v>261</v>
      </c>
      <c r="D53" s="501">
        <v>-261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v>1988</v>
      </c>
      <c r="D54" s="501">
        <v>0</v>
      </c>
      <c r="E54" s="171">
        <f t="shared" si="3"/>
        <v>1988</v>
      </c>
      <c r="F54" s="171"/>
      <c r="G54" s="171">
        <f t="shared" si="4"/>
        <v>1988</v>
      </c>
      <c r="H54" s="172">
        <f t="shared" si="5"/>
        <v>5.9322381562298249E-4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v>1451</v>
      </c>
      <c r="D55" s="501">
        <v>-1451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v>33594</v>
      </c>
      <c r="D56" s="501">
        <v>0</v>
      </c>
      <c r="E56" s="171">
        <f t="shared" si="3"/>
        <v>33594</v>
      </c>
      <c r="F56" s="171"/>
      <c r="G56" s="171">
        <f t="shared" si="4"/>
        <v>33594</v>
      </c>
      <c r="H56" s="172">
        <f t="shared" si="5"/>
        <v>1.0024527596598829E-2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v>0</v>
      </c>
      <c r="D57" s="501"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v>9491</v>
      </c>
      <c r="D58" s="501">
        <v>-9491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v>0</v>
      </c>
      <c r="D59" s="501"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v>2190</v>
      </c>
      <c r="D60" s="501">
        <v>-1600</v>
      </c>
      <c r="E60" s="171">
        <f t="shared" si="3"/>
        <v>590</v>
      </c>
      <c r="F60" s="171">
        <f>-396.72-448.92</f>
        <v>-845.6400000000001</v>
      </c>
      <c r="G60" s="171">
        <f t="shared" si="4"/>
        <v>-255.6400000000001</v>
      </c>
      <c r="H60" s="172">
        <f t="shared" si="5"/>
        <v>-7.6283569530110316E-5</v>
      </c>
      <c r="I60" s="473" t="s">
        <v>675</v>
      </c>
      <c r="J60" s="168"/>
      <c r="K60" s="168"/>
    </row>
    <row r="61" spans="1:11" s="167" customFormat="1">
      <c r="A61" s="163"/>
      <c r="B61" s="170" t="s">
        <v>177</v>
      </c>
      <c r="C61" s="501">
        <v>804425</v>
      </c>
      <c r="D61" s="501">
        <v>-32489</v>
      </c>
      <c r="E61" s="171">
        <f t="shared" ref="E61:F61" si="6">SUM(E25:E60)</f>
        <v>771936</v>
      </c>
      <c r="F61" s="171">
        <f t="shared" si="6"/>
        <v>-845.6400000000001</v>
      </c>
      <c r="G61" s="171">
        <f>SUM(G25:G60)</f>
        <v>771090.36</v>
      </c>
      <c r="H61" s="186">
        <f t="shared" si="5"/>
        <v>0.23009515369683056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v>0</v>
      </c>
      <c r="D64" s="501"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v>114750</v>
      </c>
      <c r="D65" s="501">
        <v>0</v>
      </c>
      <c r="E65" s="171">
        <f t="shared" si="7"/>
        <v>114750</v>
      </c>
      <c r="F65" s="171"/>
      <c r="G65" s="171">
        <f t="shared" si="8"/>
        <v>114750</v>
      </c>
      <c r="H65" s="172">
        <f t="shared" si="9"/>
        <v>3.4241666419887948E-2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v>47788</v>
      </c>
      <c r="D66" s="501">
        <v>0</v>
      </c>
      <c r="E66" s="171">
        <f t="shared" si="7"/>
        <v>47788</v>
      </c>
      <c r="F66" s="171"/>
      <c r="G66" s="171">
        <f t="shared" si="8"/>
        <v>47788</v>
      </c>
      <c r="H66" s="172">
        <f t="shared" si="9"/>
        <v>1.4260050151403967E-2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v>15521</v>
      </c>
      <c r="D67" s="501">
        <v>0</v>
      </c>
      <c r="E67" s="171">
        <f t="shared" si="7"/>
        <v>15521</v>
      </c>
      <c r="F67" s="171"/>
      <c r="G67" s="171">
        <f t="shared" si="8"/>
        <v>15521</v>
      </c>
      <c r="H67" s="172">
        <f t="shared" si="9"/>
        <v>4.6315024357566955E-3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v>3942</v>
      </c>
      <c r="D68" s="501">
        <v>0</v>
      </c>
      <c r="E68" s="171">
        <f t="shared" si="7"/>
        <v>3942</v>
      </c>
      <c r="F68" s="171"/>
      <c r="G68" s="171">
        <f t="shared" si="8"/>
        <v>3942</v>
      </c>
      <c r="H68" s="172">
        <f t="shared" si="9"/>
        <v>1.1763019523067389E-3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v>346</v>
      </c>
      <c r="D69" s="501">
        <v>0</v>
      </c>
      <c r="E69" s="171">
        <f t="shared" si="7"/>
        <v>346</v>
      </c>
      <c r="F69" s="171"/>
      <c r="G69" s="171">
        <f t="shared" si="8"/>
        <v>346</v>
      </c>
      <c r="H69" s="172">
        <f t="shared" si="9"/>
        <v>1.0324720332271225E-4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v>0</v>
      </c>
      <c r="D70" s="501"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v>0</v>
      </c>
      <c r="D71" s="501"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v>5035</v>
      </c>
      <c r="D72" s="501">
        <v>0</v>
      </c>
      <c r="E72" s="171">
        <f t="shared" si="7"/>
        <v>5035</v>
      </c>
      <c r="F72" s="171"/>
      <c r="G72" s="171">
        <f t="shared" si="8"/>
        <v>5035</v>
      </c>
      <c r="H72" s="172">
        <f t="shared" si="9"/>
        <v>1.5024556899706826E-3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v>53297</v>
      </c>
      <c r="D73" s="501">
        <v>-2088</v>
      </c>
      <c r="E73" s="171">
        <f t="shared" si="7"/>
        <v>51209</v>
      </c>
      <c r="F73" s="171"/>
      <c r="G73" s="171">
        <f t="shared" si="8"/>
        <v>51209</v>
      </c>
      <c r="H73" s="172">
        <f t="shared" si="9"/>
        <v>1.5280884494083154E-2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v>20751</v>
      </c>
      <c r="D74" s="501">
        <v>0</v>
      </c>
      <c r="E74" s="171">
        <f t="shared" si="7"/>
        <v>20751</v>
      </c>
      <c r="F74" s="171"/>
      <c r="G74" s="171">
        <f t="shared" si="8"/>
        <v>20751</v>
      </c>
      <c r="H74" s="172">
        <f t="shared" si="9"/>
        <v>6.1921465784670572E-3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v>0</v>
      </c>
      <c r="D75" s="501"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v>1796</v>
      </c>
      <c r="D76" s="501">
        <v>0</v>
      </c>
      <c r="E76" s="171">
        <f t="shared" si="7"/>
        <v>1796</v>
      </c>
      <c r="F76" s="171"/>
      <c r="G76" s="171">
        <f t="shared" si="8"/>
        <v>1796</v>
      </c>
      <c r="H76" s="172">
        <f t="shared" si="9"/>
        <v>5.3593056984852947E-4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v>0</v>
      </c>
      <c r="D77" s="501"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v>0</v>
      </c>
      <c r="D78" s="501"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v>263226</v>
      </c>
      <c r="D79" s="501">
        <v>-2088</v>
      </c>
      <c r="E79" s="171">
        <f t="shared" ref="E79:F79" si="10">SUM(E64:E78)</f>
        <v>261138</v>
      </c>
      <c r="F79" s="171">
        <f t="shared" si="10"/>
        <v>0</v>
      </c>
      <c r="G79" s="171">
        <f>SUM(G64:G78)</f>
        <v>261138</v>
      </c>
      <c r="H79" s="172">
        <f t="shared" si="9"/>
        <v>7.7924185495047482E-2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v>32184</v>
      </c>
      <c r="D82" s="501">
        <v>0</v>
      </c>
      <c r="E82" s="171">
        <f t="shared" ref="E82:E92" si="11">C82+D82</f>
        <v>32184</v>
      </c>
      <c r="F82" s="171"/>
      <c r="G82" s="171">
        <f t="shared" ref="G82:G92" si="12">E82+F82</f>
        <v>32184</v>
      </c>
      <c r="H82" s="172">
        <f t="shared" ref="H82:H93" si="13">IF($G$208=0,0,G82/$G$208)</f>
        <v>9.6037803229426909E-3</v>
      </c>
      <c r="I82" s="473"/>
      <c r="J82" s="183">
        <v>1874</v>
      </c>
      <c r="K82" s="183">
        <v>2010</v>
      </c>
    </row>
    <row r="83" spans="1:11" s="167" customFormat="1">
      <c r="A83" s="169" t="s">
        <v>86</v>
      </c>
      <c r="B83" s="199" t="s">
        <v>45</v>
      </c>
      <c r="C83" s="501">
        <v>3563</v>
      </c>
      <c r="D83" s="501">
        <v>0</v>
      </c>
      <c r="E83" s="171">
        <f t="shared" si="11"/>
        <v>3563</v>
      </c>
      <c r="F83" s="171"/>
      <c r="G83" s="171">
        <f t="shared" si="12"/>
        <v>3563</v>
      </c>
      <c r="H83" s="172">
        <f t="shared" si="13"/>
        <v>1.0632074723665426E-3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v>5921</v>
      </c>
      <c r="D84" s="501">
        <v>0</v>
      </c>
      <c r="E84" s="171">
        <f t="shared" si="11"/>
        <v>5921</v>
      </c>
      <c r="F84" s="171"/>
      <c r="G84" s="171">
        <f t="shared" si="12"/>
        <v>5921</v>
      </c>
      <c r="H84" s="172">
        <f t="shared" si="13"/>
        <v>1.766840147034044E-3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v>0</v>
      </c>
      <c r="D85" s="501"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v>2248</v>
      </c>
      <c r="D86" s="501">
        <v>0</v>
      </c>
      <c r="E86" s="171">
        <f t="shared" si="11"/>
        <v>2248</v>
      </c>
      <c r="F86" s="171"/>
      <c r="G86" s="171">
        <f>E86+F86</f>
        <v>2248</v>
      </c>
      <c r="H86" s="172">
        <f t="shared" si="13"/>
        <v>6.7080841927588761E-4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v>7346</v>
      </c>
      <c r="D87" s="501">
        <v>0</v>
      </c>
      <c r="E87" s="171">
        <f t="shared" si="11"/>
        <v>7346</v>
      </c>
      <c r="F87" s="171"/>
      <c r="G87" s="171">
        <f t="shared" si="12"/>
        <v>7346</v>
      </c>
      <c r="H87" s="172">
        <f t="shared" si="13"/>
        <v>2.1920634555163123E-3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v>15006</v>
      </c>
      <c r="D88" s="501">
        <v>0</v>
      </c>
      <c r="E88" s="171">
        <f t="shared" si="11"/>
        <v>15006</v>
      </c>
      <c r="F88" s="171"/>
      <c r="G88" s="171">
        <f t="shared" si="12"/>
        <v>15006</v>
      </c>
      <c r="H88" s="172">
        <f t="shared" si="13"/>
        <v>4.477825240059595E-3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v>12451</v>
      </c>
      <c r="D89" s="501">
        <v>0</v>
      </c>
      <c r="E89" s="171">
        <f t="shared" si="11"/>
        <v>12451</v>
      </c>
      <c r="F89" s="171"/>
      <c r="G89" s="171">
        <f t="shared" si="12"/>
        <v>12451</v>
      </c>
      <c r="H89" s="172">
        <f t="shared" si="13"/>
        <v>3.7154073080089309E-3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v>8610</v>
      </c>
      <c r="D90" s="501">
        <v>0</v>
      </c>
      <c r="E90" s="171">
        <f t="shared" si="11"/>
        <v>8610</v>
      </c>
      <c r="F90" s="171"/>
      <c r="G90" s="171">
        <f t="shared" si="12"/>
        <v>8610</v>
      </c>
      <c r="H90" s="172">
        <f t="shared" si="13"/>
        <v>2.5692439901981285E-3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v>63093</v>
      </c>
      <c r="D91" s="501">
        <v>0</v>
      </c>
      <c r="E91" s="171">
        <f t="shared" si="11"/>
        <v>63093</v>
      </c>
      <c r="F91" s="171"/>
      <c r="G91" s="171">
        <f t="shared" si="12"/>
        <v>63093</v>
      </c>
      <c r="H91" s="172">
        <f t="shared" si="13"/>
        <v>1.8827097685664405E-2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v>0</v>
      </c>
      <c r="D92" s="501"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v>150422</v>
      </c>
      <c r="D93" s="501">
        <v>0</v>
      </c>
      <c r="E93" s="171">
        <f t="shared" ref="E93:F93" si="14">SUM(E82:E92)</f>
        <v>150422</v>
      </c>
      <c r="F93" s="171">
        <f t="shared" si="14"/>
        <v>0</v>
      </c>
      <c r="G93" s="171">
        <f>SUM(G82:G92)</f>
        <v>150422</v>
      </c>
      <c r="H93" s="172">
        <f t="shared" si="13"/>
        <v>4.4886274041066536E-2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v>0</v>
      </c>
      <c r="D96" s="501"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v>0</v>
      </c>
      <c r="D97" s="501"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v>300379</v>
      </c>
      <c r="D98" s="501">
        <v>0</v>
      </c>
      <c r="E98" s="171">
        <f t="shared" si="15"/>
        <v>300379</v>
      </c>
      <c r="F98" s="171"/>
      <c r="G98" s="171">
        <f t="shared" si="16"/>
        <v>300379</v>
      </c>
      <c r="H98" s="172">
        <f t="shared" si="17"/>
        <v>8.9633791002523069E-2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v>2824</v>
      </c>
      <c r="D99" s="501">
        <v>-4078</v>
      </c>
      <c r="E99" s="171">
        <f t="shared" si="15"/>
        <v>-1254</v>
      </c>
      <c r="F99" s="171"/>
      <c r="G99" s="171">
        <f t="shared" si="16"/>
        <v>-1254</v>
      </c>
      <c r="H99" s="172">
        <f t="shared" si="17"/>
        <v>-3.7419651146439642E-4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v>4569</v>
      </c>
      <c r="D100" s="501">
        <v>0</v>
      </c>
      <c r="E100" s="171">
        <f t="shared" si="15"/>
        <v>4569</v>
      </c>
      <c r="F100" s="171"/>
      <c r="G100" s="171">
        <f t="shared" si="16"/>
        <v>4569</v>
      </c>
      <c r="H100" s="172">
        <f t="shared" si="17"/>
        <v>1.3634002080389371E-3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v>0</v>
      </c>
      <c r="D101" s="501"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v>307772</v>
      </c>
      <c r="D102" s="501">
        <v>-4078</v>
      </c>
      <c r="E102" s="171">
        <f t="shared" ref="E102:F102" si="18">SUM(E96:E101)</f>
        <v>303694</v>
      </c>
      <c r="F102" s="171">
        <f t="shared" si="18"/>
        <v>0</v>
      </c>
      <c r="G102" s="171">
        <f>SUM(G96:G101)</f>
        <v>303694</v>
      </c>
      <c r="H102" s="172">
        <f t="shared" si="17"/>
        <v>9.0622994699097612E-2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v>0</v>
      </c>
      <c r="D105" s="501"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v>0</v>
      </c>
      <c r="D106" s="501"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v>177</v>
      </c>
      <c r="D107" s="501">
        <v>0</v>
      </c>
      <c r="E107" s="171">
        <f t="shared" si="19"/>
        <v>177</v>
      </c>
      <c r="F107" s="171"/>
      <c r="G107" s="171">
        <f t="shared" si="20"/>
        <v>177</v>
      </c>
      <c r="H107" s="172">
        <f t="shared" si="21"/>
        <v>5.2817210948323892E-5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v>42477</v>
      </c>
      <c r="D108" s="501">
        <v>0</v>
      </c>
      <c r="E108" s="171">
        <f t="shared" si="19"/>
        <v>42477</v>
      </c>
      <c r="F108" s="171"/>
      <c r="G108" s="171">
        <f t="shared" si="20"/>
        <v>42477</v>
      </c>
      <c r="H108" s="172">
        <f t="shared" si="21"/>
        <v>1.2675235420632508E-2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v>6656</v>
      </c>
      <c r="D109" s="501">
        <v>0</v>
      </c>
      <c r="E109" s="171">
        <f t="shared" si="19"/>
        <v>6656</v>
      </c>
      <c r="F109" s="171"/>
      <c r="G109" s="171">
        <f t="shared" si="20"/>
        <v>6656</v>
      </c>
      <c r="H109" s="172">
        <f t="shared" si="21"/>
        <v>1.9861658535143718E-3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v>0</v>
      </c>
      <c r="D110" s="501"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v>49310</v>
      </c>
      <c r="D111" s="501">
        <v>0</v>
      </c>
      <c r="E111" s="171">
        <f t="shared" ref="E111:F111" si="22">SUM(E105:E110)</f>
        <v>49310</v>
      </c>
      <c r="F111" s="171">
        <f t="shared" si="22"/>
        <v>0</v>
      </c>
      <c r="G111" s="171">
        <f>SUM(G105:G110)</f>
        <v>49310</v>
      </c>
      <c r="H111" s="172">
        <f t="shared" si="21"/>
        <v>1.4714218485095205E-2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v>0</v>
      </c>
      <c r="D114" s="501"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v>0</v>
      </c>
      <c r="D115" s="501"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v>5617</v>
      </c>
      <c r="D116" s="501">
        <v>0</v>
      </c>
      <c r="E116" s="171">
        <f t="shared" si="23"/>
        <v>5617</v>
      </c>
      <c r="F116" s="171"/>
      <c r="G116" s="171">
        <f>E116+F116</f>
        <v>5617</v>
      </c>
      <c r="H116" s="172">
        <f t="shared" si="24"/>
        <v>1.6761258412244934E-3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v>63715</v>
      </c>
      <c r="D117" s="501">
        <v>0</v>
      </c>
      <c r="E117" s="171">
        <f t="shared" si="23"/>
        <v>63715</v>
      </c>
      <c r="F117" s="171"/>
      <c r="G117" s="171">
        <f>E117+F117</f>
        <v>63715</v>
      </c>
      <c r="H117" s="172">
        <f t="shared" si="24"/>
        <v>1.9012703929787891E-2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v>0</v>
      </c>
      <c r="D118" s="501"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v>69332</v>
      </c>
      <c r="D119" s="501">
        <v>0</v>
      </c>
      <c r="E119" s="171">
        <f t="shared" ref="E119:F119" si="25">SUM(E114:E118)</f>
        <v>69332</v>
      </c>
      <c r="F119" s="171">
        <f t="shared" si="25"/>
        <v>0</v>
      </c>
      <c r="G119" s="171">
        <f>SUM(G114:G118)</f>
        <v>69332</v>
      </c>
      <c r="H119" s="172">
        <f t="shared" si="24"/>
        <v>2.0688829771012385E-2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v>0</v>
      </c>
      <c r="D123" s="501"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v>143177</v>
      </c>
      <c r="D124" s="501">
        <v>0</v>
      </c>
      <c r="E124" s="171">
        <f t="shared" si="26"/>
        <v>143177</v>
      </c>
      <c r="F124" s="171"/>
      <c r="G124" s="171">
        <f>E124+F124</f>
        <v>143177</v>
      </c>
      <c r="H124" s="172">
        <f>IF($G$208=0,0,G124/$G$208)</f>
        <v>4.2724349220046157E-2</v>
      </c>
      <c r="I124" s="473"/>
      <c r="J124" s="183">
        <v>3747</v>
      </c>
      <c r="K124" s="183">
        <v>4189</v>
      </c>
    </row>
    <row r="125" spans="1:11" s="167" customFormat="1">
      <c r="A125" s="163" t="s">
        <v>198</v>
      </c>
      <c r="B125" s="163" t="s">
        <v>195</v>
      </c>
      <c r="C125" s="501">
        <v>0</v>
      </c>
      <c r="D125" s="501"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v>0</v>
      </c>
      <c r="D126" s="501"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v>21754</v>
      </c>
      <c r="D127" s="501">
        <v>0</v>
      </c>
      <c r="E127" s="171">
        <f t="shared" si="26"/>
        <v>21754</v>
      </c>
      <c r="F127" s="171"/>
      <c r="G127" s="171">
        <f>E127+F127</f>
        <v>21754</v>
      </c>
      <c r="H127" s="172">
        <f>IF($G$208=0,0,G127/$G$208)</f>
        <v>6.491444107174226E-3</v>
      </c>
      <c r="I127" s="473"/>
      <c r="J127" s="183">
        <v>1865</v>
      </c>
      <c r="K127" s="183">
        <v>1987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v>0</v>
      </c>
      <c r="D129" s="501"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v>32841</v>
      </c>
      <c r="D130" s="501">
        <v>0</v>
      </c>
      <c r="E130" s="171">
        <f t="shared" si="27"/>
        <v>32841</v>
      </c>
      <c r="F130" s="171"/>
      <c r="G130" s="171">
        <f>E130+F130</f>
        <v>32841</v>
      </c>
      <c r="H130" s="172">
        <f>IF($G$208=0,0,G130/$G$208)</f>
        <v>9.7998306483271461E-3</v>
      </c>
      <c r="I130" s="473"/>
      <c r="J130" s="204"/>
      <c r="K130" s="204"/>
    </row>
    <row r="131" spans="1:11" s="167" customFormat="1">
      <c r="B131" s="163" t="s">
        <v>195</v>
      </c>
      <c r="C131" s="501">
        <v>0</v>
      </c>
      <c r="D131" s="501"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v>0</v>
      </c>
      <c r="D132" s="501"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v>2597</v>
      </c>
      <c r="D133" s="501">
        <v>0</v>
      </c>
      <c r="E133" s="171">
        <f t="shared" si="27"/>
        <v>2597</v>
      </c>
      <c r="F133" s="171"/>
      <c r="G133" s="171">
        <f>E133+F133</f>
        <v>2597</v>
      </c>
      <c r="H133" s="172">
        <f>IF($G$208=0,0,G133/$G$208)</f>
        <v>7.7495082956382567E-4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v>222775</v>
      </c>
      <c r="D135" s="501">
        <v>0</v>
      </c>
      <c r="E135" s="171">
        <f t="shared" ref="E135:E138" si="28">C135+D135</f>
        <v>222775</v>
      </c>
      <c r="F135" s="171"/>
      <c r="G135" s="171">
        <f>E135+F135</f>
        <v>222775</v>
      </c>
      <c r="H135" s="172">
        <f>IF($G$208=0,0,G135/$G$208)</f>
        <v>6.6476577226061331E-2</v>
      </c>
      <c r="I135" s="473"/>
      <c r="J135" s="183">
        <v>6201</v>
      </c>
      <c r="K135" s="183">
        <v>6542</v>
      </c>
    </row>
    <row r="136" spans="1:11" s="167" customFormat="1">
      <c r="A136" s="169"/>
      <c r="B136" s="163" t="s">
        <v>195</v>
      </c>
      <c r="C136" s="501">
        <v>210943</v>
      </c>
      <c r="D136" s="501">
        <v>0</v>
      </c>
      <c r="E136" s="171">
        <f t="shared" si="28"/>
        <v>210943</v>
      </c>
      <c r="F136" s="171"/>
      <c r="G136" s="171">
        <f>E136+F136</f>
        <v>210943</v>
      </c>
      <c r="H136" s="172">
        <f>IF($G$208=0,0,G136/$G$208)</f>
        <v>6.2945880955210656E-2</v>
      </c>
      <c r="I136" s="473"/>
      <c r="J136" s="183">
        <v>11023</v>
      </c>
      <c r="K136" s="183">
        <v>11866</v>
      </c>
    </row>
    <row r="137" spans="1:11" s="167" customFormat="1">
      <c r="A137" s="169"/>
      <c r="B137" s="163" t="s">
        <v>196</v>
      </c>
      <c r="C137" s="501">
        <v>310653</v>
      </c>
      <c r="D137" s="501">
        <v>0</v>
      </c>
      <c r="E137" s="171">
        <f t="shared" si="28"/>
        <v>310653</v>
      </c>
      <c r="F137" s="171"/>
      <c r="G137" s="171">
        <f>E137+F137</f>
        <v>310653</v>
      </c>
      <c r="H137" s="172">
        <f>IF($G$208=0,0,G137/$G$208)</f>
        <v>9.2699576456099789E-2</v>
      </c>
      <c r="I137" s="473"/>
      <c r="J137" s="183">
        <v>27941</v>
      </c>
      <c r="K137" s="183">
        <v>29568</v>
      </c>
    </row>
    <row r="138" spans="1:11" s="167" customFormat="1">
      <c r="A138" s="169"/>
      <c r="B138" s="163" t="s">
        <v>197</v>
      </c>
      <c r="C138" s="501">
        <v>0</v>
      </c>
      <c r="D138" s="501"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v>193363</v>
      </c>
      <c r="D140" s="501">
        <v>-135493</v>
      </c>
      <c r="E140" s="171">
        <f t="shared" ref="E140:E143" si="29">C140+D140</f>
        <v>57870</v>
      </c>
      <c r="F140" s="171"/>
      <c r="G140" s="171">
        <f>E140+F140</f>
        <v>57870</v>
      </c>
      <c r="H140" s="172">
        <f>IF($G$208=0,0,G140/$G$208)</f>
        <v>1.7268542359206236E-2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v>0</v>
      </c>
      <c r="D141" s="501">
        <v>54796</v>
      </c>
      <c r="E141" s="171">
        <f t="shared" si="29"/>
        <v>54796</v>
      </c>
      <c r="F141" s="171"/>
      <c r="G141" s="171">
        <f>E141+F141</f>
        <v>54796</v>
      </c>
      <c r="H141" s="172">
        <f>IF($G$208=0,0,G141/$G$208)</f>
        <v>1.6351253622171505E-2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v>0</v>
      </c>
      <c r="D142" s="501">
        <v>80697</v>
      </c>
      <c r="E142" s="171">
        <f t="shared" si="29"/>
        <v>80697</v>
      </c>
      <c r="F142" s="171"/>
      <c r="G142" s="171">
        <f>E142+F142</f>
        <v>80697</v>
      </c>
      <c r="H142" s="172">
        <f>IF($G$208=0,0,G142/$G$208)</f>
        <v>2.4080172157609565E-2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v>0</v>
      </c>
      <c r="D143" s="501"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v>22625</v>
      </c>
      <c r="D145" s="501">
        <v>0</v>
      </c>
      <c r="E145" s="171">
        <f t="shared" ref="E145:E153" si="30">C145+D145</f>
        <v>22625</v>
      </c>
      <c r="F145" s="171"/>
      <c r="G145" s="171">
        <f t="shared" ref="G145:G153" si="31">E145+F145</f>
        <v>22625</v>
      </c>
      <c r="H145" s="172">
        <f t="shared" ref="H145:H153" si="32">IF($G$208=0,0,G145/$G$208)</f>
        <v>6.7513525294114578E-3</v>
      </c>
      <c r="I145" s="473"/>
      <c r="J145" s="183">
        <v>152</v>
      </c>
      <c r="K145" s="183">
        <v>152</v>
      </c>
    </row>
    <row r="146" spans="1:11" s="167" customFormat="1">
      <c r="A146" s="169"/>
      <c r="B146" s="163" t="s">
        <v>194</v>
      </c>
      <c r="C146" s="501">
        <v>0</v>
      </c>
      <c r="D146" s="501"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v>0</v>
      </c>
      <c r="D147" s="501"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v>0</v>
      </c>
      <c r="D148" s="501"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v>985</v>
      </c>
      <c r="D149" s="501">
        <v>0</v>
      </c>
      <c r="E149" s="171">
        <f t="shared" si="30"/>
        <v>985</v>
      </c>
      <c r="F149" s="171"/>
      <c r="G149" s="171">
        <f t="shared" si="31"/>
        <v>985</v>
      </c>
      <c r="H149" s="172">
        <f t="shared" si="32"/>
        <v>2.9392628691581377E-4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v>94146</v>
      </c>
      <c r="D150" s="501">
        <v>419</v>
      </c>
      <c r="E150" s="171">
        <f t="shared" si="30"/>
        <v>94565</v>
      </c>
      <c r="F150" s="171"/>
      <c r="G150" s="171">
        <f t="shared" si="31"/>
        <v>94565</v>
      </c>
      <c r="H150" s="172">
        <f t="shared" si="32"/>
        <v>2.821841555552683E-2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v>4847</v>
      </c>
      <c r="D151" s="501">
        <v>1</v>
      </c>
      <c r="E151" s="171">
        <f t="shared" si="30"/>
        <v>4848</v>
      </c>
      <c r="F151" s="171"/>
      <c r="G151" s="171">
        <f t="shared" si="31"/>
        <v>4848</v>
      </c>
      <c r="H151" s="172">
        <f t="shared" si="32"/>
        <v>1.4466544558049393E-3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v>0</v>
      </c>
      <c r="D152" s="501"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v>0</v>
      </c>
      <c r="D153" s="501"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v>0</v>
      </c>
      <c r="D155" s="501"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v>0</v>
      </c>
      <c r="D156" s="501"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v>0</v>
      </c>
      <c r="D157" s="501"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v>0</v>
      </c>
      <c r="D158" s="501"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v>0</v>
      </c>
      <c r="D159" s="501"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v>11227</v>
      </c>
      <c r="D160" s="501">
        <v>361</v>
      </c>
      <c r="E160" s="171">
        <f t="shared" si="33"/>
        <v>11588</v>
      </c>
      <c r="F160" s="171"/>
      <c r="G160" s="171">
        <f t="shared" si="34"/>
        <v>11588</v>
      </c>
      <c r="H160" s="172">
        <f t="shared" si="35"/>
        <v>3.4578861043456344E-3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v>1271933</v>
      </c>
      <c r="D161" s="501">
        <v>781</v>
      </c>
      <c r="E161" s="171">
        <f t="shared" ref="E161:F161" si="36">SUM(E123:E160)</f>
        <v>1272714</v>
      </c>
      <c r="F161" s="171">
        <f t="shared" si="36"/>
        <v>0</v>
      </c>
      <c r="G161" s="171">
        <f>SUM(G123:G160)</f>
        <v>1272714</v>
      </c>
      <c r="H161" s="172">
        <f t="shared" si="35"/>
        <v>0.37978081251347512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v>0</v>
      </c>
      <c r="D164" s="501"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v>0</v>
      </c>
      <c r="D165" s="501"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v>0</v>
      </c>
      <c r="D166" s="501"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v>0</v>
      </c>
      <c r="D167" s="501"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v>0</v>
      </c>
      <c r="D168" s="501"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v>0</v>
      </c>
      <c r="D169" s="501"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v>0</v>
      </c>
      <c r="D170" s="501"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v>0</v>
      </c>
      <c r="D171" s="501"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v>0</v>
      </c>
      <c r="D172" s="501"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v>0</v>
      </c>
      <c r="D173" s="501"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v>0</v>
      </c>
      <c r="D174" s="501"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v>0</v>
      </c>
      <c r="D175" s="501"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v>0</v>
      </c>
      <c r="D176" s="501"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v>100</v>
      </c>
      <c r="D177" s="501">
        <v>0</v>
      </c>
      <c r="E177" s="171">
        <f t="shared" si="37"/>
        <v>100</v>
      </c>
      <c r="F177" s="216"/>
      <c r="G177" s="171">
        <f t="shared" si="38"/>
        <v>100</v>
      </c>
      <c r="H177" s="172">
        <f t="shared" si="39"/>
        <v>2.9840232174194291E-5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v>0</v>
      </c>
      <c r="D178" s="501"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v>0</v>
      </c>
      <c r="D179" s="501"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v>79</v>
      </c>
      <c r="D180" s="501">
        <v>0</v>
      </c>
      <c r="E180" s="171">
        <f t="shared" si="37"/>
        <v>79</v>
      </c>
      <c r="F180" s="216"/>
      <c r="G180" s="171">
        <f t="shared" si="38"/>
        <v>79</v>
      </c>
      <c r="H180" s="172">
        <f t="shared" si="39"/>
        <v>2.3573783417613489E-5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v>470</v>
      </c>
      <c r="D181" s="501">
        <v>0</v>
      </c>
      <c r="E181" s="171">
        <f t="shared" si="37"/>
        <v>470</v>
      </c>
      <c r="F181" s="216"/>
      <c r="G181" s="171">
        <f t="shared" si="38"/>
        <v>470</v>
      </c>
      <c r="H181" s="172">
        <f t="shared" si="39"/>
        <v>1.4024909121871317E-4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v>603</v>
      </c>
      <c r="D182" s="501">
        <v>0</v>
      </c>
      <c r="E182" s="171">
        <f t="shared" si="37"/>
        <v>603</v>
      </c>
      <c r="F182" s="216"/>
      <c r="G182" s="171">
        <f t="shared" si="38"/>
        <v>603</v>
      </c>
      <c r="H182" s="172">
        <f t="shared" si="39"/>
        <v>1.7993660001039156E-4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v>147055</v>
      </c>
      <c r="D183" s="501">
        <v>-5691</v>
      </c>
      <c r="E183" s="171">
        <f t="shared" si="37"/>
        <v>141364</v>
      </c>
      <c r="F183" s="216"/>
      <c r="G183" s="171">
        <f t="shared" si="38"/>
        <v>141364</v>
      </c>
      <c r="H183" s="172">
        <f t="shared" si="39"/>
        <v>4.2183345810728017E-2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v>8977</v>
      </c>
      <c r="D184" s="501">
        <v>-347</v>
      </c>
      <c r="E184" s="171">
        <f t="shared" si="37"/>
        <v>8630</v>
      </c>
      <c r="F184" s="216"/>
      <c r="G184" s="171">
        <f t="shared" si="38"/>
        <v>8630</v>
      </c>
      <c r="H184" s="172">
        <f t="shared" si="39"/>
        <v>2.5752120366329674E-3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v>0</v>
      </c>
      <c r="D185" s="501"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v>68893</v>
      </c>
      <c r="D186" s="501">
        <v>-2666</v>
      </c>
      <c r="E186" s="171">
        <f t="shared" si="37"/>
        <v>66227</v>
      </c>
      <c r="F186" s="216"/>
      <c r="G186" s="171">
        <f t="shared" si="38"/>
        <v>66227</v>
      </c>
      <c r="H186" s="172">
        <f t="shared" si="39"/>
        <v>1.9762290562003654E-2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v>8282</v>
      </c>
      <c r="D187" s="501">
        <v>0</v>
      </c>
      <c r="E187" s="171">
        <f t="shared" si="37"/>
        <v>8282</v>
      </c>
      <c r="F187" s="216"/>
      <c r="G187" s="171">
        <f t="shared" si="38"/>
        <v>8282</v>
      </c>
      <c r="H187" s="172">
        <f t="shared" si="39"/>
        <v>2.471368028666771E-3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v>0</v>
      </c>
      <c r="D188" s="501"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v>0</v>
      </c>
      <c r="D189" s="501"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v>0</v>
      </c>
      <c r="D190" s="501"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v>0</v>
      </c>
      <c r="D191" s="501"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v>0</v>
      </c>
      <c r="D192" s="501"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v>0</v>
      </c>
      <c r="D193" s="501"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v>133712</v>
      </c>
      <c r="D194" s="501">
        <v>8236</v>
      </c>
      <c r="E194" s="171">
        <f t="shared" si="37"/>
        <v>141948</v>
      </c>
      <c r="F194" s="216"/>
      <c r="G194" s="171">
        <f t="shared" si="38"/>
        <v>141948</v>
      </c>
      <c r="H194" s="172">
        <f t="shared" si="39"/>
        <v>4.2357612766625308E-2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v>4632</v>
      </c>
      <c r="D195" s="501">
        <v>0</v>
      </c>
      <c r="E195" s="171">
        <f t="shared" si="37"/>
        <v>4632</v>
      </c>
      <c r="F195" s="216"/>
      <c r="G195" s="171">
        <f t="shared" si="38"/>
        <v>4632</v>
      </c>
      <c r="H195" s="172">
        <f t="shared" si="39"/>
        <v>1.3821995543086794E-3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v>0</v>
      </c>
      <c r="D196" s="501"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v>372803</v>
      </c>
      <c r="D197" s="501">
        <v>-468</v>
      </c>
      <c r="E197" s="171">
        <f t="shared" ref="E197:F197" si="40">SUM(E164:E196)</f>
        <v>372335</v>
      </c>
      <c r="F197" s="171">
        <f t="shared" si="40"/>
        <v>0</v>
      </c>
      <c r="G197" s="171">
        <f>SUM(G164:G196)</f>
        <v>372335</v>
      </c>
      <c r="H197" s="172">
        <f>IF($G$208=0,0,G197/$G$208)</f>
        <v>0.11110562846578631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v>74373</v>
      </c>
      <c r="D200" s="501">
        <v>0</v>
      </c>
      <c r="E200" s="171">
        <f t="shared" ref="E200:E205" si="41">C200+D200</f>
        <v>74373</v>
      </c>
      <c r="F200" s="171"/>
      <c r="G200" s="171">
        <f t="shared" ref="G200:G205" si="42">E200+F200</f>
        <v>74373</v>
      </c>
      <c r="H200" s="172">
        <f t="shared" ref="H200:H206" si="43">IF($G$208=0,0,G200/$G$208)</f>
        <v>2.219307587491352E-2</v>
      </c>
      <c r="I200" s="473"/>
      <c r="J200" s="183">
        <v>4800</v>
      </c>
      <c r="K200" s="183">
        <v>5207</v>
      </c>
    </row>
    <row r="201" spans="1:14" s="167" customFormat="1">
      <c r="A201" s="169" t="s">
        <v>86</v>
      </c>
      <c r="B201" s="170" t="s">
        <v>45</v>
      </c>
      <c r="C201" s="501">
        <v>23506</v>
      </c>
      <c r="D201" s="501">
        <v>0</v>
      </c>
      <c r="E201" s="171">
        <f t="shared" si="41"/>
        <v>23506</v>
      </c>
      <c r="F201" s="171"/>
      <c r="G201" s="171">
        <f t="shared" si="42"/>
        <v>23506</v>
      </c>
      <c r="H201" s="172">
        <f t="shared" si="43"/>
        <v>7.0142449748661099E-3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v>2086</v>
      </c>
      <c r="D202" s="501">
        <v>0</v>
      </c>
      <c r="E202" s="171">
        <f t="shared" si="41"/>
        <v>2086</v>
      </c>
      <c r="F202" s="171"/>
      <c r="G202" s="171">
        <f t="shared" si="42"/>
        <v>2086</v>
      </c>
      <c r="H202" s="172">
        <f t="shared" si="43"/>
        <v>6.2246724315369285E-4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v>0</v>
      </c>
      <c r="D203" s="501"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v>0</v>
      </c>
      <c r="D204" s="501"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v>1180</v>
      </c>
      <c r="D205" s="501">
        <v>0</v>
      </c>
      <c r="E205" s="171">
        <f t="shared" si="41"/>
        <v>1180</v>
      </c>
      <c r="F205" s="171"/>
      <c r="G205" s="171">
        <f t="shared" si="42"/>
        <v>1180</v>
      </c>
      <c r="H205" s="172">
        <f t="shared" si="43"/>
        <v>3.5211473965549261E-4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v>101145</v>
      </c>
      <c r="D206" s="501">
        <v>0</v>
      </c>
      <c r="E206" s="171">
        <f t="shared" ref="E206:F206" si="44">SUM(E200:E205)</f>
        <v>101145</v>
      </c>
      <c r="F206" s="171">
        <f t="shared" si="44"/>
        <v>0</v>
      </c>
      <c r="G206" s="171">
        <f>SUM(G200:G205)</f>
        <v>101145</v>
      </c>
      <c r="H206" s="172">
        <f t="shared" si="43"/>
        <v>3.0181902832588814E-2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v>3390368</v>
      </c>
      <c r="D208" s="501">
        <v>-38342</v>
      </c>
      <c r="E208" s="171">
        <f t="shared" ref="E208:F208" si="45">SUM(E25:E206)/2</f>
        <v>3352026</v>
      </c>
      <c r="F208" s="171">
        <f t="shared" si="45"/>
        <v>-845.6400000000001</v>
      </c>
      <c r="G208" s="171">
        <f>SUM(G25:G206)/2</f>
        <v>3351180.36</v>
      </c>
      <c r="H208" s="172">
        <f>IF($G$208=0,0,G208/$G$208)</f>
        <v>1</v>
      </c>
      <c r="I208" s="473"/>
      <c r="J208" s="183">
        <f>SUM(J25:J200)</f>
        <v>64899</v>
      </c>
      <c r="K208" s="183">
        <f>SUM(K25:K200)</f>
        <v>69331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v>3390368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v>-207968</v>
      </c>
      <c r="D215" s="501">
        <v>34362</v>
      </c>
      <c r="E215" s="171">
        <f t="shared" ref="E215:F215" si="46">E21-E208</f>
        <v>-173606</v>
      </c>
      <c r="F215" s="171">
        <f t="shared" si="46"/>
        <v>845.6400000000001</v>
      </c>
      <c r="G215" s="171">
        <f>G21-G208</f>
        <v>-172760.35999999987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v>7308</v>
      </c>
      <c r="D219" s="530"/>
      <c r="E219" s="234">
        <f t="shared" ref="E219:G227" si="47">C219+D219</f>
        <v>7308</v>
      </c>
      <c r="F219" s="233"/>
      <c r="G219" s="234">
        <f t="shared" si="47"/>
        <v>7308</v>
      </c>
      <c r="H219" s="172">
        <f t="shared" ref="H219:H228" si="48">IF($G$228=0,0,G219/$G$228)</f>
        <v>0.53522777208144134</v>
      </c>
      <c r="I219" s="473"/>
      <c r="J219" s="168"/>
      <c r="K219" s="168"/>
    </row>
    <row r="220" spans="1:11">
      <c r="A220" s="163"/>
      <c r="B220" s="170" t="s">
        <v>217</v>
      </c>
      <c r="C220" s="530"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v>946</v>
      </c>
      <c r="D221" s="530"/>
      <c r="E221" s="234">
        <f t="shared" si="49"/>
        <v>946</v>
      </c>
      <c r="F221" s="233"/>
      <c r="G221" s="234">
        <f t="shared" si="47"/>
        <v>946</v>
      </c>
      <c r="H221" s="172">
        <f t="shared" si="48"/>
        <v>6.9283726380547819E-2</v>
      </c>
      <c r="I221" s="473"/>
      <c r="J221" s="168"/>
      <c r="K221" s="168"/>
    </row>
    <row r="222" spans="1:11">
      <c r="A222" s="163"/>
      <c r="B222" s="202" t="s">
        <v>334</v>
      </c>
      <c r="C222" s="530">
        <v>688</v>
      </c>
      <c r="D222" s="530"/>
      <c r="E222" s="234">
        <f>C222+D222</f>
        <v>688</v>
      </c>
      <c r="F222" s="233"/>
      <c r="G222" s="234">
        <f>E222+F222</f>
        <v>688</v>
      </c>
      <c r="H222" s="172">
        <f t="shared" si="48"/>
        <v>5.0388164640398421E-2</v>
      </c>
      <c r="I222" s="473"/>
      <c r="J222" s="168"/>
      <c r="K222" s="168"/>
    </row>
    <row r="223" spans="1:11">
      <c r="A223" s="163"/>
      <c r="B223" s="170" t="s">
        <v>73</v>
      </c>
      <c r="C223" s="530">
        <v>1976</v>
      </c>
      <c r="D223" s="530"/>
      <c r="E223" s="234">
        <f t="shared" si="49"/>
        <v>1976</v>
      </c>
      <c r="F223" s="233"/>
      <c r="G223" s="234">
        <f t="shared" si="47"/>
        <v>1976</v>
      </c>
      <c r="H223" s="172">
        <f t="shared" si="48"/>
        <v>0.14471949611835361</v>
      </c>
      <c r="I223" s="473"/>
      <c r="J223" s="168"/>
      <c r="K223" s="168"/>
    </row>
    <row r="224" spans="1:11">
      <c r="A224" s="163"/>
      <c r="B224" s="170" t="s">
        <v>74</v>
      </c>
      <c r="C224" s="530">
        <v>1476</v>
      </c>
      <c r="D224" s="530"/>
      <c r="E224" s="234">
        <f t="shared" si="49"/>
        <v>1476</v>
      </c>
      <c r="F224" s="233"/>
      <c r="G224" s="234">
        <f t="shared" si="47"/>
        <v>1476</v>
      </c>
      <c r="H224" s="172">
        <f t="shared" si="48"/>
        <v>0.10810019042038962</v>
      </c>
      <c r="I224" s="473"/>
      <c r="J224" s="168"/>
      <c r="K224" s="168"/>
    </row>
    <row r="225" spans="1:11">
      <c r="A225" s="163"/>
      <c r="B225" s="170" t="s">
        <v>236</v>
      </c>
      <c r="C225" s="530">
        <v>1222</v>
      </c>
      <c r="D225" s="530"/>
      <c r="E225" s="234">
        <f t="shared" si="49"/>
        <v>1222</v>
      </c>
      <c r="F225" s="233"/>
      <c r="G225" s="234">
        <f t="shared" si="47"/>
        <v>1222</v>
      </c>
      <c r="H225" s="172">
        <f t="shared" si="48"/>
        <v>8.949758312582394E-2</v>
      </c>
      <c r="I225" s="473"/>
      <c r="J225" s="168"/>
      <c r="K225" s="168"/>
    </row>
    <row r="226" spans="1:11">
      <c r="A226" s="163"/>
      <c r="B226" s="170" t="s">
        <v>235</v>
      </c>
      <c r="C226" s="530"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v>38</v>
      </c>
      <c r="D227" s="530"/>
      <c r="E227" s="234">
        <f t="shared" si="49"/>
        <v>38</v>
      </c>
      <c r="F227" s="233"/>
      <c r="G227" s="234">
        <f t="shared" si="47"/>
        <v>38</v>
      </c>
      <c r="H227" s="172">
        <f t="shared" si="48"/>
        <v>2.7830672330452617E-3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v>13654</v>
      </c>
      <c r="D228" s="530">
        <v>0</v>
      </c>
      <c r="E228" s="236">
        <f>SUM(E219:E227)</f>
        <v>13654</v>
      </c>
      <c r="F228" s="236">
        <f>SUM(F219:F227)</f>
        <v>0</v>
      </c>
      <c r="G228" s="236">
        <f>SUM(G219:G227)</f>
        <v>13654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v>72</v>
      </c>
      <c r="D231" s="502"/>
      <c r="E231" s="234">
        <f>C231+D231</f>
        <v>72</v>
      </c>
      <c r="F231" s="234"/>
      <c r="G231" s="234">
        <f>E231+F231</f>
        <v>72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v>72</v>
      </c>
      <c r="D232" s="502"/>
      <c r="E232" s="234">
        <f>C232+D232</f>
        <v>72</v>
      </c>
      <c r="F232" s="234"/>
      <c r="G232" s="234">
        <f>E232+F232</f>
        <v>72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v>26280</v>
      </c>
      <c r="D235" s="438"/>
      <c r="E235" s="233">
        <f>E231*E233</f>
        <v>26280</v>
      </c>
      <c r="F235" s="238"/>
      <c r="G235" s="233">
        <f>G231*G233</f>
        <v>26280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v>0.51955859969558604</v>
      </c>
      <c r="D236" s="238"/>
      <c r="E236" s="242">
        <f>E228/E235</f>
        <v>0.51955859969558604</v>
      </c>
      <c r="F236" s="243"/>
      <c r="G236" s="242">
        <f>G228/G235</f>
        <v>0.51955859969558604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v>0.27808219178082194</v>
      </c>
      <c r="D237" s="238"/>
      <c r="E237" s="242">
        <f>(E219+E220)/E235</f>
        <v>0.27808219178082194</v>
      </c>
      <c r="F237" s="243"/>
      <c r="G237" s="242">
        <f>(G219+G220)/G235</f>
        <v>0.27808219178082194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v>0.53522777208144134</v>
      </c>
      <c r="D238" s="238"/>
      <c r="E238" s="242">
        <f>(E237/E236)</f>
        <v>0.53522777208144134</v>
      </c>
      <c r="F238" s="243"/>
      <c r="G238" s="242">
        <f>(G237/G236)</f>
        <v>0.53522777208144134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'[53]Sch B'!C85</f>
        <v>190.50153846153847</v>
      </c>
      <c r="I241" s="475"/>
    </row>
    <row r="242" spans="2:9">
      <c r="F242" s="142" t="s">
        <v>341</v>
      </c>
      <c r="G242" s="501">
        <f>'[53]Sch B'!E85</f>
        <v>190.49886621315193</v>
      </c>
      <c r="I242" s="475"/>
    </row>
    <row r="243" spans="2:9">
      <c r="F243" s="142" t="s">
        <v>342</v>
      </c>
      <c r="G243" s="501">
        <f>'[53]Sch B'!G85</f>
        <v>190.50295857988166</v>
      </c>
      <c r="I243" s="475"/>
    </row>
    <row r="244" spans="2:9">
      <c r="F244" s="142" t="s">
        <v>343</v>
      </c>
      <c r="G244" s="501">
        <f>'[53]Sch B'!I85</f>
        <v>190.50268817204301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9">
    <tabColor rgb="FFE28CAB"/>
  </sheetPr>
  <dimension ref="A1:L246"/>
  <sheetViews>
    <sheetView showGridLines="0" topLeftCell="A151" zoomScaleNormal="100" workbookViewId="0">
      <pane xSplit="2" topLeftCell="D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1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9140625" style="329" customWidth="1"/>
    <col min="10" max="10" width="14.6640625" style="141" customWidth="1"/>
    <col min="11" max="11" width="13" style="141" customWidth="1"/>
    <col min="12" max="12" width="2.5820312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 t="s">
        <v>501</v>
      </c>
      <c r="E1" s="429"/>
      <c r="F1" s="429"/>
      <c r="G1"/>
      <c r="H1" s="429"/>
      <c r="I1" s="430"/>
    </row>
    <row r="2" spans="1:11" ht="23">
      <c r="B2" s="143" t="s">
        <v>189</v>
      </c>
      <c r="C2" s="244" t="s">
        <v>500</v>
      </c>
      <c r="D2" s="377" t="s">
        <v>498</v>
      </c>
      <c r="E2" s="144"/>
    </row>
    <row r="3" spans="1:11" ht="15.5">
      <c r="A3" s="145"/>
      <c r="B3" s="140" t="s">
        <v>79</v>
      </c>
      <c r="C3" s="441">
        <v>42552</v>
      </c>
      <c r="D3" s="144"/>
      <c r="E3" s="368"/>
      <c r="F3" s="552"/>
    </row>
    <row r="4" spans="1:11" ht="15.5">
      <c r="A4" s="145"/>
      <c r="B4" s="148" t="s">
        <v>80</v>
      </c>
      <c r="C4" s="441">
        <v>42916</v>
      </c>
      <c r="D4" s="144"/>
      <c r="E4" s="368"/>
      <c r="F4" s="552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'[54]Sch B'!E10</f>
        <v>6159073</v>
      </c>
      <c r="D11" s="501">
        <f>'[54]Sch B'!G10</f>
        <v>0</v>
      </c>
      <c r="E11" s="171">
        <f t="shared" ref="E11:E20" si="0">C11+D11</f>
        <v>6159073</v>
      </c>
      <c r="F11" s="660">
        <f>683303+100423</f>
        <v>783726</v>
      </c>
      <c r="G11" s="171">
        <f>E11+F11</f>
        <v>6942799</v>
      </c>
      <c r="H11" s="172">
        <f t="shared" ref="H11:H21" si="1">IF($G$21=0,0,G11/$G$21)</f>
        <v>0.63087042011661676</v>
      </c>
      <c r="I11" s="472"/>
      <c r="J11" s="336" t="s">
        <v>344</v>
      </c>
      <c r="K11" s="337">
        <f>G21</f>
        <v>11005111</v>
      </c>
    </row>
    <row r="12" spans="1:11" s="167" customFormat="1">
      <c r="A12" s="169" t="s">
        <v>15</v>
      </c>
      <c r="B12" s="170" t="s">
        <v>212</v>
      </c>
      <c r="C12" s="501">
        <f>'[54]Sch B'!E15</f>
        <v>0</v>
      </c>
      <c r="D12" s="501">
        <f>'[54]Sch B'!G15</f>
        <v>0</v>
      </c>
      <c r="E12" s="171">
        <f t="shared" si="0"/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9079035</v>
      </c>
    </row>
    <row r="13" spans="1:11" s="167" customFormat="1">
      <c r="A13" s="169" t="s">
        <v>16</v>
      </c>
      <c r="B13" s="170" t="s">
        <v>170</v>
      </c>
      <c r="C13" s="501">
        <f>'[54]Sch B'!E21</f>
        <v>1544639</v>
      </c>
      <c r="D13" s="501">
        <f>'[54]Sch B'!G21</f>
        <v>0</v>
      </c>
      <c r="E13" s="171">
        <f t="shared" si="0"/>
        <v>1544639</v>
      </c>
      <c r="F13" s="171"/>
      <c r="G13" s="171">
        <f t="shared" ref="G13:G19" si="2">E13+F13</f>
        <v>1544639</v>
      </c>
      <c r="H13" s="172">
        <f t="shared" si="1"/>
        <v>0.14035651253313119</v>
      </c>
      <c r="I13" s="473"/>
      <c r="J13" s="338" t="s">
        <v>346</v>
      </c>
      <c r="K13" s="339">
        <f>G228</f>
        <v>32404</v>
      </c>
    </row>
    <row r="14" spans="1:11" s="167" customFormat="1">
      <c r="A14" s="173" t="s">
        <v>18</v>
      </c>
      <c r="B14" s="174" t="s">
        <v>306</v>
      </c>
      <c r="C14" s="501">
        <f>'[54]Sch B'!E27</f>
        <v>1732159</v>
      </c>
      <c r="D14" s="501">
        <f>'[54]Sch B'!G27</f>
        <v>0</v>
      </c>
      <c r="E14" s="171">
        <f t="shared" si="0"/>
        <v>1732159</v>
      </c>
      <c r="F14" s="175"/>
      <c r="G14" s="175">
        <f>E14+F14</f>
        <v>1732159</v>
      </c>
      <c r="H14" s="176">
        <f t="shared" si="1"/>
        <v>0.15739586815616852</v>
      </c>
      <c r="I14" s="479"/>
      <c r="J14" s="338" t="s">
        <v>347</v>
      </c>
      <c r="K14" s="339">
        <f>G231</f>
        <v>220</v>
      </c>
    </row>
    <row r="15" spans="1:11" s="167" customFormat="1">
      <c r="A15" s="169" t="s">
        <v>19</v>
      </c>
      <c r="B15" s="170" t="s">
        <v>171</v>
      </c>
      <c r="C15" s="501">
        <f>'[54]Sch B'!E32</f>
        <v>0</v>
      </c>
      <c r="D15" s="501">
        <f>'[54]Sch B'!G32</f>
        <v>0</v>
      </c>
      <c r="E15" s="171">
        <f t="shared" si="0"/>
        <v>0</v>
      </c>
      <c r="F15" s="171"/>
      <c r="G15" s="171">
        <f t="shared" si="2"/>
        <v>0</v>
      </c>
      <c r="H15" s="172">
        <f t="shared" si="1"/>
        <v>0</v>
      </c>
      <c r="I15" s="473"/>
      <c r="J15" s="338" t="s">
        <v>348</v>
      </c>
      <c r="K15" s="339">
        <f>G235</f>
        <v>80300</v>
      </c>
    </row>
    <row r="16" spans="1:11" s="167" customFormat="1">
      <c r="A16" s="169" t="s">
        <v>21</v>
      </c>
      <c r="B16" s="170" t="s">
        <v>172</v>
      </c>
      <c r="C16" s="501">
        <f>'[54]Sch B'!E37</f>
        <v>288117</v>
      </c>
      <c r="D16" s="501">
        <f>'[54]Sch B'!G37</f>
        <v>0</v>
      </c>
      <c r="E16" s="171">
        <f t="shared" si="0"/>
        <v>288117</v>
      </c>
      <c r="F16" s="171"/>
      <c r="G16" s="171">
        <f t="shared" si="2"/>
        <v>288117</v>
      </c>
      <c r="H16" s="172">
        <f t="shared" si="1"/>
        <v>2.6180290230602855E-2</v>
      </c>
      <c r="I16" s="473"/>
      <c r="J16" s="340"/>
      <c r="K16" s="339"/>
    </row>
    <row r="17" spans="1:12" s="167" customFormat="1">
      <c r="A17" s="169" t="s">
        <v>215</v>
      </c>
      <c r="B17" s="170" t="s">
        <v>228</v>
      </c>
      <c r="C17" s="501">
        <f>'[54]Sch B'!E42</f>
        <v>0</v>
      </c>
      <c r="D17" s="501">
        <f>'[54]Sch B'!G42</f>
        <v>0</v>
      </c>
      <c r="E17" s="171">
        <f t="shared" si="0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212823</v>
      </c>
    </row>
    <row r="18" spans="1:12" s="167" customFormat="1" ht="13.5" thickBot="1">
      <c r="A18" s="169" t="s">
        <v>216</v>
      </c>
      <c r="B18" s="170" t="s">
        <v>229</v>
      </c>
      <c r="C18" s="501">
        <f>'[54]Sch B'!E47</f>
        <v>494312</v>
      </c>
      <c r="D18" s="501">
        <f>'[54]Sch B'!G47</f>
        <v>0</v>
      </c>
      <c r="E18" s="171">
        <f t="shared" si="0"/>
        <v>494312</v>
      </c>
      <c r="F18" s="171"/>
      <c r="G18" s="171">
        <f>E18+F18</f>
        <v>494312</v>
      </c>
      <c r="H18" s="172">
        <f t="shared" si="1"/>
        <v>4.4916584666887957E-2</v>
      </c>
      <c r="I18" s="473"/>
      <c r="J18" s="341" t="s">
        <v>252</v>
      </c>
      <c r="K18" s="342">
        <f>K208</f>
        <v>223903</v>
      </c>
    </row>
    <row r="19" spans="1:12" s="167" customFormat="1">
      <c r="A19" s="169" t="s">
        <v>227</v>
      </c>
      <c r="B19" s="177" t="s">
        <v>173</v>
      </c>
      <c r="C19" s="501">
        <f>'[54]Sch B'!E52</f>
        <v>0</v>
      </c>
      <c r="D19" s="501">
        <f>'[54]Sch B'!G52</f>
        <v>0</v>
      </c>
      <c r="E19" s="171">
        <f t="shared" si="0"/>
        <v>0</v>
      </c>
      <c r="F19" s="171"/>
      <c r="G19" s="171">
        <f t="shared" si="2"/>
        <v>0</v>
      </c>
      <c r="H19" s="172">
        <f t="shared" si="1"/>
        <v>0</v>
      </c>
      <c r="I19" s="473"/>
      <c r="J19" s="168"/>
      <c r="K19" s="168"/>
    </row>
    <row r="20" spans="1:12" s="167" customFormat="1">
      <c r="A20" s="169" t="s">
        <v>183</v>
      </c>
      <c r="B20" s="23" t="s">
        <v>180</v>
      </c>
      <c r="C20" s="501">
        <f>'[54]Sch B'!E67</f>
        <v>3085</v>
      </c>
      <c r="D20" s="501">
        <f>'[54]Sch B'!G67</f>
        <v>0</v>
      </c>
      <c r="E20" s="171">
        <f t="shared" si="0"/>
        <v>3085</v>
      </c>
      <c r="F20" s="171"/>
      <c r="G20" s="171">
        <f>E20+F20</f>
        <v>3085</v>
      </c>
      <c r="H20" s="172">
        <f t="shared" si="1"/>
        <v>2.8032429659273771E-4</v>
      </c>
      <c r="I20" s="472"/>
      <c r="J20" s="168"/>
      <c r="K20" s="168"/>
    </row>
    <row r="21" spans="1:12" s="167" customFormat="1">
      <c r="A21" s="169"/>
      <c r="B21" s="178" t="s">
        <v>77</v>
      </c>
      <c r="C21" s="501">
        <f>SUM(C11:C20)</f>
        <v>10221385</v>
      </c>
      <c r="D21" s="501">
        <f>SUM(D11:D20)</f>
        <v>0</v>
      </c>
      <c r="E21" s="171">
        <f>SUM(E11:E20)</f>
        <v>10221385</v>
      </c>
      <c r="F21" s="171">
        <f>SUM(F11:F20)</f>
        <v>783726</v>
      </c>
      <c r="G21" s="171">
        <f>SUM(G11:G20)</f>
        <v>11005111</v>
      </c>
      <c r="H21" s="172">
        <f t="shared" si="1"/>
        <v>1</v>
      </c>
      <c r="I21" s="473"/>
      <c r="J21" s="168"/>
      <c r="K21" s="168"/>
    </row>
    <row r="22" spans="1:12" ht="12" customHeight="1">
      <c r="A22" s="145"/>
      <c r="B22" s="179"/>
      <c r="C22" s="151"/>
      <c r="D22" s="144"/>
      <c r="F22" s="144"/>
      <c r="G22" s="144"/>
      <c r="I22" s="475"/>
    </row>
    <row r="23" spans="1:12" ht="26.5">
      <c r="A23" s="180" t="s">
        <v>231</v>
      </c>
      <c r="B23" s="179" t="s">
        <v>222</v>
      </c>
      <c r="C23" s="151"/>
      <c r="D23" s="144"/>
      <c r="F23" t="s">
        <v>648</v>
      </c>
      <c r="G23" s="144"/>
      <c r="I23" s="475"/>
    </row>
    <row r="24" spans="1:12" ht="15.5">
      <c r="A24" s="181" t="s">
        <v>161</v>
      </c>
      <c r="B24" s="148" t="s">
        <v>12</v>
      </c>
      <c r="F24"/>
      <c r="I24" s="475"/>
    </row>
    <row r="25" spans="1:12" s="167" customFormat="1">
      <c r="A25" s="169" t="s">
        <v>83</v>
      </c>
      <c r="B25" s="170" t="s">
        <v>14</v>
      </c>
      <c r="C25" s="501">
        <f>'[54]Sch C'!D10</f>
        <v>150489</v>
      </c>
      <c r="D25" s="501">
        <f>'[54]Sch C'!F10</f>
        <v>7911</v>
      </c>
      <c r="E25" s="171">
        <f t="shared" ref="E25:E60" si="3">C25+D25</f>
        <v>158400</v>
      </c>
      <c r="F25" s="171"/>
      <c r="G25" s="182">
        <f>E25+F25</f>
        <v>158400</v>
      </c>
      <c r="H25" s="172">
        <f>IF($G$208=0,0,G25/$G$208)</f>
        <v>1.7446788122305951E-2</v>
      </c>
      <c r="I25" s="473"/>
      <c r="J25" s="183">
        <v>2042</v>
      </c>
      <c r="K25" s="183">
        <v>2149</v>
      </c>
      <c r="L25" s="237"/>
    </row>
    <row r="26" spans="1:12" s="167" customFormat="1">
      <c r="A26" s="169" t="s">
        <v>84</v>
      </c>
      <c r="B26" s="170" t="s">
        <v>176</v>
      </c>
      <c r="C26" s="501">
        <f>'[54]Sch C'!D11</f>
        <v>0</v>
      </c>
      <c r="D26" s="501">
        <f>'[54]Sch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  <c r="L26" s="237"/>
    </row>
    <row r="27" spans="1:12" s="167" customFormat="1">
      <c r="A27" s="169" t="s">
        <v>85</v>
      </c>
      <c r="B27" s="170" t="s">
        <v>17</v>
      </c>
      <c r="C27" s="501">
        <f>'[54]Sch C'!D12</f>
        <v>269284</v>
      </c>
      <c r="D27" s="501">
        <f>'[54]Sch C'!F12</f>
        <v>14154</v>
      </c>
      <c r="E27" s="171">
        <f t="shared" si="3"/>
        <v>283438</v>
      </c>
      <c r="F27" s="171"/>
      <c r="G27" s="171">
        <f t="shared" si="4"/>
        <v>283438</v>
      </c>
      <c r="H27" s="172">
        <f t="shared" si="5"/>
        <v>3.1218956640215619E-2</v>
      </c>
      <c r="I27" s="473"/>
      <c r="J27" s="183">
        <v>13938</v>
      </c>
      <c r="K27" s="183">
        <v>14671</v>
      </c>
      <c r="L27" s="237"/>
    </row>
    <row r="28" spans="1:12" s="167" customFormat="1">
      <c r="A28" s="169" t="s">
        <v>86</v>
      </c>
      <c r="B28" s="170" t="s">
        <v>45</v>
      </c>
      <c r="C28" s="501">
        <f>'[54]Sch C'!D13</f>
        <v>832523</v>
      </c>
      <c r="D28" s="501">
        <f>'[54]Sch C'!F13</f>
        <v>-749488</v>
      </c>
      <c r="E28" s="171">
        <f t="shared" si="3"/>
        <v>83035</v>
      </c>
      <c r="F28" s="171">
        <v>-39696.660000000003</v>
      </c>
      <c r="G28" s="171">
        <f t="shared" si="4"/>
        <v>43338.34</v>
      </c>
      <c r="H28" s="172">
        <f t="shared" si="5"/>
        <v>4.7734522446493486E-3</v>
      </c>
      <c r="I28" s="472" t="s">
        <v>728</v>
      </c>
      <c r="J28" s="168"/>
      <c r="K28" s="168"/>
      <c r="L28" s="237"/>
    </row>
    <row r="29" spans="1:12" s="167" customFormat="1">
      <c r="A29" s="169" t="s">
        <v>175</v>
      </c>
      <c r="B29" s="170" t="s">
        <v>20</v>
      </c>
      <c r="C29" s="501">
        <f>'[54]Sch C'!D14</f>
        <v>0</v>
      </c>
      <c r="D29" s="501">
        <f>'[54]Sch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  <c r="L29" s="237"/>
    </row>
    <row r="30" spans="1:12" s="167" customFormat="1">
      <c r="A30" s="169" t="s">
        <v>88</v>
      </c>
      <c r="B30" s="170" t="s">
        <v>22</v>
      </c>
      <c r="C30" s="501">
        <f>'[54]Sch C'!D15</f>
        <v>0</v>
      </c>
      <c r="D30" s="501">
        <f>'[54]Sch C'!F15</f>
        <v>0</v>
      </c>
      <c r="E30" s="171">
        <f t="shared" si="3"/>
        <v>0</v>
      </c>
      <c r="F30" s="660"/>
      <c r="G30" s="171">
        <f t="shared" si="4"/>
        <v>0</v>
      </c>
      <c r="H30" s="172">
        <f t="shared" si="5"/>
        <v>0</v>
      </c>
      <c r="I30" s="473"/>
      <c r="J30" s="168"/>
      <c r="K30" s="168"/>
      <c r="L30" s="237"/>
    </row>
    <row r="31" spans="1:12" s="167" customFormat="1">
      <c r="A31" s="169" t="s">
        <v>89</v>
      </c>
      <c r="B31" s="170" t="s">
        <v>148</v>
      </c>
      <c r="C31" s="501">
        <f>'[54]Sch C'!D16</f>
        <v>506915</v>
      </c>
      <c r="D31" s="501">
        <f>'[54]Sch C'!F16</f>
        <v>239632</v>
      </c>
      <c r="E31" s="171">
        <f t="shared" si="3"/>
        <v>746547</v>
      </c>
      <c r="F31" s="660">
        <v>-64703.343773326204</v>
      </c>
      <c r="G31" s="171">
        <f t="shared" si="4"/>
        <v>681843.65622667375</v>
      </c>
      <c r="H31" s="172">
        <f t="shared" si="5"/>
        <v>7.5100895219224709E-2</v>
      </c>
      <c r="I31" s="473" t="s">
        <v>402</v>
      </c>
      <c r="J31" s="168"/>
      <c r="K31" s="168"/>
      <c r="L31" s="237"/>
    </row>
    <row r="32" spans="1:12" s="167" customFormat="1">
      <c r="A32" s="169" t="s">
        <v>90</v>
      </c>
      <c r="B32" s="170" t="s">
        <v>23</v>
      </c>
      <c r="C32" s="501">
        <f>'[54]Sch C'!D17</f>
        <v>0</v>
      </c>
      <c r="D32" s="501">
        <f>'[54]Sch C'!F17</f>
        <v>0</v>
      </c>
      <c r="E32" s="171">
        <f t="shared" si="3"/>
        <v>0</v>
      </c>
      <c r="F32" s="660"/>
      <c r="G32" s="171">
        <f t="shared" si="4"/>
        <v>0</v>
      </c>
      <c r="H32" s="172">
        <f t="shared" si="5"/>
        <v>0</v>
      </c>
      <c r="I32" s="473"/>
      <c r="J32" s="168"/>
      <c r="K32" s="168"/>
      <c r="L32" s="237"/>
    </row>
    <row r="33" spans="1:12" s="167" customFormat="1">
      <c r="A33" s="169" t="s">
        <v>91</v>
      </c>
      <c r="B33" s="170" t="s">
        <v>24</v>
      </c>
      <c r="C33" s="501">
        <f>'[54]Sch C'!D18</f>
        <v>19505</v>
      </c>
      <c r="D33" s="501">
        <f>'[54]Sch C'!F18</f>
        <v>0</v>
      </c>
      <c r="E33" s="171">
        <f t="shared" si="3"/>
        <v>19505</v>
      </c>
      <c r="F33" s="660"/>
      <c r="G33" s="171">
        <f t="shared" si="4"/>
        <v>19505</v>
      </c>
      <c r="H33" s="172">
        <f t="shared" si="5"/>
        <v>2.1483560752877371E-3</v>
      </c>
      <c r="I33" s="473"/>
      <c r="J33" s="168"/>
      <c r="K33" s="168"/>
      <c r="L33" s="237"/>
    </row>
    <row r="34" spans="1:12" s="167" customFormat="1">
      <c r="A34" s="169" t="s">
        <v>92</v>
      </c>
      <c r="B34" s="170" t="s">
        <v>25</v>
      </c>
      <c r="C34" s="501">
        <f>'[54]Sch C'!D19</f>
        <v>21538</v>
      </c>
      <c r="D34" s="501">
        <f>'[54]Sch C'!F19</f>
        <v>-1459</v>
      </c>
      <c r="E34" s="171">
        <f t="shared" si="3"/>
        <v>20079</v>
      </c>
      <c r="F34" s="660"/>
      <c r="G34" s="171">
        <f t="shared" si="4"/>
        <v>20079</v>
      </c>
      <c r="H34" s="172">
        <f t="shared" si="5"/>
        <v>2.2115786534582143E-3</v>
      </c>
      <c r="I34" s="473"/>
      <c r="J34" s="168"/>
      <c r="K34" s="168"/>
      <c r="L34" s="237"/>
    </row>
    <row r="35" spans="1:12" s="167" customFormat="1">
      <c r="A35" s="169" t="s">
        <v>93</v>
      </c>
      <c r="B35" s="170" t="s">
        <v>26</v>
      </c>
      <c r="C35" s="501">
        <f>'[54]Sch C'!D20</f>
        <v>39377</v>
      </c>
      <c r="D35" s="501">
        <f>'[54]Sch C'!F20</f>
        <v>0</v>
      </c>
      <c r="E35" s="171">
        <f t="shared" si="3"/>
        <v>39377</v>
      </c>
      <c r="F35" s="660">
        <v>-1840</v>
      </c>
      <c r="G35" s="171">
        <f t="shared" si="4"/>
        <v>37537</v>
      </c>
      <c r="H35" s="172">
        <f t="shared" si="5"/>
        <v>4.134470238301758E-3</v>
      </c>
      <c r="I35" s="473"/>
      <c r="J35" s="168"/>
      <c r="K35" s="168"/>
      <c r="L35" s="237"/>
    </row>
    <row r="36" spans="1:12" s="167" customFormat="1">
      <c r="A36" s="169" t="s">
        <v>94</v>
      </c>
      <c r="B36" s="170" t="s">
        <v>27</v>
      </c>
      <c r="C36" s="501">
        <f>'[54]Sch C'!D21</f>
        <v>15162</v>
      </c>
      <c r="D36" s="501">
        <f>'[54]Sch C'!F21</f>
        <v>0</v>
      </c>
      <c r="E36" s="171">
        <f t="shared" si="3"/>
        <v>15162</v>
      </c>
      <c r="F36" s="660">
        <v>-13267</v>
      </c>
      <c r="G36" s="171">
        <f t="shared" si="4"/>
        <v>1895</v>
      </c>
      <c r="H36" s="172">
        <f t="shared" si="5"/>
        <v>2.0872262305410212E-4</v>
      </c>
      <c r="I36" s="473"/>
      <c r="J36" s="168"/>
      <c r="K36" s="168"/>
      <c r="L36" s="237"/>
    </row>
    <row r="37" spans="1:12" s="167" customFormat="1">
      <c r="A37" s="163">
        <v>130</v>
      </c>
      <c r="B37" s="170" t="s">
        <v>28</v>
      </c>
      <c r="C37" s="501">
        <f>'[54]Sch C'!D22</f>
        <v>0</v>
      </c>
      <c r="D37" s="501">
        <f>'[54]Sch C'!F22</f>
        <v>0</v>
      </c>
      <c r="E37" s="171">
        <f t="shared" si="3"/>
        <v>0</v>
      </c>
      <c r="F37" s="660"/>
      <c r="G37" s="171">
        <f t="shared" si="4"/>
        <v>0</v>
      </c>
      <c r="H37" s="172">
        <f t="shared" si="5"/>
        <v>0</v>
      </c>
      <c r="I37" s="473"/>
      <c r="J37" s="168"/>
      <c r="K37" s="168"/>
      <c r="L37" s="237"/>
    </row>
    <row r="38" spans="1:12" s="167" customFormat="1">
      <c r="A38" s="163">
        <v>140</v>
      </c>
      <c r="B38" s="170" t="s">
        <v>149</v>
      </c>
      <c r="C38" s="501">
        <f>'[54]Sch C'!D23</f>
        <v>9429</v>
      </c>
      <c r="D38" s="501">
        <f>'[54]Sch C'!F23</f>
        <v>0</v>
      </c>
      <c r="E38" s="171">
        <f t="shared" si="3"/>
        <v>9429</v>
      </c>
      <c r="F38" s="660"/>
      <c r="G38" s="171">
        <f t="shared" si="4"/>
        <v>9429</v>
      </c>
      <c r="H38" s="172">
        <f t="shared" si="5"/>
        <v>1.0385464975077197E-3</v>
      </c>
      <c r="I38" s="473"/>
      <c r="J38" s="168"/>
      <c r="K38" s="168"/>
      <c r="L38" s="237"/>
    </row>
    <row r="39" spans="1:12" s="167" customFormat="1">
      <c r="A39" s="163">
        <v>150</v>
      </c>
      <c r="B39" s="170" t="s">
        <v>29</v>
      </c>
      <c r="C39" s="501">
        <f>'[54]Sch C'!D24</f>
        <v>90788</v>
      </c>
      <c r="D39" s="501">
        <f>'[54]Sch C'!F24</f>
        <v>-24000</v>
      </c>
      <c r="E39" s="171">
        <f t="shared" si="3"/>
        <v>66788</v>
      </c>
      <c r="F39" s="660"/>
      <c r="G39" s="171">
        <f t="shared" si="4"/>
        <v>66788</v>
      </c>
      <c r="H39" s="172">
        <f t="shared" si="5"/>
        <v>7.3562884161147086E-3</v>
      </c>
      <c r="I39" s="473"/>
      <c r="J39" s="168"/>
      <c r="K39" s="168"/>
      <c r="L39" s="237"/>
    </row>
    <row r="40" spans="1:12" s="167" customFormat="1">
      <c r="A40" s="163">
        <v>160</v>
      </c>
      <c r="B40" s="170" t="s">
        <v>30</v>
      </c>
      <c r="C40" s="501">
        <f>'[54]Sch C'!D25</f>
        <v>0</v>
      </c>
      <c r="D40" s="501">
        <f>'[54]Sch C'!F25</f>
        <v>0</v>
      </c>
      <c r="E40" s="171">
        <f t="shared" si="3"/>
        <v>0</v>
      </c>
      <c r="F40" s="660"/>
      <c r="G40" s="171">
        <f t="shared" si="4"/>
        <v>0</v>
      </c>
      <c r="H40" s="172">
        <f t="shared" si="5"/>
        <v>0</v>
      </c>
      <c r="I40" s="473"/>
      <c r="J40" s="168"/>
      <c r="K40" s="168"/>
      <c r="L40" s="237"/>
    </row>
    <row r="41" spans="1:12" s="167" customFormat="1">
      <c r="A41" s="163">
        <v>170</v>
      </c>
      <c r="B41" s="170" t="s">
        <v>31</v>
      </c>
      <c r="C41" s="501">
        <f>'[54]Sch C'!D26</f>
        <v>486038</v>
      </c>
      <c r="D41" s="501">
        <f>'[54]Sch C'!F26</f>
        <v>0</v>
      </c>
      <c r="E41" s="171">
        <f t="shared" si="3"/>
        <v>486038</v>
      </c>
      <c r="F41" s="660"/>
      <c r="G41" s="171">
        <f t="shared" si="4"/>
        <v>486038</v>
      </c>
      <c r="H41" s="172">
        <f t="shared" si="5"/>
        <v>5.3534103569377142E-2</v>
      </c>
      <c r="I41" s="473"/>
      <c r="J41" s="168"/>
      <c r="K41" s="168"/>
      <c r="L41" s="237"/>
    </row>
    <row r="42" spans="1:12" s="167" customFormat="1">
      <c r="A42" s="163">
        <v>180</v>
      </c>
      <c r="B42" s="170" t="s">
        <v>32</v>
      </c>
      <c r="C42" s="501">
        <f>'[54]Sch C'!D27</f>
        <v>0</v>
      </c>
      <c r="D42" s="501">
        <f>'[54]Sch C'!F27</f>
        <v>0</v>
      </c>
      <c r="E42" s="171">
        <f t="shared" si="3"/>
        <v>0</v>
      </c>
      <c r="F42" s="660"/>
      <c r="G42" s="171">
        <f t="shared" si="4"/>
        <v>0</v>
      </c>
      <c r="H42" s="172">
        <f t="shared" si="5"/>
        <v>0</v>
      </c>
      <c r="I42" s="473"/>
      <c r="J42" s="168"/>
      <c r="K42" s="168"/>
      <c r="L42" s="237"/>
    </row>
    <row r="43" spans="1:12" s="167" customFormat="1">
      <c r="A43" s="163">
        <v>190</v>
      </c>
      <c r="B43" s="170" t="s">
        <v>33</v>
      </c>
      <c r="C43" s="501">
        <f>'[54]Sch C'!D28</f>
        <v>0</v>
      </c>
      <c r="D43" s="501">
        <f>'[54]Sch C'!F28</f>
        <v>0</v>
      </c>
      <c r="E43" s="171">
        <f t="shared" si="3"/>
        <v>0</v>
      </c>
      <c r="F43" s="660"/>
      <c r="G43" s="171">
        <f t="shared" si="4"/>
        <v>0</v>
      </c>
      <c r="H43" s="172">
        <f t="shared" si="5"/>
        <v>0</v>
      </c>
      <c r="I43" s="473"/>
      <c r="J43" s="168"/>
      <c r="K43" s="168"/>
      <c r="L43" s="237"/>
    </row>
    <row r="44" spans="1:12" s="167" customFormat="1">
      <c r="A44" s="163">
        <v>200</v>
      </c>
      <c r="B44" s="170" t="s">
        <v>34</v>
      </c>
      <c r="C44" s="501">
        <f>'[54]Sch C'!D29</f>
        <v>285522</v>
      </c>
      <c r="D44" s="501">
        <f>'[54]Sch C'!F29</f>
        <v>-285522</v>
      </c>
      <c r="E44" s="171">
        <f t="shared" si="3"/>
        <v>0</v>
      </c>
      <c r="F44" s="660"/>
      <c r="G44" s="171">
        <f t="shared" si="4"/>
        <v>0</v>
      </c>
      <c r="H44" s="172">
        <f t="shared" si="5"/>
        <v>0</v>
      </c>
      <c r="I44" s="473"/>
      <c r="J44" s="168"/>
      <c r="K44" s="168"/>
      <c r="L44" s="237"/>
    </row>
    <row r="45" spans="1:12" s="167" customFormat="1">
      <c r="A45" s="163">
        <v>210</v>
      </c>
      <c r="B45" s="170" t="s">
        <v>35</v>
      </c>
      <c r="C45" s="501">
        <f>'[54]Sch C'!D30</f>
        <v>0</v>
      </c>
      <c r="D45" s="501">
        <f>'[54]Sch C'!F30</f>
        <v>0</v>
      </c>
      <c r="E45" s="171">
        <f t="shared" si="3"/>
        <v>0</v>
      </c>
      <c r="F45" s="660"/>
      <c r="G45" s="171">
        <f t="shared" si="4"/>
        <v>0</v>
      </c>
      <c r="H45" s="172">
        <f t="shared" si="5"/>
        <v>0</v>
      </c>
      <c r="I45" s="473"/>
      <c r="J45" s="168"/>
      <c r="K45" s="168"/>
      <c r="L45" s="237"/>
    </row>
    <row r="46" spans="1:12" s="167" customFormat="1">
      <c r="A46" s="163">
        <v>220</v>
      </c>
      <c r="B46" s="170" t="s">
        <v>190</v>
      </c>
      <c r="C46" s="501">
        <f>'[54]Sch C'!D31</f>
        <v>151572</v>
      </c>
      <c r="D46" s="501">
        <f>'[54]Sch C'!F31</f>
        <v>0</v>
      </c>
      <c r="E46" s="171">
        <f t="shared" si="3"/>
        <v>151572</v>
      </c>
      <c r="F46" s="660"/>
      <c r="G46" s="171">
        <f t="shared" si="4"/>
        <v>151572</v>
      </c>
      <c r="H46" s="172">
        <f t="shared" si="5"/>
        <v>1.6694725816124731E-2</v>
      </c>
      <c r="I46" s="473"/>
      <c r="J46" s="168"/>
      <c r="K46" s="168"/>
      <c r="L46" s="237"/>
    </row>
    <row r="47" spans="1:12" s="167" customFormat="1">
      <c r="A47" s="163">
        <v>230</v>
      </c>
      <c r="B47" s="170" t="s">
        <v>191</v>
      </c>
      <c r="C47" s="501">
        <f>'[54]Sch C'!D32</f>
        <v>213400</v>
      </c>
      <c r="D47" s="501">
        <f>'[54]Sch C'!F32</f>
        <v>-72939</v>
      </c>
      <c r="E47" s="171">
        <f t="shared" si="3"/>
        <v>140461</v>
      </c>
      <c r="F47" s="660"/>
      <c r="G47" s="171">
        <f t="shared" si="4"/>
        <v>140461</v>
      </c>
      <c r="H47" s="172">
        <f t="shared" si="5"/>
        <v>1.547091733868192E-2</v>
      </c>
      <c r="I47" s="473"/>
      <c r="J47" s="168"/>
      <c r="K47" s="168"/>
      <c r="L47" s="237"/>
    </row>
    <row r="48" spans="1:12" s="167" customFormat="1">
      <c r="A48" s="163">
        <v>240</v>
      </c>
      <c r="B48" s="170" t="s">
        <v>201</v>
      </c>
      <c r="C48" s="501">
        <f>'[54]Sch C'!D33</f>
        <v>0</v>
      </c>
      <c r="D48" s="501">
        <f>'[54]Sch C'!F33</f>
        <v>0</v>
      </c>
      <c r="E48" s="171">
        <f t="shared" si="3"/>
        <v>0</v>
      </c>
      <c r="F48" s="660"/>
      <c r="G48" s="171">
        <f t="shared" si="4"/>
        <v>0</v>
      </c>
      <c r="H48" s="172">
        <f t="shared" si="5"/>
        <v>0</v>
      </c>
      <c r="I48" s="473"/>
      <c r="J48" s="168"/>
      <c r="K48" s="168"/>
      <c r="L48" s="237"/>
    </row>
    <row r="49" spans="1:12" s="167" customFormat="1">
      <c r="A49" s="163">
        <v>250</v>
      </c>
      <c r="B49" s="170" t="s">
        <v>202</v>
      </c>
      <c r="C49" s="501">
        <f>'[54]Sch C'!D34</f>
        <v>0</v>
      </c>
      <c r="D49" s="501">
        <f>'[54]Sch C'!F34</f>
        <v>0</v>
      </c>
      <c r="E49" s="171">
        <f t="shared" si="3"/>
        <v>0</v>
      </c>
      <c r="F49" s="660"/>
      <c r="G49" s="171">
        <f t="shared" si="4"/>
        <v>0</v>
      </c>
      <c r="H49" s="172">
        <f t="shared" si="5"/>
        <v>0</v>
      </c>
      <c r="I49" s="473"/>
      <c r="J49" s="168"/>
      <c r="K49" s="168"/>
      <c r="L49" s="237"/>
    </row>
    <row r="50" spans="1:12" s="167" customFormat="1">
      <c r="A50" s="163">
        <v>270</v>
      </c>
      <c r="B50" s="170" t="s">
        <v>203</v>
      </c>
      <c r="C50" s="501">
        <f>'[54]Sch C'!D35</f>
        <v>7840</v>
      </c>
      <c r="D50" s="501">
        <f>'[54]Sch C'!F35</f>
        <v>-7840</v>
      </c>
      <c r="E50" s="171">
        <f t="shared" si="3"/>
        <v>0</v>
      </c>
      <c r="F50" s="660"/>
      <c r="G50" s="171">
        <f t="shared" si="4"/>
        <v>0</v>
      </c>
      <c r="H50" s="172">
        <f t="shared" si="5"/>
        <v>0</v>
      </c>
      <c r="I50" s="473"/>
      <c r="J50" s="168"/>
      <c r="K50" s="168"/>
      <c r="L50" s="237"/>
    </row>
    <row r="51" spans="1:12" s="167" customFormat="1">
      <c r="A51" s="163">
        <v>280</v>
      </c>
      <c r="B51" s="170" t="s">
        <v>204</v>
      </c>
      <c r="C51" s="501">
        <f>'[54]Sch C'!D36</f>
        <v>0</v>
      </c>
      <c r="D51" s="501">
        <f>'[54]Sch C'!F36</f>
        <v>0</v>
      </c>
      <c r="E51" s="171">
        <f t="shared" si="3"/>
        <v>0</v>
      </c>
      <c r="F51" s="660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  <c r="L51" s="237"/>
    </row>
    <row r="52" spans="1:12" s="167" customFormat="1">
      <c r="A52" s="163">
        <v>290</v>
      </c>
      <c r="B52" s="170" t="s">
        <v>205</v>
      </c>
      <c r="C52" s="501">
        <f>'[54]Sch C'!D37</f>
        <v>0</v>
      </c>
      <c r="D52" s="501">
        <f>'[54]Sch C'!F37</f>
        <v>0</v>
      </c>
      <c r="E52" s="171">
        <f t="shared" si="3"/>
        <v>0</v>
      </c>
      <c r="F52" s="660"/>
      <c r="G52" s="171">
        <f t="shared" si="4"/>
        <v>0</v>
      </c>
      <c r="H52" s="172">
        <f t="shared" si="5"/>
        <v>0</v>
      </c>
      <c r="I52" s="473"/>
      <c r="J52" s="168"/>
      <c r="K52" s="168"/>
      <c r="L52" s="237"/>
    </row>
    <row r="53" spans="1:12" s="167" customFormat="1">
      <c r="A53" s="163">
        <v>300</v>
      </c>
      <c r="B53" s="170" t="s">
        <v>206</v>
      </c>
      <c r="C53" s="501">
        <f>'[54]Sch C'!D38</f>
        <v>0</v>
      </c>
      <c r="D53" s="501">
        <f>'[54]Sch C'!F38</f>
        <v>0</v>
      </c>
      <c r="E53" s="171">
        <f t="shared" si="3"/>
        <v>0</v>
      </c>
      <c r="F53" s="660"/>
      <c r="G53" s="171">
        <f t="shared" si="4"/>
        <v>0</v>
      </c>
      <c r="H53" s="172">
        <f t="shared" si="5"/>
        <v>0</v>
      </c>
      <c r="I53" s="473"/>
      <c r="J53" s="168"/>
      <c r="K53" s="168"/>
      <c r="L53" s="237"/>
    </row>
    <row r="54" spans="1:12" s="167" customFormat="1">
      <c r="A54" s="163">
        <v>310</v>
      </c>
      <c r="B54" s="170" t="s">
        <v>207</v>
      </c>
      <c r="C54" s="501">
        <f>'[54]Sch C'!D39</f>
        <v>6961</v>
      </c>
      <c r="D54" s="501">
        <f>'[54]Sch C'!F39</f>
        <v>0</v>
      </c>
      <c r="E54" s="171">
        <f t="shared" si="3"/>
        <v>6961</v>
      </c>
      <c r="F54" s="660"/>
      <c r="G54" s="171">
        <f t="shared" si="4"/>
        <v>6961</v>
      </c>
      <c r="H54" s="172">
        <f t="shared" si="5"/>
        <v>7.6671144014754872E-4</v>
      </c>
      <c r="I54" s="473"/>
      <c r="J54" s="168"/>
      <c r="K54" s="168"/>
      <c r="L54" s="237"/>
    </row>
    <row r="55" spans="1:12" s="167" customFormat="1">
      <c r="A55" s="163">
        <v>320</v>
      </c>
      <c r="B55" s="170" t="s">
        <v>208</v>
      </c>
      <c r="C55" s="501">
        <f>'[54]Sch C'!D40</f>
        <v>4482</v>
      </c>
      <c r="D55" s="501">
        <f>'[54]Sch C'!F40</f>
        <v>0</v>
      </c>
      <c r="E55" s="171">
        <f t="shared" si="3"/>
        <v>4482</v>
      </c>
      <c r="F55" s="660"/>
      <c r="G55" s="171">
        <f t="shared" si="4"/>
        <v>4482</v>
      </c>
      <c r="H55" s="172">
        <f t="shared" si="5"/>
        <v>4.9366480027888428E-4</v>
      </c>
      <c r="I55" s="473"/>
      <c r="J55" s="168"/>
      <c r="K55" s="168"/>
      <c r="L55" s="237"/>
    </row>
    <row r="56" spans="1:12" s="167" customFormat="1">
      <c r="A56" s="163">
        <v>330</v>
      </c>
      <c r="B56" s="170" t="s">
        <v>48</v>
      </c>
      <c r="C56" s="501">
        <f>'[54]Sch C'!D41</f>
        <v>68673</v>
      </c>
      <c r="D56" s="501">
        <f>'[54]Sch C'!F41</f>
        <v>0</v>
      </c>
      <c r="E56" s="171">
        <f t="shared" si="3"/>
        <v>68673</v>
      </c>
      <c r="F56" s="660">
        <f>-348-787</f>
        <v>-1135</v>
      </c>
      <c r="G56" s="171">
        <f t="shared" si="4"/>
        <v>67538</v>
      </c>
      <c r="H56" s="172">
        <f t="shared" si="5"/>
        <v>7.4388963144210807E-3</v>
      </c>
      <c r="I56" s="473"/>
      <c r="J56" s="168"/>
      <c r="K56" s="168"/>
      <c r="L56" s="237"/>
    </row>
    <row r="57" spans="1:12" s="167" customFormat="1">
      <c r="A57" s="163">
        <v>340</v>
      </c>
      <c r="B57" s="170" t="s">
        <v>209</v>
      </c>
      <c r="C57" s="501">
        <f>'[54]Sch C'!D42</f>
        <v>11244</v>
      </c>
      <c r="D57" s="501">
        <f>'[54]Sch C'!F42</f>
        <v>0</v>
      </c>
      <c r="E57" s="171">
        <f t="shared" si="3"/>
        <v>11244</v>
      </c>
      <c r="F57" s="660"/>
      <c r="G57" s="171">
        <f t="shared" si="4"/>
        <v>11244</v>
      </c>
      <c r="H57" s="172">
        <f t="shared" si="5"/>
        <v>1.2384576114091419E-3</v>
      </c>
      <c r="I57" s="473"/>
      <c r="J57" s="168"/>
      <c r="K57" s="168"/>
      <c r="L57" s="237"/>
    </row>
    <row r="58" spans="1:12" s="167" customFormat="1">
      <c r="A58" s="163">
        <v>350</v>
      </c>
      <c r="B58" s="170" t="s">
        <v>210</v>
      </c>
      <c r="C58" s="501">
        <f>'[54]Sch C'!D43</f>
        <v>9265</v>
      </c>
      <c r="D58" s="501">
        <f>'[54]Sch C'!F43</f>
        <v>0</v>
      </c>
      <c r="E58" s="171">
        <f t="shared" si="3"/>
        <v>9265</v>
      </c>
      <c r="F58" s="171"/>
      <c r="G58" s="171">
        <f t="shared" si="4"/>
        <v>9265</v>
      </c>
      <c r="H58" s="172">
        <f t="shared" si="5"/>
        <v>1.0204829037447263E-3</v>
      </c>
      <c r="I58" s="473"/>
      <c r="J58" s="168"/>
      <c r="K58" s="168"/>
      <c r="L58" s="237"/>
    </row>
    <row r="59" spans="1:12" s="167" customFormat="1">
      <c r="A59" s="163">
        <v>360</v>
      </c>
      <c r="B59" s="170" t="s">
        <v>211</v>
      </c>
      <c r="C59" s="501">
        <f>'[54]Sch C'!D44</f>
        <v>0</v>
      </c>
      <c r="D59" s="501">
        <f>'[54]Sch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  <c r="L59" s="237"/>
    </row>
    <row r="60" spans="1:12" s="167" customFormat="1">
      <c r="A60" s="163">
        <v>490</v>
      </c>
      <c r="B60" s="170" t="s">
        <v>36</v>
      </c>
      <c r="C60" s="501">
        <f>'[54]Sch C'!D45</f>
        <v>27410</v>
      </c>
      <c r="D60" s="501">
        <f>'[54]Sch C'!F45</f>
        <v>-2458</v>
      </c>
      <c r="E60" s="171">
        <f t="shared" si="3"/>
        <v>24952</v>
      </c>
      <c r="F60" s="171"/>
      <c r="G60" s="171">
        <f t="shared" si="4"/>
        <v>24952</v>
      </c>
      <c r="H60" s="172">
        <f t="shared" si="5"/>
        <v>2.7483097047208212E-3</v>
      </c>
      <c r="I60" s="473"/>
      <c r="J60" s="168"/>
      <c r="K60" s="168"/>
      <c r="L60" s="237"/>
    </row>
    <row r="61" spans="1:12" s="167" customFormat="1">
      <c r="A61" s="163"/>
      <c r="B61" s="170" t="s">
        <v>177</v>
      </c>
      <c r="C61" s="501">
        <f>SUM(C25:C60)</f>
        <v>3227417</v>
      </c>
      <c r="D61" s="501">
        <f>SUM(D25:D60)</f>
        <v>-882009</v>
      </c>
      <c r="E61" s="171">
        <f t="shared" ref="E61:F61" si="6">SUM(E25:E60)</f>
        <v>2345408</v>
      </c>
      <c r="F61" s="171">
        <f t="shared" si="6"/>
        <v>-120642.0037733262</v>
      </c>
      <c r="G61" s="171">
        <f>SUM(G25:G60)</f>
        <v>2224765.9962266739</v>
      </c>
      <c r="H61" s="186">
        <f t="shared" si="5"/>
        <v>0.24504432422902589</v>
      </c>
      <c r="I61" s="480"/>
      <c r="J61" s="168"/>
      <c r="K61" s="168"/>
      <c r="L61" s="237"/>
    </row>
    <row r="62" spans="1:12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  <c r="L62" s="237"/>
    </row>
    <row r="63" spans="1:12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  <c r="L63" s="237"/>
    </row>
    <row r="64" spans="1:12" s="167" customFormat="1">
      <c r="A64" s="188">
        <v>230</v>
      </c>
      <c r="B64" s="189" t="s">
        <v>253</v>
      </c>
      <c r="C64" s="501">
        <f>'[54]Sch C'!D57</f>
        <v>1163611</v>
      </c>
      <c r="D64" s="501">
        <f>'[54]Sch C'!F57</f>
        <v>0</v>
      </c>
      <c r="E64" s="171">
        <f t="shared" ref="E64:E78" si="7">C64+D64</f>
        <v>1163611</v>
      </c>
      <c r="F64" s="660">
        <v>-1163611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  <c r="L64" s="237"/>
    </row>
    <row r="65" spans="1:12" s="167" customFormat="1">
      <c r="A65" s="191">
        <v>240</v>
      </c>
      <c r="B65" s="189" t="s">
        <v>254</v>
      </c>
      <c r="C65" s="501">
        <f>'[54]Sch C'!D58</f>
        <v>19727</v>
      </c>
      <c r="D65" s="501">
        <f>'[54]Sch C'!F58</f>
        <v>0</v>
      </c>
      <c r="E65" s="171">
        <f t="shared" si="7"/>
        <v>19727</v>
      </c>
      <c r="F65" s="660">
        <v>291755</v>
      </c>
      <c r="G65" s="171">
        <f t="shared" si="8"/>
        <v>311482</v>
      </c>
      <c r="H65" s="172">
        <f t="shared" si="9"/>
        <v>3.4307831173687513E-2</v>
      </c>
      <c r="I65" s="473"/>
      <c r="J65" s="190"/>
      <c r="K65" s="168"/>
      <c r="L65" s="237"/>
    </row>
    <row r="66" spans="1:12" s="167" customFormat="1">
      <c r="A66" s="142">
        <v>250</v>
      </c>
      <c r="B66" s="189" t="s">
        <v>307</v>
      </c>
      <c r="C66" s="501">
        <f>'[54]Sch C'!D59</f>
        <v>0</v>
      </c>
      <c r="D66" s="501">
        <f>'[54]Sch C'!F59</f>
        <v>0</v>
      </c>
      <c r="E66" s="171">
        <f t="shared" si="7"/>
        <v>0</v>
      </c>
      <c r="F66" s="660">
        <v>292774</v>
      </c>
      <c r="G66" s="171">
        <f t="shared" si="8"/>
        <v>292774</v>
      </c>
      <c r="H66" s="172">
        <f t="shared" si="9"/>
        <v>3.2247259758333348E-2</v>
      </c>
      <c r="I66" s="473"/>
      <c r="J66" s="190"/>
      <c r="K66" s="168"/>
      <c r="L66" s="237"/>
    </row>
    <row r="67" spans="1:12" s="167" customFormat="1">
      <c r="A67" s="142">
        <v>260</v>
      </c>
      <c r="B67" s="192" t="s">
        <v>308</v>
      </c>
      <c r="C67" s="501">
        <f>'[54]Sch C'!D60</f>
        <v>68131</v>
      </c>
      <c r="D67" s="501">
        <f>'[54]Sch C'!F60</f>
        <v>0</v>
      </c>
      <c r="E67" s="171">
        <f t="shared" si="7"/>
        <v>68131</v>
      </c>
      <c r="F67" s="660"/>
      <c r="G67" s="171">
        <f t="shared" si="8"/>
        <v>68131</v>
      </c>
      <c r="H67" s="172">
        <f t="shared" si="9"/>
        <v>7.5042116260153197E-3</v>
      </c>
      <c r="I67" s="473"/>
      <c r="J67" s="193"/>
      <c r="K67" s="168"/>
      <c r="L67" s="237"/>
    </row>
    <row r="68" spans="1:12" s="167" customFormat="1">
      <c r="A68" s="142">
        <v>270</v>
      </c>
      <c r="B68" s="192" t="s">
        <v>309</v>
      </c>
      <c r="C68" s="501">
        <f>'[54]Sch C'!D61</f>
        <v>11862</v>
      </c>
      <c r="D68" s="501">
        <f>'[54]Sch C'!F61</f>
        <v>0</v>
      </c>
      <c r="E68" s="171">
        <f t="shared" si="7"/>
        <v>11862</v>
      </c>
      <c r="F68" s="171"/>
      <c r="G68" s="171">
        <f t="shared" si="8"/>
        <v>11862</v>
      </c>
      <c r="H68" s="172">
        <f t="shared" si="9"/>
        <v>1.3065265196135934E-3</v>
      </c>
      <c r="I68" s="473"/>
      <c r="J68" s="193"/>
      <c r="K68" s="168"/>
      <c r="L68" s="237"/>
    </row>
    <row r="69" spans="1:12" s="167" customFormat="1">
      <c r="A69" s="142">
        <v>280</v>
      </c>
      <c r="B69" s="194" t="s">
        <v>258</v>
      </c>
      <c r="C69" s="501">
        <f>'[54]Sch C'!D62</f>
        <v>17574</v>
      </c>
      <c r="D69" s="501">
        <f>'[54]Sch C'!F62</f>
        <v>0</v>
      </c>
      <c r="E69" s="171">
        <f t="shared" si="7"/>
        <v>17574</v>
      </c>
      <c r="F69" s="171"/>
      <c r="G69" s="171">
        <f t="shared" si="8"/>
        <v>17574</v>
      </c>
      <c r="H69" s="172">
        <f t="shared" si="9"/>
        <v>1.9356682731149291E-3</v>
      </c>
      <c r="I69" s="473"/>
      <c r="J69" s="195"/>
      <c r="K69" s="168"/>
      <c r="L69" s="237"/>
    </row>
    <row r="70" spans="1:12" s="167" customFormat="1">
      <c r="A70" s="142">
        <v>290</v>
      </c>
      <c r="B70" s="194" t="s">
        <v>259</v>
      </c>
      <c r="C70" s="501">
        <f>'[54]Sch C'!D63</f>
        <v>0</v>
      </c>
      <c r="D70" s="501">
        <f>'[54]Sch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  <c r="L70" s="237"/>
    </row>
    <row r="71" spans="1:12" s="167" customFormat="1">
      <c r="A71" s="142">
        <v>300</v>
      </c>
      <c r="B71" s="194" t="s">
        <v>260</v>
      </c>
      <c r="C71" s="501">
        <f>'[54]Sch C'!D64</f>
        <v>0</v>
      </c>
      <c r="D71" s="501">
        <f>'[54]Sch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  <c r="L71" s="237"/>
    </row>
    <row r="72" spans="1:12" s="167" customFormat="1">
      <c r="A72" s="142">
        <v>310</v>
      </c>
      <c r="B72" s="194" t="s">
        <v>310</v>
      </c>
      <c r="C72" s="501">
        <f>'[54]Sch C'!D65</f>
        <v>7372</v>
      </c>
      <c r="D72" s="501">
        <f>'[54]Sch C'!F65</f>
        <v>0</v>
      </c>
      <c r="E72" s="171">
        <f t="shared" si="7"/>
        <v>7372</v>
      </c>
      <c r="F72" s="171"/>
      <c r="G72" s="171">
        <f t="shared" si="8"/>
        <v>7372</v>
      </c>
      <c r="H72" s="172">
        <f t="shared" si="9"/>
        <v>8.1198056841944109E-4</v>
      </c>
      <c r="I72" s="473"/>
      <c r="J72" s="195"/>
      <c r="K72" s="168"/>
      <c r="L72" s="237"/>
    </row>
    <row r="73" spans="1:12" s="167" customFormat="1">
      <c r="A73" s="142">
        <v>320</v>
      </c>
      <c r="B73" s="194" t="s">
        <v>262</v>
      </c>
      <c r="C73" s="501">
        <f>'[54]Sch C'!D66</f>
        <v>11438</v>
      </c>
      <c r="D73" s="501">
        <f>'[54]Sch C'!F66</f>
        <v>0</v>
      </c>
      <c r="E73" s="171">
        <f t="shared" si="7"/>
        <v>11438</v>
      </c>
      <c r="F73" s="171"/>
      <c r="G73" s="171">
        <f t="shared" si="8"/>
        <v>11438</v>
      </c>
      <c r="H73" s="172">
        <f t="shared" si="9"/>
        <v>1.2598255211043905E-3</v>
      </c>
      <c r="I73" s="473"/>
      <c r="J73" s="195"/>
      <c r="K73" s="168"/>
      <c r="L73" s="237"/>
    </row>
    <row r="74" spans="1:12" s="167" customFormat="1">
      <c r="A74" s="142">
        <v>330</v>
      </c>
      <c r="B74" s="194" t="s">
        <v>263</v>
      </c>
      <c r="C74" s="501">
        <f>'[54]Sch C'!D67</f>
        <v>127373</v>
      </c>
      <c r="D74" s="501">
        <f>'[54]Sch C'!F67</f>
        <v>0</v>
      </c>
      <c r="E74" s="171">
        <f t="shared" si="7"/>
        <v>127373</v>
      </c>
      <c r="F74" s="171"/>
      <c r="G74" s="171">
        <f t="shared" si="8"/>
        <v>127373</v>
      </c>
      <c r="H74" s="172">
        <f t="shared" si="9"/>
        <v>1.4029354441303508E-2</v>
      </c>
      <c r="I74" s="473"/>
      <c r="J74" s="195"/>
      <c r="K74" s="168"/>
      <c r="L74" s="237"/>
    </row>
    <row r="75" spans="1:12" s="167" customFormat="1">
      <c r="A75" s="142">
        <v>340</v>
      </c>
      <c r="B75" s="194" t="s">
        <v>264</v>
      </c>
      <c r="C75" s="501">
        <f>'[54]Sch C'!D68</f>
        <v>0</v>
      </c>
      <c r="D75" s="501">
        <f>'[54]Sch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  <c r="L75" s="237"/>
    </row>
    <row r="76" spans="1:12" s="167" customFormat="1">
      <c r="A76" s="167">
        <v>350</v>
      </c>
      <c r="B76" s="194" t="s">
        <v>311</v>
      </c>
      <c r="C76" s="501">
        <f>'[54]Sch C'!D69</f>
        <v>11154</v>
      </c>
      <c r="D76" s="501">
        <f>'[54]Sch C'!F69</f>
        <v>0</v>
      </c>
      <c r="E76" s="171">
        <f t="shared" si="7"/>
        <v>11154</v>
      </c>
      <c r="F76" s="171"/>
      <c r="G76" s="171">
        <f t="shared" si="8"/>
        <v>11154</v>
      </c>
      <c r="H76" s="172">
        <f t="shared" si="9"/>
        <v>1.2285446636123773E-3</v>
      </c>
      <c r="I76" s="473"/>
      <c r="J76" s="195"/>
      <c r="K76" s="168"/>
      <c r="L76" s="237"/>
    </row>
    <row r="77" spans="1:12" s="167" customFormat="1">
      <c r="A77" s="142">
        <v>360</v>
      </c>
      <c r="B77" s="194" t="s">
        <v>192</v>
      </c>
      <c r="C77" s="501">
        <f>'[54]Sch C'!D70</f>
        <v>0</v>
      </c>
      <c r="D77" s="501">
        <f>'[54]Sch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  <c r="L77" s="237"/>
    </row>
    <row r="78" spans="1:12" s="167" customFormat="1">
      <c r="A78" s="142">
        <v>490</v>
      </c>
      <c r="B78" s="194" t="s">
        <v>312</v>
      </c>
      <c r="C78" s="501">
        <f>'[54]Sch C'!D71</f>
        <v>0</v>
      </c>
      <c r="D78" s="501">
        <f>'[54]Sch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  <c r="L78" s="237"/>
    </row>
    <row r="79" spans="1:12" s="167" customFormat="1">
      <c r="A79" s="163"/>
      <c r="B79" s="170" t="s">
        <v>150</v>
      </c>
      <c r="C79" s="501">
        <f>SUM(C64:C78)</f>
        <v>1438242</v>
      </c>
      <c r="D79" s="501">
        <f>SUM(D64:D78)</f>
        <v>0</v>
      </c>
      <c r="E79" s="171">
        <f t="shared" ref="E79:F79" si="10">SUM(E64:E78)</f>
        <v>1438242</v>
      </c>
      <c r="F79" s="171">
        <f t="shared" si="10"/>
        <v>-579082</v>
      </c>
      <c r="G79" s="171">
        <f>SUM(G64:G78)</f>
        <v>859160</v>
      </c>
      <c r="H79" s="172">
        <f t="shared" si="9"/>
        <v>9.4631202545204421E-2</v>
      </c>
      <c r="I79" s="473"/>
      <c r="J79" s="195"/>
      <c r="K79" s="168"/>
      <c r="L79" s="237"/>
    </row>
    <row r="80" spans="1:12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  <c r="L80" s="237"/>
    </row>
    <row r="81" spans="1:12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  <c r="L81" s="237"/>
    </row>
    <row r="82" spans="1:12" s="167" customFormat="1">
      <c r="A82" s="169" t="s">
        <v>85</v>
      </c>
      <c r="B82" s="148" t="s">
        <v>44</v>
      </c>
      <c r="C82" s="501">
        <f>'[54]Sch C'!D75</f>
        <v>73390</v>
      </c>
      <c r="D82" s="501">
        <f>'[54]Sch C'!F75</f>
        <v>3858</v>
      </c>
      <c r="E82" s="171">
        <f t="shared" ref="E82:E92" si="11">C82+D82</f>
        <v>77248</v>
      </c>
      <c r="F82" s="171"/>
      <c r="G82" s="171">
        <f t="shared" ref="G82:G92" si="12">E82+F82</f>
        <v>77248</v>
      </c>
      <c r="H82" s="172">
        <f t="shared" ref="H82:H93" si="13">IF($G$208=0,0,G82/$G$208)</f>
        <v>8.5083932378275887E-3</v>
      </c>
      <c r="I82" s="473"/>
      <c r="J82" s="183">
        <v>3490</v>
      </c>
      <c r="K82" s="183">
        <v>3673</v>
      </c>
      <c r="L82" s="237"/>
    </row>
    <row r="83" spans="1:12" s="167" customFormat="1">
      <c r="A83" s="169" t="s">
        <v>86</v>
      </c>
      <c r="B83" s="199" t="s">
        <v>45</v>
      </c>
      <c r="C83" s="501">
        <f>'[54]Sch C'!D76</f>
        <v>0</v>
      </c>
      <c r="D83" s="501">
        <f>'[54]Sch C'!F76</f>
        <v>8772</v>
      </c>
      <c r="E83" s="171">
        <f t="shared" si="11"/>
        <v>8772</v>
      </c>
      <c r="F83" s="171"/>
      <c r="G83" s="171">
        <f t="shared" si="12"/>
        <v>8772</v>
      </c>
      <c r="H83" s="172">
        <f t="shared" si="13"/>
        <v>9.6618197859133707E-4</v>
      </c>
      <c r="I83" s="473"/>
      <c r="J83" s="168"/>
      <c r="K83" s="168"/>
      <c r="L83" s="237"/>
    </row>
    <row r="84" spans="1:12" s="167" customFormat="1">
      <c r="A84" s="169" t="s">
        <v>93</v>
      </c>
      <c r="B84" s="199" t="s">
        <v>47</v>
      </c>
      <c r="C84" s="501">
        <f>'[54]Sch C'!D77</f>
        <v>16139</v>
      </c>
      <c r="D84" s="501">
        <f>'[54]Sch C'!F77</f>
        <v>0</v>
      </c>
      <c r="E84" s="171">
        <f t="shared" si="11"/>
        <v>16139</v>
      </c>
      <c r="F84" s="171"/>
      <c r="G84" s="171">
        <f t="shared" si="12"/>
        <v>16139</v>
      </c>
      <c r="H84" s="172">
        <f t="shared" si="13"/>
        <v>1.7776118276887356E-3</v>
      </c>
      <c r="I84" s="473"/>
      <c r="J84" s="168"/>
      <c r="K84" s="168"/>
      <c r="L84" s="237"/>
    </row>
    <row r="85" spans="1:12" s="167" customFormat="1">
      <c r="A85" s="169">
        <v>230</v>
      </c>
      <c r="B85" s="199" t="s">
        <v>46</v>
      </c>
      <c r="C85" s="501">
        <f>'[54]Sch C'!D78</f>
        <v>0</v>
      </c>
      <c r="D85" s="501">
        <f>'[54]Sch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  <c r="L85" s="237"/>
    </row>
    <row r="86" spans="1:12" s="167" customFormat="1">
      <c r="A86" s="169">
        <v>240</v>
      </c>
      <c r="B86" s="200" t="s">
        <v>267</v>
      </c>
      <c r="C86" s="501">
        <f>'[54]Sch C'!D79</f>
        <v>6602</v>
      </c>
      <c r="D86" s="501">
        <f>'[54]Sch C'!F79</f>
        <v>0</v>
      </c>
      <c r="E86" s="171">
        <f t="shared" si="11"/>
        <v>6602</v>
      </c>
      <c r="F86" s="171"/>
      <c r="G86" s="171">
        <f>E86+F86</f>
        <v>6602</v>
      </c>
      <c r="H86" s="172">
        <f t="shared" si="13"/>
        <v>7.2716979282489824E-4</v>
      </c>
      <c r="I86" s="473"/>
      <c r="J86" s="168"/>
      <c r="K86" s="168"/>
      <c r="L86" s="237"/>
    </row>
    <row r="87" spans="1:12" s="167" customFormat="1">
      <c r="A87" s="169">
        <v>310</v>
      </c>
      <c r="B87" s="199" t="s">
        <v>54</v>
      </c>
      <c r="C87" s="501">
        <f>'[54]Sch C'!D80</f>
        <v>40707</v>
      </c>
      <c r="D87" s="501">
        <f>'[54]Sch C'!F80</f>
        <v>0</v>
      </c>
      <c r="E87" s="171">
        <f t="shared" si="11"/>
        <v>40707</v>
      </c>
      <c r="F87" s="171"/>
      <c r="G87" s="171">
        <f t="shared" si="12"/>
        <v>40707</v>
      </c>
      <c r="H87" s="172">
        <f t="shared" si="13"/>
        <v>4.483626288476694E-3</v>
      </c>
      <c r="I87" s="473"/>
      <c r="J87" s="168"/>
      <c r="K87" s="168"/>
      <c r="L87" s="237"/>
    </row>
    <row r="88" spans="1:12" s="167" customFormat="1">
      <c r="A88" s="169">
        <v>320</v>
      </c>
      <c r="B88" s="201" t="s">
        <v>313</v>
      </c>
      <c r="C88" s="501">
        <f>'[54]Sch C'!D81</f>
        <v>27589</v>
      </c>
      <c r="D88" s="501">
        <f>'[54]Sch C'!F81</f>
        <v>0</v>
      </c>
      <c r="E88" s="171">
        <f t="shared" si="11"/>
        <v>27589</v>
      </c>
      <c r="F88" s="171"/>
      <c r="G88" s="171">
        <f t="shared" si="12"/>
        <v>27589</v>
      </c>
      <c r="H88" s="172">
        <f t="shared" si="13"/>
        <v>3.0387590751660282E-3</v>
      </c>
      <c r="I88" s="473"/>
      <c r="J88" s="168"/>
      <c r="K88" s="168"/>
      <c r="L88" s="237"/>
    </row>
    <row r="89" spans="1:12" s="167" customFormat="1">
      <c r="A89" s="169">
        <v>330</v>
      </c>
      <c r="B89" s="201" t="s">
        <v>314</v>
      </c>
      <c r="C89" s="501">
        <f>'[54]Sch C'!D82</f>
        <v>11384</v>
      </c>
      <c r="D89" s="501">
        <f>'[54]Sch C'!F82</f>
        <v>0</v>
      </c>
      <c r="E89" s="171">
        <f t="shared" si="11"/>
        <v>11384</v>
      </c>
      <c r="F89" s="171"/>
      <c r="G89" s="171">
        <f t="shared" si="12"/>
        <v>11384</v>
      </c>
      <c r="H89" s="172">
        <f t="shared" si="13"/>
        <v>1.2538777524263316E-3</v>
      </c>
      <c r="I89" s="473"/>
      <c r="J89" s="168"/>
      <c r="K89" s="168"/>
      <c r="L89" s="237"/>
    </row>
    <row r="90" spans="1:12" s="167" customFormat="1">
      <c r="A90" s="163">
        <v>340</v>
      </c>
      <c r="B90" s="201" t="s">
        <v>300</v>
      </c>
      <c r="C90" s="501">
        <f>'[54]Sch C'!D83</f>
        <v>0</v>
      </c>
      <c r="D90" s="501">
        <f>'[54]Sch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  <c r="L90" s="237"/>
    </row>
    <row r="91" spans="1:12" s="167" customFormat="1">
      <c r="A91" s="163">
        <v>350</v>
      </c>
      <c r="B91" s="199" t="s">
        <v>49</v>
      </c>
      <c r="C91" s="501">
        <f>'[54]Sch C'!D84</f>
        <v>155465</v>
      </c>
      <c r="D91" s="501">
        <f>'[54]Sch C'!F84</f>
        <v>0</v>
      </c>
      <c r="E91" s="171">
        <f t="shared" si="11"/>
        <v>155465</v>
      </c>
      <c r="F91" s="171"/>
      <c r="G91" s="171">
        <f t="shared" si="12"/>
        <v>155465</v>
      </c>
      <c r="H91" s="172">
        <f t="shared" si="13"/>
        <v>1.7123515880267011E-2</v>
      </c>
      <c r="I91" s="473"/>
      <c r="J91" s="168"/>
      <c r="K91" s="168"/>
      <c r="L91" s="237"/>
    </row>
    <row r="92" spans="1:12" s="167" customFormat="1">
      <c r="A92" s="163">
        <v>490</v>
      </c>
      <c r="B92" s="148" t="s">
        <v>312</v>
      </c>
      <c r="C92" s="501">
        <f>'[54]Sch C'!D85</f>
        <v>0</v>
      </c>
      <c r="D92" s="501">
        <f>'[54]Sch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  <c r="L92" s="237"/>
    </row>
    <row r="93" spans="1:12" s="167" customFormat="1">
      <c r="A93" s="163"/>
      <c r="B93" s="170" t="s">
        <v>50</v>
      </c>
      <c r="C93" s="501">
        <f>SUM(C82:C92)</f>
        <v>331276</v>
      </c>
      <c r="D93" s="501">
        <f>SUM(D82:D92)</f>
        <v>12630</v>
      </c>
      <c r="E93" s="171">
        <f t="shared" ref="E93:F93" si="14">SUM(E82:E92)</f>
        <v>343906</v>
      </c>
      <c r="F93" s="171">
        <f t="shared" si="14"/>
        <v>0</v>
      </c>
      <c r="G93" s="171">
        <f>SUM(G82:G92)</f>
        <v>343906</v>
      </c>
      <c r="H93" s="172">
        <f t="shared" si="13"/>
        <v>3.7879135833268622E-2</v>
      </c>
      <c r="I93" s="473"/>
      <c r="J93" s="168"/>
      <c r="K93" s="168"/>
      <c r="L93" s="237"/>
    </row>
    <row r="94" spans="1:12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  <c r="L94" s="237"/>
    </row>
    <row r="95" spans="1:12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  <c r="L95" s="237"/>
    </row>
    <row r="96" spans="1:12" s="167" customFormat="1">
      <c r="A96" s="169" t="s">
        <v>85</v>
      </c>
      <c r="B96" s="170" t="s">
        <v>44</v>
      </c>
      <c r="C96" s="501">
        <f>'[54]Sch C'!D89</f>
        <v>264883</v>
      </c>
      <c r="D96" s="501">
        <f>'[54]Sch C'!F89</f>
        <v>13925</v>
      </c>
      <c r="E96" s="171">
        <f t="shared" ref="E96:E101" si="15">C96+D96</f>
        <v>278808</v>
      </c>
      <c r="F96" s="171"/>
      <c r="G96" s="171">
        <f t="shared" ref="G96:G101" si="16">E96+F96</f>
        <v>278808</v>
      </c>
      <c r="H96" s="172">
        <f t="shared" ref="H96:H102" si="17">IF($G$208=0,0,G96/$G$208)</f>
        <v>3.0708990548004276E-2</v>
      </c>
      <c r="I96" s="473"/>
      <c r="J96" s="183">
        <v>21242</v>
      </c>
      <c r="K96" s="183">
        <v>22359</v>
      </c>
      <c r="L96" s="237"/>
    </row>
    <row r="97" spans="1:12" s="167" customFormat="1">
      <c r="A97" s="169" t="s">
        <v>86</v>
      </c>
      <c r="B97" s="170" t="s">
        <v>45</v>
      </c>
      <c r="C97" s="501">
        <f>'[54]Sch C'!D90</f>
        <v>0</v>
      </c>
      <c r="D97" s="501">
        <f>'[54]Sch C'!F90</f>
        <v>31658</v>
      </c>
      <c r="E97" s="171">
        <f t="shared" si="15"/>
        <v>31658</v>
      </c>
      <c r="F97" s="171"/>
      <c r="G97" s="171">
        <f t="shared" si="16"/>
        <v>31658</v>
      </c>
      <c r="H97" s="172">
        <f t="shared" si="17"/>
        <v>3.4869344594442029E-3</v>
      </c>
      <c r="I97" s="473"/>
      <c r="J97" s="168"/>
      <c r="K97" s="168"/>
      <c r="L97" s="237"/>
    </row>
    <row r="98" spans="1:12" s="167" customFormat="1">
      <c r="A98" s="169">
        <v>310</v>
      </c>
      <c r="B98" s="170" t="s">
        <v>54</v>
      </c>
      <c r="C98" s="501">
        <f>'[54]Sch C'!D91</f>
        <v>4304</v>
      </c>
      <c r="D98" s="501">
        <f>'[54]Sch C'!F91</f>
        <v>0</v>
      </c>
      <c r="E98" s="171">
        <f t="shared" si="15"/>
        <v>4304</v>
      </c>
      <c r="F98" s="171"/>
      <c r="G98" s="171">
        <f t="shared" si="16"/>
        <v>4304</v>
      </c>
      <c r="H98" s="172">
        <f t="shared" si="17"/>
        <v>4.7405919241417176E-4</v>
      </c>
      <c r="I98" s="473"/>
      <c r="J98" s="168"/>
      <c r="K98" s="168"/>
      <c r="L98" s="237"/>
    </row>
    <row r="99" spans="1:12" s="167" customFormat="1">
      <c r="A99" s="169">
        <v>380</v>
      </c>
      <c r="B99" s="170" t="s">
        <v>52</v>
      </c>
      <c r="C99" s="501">
        <f>'[54]Sch C'!D92</f>
        <v>212253</v>
      </c>
      <c r="D99" s="501">
        <f>'[54]Sch C'!F92</f>
        <v>0</v>
      </c>
      <c r="E99" s="171">
        <f t="shared" si="15"/>
        <v>212253</v>
      </c>
      <c r="F99" s="171"/>
      <c r="G99" s="171">
        <f t="shared" si="16"/>
        <v>212253</v>
      </c>
      <c r="H99" s="172">
        <f t="shared" si="17"/>
        <v>2.3378365652296746E-2</v>
      </c>
      <c r="I99" s="473"/>
      <c r="J99" s="168"/>
      <c r="K99" s="168"/>
      <c r="L99" s="237"/>
    </row>
    <row r="100" spans="1:12" s="167" customFormat="1">
      <c r="A100" s="169">
        <v>390</v>
      </c>
      <c r="B100" s="170" t="s">
        <v>53</v>
      </c>
      <c r="C100" s="501">
        <f>'[54]Sch C'!D93</f>
        <v>20150</v>
      </c>
      <c r="D100" s="501">
        <f>'[54]Sch C'!F93</f>
        <v>0</v>
      </c>
      <c r="E100" s="171">
        <f t="shared" si="15"/>
        <v>20150</v>
      </c>
      <c r="F100" s="171"/>
      <c r="G100" s="171">
        <f t="shared" si="16"/>
        <v>20150</v>
      </c>
      <c r="H100" s="172">
        <f t="shared" si="17"/>
        <v>2.2193988678312179E-3</v>
      </c>
      <c r="I100" s="473"/>
      <c r="J100" s="168"/>
      <c r="K100" s="168"/>
      <c r="L100" s="237"/>
    </row>
    <row r="101" spans="1:12" s="167" customFormat="1">
      <c r="A101" s="169">
        <v>490</v>
      </c>
      <c r="B101" s="202" t="s">
        <v>312</v>
      </c>
      <c r="C101" s="501">
        <f>'[54]Sch C'!D94</f>
        <v>0</v>
      </c>
      <c r="D101" s="501">
        <f>'[54]Sch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  <c r="L101" s="237"/>
    </row>
    <row r="102" spans="1:12" s="167" customFormat="1">
      <c r="A102" s="169"/>
      <c r="B102" s="170" t="s">
        <v>55</v>
      </c>
      <c r="C102" s="501">
        <f>SUM(C96:C101)</f>
        <v>501590</v>
      </c>
      <c r="D102" s="501">
        <f>SUM(D96:D101)</f>
        <v>45583</v>
      </c>
      <c r="E102" s="171">
        <f t="shared" ref="E102:F102" si="18">SUM(E96:E101)</f>
        <v>547173</v>
      </c>
      <c r="F102" s="171">
        <f t="shared" si="18"/>
        <v>0</v>
      </c>
      <c r="G102" s="171">
        <f>SUM(G96:G101)</f>
        <v>547173</v>
      </c>
      <c r="H102" s="172">
        <f t="shared" si="17"/>
        <v>6.0267748719990619E-2</v>
      </c>
      <c r="I102" s="473"/>
      <c r="J102" s="168"/>
      <c r="K102" s="168"/>
      <c r="L102" s="237"/>
    </row>
    <row r="103" spans="1:12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  <c r="L103" s="237"/>
    </row>
    <row r="104" spans="1:12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  <c r="L104" s="237"/>
    </row>
    <row r="105" spans="1:12" s="167" customFormat="1">
      <c r="A105" s="169" t="s">
        <v>85</v>
      </c>
      <c r="B105" s="170" t="s">
        <v>44</v>
      </c>
      <c r="C105" s="501">
        <f>'[54]Sch C'!D98</f>
        <v>27689</v>
      </c>
      <c r="D105" s="501">
        <f>'[54]Sch C'!F98</f>
        <v>1456</v>
      </c>
      <c r="E105" s="171">
        <f t="shared" ref="E105:E110" si="19">C105+D105</f>
        <v>29145</v>
      </c>
      <c r="F105" s="171"/>
      <c r="G105" s="171">
        <f t="shared" ref="G105:G110" si="20">E105+F105</f>
        <v>29145</v>
      </c>
      <c r="H105" s="172">
        <f t="shared" ref="H105:H111" si="21">IF($G$208=0,0,G105/$G$208)</f>
        <v>3.2101429281856499E-3</v>
      </c>
      <c r="I105" s="473"/>
      <c r="J105" s="183">
        <v>2538</v>
      </c>
      <c r="K105" s="183">
        <v>2671</v>
      </c>
      <c r="L105" s="237"/>
    </row>
    <row r="106" spans="1:12" s="167" customFormat="1">
      <c r="A106" s="169" t="s">
        <v>86</v>
      </c>
      <c r="B106" s="170" t="s">
        <v>45</v>
      </c>
      <c r="C106" s="501">
        <f>'[54]Sch C'!D99</f>
        <v>0</v>
      </c>
      <c r="D106" s="501">
        <f>'[54]Sch C'!F99</f>
        <v>3310</v>
      </c>
      <c r="E106" s="171">
        <f t="shared" si="19"/>
        <v>3310</v>
      </c>
      <c r="F106" s="171"/>
      <c r="G106" s="171">
        <f t="shared" si="20"/>
        <v>3310</v>
      </c>
      <c r="H106" s="172">
        <f t="shared" si="21"/>
        <v>3.6457619119212558E-4</v>
      </c>
      <c r="I106" s="473"/>
      <c r="J106" s="168"/>
      <c r="K106" s="168"/>
      <c r="L106" s="237"/>
    </row>
    <row r="107" spans="1:12" s="167" customFormat="1">
      <c r="A107" s="169">
        <v>110</v>
      </c>
      <c r="B107" s="170" t="s">
        <v>47</v>
      </c>
      <c r="C107" s="501">
        <f>'[54]Sch C'!D100</f>
        <v>4973</v>
      </c>
      <c r="D107" s="501">
        <f>'[54]Sch C'!F100</f>
        <v>0</v>
      </c>
      <c r="E107" s="171">
        <f t="shared" si="19"/>
        <v>4973</v>
      </c>
      <c r="F107" s="171"/>
      <c r="G107" s="171">
        <f t="shared" si="20"/>
        <v>4973</v>
      </c>
      <c r="H107" s="172">
        <f t="shared" si="21"/>
        <v>5.4774543770345636E-4</v>
      </c>
      <c r="I107" s="473"/>
      <c r="J107" s="168"/>
      <c r="K107" s="168"/>
      <c r="L107" s="237"/>
    </row>
    <row r="108" spans="1:12" s="167" customFormat="1">
      <c r="A108" s="169">
        <v>310</v>
      </c>
      <c r="B108" s="170" t="s">
        <v>54</v>
      </c>
      <c r="C108" s="501">
        <f>'[54]Sch C'!D101</f>
        <v>0</v>
      </c>
      <c r="D108" s="501">
        <f>'[54]Sch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  <c r="L108" s="237"/>
    </row>
    <row r="109" spans="1:12" s="167" customFormat="1">
      <c r="A109" s="169">
        <v>410</v>
      </c>
      <c r="B109" s="170" t="s">
        <v>57</v>
      </c>
      <c r="C109" s="501">
        <f>'[54]Sch C'!D102</f>
        <v>8722</v>
      </c>
      <c r="D109" s="501">
        <f>'[54]Sch C'!F102</f>
        <v>0</v>
      </c>
      <c r="E109" s="171">
        <f t="shared" si="19"/>
        <v>8722</v>
      </c>
      <c r="F109" s="171"/>
      <c r="G109" s="171">
        <f t="shared" si="20"/>
        <v>8722</v>
      </c>
      <c r="H109" s="172">
        <f t="shared" si="21"/>
        <v>9.606747853709122E-4</v>
      </c>
      <c r="I109" s="473"/>
      <c r="J109" s="168"/>
      <c r="K109" s="168"/>
      <c r="L109" s="237"/>
    </row>
    <row r="110" spans="1:12" s="167" customFormat="1">
      <c r="A110" s="169">
        <v>490</v>
      </c>
      <c r="B110" s="202" t="s">
        <v>312</v>
      </c>
      <c r="C110" s="501">
        <f>'[54]Sch C'!D103</f>
        <v>0</v>
      </c>
      <c r="D110" s="501">
        <f>'[54]Sch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  <c r="L110" s="237"/>
    </row>
    <row r="111" spans="1:12" s="167" customFormat="1">
      <c r="A111" s="163"/>
      <c r="B111" s="170" t="s">
        <v>58</v>
      </c>
      <c r="C111" s="501">
        <f>SUM(C105:C110)</f>
        <v>41384</v>
      </c>
      <c r="D111" s="501">
        <f>SUM(D105:D110)</f>
        <v>4766</v>
      </c>
      <c r="E111" s="171">
        <f t="shared" ref="E111:F111" si="22">SUM(E105:E110)</f>
        <v>46150</v>
      </c>
      <c r="F111" s="171">
        <f t="shared" si="22"/>
        <v>0</v>
      </c>
      <c r="G111" s="171">
        <f>SUM(G105:G110)</f>
        <v>46150</v>
      </c>
      <c r="H111" s="172">
        <f t="shared" si="21"/>
        <v>5.0831393424521434E-3</v>
      </c>
      <c r="I111" s="473"/>
      <c r="J111" s="168"/>
      <c r="K111" s="168"/>
      <c r="L111" s="237"/>
    </row>
    <row r="112" spans="1:12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  <c r="L112" s="237"/>
    </row>
    <row r="113" spans="1:12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  <c r="L113" s="237"/>
    </row>
    <row r="114" spans="1:12" s="167" customFormat="1">
      <c r="A114" s="169" t="s">
        <v>85</v>
      </c>
      <c r="B114" s="170" t="s">
        <v>44</v>
      </c>
      <c r="C114" s="501">
        <f>'[54]Sch C'!D115</f>
        <v>122056</v>
      </c>
      <c r="D114" s="501">
        <f>'[54]Sch C'!F115</f>
        <v>6417</v>
      </c>
      <c r="E114" s="171">
        <f t="shared" ref="E114:E118" si="23">C114+D114</f>
        <v>128473</v>
      </c>
      <c r="F114" s="171"/>
      <c r="G114" s="171">
        <f>E114+F114</f>
        <v>128473</v>
      </c>
      <c r="H114" s="172">
        <f t="shared" ref="H114:H119" si="24">IF($G$208=0,0,G114/$G$208)</f>
        <v>1.4150512692152855E-2</v>
      </c>
      <c r="I114" s="473"/>
      <c r="J114" s="183">
        <v>11450</v>
      </c>
      <c r="K114" s="183">
        <v>12052</v>
      </c>
      <c r="L114" s="237"/>
    </row>
    <row r="115" spans="1:12" s="167" customFormat="1">
      <c r="A115" s="169" t="s">
        <v>86</v>
      </c>
      <c r="B115" s="170" t="s">
        <v>151</v>
      </c>
      <c r="C115" s="501">
        <f>'[54]Sch C'!D116</f>
        <v>0</v>
      </c>
      <c r="D115" s="501">
        <f>'[54]Sch C'!F116</f>
        <v>14588</v>
      </c>
      <c r="E115" s="171">
        <f t="shared" si="23"/>
        <v>14588</v>
      </c>
      <c r="F115" s="171"/>
      <c r="G115" s="171">
        <f>E115+F115</f>
        <v>14588</v>
      </c>
      <c r="H115" s="172">
        <f t="shared" si="24"/>
        <v>1.6067786939911565E-3</v>
      </c>
      <c r="I115" s="473"/>
      <c r="J115" s="168"/>
      <c r="K115" s="168"/>
      <c r="L115" s="237"/>
    </row>
    <row r="116" spans="1:12" s="167" customFormat="1">
      <c r="A116" s="169" t="s">
        <v>93</v>
      </c>
      <c r="B116" s="170" t="s">
        <v>47</v>
      </c>
      <c r="C116" s="501">
        <f>'[54]Sch C'!D117</f>
        <v>24180</v>
      </c>
      <c r="D116" s="501">
        <f>'[54]Sch C'!F117</f>
        <v>0</v>
      </c>
      <c r="E116" s="171">
        <f t="shared" si="23"/>
        <v>24180</v>
      </c>
      <c r="F116" s="171"/>
      <c r="G116" s="171">
        <f>E116+F116</f>
        <v>24180</v>
      </c>
      <c r="H116" s="172">
        <f t="shared" si="24"/>
        <v>2.6632786413974614E-3</v>
      </c>
      <c r="I116" s="473"/>
      <c r="J116" s="168"/>
      <c r="K116" s="168"/>
      <c r="L116" s="237"/>
    </row>
    <row r="117" spans="1:12" s="167" customFormat="1">
      <c r="A117" s="169">
        <v>310</v>
      </c>
      <c r="B117" s="170" t="s">
        <v>60</v>
      </c>
      <c r="C117" s="501">
        <f>'[54]Sch C'!D118</f>
        <v>6957</v>
      </c>
      <c r="D117" s="501">
        <f>'[54]Sch C'!F118</f>
        <v>0</v>
      </c>
      <c r="E117" s="171">
        <f t="shared" si="23"/>
        <v>6957</v>
      </c>
      <c r="F117" s="171"/>
      <c r="G117" s="171">
        <f>E117+F117</f>
        <v>6957</v>
      </c>
      <c r="H117" s="172">
        <f t="shared" si="24"/>
        <v>7.6627086468991472E-4</v>
      </c>
      <c r="I117" s="473"/>
      <c r="J117" s="168"/>
      <c r="K117" s="168"/>
      <c r="L117" s="237"/>
    </row>
    <row r="118" spans="1:12" s="167" customFormat="1">
      <c r="A118" s="169">
        <v>490</v>
      </c>
      <c r="B118" s="202" t="s">
        <v>312</v>
      </c>
      <c r="C118" s="501">
        <f>'[54]Sch C'!D119</f>
        <v>0</v>
      </c>
      <c r="D118" s="501">
        <f>'[54]Sch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  <c r="L118" s="237"/>
    </row>
    <row r="119" spans="1:12" s="167" customFormat="1">
      <c r="A119" s="163"/>
      <c r="B119" s="170" t="s">
        <v>61</v>
      </c>
      <c r="C119" s="501">
        <f>SUM(C114:C118)</f>
        <v>153193</v>
      </c>
      <c r="D119" s="501">
        <f>SUM(D114:D118)</f>
        <v>21005</v>
      </c>
      <c r="E119" s="171">
        <f t="shared" ref="E119:F119" si="25">SUM(E114:E118)</f>
        <v>174198</v>
      </c>
      <c r="F119" s="171">
        <f t="shared" si="25"/>
        <v>0</v>
      </c>
      <c r="G119" s="171">
        <f>SUM(G114:G118)</f>
        <v>174198</v>
      </c>
      <c r="H119" s="172">
        <f t="shared" si="24"/>
        <v>1.918684089223139E-2</v>
      </c>
      <c r="I119" s="473"/>
      <c r="J119" s="168"/>
      <c r="K119" s="168"/>
      <c r="L119" s="237"/>
    </row>
    <row r="120" spans="1:12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  <c r="L120" s="237"/>
    </row>
    <row r="121" spans="1:12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  <c r="L121" s="237"/>
    </row>
    <row r="122" spans="1:12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  <c r="L122" s="237"/>
    </row>
    <row r="123" spans="1:12" s="167" customFormat="1">
      <c r="B123" s="163" t="s">
        <v>232</v>
      </c>
      <c r="C123" s="501">
        <f>'[54]Sch C'!D124</f>
        <v>0</v>
      </c>
      <c r="D123" s="501">
        <f>'[54]Sch C'!F124</f>
        <v>0</v>
      </c>
      <c r="E123" s="171">
        <f t="shared" ref="E123:E127" si="26">C123+D123</f>
        <v>0</v>
      </c>
      <c r="F123" s="660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  <c r="L123" s="237"/>
    </row>
    <row r="124" spans="1:12" s="167" customFormat="1">
      <c r="B124" s="163" t="s">
        <v>194</v>
      </c>
      <c r="C124" s="501">
        <f>'[54]Sch C'!D125</f>
        <v>185064</v>
      </c>
      <c r="D124" s="501">
        <f>'[54]Sch C'!F125</f>
        <v>9729</v>
      </c>
      <c r="E124" s="171">
        <f t="shared" si="26"/>
        <v>194793</v>
      </c>
      <c r="F124" s="660">
        <v>57795.381724453939</v>
      </c>
      <c r="G124" s="171">
        <f>E124+F124</f>
        <v>252588.38172445394</v>
      </c>
      <c r="H124" s="172">
        <f>IF($G$208=0,0,G124/$G$208)</f>
        <v>2.7821060467819975E-2</v>
      </c>
      <c r="I124" s="473" t="s">
        <v>402</v>
      </c>
      <c r="J124" s="183">
        <v>4110</v>
      </c>
      <c r="K124" s="183">
        <v>4326</v>
      </c>
      <c r="L124" s="237"/>
    </row>
    <row r="125" spans="1:12" s="167" customFormat="1">
      <c r="A125" s="163" t="s">
        <v>198</v>
      </c>
      <c r="B125" s="163" t="s">
        <v>195</v>
      </c>
      <c r="C125" s="501">
        <f>'[54]Sch C'!D126</f>
        <v>85733</v>
      </c>
      <c r="D125" s="501">
        <f>'[54]Sch C'!F126</f>
        <v>4507</v>
      </c>
      <c r="E125" s="171">
        <f t="shared" si="26"/>
        <v>90240</v>
      </c>
      <c r="F125" s="660"/>
      <c r="G125" s="171">
        <f>E125+F125</f>
        <v>90240</v>
      </c>
      <c r="H125" s="172">
        <f>IF($G$208=0,0,G125/$G$208)</f>
        <v>9.9393823242227841E-3</v>
      </c>
      <c r="I125" s="473"/>
      <c r="J125" s="183">
        <v>2036</v>
      </c>
      <c r="K125" s="183">
        <v>2143</v>
      </c>
      <c r="L125" s="237"/>
    </row>
    <row r="126" spans="1:12" s="167" customFormat="1">
      <c r="A126" s="169"/>
      <c r="B126" s="163" t="s">
        <v>196</v>
      </c>
      <c r="C126" s="501">
        <f>'[54]Sch C'!D127</f>
        <v>0</v>
      </c>
      <c r="D126" s="501">
        <f>'[54]Sch C'!F127</f>
        <v>0</v>
      </c>
      <c r="E126" s="171">
        <f t="shared" si="26"/>
        <v>0</v>
      </c>
      <c r="F126" s="660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  <c r="L126" s="237"/>
    </row>
    <row r="127" spans="1:12" s="167" customFormat="1">
      <c r="A127" s="169"/>
      <c r="B127" s="163" t="s">
        <v>197</v>
      </c>
      <c r="C127" s="501">
        <f>'[54]Sch C'!D128</f>
        <v>35069</v>
      </c>
      <c r="D127" s="501">
        <f>'[54]Sch C'!F128</f>
        <v>1844</v>
      </c>
      <c r="E127" s="171">
        <f t="shared" si="26"/>
        <v>36913</v>
      </c>
      <c r="F127" s="171"/>
      <c r="G127" s="171">
        <f>E127+F127</f>
        <v>36913</v>
      </c>
      <c r="H127" s="172">
        <f>IF($G$208=0,0,G127/$G$208)</f>
        <v>4.0657404669108554E-3</v>
      </c>
      <c r="I127" s="473"/>
      <c r="J127" s="183">
        <v>2333</v>
      </c>
      <c r="K127" s="183">
        <v>2456</v>
      </c>
      <c r="L127" s="237"/>
    </row>
    <row r="128" spans="1:12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  <c r="L128" s="237"/>
    </row>
    <row r="129" spans="1:12" s="167" customFormat="1">
      <c r="A129" s="169"/>
      <c r="B129" s="163" t="s">
        <v>232</v>
      </c>
      <c r="C129" s="501">
        <f>'[54]Sch C'!D130</f>
        <v>0</v>
      </c>
      <c r="D129" s="501">
        <f>'[54]Sch C'!F130</f>
        <v>0</v>
      </c>
      <c r="E129" s="171">
        <f t="shared" ref="E129:E133" si="27">C129+D129</f>
        <v>0</v>
      </c>
      <c r="F129" s="660"/>
      <c r="G129" s="171">
        <f>E129+F129</f>
        <v>0</v>
      </c>
      <c r="H129" s="172">
        <f>IF($G$208=0,0,G129/$G$208)</f>
        <v>0</v>
      </c>
      <c r="I129" s="473"/>
      <c r="J129" s="204"/>
      <c r="K129" s="204"/>
      <c r="L129" s="237"/>
    </row>
    <row r="130" spans="1:12" s="167" customFormat="1">
      <c r="A130" s="169"/>
      <c r="B130" s="163" t="s">
        <v>194</v>
      </c>
      <c r="C130" s="501">
        <f>'[54]Sch C'!D131</f>
        <v>0</v>
      </c>
      <c r="D130" s="501">
        <f>'[54]Sch C'!F131</f>
        <v>22118</v>
      </c>
      <c r="E130" s="171">
        <f t="shared" si="27"/>
        <v>22118</v>
      </c>
      <c r="F130" s="660">
        <v>6907.9620488722203</v>
      </c>
      <c r="G130" s="171">
        <f>E130+F130</f>
        <v>29025.962048872221</v>
      </c>
      <c r="H130" s="172">
        <f>IF($G$208=0,0,G130/$G$208)</f>
        <v>3.1970316282371662E-3</v>
      </c>
      <c r="I130" s="473" t="s">
        <v>402</v>
      </c>
      <c r="J130" s="204"/>
      <c r="K130" s="204"/>
      <c r="L130" s="237"/>
    </row>
    <row r="131" spans="1:12" s="167" customFormat="1">
      <c r="B131" s="163" t="s">
        <v>195</v>
      </c>
      <c r="C131" s="501">
        <f>'[54]Sch C'!D132</f>
        <v>0</v>
      </c>
      <c r="D131" s="501">
        <f>'[54]Sch C'!F132</f>
        <v>10247</v>
      </c>
      <c r="E131" s="171">
        <f t="shared" si="27"/>
        <v>10247</v>
      </c>
      <c r="F131" s="660"/>
      <c r="G131" s="171">
        <f>E131+F131</f>
        <v>10247</v>
      </c>
      <c r="H131" s="172">
        <f>IF($G$208=0,0,G131/$G$208)</f>
        <v>1.1286441785938704E-3</v>
      </c>
      <c r="I131" s="473"/>
      <c r="J131" s="168"/>
      <c r="K131" s="168"/>
      <c r="L131" s="237"/>
    </row>
    <row r="132" spans="1:12" s="167" customFormat="1">
      <c r="B132" s="163" t="s">
        <v>196</v>
      </c>
      <c r="C132" s="501">
        <f>'[54]Sch C'!D133</f>
        <v>0</v>
      </c>
      <c r="D132" s="501">
        <f>'[54]Sch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  <c r="L132" s="237"/>
    </row>
    <row r="133" spans="1:12" s="167" customFormat="1">
      <c r="B133" s="163" t="s">
        <v>197</v>
      </c>
      <c r="C133" s="501">
        <f>'[54]Sch C'!D134</f>
        <v>0</v>
      </c>
      <c r="D133" s="501">
        <f>'[54]Sch C'!F134</f>
        <v>4192</v>
      </c>
      <c r="E133" s="171">
        <f t="shared" si="27"/>
        <v>4192</v>
      </c>
      <c r="F133" s="171"/>
      <c r="G133" s="171">
        <f>E133+F133</f>
        <v>4192</v>
      </c>
      <c r="H133" s="172">
        <f>IF($G$208=0,0,G133/$G$208)</f>
        <v>4.617230796004201E-4</v>
      </c>
      <c r="I133" s="473"/>
      <c r="J133" s="168"/>
      <c r="K133" s="168"/>
      <c r="L133" s="237"/>
    </row>
    <row r="134" spans="1:12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  <c r="L134" s="237"/>
    </row>
    <row r="135" spans="1:12" s="167" customFormat="1">
      <c r="A135" s="169"/>
      <c r="B135" s="163" t="s">
        <v>194</v>
      </c>
      <c r="C135" s="501">
        <f>'[54]Sch C'!D136</f>
        <v>560023</v>
      </c>
      <c r="D135" s="501">
        <f>'[54]Sch C'!F136</f>
        <v>29441</v>
      </c>
      <c r="E135" s="171">
        <f t="shared" ref="E135:E138" si="28">C135+D135</f>
        <v>589464</v>
      </c>
      <c r="F135" s="171"/>
      <c r="G135" s="171">
        <f>E135+F135</f>
        <v>589464</v>
      </c>
      <c r="H135" s="172">
        <f>IF($G$208=0,0,G135/$G$208)</f>
        <v>6.4925842889690374E-2</v>
      </c>
      <c r="I135" s="473"/>
      <c r="J135" s="183">
        <v>18112</v>
      </c>
      <c r="K135" s="183">
        <v>19064</v>
      </c>
      <c r="L135" s="237"/>
    </row>
    <row r="136" spans="1:12" s="167" customFormat="1">
      <c r="A136" s="169"/>
      <c r="B136" s="163" t="s">
        <v>195</v>
      </c>
      <c r="C136" s="501">
        <f>'[54]Sch C'!D137</f>
        <v>610194</v>
      </c>
      <c r="D136" s="501">
        <f>'[54]Sch C'!F137</f>
        <v>32079</v>
      </c>
      <c r="E136" s="171">
        <f t="shared" si="28"/>
        <v>642273</v>
      </c>
      <c r="F136" s="171"/>
      <c r="G136" s="171">
        <f>E136+F136</f>
        <v>642273</v>
      </c>
      <c r="H136" s="172">
        <f>IF($G$208=0,0,G136/$G$208)</f>
        <v>7.0742430225238698E-2</v>
      </c>
      <c r="I136" s="473"/>
      <c r="J136" s="183">
        <v>21380</v>
      </c>
      <c r="K136" s="183">
        <v>22504</v>
      </c>
      <c r="L136" s="237"/>
    </row>
    <row r="137" spans="1:12" s="167" customFormat="1">
      <c r="A137" s="169"/>
      <c r="B137" s="163" t="s">
        <v>196</v>
      </c>
      <c r="C137" s="501">
        <f>'[54]Sch C'!D138</f>
        <v>760114</v>
      </c>
      <c r="D137" s="501">
        <f>'[54]Sch C'!F138</f>
        <v>39960</v>
      </c>
      <c r="E137" s="171">
        <f t="shared" si="28"/>
        <v>800074</v>
      </c>
      <c r="F137" s="171"/>
      <c r="G137" s="171">
        <f>E137+F137</f>
        <v>800074</v>
      </c>
      <c r="H137" s="172">
        <f>IF($G$208=0,0,G137/$G$208)</f>
        <v>8.812324217276396E-2</v>
      </c>
      <c r="I137" s="473"/>
      <c r="J137" s="183">
        <v>61798</v>
      </c>
      <c r="K137" s="183">
        <v>65047</v>
      </c>
      <c r="L137" s="237"/>
    </row>
    <row r="138" spans="1:12" s="167" customFormat="1">
      <c r="A138" s="169"/>
      <c r="B138" s="163" t="s">
        <v>197</v>
      </c>
      <c r="C138" s="501">
        <f>'[54]Sch C'!D139</f>
        <v>171528</v>
      </c>
      <c r="D138" s="501">
        <f>'[54]Sch C'!F139</f>
        <v>9017</v>
      </c>
      <c r="E138" s="171">
        <f t="shared" si="28"/>
        <v>180545</v>
      </c>
      <c r="F138" s="171"/>
      <c r="G138" s="171">
        <f>E138+F138</f>
        <v>180545</v>
      </c>
      <c r="H138" s="172">
        <f>IF($G$208=0,0,G138/$G$208)</f>
        <v>1.988592399963212E-2</v>
      </c>
      <c r="I138" s="473"/>
      <c r="J138" s="183">
        <v>14235</v>
      </c>
      <c r="K138" s="183">
        <v>14983</v>
      </c>
      <c r="L138" s="237"/>
    </row>
    <row r="139" spans="1:12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  <c r="L139" s="237"/>
    </row>
    <row r="140" spans="1:12" s="167" customFormat="1">
      <c r="A140" s="169"/>
      <c r="B140" s="163" t="s">
        <v>194</v>
      </c>
      <c r="C140" s="501">
        <f>'[54]Sch C'!D141</f>
        <v>0</v>
      </c>
      <c r="D140" s="501">
        <f>'[54]Sch C'!F141</f>
        <v>66931</v>
      </c>
      <c r="E140" s="171">
        <f t="shared" ref="E140:E143" si="29">C140+D140</f>
        <v>66931</v>
      </c>
      <c r="F140" s="171"/>
      <c r="G140" s="171">
        <f>E140+F140</f>
        <v>66931</v>
      </c>
      <c r="H140" s="172">
        <f>IF($G$208=0,0,G140/$G$208)</f>
        <v>7.3720389887251235E-3</v>
      </c>
      <c r="I140" s="473"/>
      <c r="J140" s="168"/>
      <c r="K140" s="168"/>
      <c r="L140" s="237"/>
    </row>
    <row r="141" spans="1:12" s="167" customFormat="1">
      <c r="A141" s="169"/>
      <c r="B141" s="163" t="s">
        <v>195</v>
      </c>
      <c r="C141" s="501">
        <f>'[54]Sch C'!D142</f>
        <v>0</v>
      </c>
      <c r="D141" s="501">
        <f>'[54]Sch C'!F142</f>
        <v>72928</v>
      </c>
      <c r="E141" s="171">
        <f t="shared" si="29"/>
        <v>72928</v>
      </c>
      <c r="F141" s="171"/>
      <c r="G141" s="171">
        <f>E141+F141</f>
        <v>72928</v>
      </c>
      <c r="H141" s="172">
        <f>IF($G$208=0,0,G141/$G$208)</f>
        <v>8.0325717435828815E-3</v>
      </c>
      <c r="I141" s="473"/>
      <c r="J141" s="168"/>
      <c r="K141" s="168"/>
      <c r="L141" s="237"/>
    </row>
    <row r="142" spans="1:12" s="167" customFormat="1">
      <c r="A142" s="169"/>
      <c r="B142" s="163" t="s">
        <v>196</v>
      </c>
      <c r="C142" s="501">
        <f>'[54]Sch C'!D143</f>
        <v>0</v>
      </c>
      <c r="D142" s="501">
        <f>'[54]Sch C'!F143</f>
        <v>90846</v>
      </c>
      <c r="E142" s="171">
        <f t="shared" si="29"/>
        <v>90846</v>
      </c>
      <c r="F142" s="171"/>
      <c r="G142" s="171">
        <f>E142+F142</f>
        <v>90846</v>
      </c>
      <c r="H142" s="172">
        <f>IF($G$208=0,0,G142/$G$208)</f>
        <v>1.0006129506054333E-2</v>
      </c>
      <c r="I142" s="473"/>
      <c r="J142" s="168"/>
      <c r="K142" s="168"/>
      <c r="L142" s="237"/>
    </row>
    <row r="143" spans="1:12" s="167" customFormat="1">
      <c r="A143" s="169"/>
      <c r="B143" s="163" t="s">
        <v>197</v>
      </c>
      <c r="C143" s="501">
        <f>'[54]Sch C'!D144</f>
        <v>0</v>
      </c>
      <c r="D143" s="501">
        <f>'[54]Sch C'!F144</f>
        <v>20500</v>
      </c>
      <c r="E143" s="171">
        <f t="shared" si="29"/>
        <v>20500</v>
      </c>
      <c r="F143" s="171"/>
      <c r="G143" s="171">
        <f>E143+F143</f>
        <v>20500</v>
      </c>
      <c r="H143" s="172">
        <f>IF($G$208=0,0,G143/$G$208)</f>
        <v>2.257949220374192E-3</v>
      </c>
      <c r="I143" s="473"/>
      <c r="J143" s="168"/>
      <c r="K143" s="168"/>
      <c r="L143" s="237"/>
    </row>
    <row r="144" spans="1:12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  <c r="L144" s="237"/>
    </row>
    <row r="145" spans="1:12" s="167" customFormat="1">
      <c r="A145" s="169"/>
      <c r="B145" s="163" t="s">
        <v>232</v>
      </c>
      <c r="C145" s="501">
        <f>'[54]Sch C'!D146</f>
        <v>41738</v>
      </c>
      <c r="D145" s="501">
        <f>'[54]Sch C'!F146</f>
        <v>0</v>
      </c>
      <c r="E145" s="171">
        <f t="shared" ref="E145:E153" si="30">C145+D145</f>
        <v>41738</v>
      </c>
      <c r="F145" s="171"/>
      <c r="G145" s="171">
        <f t="shared" ref="G145:G153" si="31">E145+F145</f>
        <v>41738</v>
      </c>
      <c r="H145" s="172">
        <f t="shared" ref="H145:H153" si="32">IF($G$208=0,0,G145/$G$208)</f>
        <v>4.5971846126818547E-3</v>
      </c>
      <c r="I145" s="473"/>
      <c r="J145" s="183">
        <v>0</v>
      </c>
      <c r="K145" s="183">
        <v>0</v>
      </c>
      <c r="L145" s="237"/>
    </row>
    <row r="146" spans="1:12" s="167" customFormat="1">
      <c r="A146" s="169"/>
      <c r="B146" s="163" t="s">
        <v>194</v>
      </c>
      <c r="C146" s="501">
        <f>'[54]Sch C'!D147</f>
        <v>3370</v>
      </c>
      <c r="D146" s="501">
        <f>'[54]Sch C'!F147</f>
        <v>0</v>
      </c>
      <c r="E146" s="171">
        <f t="shared" si="30"/>
        <v>3370</v>
      </c>
      <c r="F146" s="171"/>
      <c r="G146" s="171">
        <f t="shared" si="31"/>
        <v>3370</v>
      </c>
      <c r="H146" s="172">
        <f t="shared" si="32"/>
        <v>3.7118482305663542E-4</v>
      </c>
      <c r="I146" s="473"/>
      <c r="J146" s="183">
        <v>68</v>
      </c>
      <c r="K146" s="183">
        <v>68</v>
      </c>
      <c r="L146" s="237"/>
    </row>
    <row r="147" spans="1:12" s="167" customFormat="1">
      <c r="A147" s="169"/>
      <c r="B147" s="163" t="s">
        <v>195</v>
      </c>
      <c r="C147" s="501">
        <f>'[54]Sch C'!D148</f>
        <v>2357</v>
      </c>
      <c r="D147" s="501">
        <f>'[54]Sch C'!F148</f>
        <v>0</v>
      </c>
      <c r="E147" s="171">
        <f t="shared" si="30"/>
        <v>2357</v>
      </c>
      <c r="F147" s="171"/>
      <c r="G147" s="171">
        <f t="shared" si="31"/>
        <v>2357</v>
      </c>
      <c r="H147" s="172">
        <f t="shared" si="32"/>
        <v>2.5960908841082781E-4</v>
      </c>
      <c r="I147" s="473"/>
      <c r="J147" s="183">
        <v>63</v>
      </c>
      <c r="K147" s="183">
        <v>63</v>
      </c>
      <c r="L147" s="237"/>
    </row>
    <row r="148" spans="1:12" s="167" customFormat="1">
      <c r="A148" s="169"/>
      <c r="B148" s="163" t="s">
        <v>196</v>
      </c>
      <c r="C148" s="501">
        <f>'[54]Sch C'!D149</f>
        <v>5365</v>
      </c>
      <c r="D148" s="501">
        <f>'[54]Sch C'!F149</f>
        <v>0</v>
      </c>
      <c r="E148" s="171">
        <f t="shared" si="30"/>
        <v>5365</v>
      </c>
      <c r="F148" s="171"/>
      <c r="G148" s="171">
        <f t="shared" si="31"/>
        <v>5365</v>
      </c>
      <c r="H148" s="172">
        <f t="shared" si="32"/>
        <v>5.9092183255158724E-4</v>
      </c>
      <c r="I148" s="473"/>
      <c r="J148" s="183">
        <v>228</v>
      </c>
      <c r="K148" s="183">
        <v>228</v>
      </c>
      <c r="L148" s="237"/>
    </row>
    <row r="149" spans="1:12" s="167" customFormat="1">
      <c r="A149" s="169"/>
      <c r="B149" s="163" t="s">
        <v>197</v>
      </c>
      <c r="C149" s="501">
        <f>'[54]Sch C'!D150</f>
        <v>25355</v>
      </c>
      <c r="D149" s="501">
        <f>'[54]Sch C'!F150</f>
        <v>0</v>
      </c>
      <c r="E149" s="171">
        <f t="shared" si="30"/>
        <v>25355</v>
      </c>
      <c r="F149" s="171"/>
      <c r="G149" s="171">
        <f t="shared" si="31"/>
        <v>25355</v>
      </c>
      <c r="H149" s="172">
        <f t="shared" si="32"/>
        <v>2.7926976820774455E-3</v>
      </c>
      <c r="I149" s="473"/>
      <c r="J149" s="183">
        <v>1690</v>
      </c>
      <c r="K149" s="183">
        <v>1690</v>
      </c>
      <c r="L149" s="237"/>
    </row>
    <row r="150" spans="1:12" s="167" customFormat="1">
      <c r="A150" s="169">
        <v>110</v>
      </c>
      <c r="B150" s="167" t="s">
        <v>65</v>
      </c>
      <c r="C150" s="501">
        <f>'[54]Sch C'!D151</f>
        <v>206592</v>
      </c>
      <c r="D150" s="501">
        <f>'[54]Sch C'!F151</f>
        <v>0</v>
      </c>
      <c r="E150" s="171">
        <f t="shared" si="30"/>
        <v>206592</v>
      </c>
      <c r="F150" s="171"/>
      <c r="G150" s="171">
        <f t="shared" si="31"/>
        <v>206592</v>
      </c>
      <c r="H150" s="172">
        <f t="shared" si="32"/>
        <v>2.2754841235880244E-2</v>
      </c>
      <c r="I150" s="473"/>
      <c r="J150" s="168"/>
      <c r="K150" s="168"/>
      <c r="L150" s="237"/>
    </row>
    <row r="151" spans="1:12" s="167" customFormat="1">
      <c r="A151" s="169">
        <v>111</v>
      </c>
      <c r="B151" s="170" t="s">
        <v>97</v>
      </c>
      <c r="C151" s="501">
        <f>'[54]Sch C'!D152</f>
        <v>426</v>
      </c>
      <c r="D151" s="501">
        <f>'[54]Sch C'!F152</f>
        <v>0</v>
      </c>
      <c r="E151" s="171">
        <f t="shared" si="30"/>
        <v>426</v>
      </c>
      <c r="F151" s="171"/>
      <c r="G151" s="171">
        <f t="shared" si="31"/>
        <v>426</v>
      </c>
      <c r="H151" s="172">
        <f t="shared" si="32"/>
        <v>4.6921286238019791E-5</v>
      </c>
      <c r="I151" s="473"/>
      <c r="J151" s="168"/>
      <c r="K151" s="168"/>
      <c r="L151" s="237"/>
    </row>
    <row r="152" spans="1:12" s="167" customFormat="1">
      <c r="A152" s="169">
        <v>230</v>
      </c>
      <c r="B152" s="170" t="s">
        <v>66</v>
      </c>
      <c r="C152" s="501">
        <f>'[54]Sch C'!D153</f>
        <v>0</v>
      </c>
      <c r="D152" s="501">
        <f>'[54]Sch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  <c r="L152" s="237"/>
    </row>
    <row r="153" spans="1:12" s="167" customFormat="1">
      <c r="A153" s="169">
        <v>430</v>
      </c>
      <c r="B153" s="170" t="s">
        <v>99</v>
      </c>
      <c r="C153" s="501">
        <f>'[54]Sch C'!D154</f>
        <v>0</v>
      </c>
      <c r="D153" s="501">
        <f>'[54]Sch C'!F154</f>
        <v>0</v>
      </c>
      <c r="E153" s="171">
        <f t="shared" si="30"/>
        <v>0</v>
      </c>
      <c r="F153" s="171">
        <v>272347.59000000003</v>
      </c>
      <c r="G153" s="171">
        <f t="shared" si="31"/>
        <v>272347.59000000003</v>
      </c>
      <c r="H153" s="172">
        <f t="shared" si="32"/>
        <v>2.9997416024940979E-2</v>
      </c>
      <c r="I153" s="472" t="s">
        <v>728</v>
      </c>
      <c r="J153" s="168"/>
      <c r="K153" s="168"/>
      <c r="L153" s="237"/>
    </row>
    <row r="154" spans="1:12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  <c r="L154" s="237"/>
    </row>
    <row r="155" spans="1:12" s="167" customFormat="1">
      <c r="A155" s="169">
        <v>440.1</v>
      </c>
      <c r="B155" s="163" t="s">
        <v>223</v>
      </c>
      <c r="C155" s="501">
        <f>'[54]Sch C'!D156</f>
        <v>0</v>
      </c>
      <c r="D155" s="501">
        <f>'[54]Sch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  <c r="L155" s="237"/>
    </row>
    <row r="156" spans="1:12" s="167" customFormat="1">
      <c r="A156" s="169">
        <v>440.2</v>
      </c>
      <c r="B156" s="163" t="s">
        <v>224</v>
      </c>
      <c r="C156" s="501">
        <f>'[54]Sch C'!D157</f>
        <v>0</v>
      </c>
      <c r="D156" s="501">
        <f>'[54]Sch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  <c r="L156" s="237"/>
    </row>
    <row r="157" spans="1:12" s="167" customFormat="1">
      <c r="A157" s="169">
        <v>440.3</v>
      </c>
      <c r="B157" s="163" t="s">
        <v>225</v>
      </c>
      <c r="C157" s="501">
        <f>'[54]Sch C'!D158</f>
        <v>0</v>
      </c>
      <c r="D157" s="501">
        <f>'[54]Sch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  <c r="L157" s="237"/>
    </row>
    <row r="158" spans="1:12" s="167" customFormat="1">
      <c r="A158" s="169">
        <v>440.4</v>
      </c>
      <c r="B158" s="163" t="s">
        <v>226</v>
      </c>
      <c r="C158" s="501">
        <f>'[54]Sch C'!D159</f>
        <v>0</v>
      </c>
      <c r="D158" s="501">
        <f>'[54]Sch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  <c r="L158" s="237"/>
    </row>
    <row r="159" spans="1:12" s="167" customFormat="1">
      <c r="A159" s="169">
        <v>440.5</v>
      </c>
      <c r="B159" s="163" t="s">
        <v>301</v>
      </c>
      <c r="C159" s="501">
        <f>'[54]Sch C'!D160</f>
        <v>0</v>
      </c>
      <c r="D159" s="501">
        <f>'[54]Sch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  <c r="L159" s="237"/>
    </row>
    <row r="160" spans="1:12" s="167" customFormat="1">
      <c r="A160" s="169">
        <v>490</v>
      </c>
      <c r="B160" s="202" t="s">
        <v>315</v>
      </c>
      <c r="C160" s="501">
        <f>'[54]Sch C'!D161</f>
        <v>16946</v>
      </c>
      <c r="D160" s="501">
        <f>'[54]Sch C'!F161</f>
        <v>0</v>
      </c>
      <c r="E160" s="171">
        <f t="shared" si="33"/>
        <v>16946</v>
      </c>
      <c r="F160" s="171"/>
      <c r="G160" s="171">
        <f t="shared" si="34"/>
        <v>16946</v>
      </c>
      <c r="H160" s="172">
        <f t="shared" si="35"/>
        <v>1.8664979262663927E-3</v>
      </c>
      <c r="I160" s="473"/>
      <c r="J160" s="168"/>
      <c r="K160" s="168"/>
      <c r="L160" s="237"/>
    </row>
    <row r="161" spans="1:12" s="167" customFormat="1">
      <c r="A161" s="169"/>
      <c r="B161" s="170" t="s">
        <v>233</v>
      </c>
      <c r="C161" s="501">
        <f>SUM(C123:C160)</f>
        <v>2709874</v>
      </c>
      <c r="D161" s="501">
        <f>SUM(D123:D160)</f>
        <v>414339</v>
      </c>
      <c r="E161" s="171">
        <f t="shared" ref="E161:F161" si="36">SUM(E123:E160)</f>
        <v>3124213</v>
      </c>
      <c r="F161" s="171">
        <f t="shared" si="36"/>
        <v>337050.93377332616</v>
      </c>
      <c r="G161" s="171">
        <f>SUM(G123:G160)</f>
        <v>3461263.9337733258</v>
      </c>
      <c r="H161" s="172">
        <f t="shared" si="35"/>
        <v>0.38123698540355067</v>
      </c>
      <c r="I161" s="473"/>
      <c r="J161" s="168"/>
      <c r="K161" s="168"/>
      <c r="L161" s="237"/>
    </row>
    <row r="162" spans="1:12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  <c r="L162" s="237"/>
    </row>
    <row r="163" spans="1:12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  <c r="L163" s="237"/>
    </row>
    <row r="164" spans="1:12" s="221" customFormat="1">
      <c r="A164" s="215" t="s">
        <v>95</v>
      </c>
      <c r="B164" s="148" t="s">
        <v>102</v>
      </c>
      <c r="C164" s="501">
        <f>'[54]Sch C'!D175</f>
        <v>0</v>
      </c>
      <c r="D164" s="501">
        <f>'[54]Sch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545"/>
    </row>
    <row r="165" spans="1:12" s="221" customFormat="1">
      <c r="A165" s="215" t="s">
        <v>123</v>
      </c>
      <c r="B165" s="148" t="s">
        <v>103</v>
      </c>
      <c r="C165" s="501">
        <f>'[54]Sch C'!D176</f>
        <v>0</v>
      </c>
      <c r="D165" s="501">
        <f>'[54]Sch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545"/>
    </row>
    <row r="166" spans="1:12" s="221" customFormat="1">
      <c r="A166" s="215" t="s">
        <v>124</v>
      </c>
      <c r="B166" s="148" t="s">
        <v>104</v>
      </c>
      <c r="C166" s="501">
        <f>'[54]Sch C'!D177</f>
        <v>380949</v>
      </c>
      <c r="D166" s="501">
        <f>'[54]Sch C'!F177</f>
        <v>20027</v>
      </c>
      <c r="E166" s="171">
        <f t="shared" si="37"/>
        <v>400976</v>
      </c>
      <c r="F166" s="216"/>
      <c r="G166" s="171">
        <f t="shared" si="38"/>
        <v>400976</v>
      </c>
      <c r="H166" s="172">
        <f t="shared" si="39"/>
        <v>4.4165046175061555E-2</v>
      </c>
      <c r="I166" s="483"/>
      <c r="J166" s="183">
        <v>12006</v>
      </c>
      <c r="K166" s="183">
        <v>12637</v>
      </c>
      <c r="L166" s="545"/>
    </row>
    <row r="167" spans="1:12" s="221" customFormat="1">
      <c r="A167" s="215" t="s">
        <v>157</v>
      </c>
      <c r="B167" s="148" t="s">
        <v>105</v>
      </c>
      <c r="C167" s="501">
        <f>'[54]Sch C'!D178</f>
        <v>0</v>
      </c>
      <c r="D167" s="501">
        <f>'[54]Sch C'!F178</f>
        <v>45529</v>
      </c>
      <c r="E167" s="171">
        <f t="shared" si="37"/>
        <v>45529</v>
      </c>
      <c r="F167" s="216"/>
      <c r="G167" s="171">
        <f t="shared" si="38"/>
        <v>45529</v>
      </c>
      <c r="H167" s="172">
        <f t="shared" si="39"/>
        <v>5.0147400026544671E-3</v>
      </c>
      <c r="I167" s="484"/>
      <c r="J167" s="222"/>
      <c r="K167" s="222"/>
      <c r="L167" s="545"/>
    </row>
    <row r="168" spans="1:12" s="221" customFormat="1">
      <c r="A168" s="215" t="s">
        <v>158</v>
      </c>
      <c r="B168" s="148" t="s">
        <v>316</v>
      </c>
      <c r="C168" s="501">
        <f>'[54]Sch C'!D179</f>
        <v>34487</v>
      </c>
      <c r="D168" s="501">
        <f>'[54]Sch C'!F179</f>
        <v>1813</v>
      </c>
      <c r="E168" s="171">
        <f t="shared" si="37"/>
        <v>36300</v>
      </c>
      <c r="F168" s="216"/>
      <c r="G168" s="171">
        <f t="shared" si="38"/>
        <v>36300</v>
      </c>
      <c r="H168" s="172">
        <f t="shared" si="39"/>
        <v>3.9982222780284467E-3</v>
      </c>
      <c r="I168" s="483"/>
      <c r="J168" s="183">
        <v>1022</v>
      </c>
      <c r="K168" s="183">
        <v>1076</v>
      </c>
      <c r="L168" s="545"/>
    </row>
    <row r="169" spans="1:12" s="221" customFormat="1">
      <c r="A169" s="215" t="s">
        <v>86</v>
      </c>
      <c r="B169" s="148" t="s">
        <v>317</v>
      </c>
      <c r="C169" s="501">
        <f>'[54]Sch C'!D180</f>
        <v>0</v>
      </c>
      <c r="D169" s="501">
        <f>'[54]Sch C'!F180</f>
        <v>4122</v>
      </c>
      <c r="E169" s="171">
        <f t="shared" si="37"/>
        <v>4122</v>
      </c>
      <c r="F169" s="216"/>
      <c r="G169" s="171">
        <f t="shared" si="38"/>
        <v>4122</v>
      </c>
      <c r="H169" s="172">
        <f t="shared" si="39"/>
        <v>4.5401300909182529E-4</v>
      </c>
      <c r="I169" s="484"/>
      <c r="J169" s="222"/>
      <c r="K169" s="222"/>
      <c r="L169" s="545"/>
    </row>
    <row r="170" spans="1:12" s="221" customFormat="1">
      <c r="A170" s="215" t="s">
        <v>96</v>
      </c>
      <c r="B170" s="148" t="s">
        <v>318</v>
      </c>
      <c r="C170" s="501">
        <f>'[54]Sch C'!D181</f>
        <v>0</v>
      </c>
      <c r="D170" s="501">
        <f>'[54]Sch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545"/>
    </row>
    <row r="171" spans="1:12" s="221" customFormat="1">
      <c r="A171" s="215" t="s">
        <v>125</v>
      </c>
      <c r="B171" s="148" t="s">
        <v>109</v>
      </c>
      <c r="C171" s="501">
        <f>'[54]Sch C'!D182</f>
        <v>0</v>
      </c>
      <c r="D171" s="501">
        <f>'[54]Sch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545"/>
    </row>
    <row r="172" spans="1:12" s="221" customFormat="1">
      <c r="A172" s="215" t="s">
        <v>126</v>
      </c>
      <c r="B172" s="148" t="s">
        <v>319</v>
      </c>
      <c r="C172" s="501">
        <f>'[54]Sch C'!D183</f>
        <v>216332</v>
      </c>
      <c r="D172" s="501">
        <f>'[54]Sch C'!F183</f>
        <v>11373</v>
      </c>
      <c r="E172" s="171">
        <f t="shared" si="37"/>
        <v>227705</v>
      </c>
      <c r="F172" s="216"/>
      <c r="G172" s="171">
        <f t="shared" si="38"/>
        <v>227705</v>
      </c>
      <c r="H172" s="172">
        <f t="shared" si="39"/>
        <v>2.5080308645136846E-2</v>
      </c>
      <c r="I172" s="483"/>
      <c r="J172" s="183">
        <v>6448</v>
      </c>
      <c r="K172" s="183">
        <v>6787</v>
      </c>
      <c r="L172" s="545"/>
    </row>
    <row r="173" spans="1:12" s="221" customFormat="1">
      <c r="A173" s="215" t="s">
        <v>127</v>
      </c>
      <c r="B173" s="148" t="s">
        <v>111</v>
      </c>
      <c r="C173" s="501">
        <f>'[54]Sch C'!D184</f>
        <v>0</v>
      </c>
      <c r="D173" s="501">
        <f>'[54]Sch C'!F184</f>
        <v>25855</v>
      </c>
      <c r="E173" s="171">
        <f t="shared" si="37"/>
        <v>25855</v>
      </c>
      <c r="F173" s="216"/>
      <c r="G173" s="171">
        <f t="shared" si="38"/>
        <v>25855</v>
      </c>
      <c r="H173" s="172">
        <f t="shared" si="39"/>
        <v>2.8477696142816941E-3</v>
      </c>
      <c r="I173" s="484"/>
      <c r="J173" s="222"/>
      <c r="K173" s="222"/>
      <c r="L173" s="545"/>
    </row>
    <row r="174" spans="1:12" s="221" customFormat="1">
      <c r="A174" s="215" t="s">
        <v>128</v>
      </c>
      <c r="B174" s="148" t="s">
        <v>320</v>
      </c>
      <c r="C174" s="501">
        <f>'[54]Sch C'!D185</f>
        <v>0</v>
      </c>
      <c r="D174" s="501">
        <f>'[54]Sch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545"/>
    </row>
    <row r="175" spans="1:12" s="221" customFormat="1">
      <c r="A175" s="215" t="s">
        <v>129</v>
      </c>
      <c r="B175" s="148" t="s">
        <v>321</v>
      </c>
      <c r="C175" s="501">
        <f>'[54]Sch C'!D186</f>
        <v>0</v>
      </c>
      <c r="D175" s="501">
        <f>'[54]Sch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545"/>
    </row>
    <row r="176" spans="1:12" s="221" customFormat="1">
      <c r="A176" s="224" t="s">
        <v>293</v>
      </c>
      <c r="B176" s="148" t="s">
        <v>154</v>
      </c>
      <c r="C176" s="501">
        <f>'[54]Sch C'!D187</f>
        <v>0</v>
      </c>
      <c r="D176" s="501">
        <f>'[54]Sch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545"/>
    </row>
    <row r="177" spans="1:12" s="221" customFormat="1">
      <c r="A177" s="224" t="s">
        <v>294</v>
      </c>
      <c r="B177" s="148" t="s">
        <v>322</v>
      </c>
      <c r="C177" s="501">
        <f>'[54]Sch C'!D188</f>
        <v>3892</v>
      </c>
      <c r="D177" s="501">
        <f>'[54]Sch C'!F188</f>
        <v>0</v>
      </c>
      <c r="E177" s="171">
        <f t="shared" si="37"/>
        <v>3892</v>
      </c>
      <c r="F177" s="216"/>
      <c r="G177" s="171">
        <f t="shared" si="38"/>
        <v>3892</v>
      </c>
      <c r="H177" s="172">
        <f t="shared" si="39"/>
        <v>4.2867992027787095E-4</v>
      </c>
      <c r="I177" s="473"/>
      <c r="J177" s="223"/>
      <c r="K177" s="218"/>
      <c r="L177" s="545"/>
    </row>
    <row r="178" spans="1:12" s="221" customFormat="1">
      <c r="A178" s="224" t="s">
        <v>295</v>
      </c>
      <c r="B178" s="148" t="s">
        <v>323</v>
      </c>
      <c r="C178" s="501">
        <f>'[54]Sch C'!D189</f>
        <v>0</v>
      </c>
      <c r="D178" s="501">
        <f>'[54]Sch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545"/>
    </row>
    <row r="179" spans="1:12" s="221" customFormat="1">
      <c r="A179" s="224" t="s">
        <v>296</v>
      </c>
      <c r="B179" s="148" t="s">
        <v>324</v>
      </c>
      <c r="C179" s="501">
        <f>'[54]Sch C'!D190</f>
        <v>0</v>
      </c>
      <c r="D179" s="501">
        <f>'[54]Sch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545"/>
    </row>
    <row r="180" spans="1:12" s="221" customFormat="1">
      <c r="A180" s="224" t="s">
        <v>297</v>
      </c>
      <c r="B180" s="148" t="s">
        <v>325</v>
      </c>
      <c r="C180" s="501">
        <f>'[54]Sch C'!D191</f>
        <v>0</v>
      </c>
      <c r="D180" s="501">
        <f>'[54]Sch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545"/>
    </row>
    <row r="181" spans="1:12" s="221" customFormat="1">
      <c r="A181" s="224" t="s">
        <v>298</v>
      </c>
      <c r="B181" s="148" t="s">
        <v>117</v>
      </c>
      <c r="C181" s="501">
        <f>'[54]Sch C'!D192</f>
        <v>0</v>
      </c>
      <c r="D181" s="501">
        <f>'[54]Sch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545"/>
    </row>
    <row r="182" spans="1:12" s="221" customFormat="1">
      <c r="A182" s="224" t="s">
        <v>132</v>
      </c>
      <c r="B182" s="148" t="s">
        <v>118</v>
      </c>
      <c r="C182" s="501">
        <f>'[54]Sch C'!D193</f>
        <v>0</v>
      </c>
      <c r="D182" s="501">
        <f>'[54]Sch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545"/>
    </row>
    <row r="183" spans="1:12" s="221" customFormat="1">
      <c r="A183" s="224" t="s">
        <v>133</v>
      </c>
      <c r="B183" s="148" t="s">
        <v>119</v>
      </c>
      <c r="C183" s="501">
        <f>'[54]Sch C'!D194</f>
        <v>0</v>
      </c>
      <c r="D183" s="501">
        <f>'[54]Sch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L183" s="545"/>
    </row>
    <row r="184" spans="1:12" s="221" customFormat="1">
      <c r="A184" s="224" t="s">
        <v>134</v>
      </c>
      <c r="B184" s="148" t="s">
        <v>326</v>
      </c>
      <c r="C184" s="501">
        <f>'[54]Sch C'!D195</f>
        <v>3087</v>
      </c>
      <c r="D184" s="501">
        <f>'[54]Sch C'!F195</f>
        <v>0</v>
      </c>
      <c r="E184" s="171">
        <f t="shared" si="37"/>
        <v>3087</v>
      </c>
      <c r="F184" s="216"/>
      <c r="G184" s="171">
        <f t="shared" si="38"/>
        <v>3087</v>
      </c>
      <c r="H184" s="172">
        <f t="shared" si="39"/>
        <v>3.4001410942903075E-4</v>
      </c>
      <c r="I184" s="473"/>
      <c r="J184" s="223"/>
      <c r="K184" s="218"/>
      <c r="L184" s="545"/>
    </row>
    <row r="185" spans="1:12" s="221" customFormat="1">
      <c r="A185" s="224" t="s">
        <v>135</v>
      </c>
      <c r="B185" s="148" t="s">
        <v>327</v>
      </c>
      <c r="C185" s="501">
        <f>'[54]Sch C'!D196</f>
        <v>0</v>
      </c>
      <c r="D185" s="501">
        <f>'[54]Sch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L185" s="545"/>
    </row>
    <row r="186" spans="1:12" s="221" customFormat="1">
      <c r="A186" s="224" t="s">
        <v>136</v>
      </c>
      <c r="B186" s="148" t="s">
        <v>328</v>
      </c>
      <c r="C186" s="501">
        <f>'[54]Sch C'!D197</f>
        <v>0</v>
      </c>
      <c r="D186" s="501">
        <f>'[54]Sch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L186" s="545"/>
    </row>
    <row r="187" spans="1:12" s="221" customFormat="1">
      <c r="A187" s="224" t="s">
        <v>137</v>
      </c>
      <c r="B187" s="148" t="s">
        <v>122</v>
      </c>
      <c r="C187" s="501">
        <f>'[54]Sch C'!D198</f>
        <v>52762</v>
      </c>
      <c r="D187" s="501">
        <f>'[54]Sch C'!F198</f>
        <v>-5163</v>
      </c>
      <c r="E187" s="171">
        <f t="shared" si="37"/>
        <v>47599</v>
      </c>
      <c r="F187" s="216"/>
      <c r="G187" s="171">
        <f t="shared" si="38"/>
        <v>47599</v>
      </c>
      <c r="H187" s="172">
        <f t="shared" si="39"/>
        <v>5.2427378019800561E-3</v>
      </c>
      <c r="I187" s="473"/>
      <c r="J187" s="223"/>
      <c r="K187" s="218"/>
      <c r="L187" s="545"/>
    </row>
    <row r="188" spans="1:12" s="221" customFormat="1">
      <c r="A188" s="224" t="s">
        <v>275</v>
      </c>
      <c r="B188" s="148" t="s">
        <v>329</v>
      </c>
      <c r="C188" s="501">
        <f>'[54]Sch C'!D199</f>
        <v>232651</v>
      </c>
      <c r="D188" s="501">
        <f>'[54]Sch C'!F199</f>
        <v>0</v>
      </c>
      <c r="E188" s="171">
        <f t="shared" si="37"/>
        <v>232651</v>
      </c>
      <c r="F188" s="216">
        <v>-232650.93</v>
      </c>
      <c r="G188" s="171">
        <f t="shared" si="38"/>
        <v>7.0000000006984919E-2</v>
      </c>
      <c r="H188" s="172">
        <f t="shared" si="39"/>
        <v>7.7100705093641463E-9</v>
      </c>
      <c r="I188" s="472" t="s">
        <v>728</v>
      </c>
      <c r="J188" s="223"/>
      <c r="K188" s="218"/>
      <c r="L188" s="545"/>
    </row>
    <row r="189" spans="1:12" s="221" customFormat="1">
      <c r="A189" s="224" t="s">
        <v>277</v>
      </c>
      <c r="B189" s="148" t="s">
        <v>278</v>
      </c>
      <c r="C189" s="501">
        <f>'[54]Sch C'!D200</f>
        <v>0</v>
      </c>
      <c r="D189" s="501">
        <f>'[54]Sch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L189" s="545"/>
    </row>
    <row r="190" spans="1:12" s="221" customFormat="1">
      <c r="A190" s="225" t="s">
        <v>279</v>
      </c>
      <c r="B190" s="226" t="s">
        <v>280</v>
      </c>
      <c r="C190" s="501">
        <f>'[54]Sch C'!D201</f>
        <v>0</v>
      </c>
      <c r="D190" s="501">
        <f>'[54]Sch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L190" s="545"/>
    </row>
    <row r="191" spans="1:12" s="221" customFormat="1">
      <c r="A191" s="225" t="s">
        <v>281</v>
      </c>
      <c r="B191" s="226" t="s">
        <v>282</v>
      </c>
      <c r="C191" s="501">
        <f>'[54]Sch C'!D202</f>
        <v>0</v>
      </c>
      <c r="D191" s="501">
        <f>'[54]Sch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L191" s="545"/>
    </row>
    <row r="192" spans="1:12" s="221" customFormat="1">
      <c r="A192" s="225" t="s">
        <v>283</v>
      </c>
      <c r="B192" s="226" t="s">
        <v>330</v>
      </c>
      <c r="C192" s="501">
        <f>'[54]Sch C'!D203</f>
        <v>0</v>
      </c>
      <c r="D192" s="501">
        <f>'[54]Sch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L192" s="545"/>
    </row>
    <row r="193" spans="1:12" s="221" customFormat="1">
      <c r="A193" s="225" t="s">
        <v>285</v>
      </c>
      <c r="B193" s="226" t="s">
        <v>331</v>
      </c>
      <c r="C193" s="501">
        <f>'[54]Sch C'!D204</f>
        <v>0</v>
      </c>
      <c r="D193" s="501">
        <f>'[54]Sch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L193" s="545"/>
    </row>
    <row r="194" spans="1:12" s="221" customFormat="1">
      <c r="A194" s="224" t="s">
        <v>138</v>
      </c>
      <c r="B194" s="148" t="s">
        <v>332</v>
      </c>
      <c r="C194" s="501">
        <f>'[54]Sch C'!D205</f>
        <v>295290</v>
      </c>
      <c r="D194" s="501">
        <f>'[54]Sch C'!F205</f>
        <v>0</v>
      </c>
      <c r="E194" s="171">
        <f t="shared" si="37"/>
        <v>295290</v>
      </c>
      <c r="F194" s="216"/>
      <c r="G194" s="171">
        <f t="shared" si="38"/>
        <v>295290</v>
      </c>
      <c r="H194" s="172">
        <f t="shared" si="39"/>
        <v>3.2524381721185124E-2</v>
      </c>
      <c r="I194" s="473"/>
      <c r="J194" s="223"/>
      <c r="K194" s="218"/>
      <c r="L194" s="545"/>
    </row>
    <row r="195" spans="1:12" s="221" customFormat="1">
      <c r="A195" s="224" t="s">
        <v>139</v>
      </c>
      <c r="B195" s="148" t="s">
        <v>67</v>
      </c>
      <c r="C195" s="501">
        <f>'[54]Sch C'!D206</f>
        <v>32219</v>
      </c>
      <c r="D195" s="501">
        <f>'[54]Sch C'!F206</f>
        <v>0</v>
      </c>
      <c r="E195" s="171">
        <f t="shared" si="37"/>
        <v>32219</v>
      </c>
      <c r="F195" s="216"/>
      <c r="G195" s="171">
        <f t="shared" si="38"/>
        <v>32219</v>
      </c>
      <c r="H195" s="172">
        <f t="shared" si="39"/>
        <v>3.5487251673773697E-3</v>
      </c>
      <c r="I195" s="473"/>
      <c r="J195" s="223"/>
      <c r="K195" s="218"/>
      <c r="L195" s="545"/>
    </row>
    <row r="196" spans="1:12" s="221" customFormat="1">
      <c r="A196" s="225" t="s">
        <v>143</v>
      </c>
      <c r="B196" s="194" t="s">
        <v>333</v>
      </c>
      <c r="C196" s="501">
        <f>'[54]Sch C'!D207</f>
        <v>66104</v>
      </c>
      <c r="D196" s="501">
        <f>'[54]Sch C'!F207</f>
        <v>-2052</v>
      </c>
      <c r="E196" s="171">
        <f t="shared" si="37"/>
        <v>64052</v>
      </c>
      <c r="F196" s="216"/>
      <c r="G196" s="171">
        <f t="shared" si="38"/>
        <v>64052</v>
      </c>
      <c r="H196" s="172">
        <f t="shared" si="39"/>
        <v>7.0549348030930596E-3</v>
      </c>
      <c r="I196" s="473"/>
      <c r="J196" s="223"/>
      <c r="K196" s="218"/>
      <c r="L196" s="545"/>
    </row>
    <row r="197" spans="1:12" s="167" customFormat="1">
      <c r="A197" s="163"/>
      <c r="B197" s="212" t="s">
        <v>130</v>
      </c>
      <c r="C197" s="501">
        <f>SUM(C164:C196)</f>
        <v>1317773</v>
      </c>
      <c r="D197" s="501">
        <f>SUM(D164:D196)</f>
        <v>101504</v>
      </c>
      <c r="E197" s="171">
        <f t="shared" ref="E197:F197" si="40">SUM(E164:E196)</f>
        <v>1419277</v>
      </c>
      <c r="F197" s="171">
        <f t="shared" si="40"/>
        <v>-232650.93</v>
      </c>
      <c r="G197" s="171">
        <f>SUM(G164:G196)</f>
        <v>1186626.07</v>
      </c>
      <c r="H197" s="172">
        <f>IF($G$208=0,0,G197/$G$208)</f>
        <v>0.13069958095766787</v>
      </c>
      <c r="I197" s="473"/>
      <c r="J197" s="168"/>
      <c r="K197" s="168"/>
      <c r="L197" s="237"/>
    </row>
    <row r="198" spans="1:12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  <c r="L198" s="237"/>
    </row>
    <row r="199" spans="1:12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  <c r="L199" s="237"/>
    </row>
    <row r="200" spans="1:12" s="167" customFormat="1">
      <c r="A200" s="169" t="s">
        <v>85</v>
      </c>
      <c r="B200" s="170" t="s">
        <v>69</v>
      </c>
      <c r="C200" s="501">
        <f>'[54]Sch C'!D211</f>
        <v>191178</v>
      </c>
      <c r="D200" s="501">
        <f>'[54]Sch C'!F211</f>
        <v>10050</v>
      </c>
      <c r="E200" s="171">
        <f t="shared" ref="E200:E205" si="41">C200+D200</f>
        <v>201228</v>
      </c>
      <c r="F200" s="171"/>
      <c r="G200" s="171">
        <f t="shared" ref="G200:G205" si="42">E200+F200</f>
        <v>201228</v>
      </c>
      <c r="H200" s="172">
        <f t="shared" ref="H200:H206" si="43">IF($G$208=0,0,G200/$G$208)</f>
        <v>2.2164029547193067E-2</v>
      </c>
      <c r="I200" s="473"/>
      <c r="J200" s="183">
        <v>12594</v>
      </c>
      <c r="K200" s="183">
        <v>13256</v>
      </c>
      <c r="L200" s="237"/>
    </row>
    <row r="201" spans="1:12" s="167" customFormat="1">
      <c r="A201" s="169" t="s">
        <v>86</v>
      </c>
      <c r="B201" s="170" t="s">
        <v>45</v>
      </c>
      <c r="C201" s="501">
        <f>'[54]Sch C'!D212</f>
        <v>0</v>
      </c>
      <c r="D201" s="501">
        <f>'[54]Sch C'!F212</f>
        <v>22849</v>
      </c>
      <c r="E201" s="171">
        <f t="shared" si="41"/>
        <v>22849</v>
      </c>
      <c r="F201" s="171"/>
      <c r="G201" s="171">
        <f t="shared" si="42"/>
        <v>22849</v>
      </c>
      <c r="H201" s="172">
        <f t="shared" si="43"/>
        <v>2.5166771578697517E-3</v>
      </c>
      <c r="I201" s="473"/>
      <c r="J201" s="168"/>
      <c r="K201" s="168"/>
      <c r="L201" s="237"/>
    </row>
    <row r="202" spans="1:12" s="167" customFormat="1">
      <c r="A202" s="169" t="s">
        <v>140</v>
      </c>
      <c r="B202" s="170" t="s">
        <v>54</v>
      </c>
      <c r="C202" s="501">
        <f>'[54]Sch C'!D213</f>
        <v>4717</v>
      </c>
      <c r="D202" s="501">
        <f>'[54]Sch C'!F213</f>
        <v>0</v>
      </c>
      <c r="E202" s="171">
        <f t="shared" si="41"/>
        <v>4717</v>
      </c>
      <c r="F202" s="171"/>
      <c r="G202" s="171">
        <f t="shared" si="42"/>
        <v>4717</v>
      </c>
      <c r="H202" s="172">
        <f t="shared" si="43"/>
        <v>5.1954860841488108E-4</v>
      </c>
      <c r="I202" s="473"/>
      <c r="J202" s="168"/>
      <c r="K202" s="168"/>
      <c r="L202" s="237"/>
    </row>
    <row r="203" spans="1:12" s="167" customFormat="1">
      <c r="A203" s="169" t="s">
        <v>141</v>
      </c>
      <c r="B203" s="170" t="s">
        <v>70</v>
      </c>
      <c r="C203" s="501">
        <f>'[54]Sch C'!D214</f>
        <v>0</v>
      </c>
      <c r="D203" s="501">
        <f>'[54]Sch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  <c r="L203" s="237"/>
    </row>
    <row r="204" spans="1:12" s="167" customFormat="1">
      <c r="A204" s="169" t="s">
        <v>142</v>
      </c>
      <c r="B204" s="202" t="s">
        <v>71</v>
      </c>
      <c r="C204" s="501">
        <f>'[54]Sch C'!D215</f>
        <v>0</v>
      </c>
      <c r="D204" s="501">
        <f>'[54]Sch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  <c r="L204" s="237"/>
    </row>
    <row r="205" spans="1:12" s="167" customFormat="1">
      <c r="A205" s="169" t="s">
        <v>143</v>
      </c>
      <c r="B205" s="170" t="s">
        <v>312</v>
      </c>
      <c r="C205" s="501">
        <f>'[54]Sch C'!D216</f>
        <v>6998</v>
      </c>
      <c r="D205" s="501">
        <f>'[54]Sch C'!F216</f>
        <v>0</v>
      </c>
      <c r="E205" s="171">
        <f t="shared" si="41"/>
        <v>6998</v>
      </c>
      <c r="F205" s="171"/>
      <c r="G205" s="171">
        <f t="shared" si="42"/>
        <v>6998</v>
      </c>
      <c r="H205" s="172">
        <f t="shared" si="43"/>
        <v>7.7078676313066313E-4</v>
      </c>
      <c r="I205" s="473"/>
      <c r="J205" s="168"/>
      <c r="K205" s="168"/>
      <c r="L205" s="237"/>
    </row>
    <row r="206" spans="1:12" s="167" customFormat="1">
      <c r="A206" s="163"/>
      <c r="B206" s="170" t="s">
        <v>144</v>
      </c>
      <c r="C206" s="501">
        <f>SUM(C200:C205)</f>
        <v>202893</v>
      </c>
      <c r="D206" s="501">
        <f>SUM(D200:D205)</f>
        <v>32899</v>
      </c>
      <c r="E206" s="171">
        <f t="shared" ref="E206:F206" si="44">SUM(E200:E205)</f>
        <v>235792</v>
      </c>
      <c r="F206" s="171">
        <f t="shared" si="44"/>
        <v>0</v>
      </c>
      <c r="G206" s="171">
        <f>SUM(G200:G205)</f>
        <v>235792</v>
      </c>
      <c r="H206" s="172">
        <f t="shared" si="43"/>
        <v>2.5971042076608362E-2</v>
      </c>
      <c r="I206" s="473"/>
      <c r="J206" s="168"/>
      <c r="K206" s="168"/>
      <c r="L206" s="237"/>
    </row>
    <row r="207" spans="1:12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  <c r="L207" s="237"/>
    </row>
    <row r="208" spans="1:12" s="167" customFormat="1">
      <c r="A208" s="227"/>
      <c r="B208" s="228" t="s">
        <v>145</v>
      </c>
      <c r="C208" s="501">
        <f>SUM(C25:C206)/2</f>
        <v>9923642</v>
      </c>
      <c r="D208" s="501">
        <f>SUM(D25:D206)/2</f>
        <v>-249283</v>
      </c>
      <c r="E208" s="171">
        <f t="shared" ref="E208:F208" si="45">SUM(E25:E206)/2</f>
        <v>9674359</v>
      </c>
      <c r="F208" s="171">
        <f t="shared" si="45"/>
        <v>-595323.99999999988</v>
      </c>
      <c r="G208" s="171">
        <f>SUM(G25:G206)/2</f>
        <v>9079035</v>
      </c>
      <c r="H208" s="172">
        <f>IF($G$208=0,0,G208/$G$208)</f>
        <v>1</v>
      </c>
      <c r="I208" s="473"/>
      <c r="J208" s="183">
        <f>SUM(J25:J200)</f>
        <v>212823</v>
      </c>
      <c r="K208" s="183">
        <f>SUM(K25:K200)</f>
        <v>223903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'[54]Sch C'!D221</f>
        <v>9923642</v>
      </c>
      <c r="D211" s="196"/>
      <c r="E211" s="165"/>
      <c r="F211" s="552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55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297743</v>
      </c>
      <c r="D215" s="501">
        <f>D21-D208</f>
        <v>249283</v>
      </c>
      <c r="E215" s="171">
        <f t="shared" ref="E215:F215" si="46">E21-E208</f>
        <v>547026</v>
      </c>
      <c r="F215" s="171">
        <f t="shared" si="46"/>
        <v>1379050</v>
      </c>
      <c r="G215" s="171">
        <f>G21-G208</f>
        <v>1926076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'[54]Sch D'!C9</f>
        <v>22079</v>
      </c>
      <c r="D219" s="530"/>
      <c r="E219" s="234">
        <f t="shared" ref="E219:G227" si="47">C219+D219</f>
        <v>22079</v>
      </c>
      <c r="F219" s="233"/>
      <c r="G219" s="234">
        <f t="shared" si="47"/>
        <v>22079</v>
      </c>
      <c r="H219" s="172">
        <f t="shared" ref="H219:H228" si="48">IF($G$228=0,0,G219/$G$228)</f>
        <v>0.68136649796321447</v>
      </c>
      <c r="I219" s="473"/>
      <c r="J219" s="168"/>
      <c r="K219" s="168"/>
    </row>
    <row r="220" spans="1:11">
      <c r="A220" s="163"/>
      <c r="B220" s="170" t="s">
        <v>217</v>
      </c>
      <c r="C220" s="530">
        <f>'[54]Sch D'!D9</f>
        <v>0</v>
      </c>
      <c r="D220" s="530"/>
      <c r="E220" s="171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'[54]Sch D'!E9</f>
        <v>2681</v>
      </c>
      <c r="D221" s="530"/>
      <c r="E221" s="171">
        <f t="shared" si="49"/>
        <v>2681</v>
      </c>
      <c r="F221" s="233"/>
      <c r="G221" s="234">
        <f t="shared" si="47"/>
        <v>2681</v>
      </c>
      <c r="H221" s="172">
        <f t="shared" si="48"/>
        <v>8.2736699172941616E-2</v>
      </c>
      <c r="I221" s="473"/>
      <c r="J221" s="168"/>
      <c r="K221" s="168"/>
    </row>
    <row r="222" spans="1:11">
      <c r="A222" s="163"/>
      <c r="B222" s="202" t="s">
        <v>334</v>
      </c>
      <c r="C222" s="530">
        <f>'[54]Sch D'!F9</f>
        <v>3755</v>
      </c>
      <c r="D222" s="530"/>
      <c r="E222" s="171">
        <f t="shared" si="49"/>
        <v>3755</v>
      </c>
      <c r="F222" s="233"/>
      <c r="G222" s="234">
        <f>E222+F222</f>
        <v>3755</v>
      </c>
      <c r="H222" s="172">
        <f t="shared" si="48"/>
        <v>0.11588075546228861</v>
      </c>
      <c r="I222" s="473"/>
      <c r="J222" s="168"/>
      <c r="K222" s="168"/>
    </row>
    <row r="223" spans="1:11">
      <c r="A223" s="163"/>
      <c r="B223" s="170" t="s">
        <v>73</v>
      </c>
      <c r="C223" s="530">
        <f>'[54]Sch D'!G9</f>
        <v>0</v>
      </c>
      <c r="D223" s="530"/>
      <c r="E223" s="171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'[54]Sch D'!H9</f>
        <v>1318</v>
      </c>
      <c r="D224" s="530"/>
      <c r="E224" s="171">
        <f t="shared" si="49"/>
        <v>1318</v>
      </c>
      <c r="F224" s="233"/>
      <c r="G224" s="234">
        <f t="shared" si="47"/>
        <v>1318</v>
      </c>
      <c r="H224" s="172">
        <f t="shared" si="48"/>
        <v>4.067399086532527E-2</v>
      </c>
      <c r="I224" s="473"/>
      <c r="J224" s="168"/>
      <c r="K224" s="168"/>
    </row>
    <row r="225" spans="1:11">
      <c r="A225" s="163"/>
      <c r="B225" s="170" t="s">
        <v>236</v>
      </c>
      <c r="C225" s="530">
        <f>'[54]Sch D'!I9</f>
        <v>0</v>
      </c>
      <c r="D225" s="530"/>
      <c r="E225" s="171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'[54]Sch D'!J9</f>
        <v>2571</v>
      </c>
      <c r="D226" s="530"/>
      <c r="E226" s="171">
        <f t="shared" si="49"/>
        <v>2571</v>
      </c>
      <c r="F226" s="233"/>
      <c r="G226" s="234">
        <f>E226+F226</f>
        <v>2571</v>
      </c>
      <c r="H226" s="172">
        <f t="shared" si="48"/>
        <v>7.9342056536230096E-2</v>
      </c>
      <c r="I226" s="473"/>
      <c r="J226" s="168"/>
      <c r="K226" s="168"/>
    </row>
    <row r="227" spans="1:11">
      <c r="A227" s="163"/>
      <c r="B227" s="170" t="s">
        <v>179</v>
      </c>
      <c r="C227" s="530">
        <f>'[54]Sch D'!K9</f>
        <v>0</v>
      </c>
      <c r="D227" s="530"/>
      <c r="E227" s="171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32404</v>
      </c>
      <c r="D228" s="530">
        <f>SUM(D219:D227)</f>
        <v>0</v>
      </c>
      <c r="E228" s="236">
        <f>SUM(E219:E227)</f>
        <v>32404</v>
      </c>
      <c r="F228" s="236">
        <f>SUM(F219:F227)</f>
        <v>0</v>
      </c>
      <c r="G228" s="236">
        <f>SUM(G219:G227)</f>
        <v>32404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'[54]Sch D'!N22</f>
        <v>220</v>
      </c>
      <c r="D231" s="502"/>
      <c r="E231" s="234">
        <f>C231+D231</f>
        <v>220</v>
      </c>
      <c r="F231" s="234"/>
      <c r="G231" s="234">
        <f>E231+F231</f>
        <v>220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'[54]Sch D'!N24</f>
        <v>220</v>
      </c>
      <c r="D232" s="502"/>
      <c r="E232" s="234">
        <f>C232+D232</f>
        <v>220</v>
      </c>
      <c r="F232" s="234"/>
      <c r="G232" s="234">
        <f>E232+F232</f>
        <v>220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'[54]Sch D'!N28</f>
        <v>80300</v>
      </c>
      <c r="D235" s="438"/>
      <c r="E235" s="233">
        <f>E231*E233</f>
        <v>80300</v>
      </c>
      <c r="F235" s="238"/>
      <c r="G235" s="233">
        <f>G231*G233</f>
        <v>80300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'[54]Sch D'!N30</f>
        <v>0.40353673723536737</v>
      </c>
      <c r="D236" s="238"/>
      <c r="E236" s="242">
        <f>E228/E235</f>
        <v>0.40353673723536737</v>
      </c>
      <c r="F236" s="243"/>
      <c r="G236" s="242">
        <f>G228/G235</f>
        <v>0.40353673723536737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'[54]Sch D'!N32</f>
        <v>0.27495641344956412</v>
      </c>
      <c r="D237" s="238"/>
      <c r="E237" s="242">
        <f>(E219+E220)/E235</f>
        <v>0.27495641344956412</v>
      </c>
      <c r="F237" s="243"/>
      <c r="G237" s="242">
        <f>(G219+G220)/G235</f>
        <v>0.27495641344956412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'[54]Sch D'!N34</f>
        <v>0.68136649796321436</v>
      </c>
      <c r="D238" s="238"/>
      <c r="E238" s="242">
        <f>(E237/E236)</f>
        <v>0.68136649796321436</v>
      </c>
      <c r="F238" s="243"/>
      <c r="G238" s="242">
        <f>(G237/G236)</f>
        <v>0.68136649796321436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'[54]Sch B'!C85</f>
        <v>191.31176470588235</v>
      </c>
      <c r="I241" s="475"/>
    </row>
    <row r="242" spans="2:9">
      <c r="F242" s="142" t="s">
        <v>341</v>
      </c>
      <c r="G242" s="501">
        <f>'[54]Sch B'!E85</f>
        <v>213.5595238095238</v>
      </c>
      <c r="I242" s="475"/>
    </row>
    <row r="243" spans="2:9">
      <c r="F243" s="142" t="s">
        <v>342</v>
      </c>
      <c r="G243" s="501">
        <f>'[54]Sch B'!G85</f>
        <v>196.21220930232559</v>
      </c>
      <c r="I243" s="475"/>
    </row>
    <row r="244" spans="2:9">
      <c r="F244" s="142" t="s">
        <v>343</v>
      </c>
      <c r="G244" s="501">
        <f>'[54]Sch B'!I85</f>
        <v>294.50337837837839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5" sqref="F5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>
    <tabColor rgb="FFE28CAB"/>
  </sheetPr>
  <dimension ref="A1:O246"/>
  <sheetViews>
    <sheetView showGridLines="0" topLeftCell="A187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391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33"/>
      <c r="H1" s="429"/>
      <c r="I1" s="430"/>
    </row>
    <row r="2" spans="1:11" ht="20.5">
      <c r="B2" s="143" t="s">
        <v>189</v>
      </c>
      <c r="C2" s="373" t="s">
        <v>444</v>
      </c>
      <c r="D2" s="373"/>
      <c r="E2" s="144"/>
      <c r="F2"/>
      <c r="G2"/>
      <c r="H2"/>
    </row>
    <row r="3" spans="1:11" ht="16.25" customHeight="1">
      <c r="A3" s="145"/>
      <c r="B3" s="140" t="s">
        <v>79</v>
      </c>
      <c r="C3" s="441">
        <v>42552</v>
      </c>
      <c r="D3" s="144"/>
      <c r="E3" s="147"/>
      <c r="F3"/>
      <c r="G3" s="524"/>
      <c r="H3"/>
    </row>
    <row r="4" spans="1:11" ht="15" customHeight="1">
      <c r="A4" s="145"/>
      <c r="B4" s="148" t="s">
        <v>80</v>
      </c>
      <c r="C4" s="441">
        <v>42916</v>
      </c>
      <c r="D4" s="144"/>
      <c r="E4" s="149"/>
      <c r="F4"/>
      <c r="H4"/>
    </row>
    <row r="5" spans="1:11" ht="15" customHeight="1">
      <c r="A5" s="145"/>
      <c r="B5" s="148"/>
      <c r="C5" s="151"/>
      <c r="D5" s="144"/>
      <c r="F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380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381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 ht="13.25" customHeight="1">
      <c r="B8" s="148"/>
      <c r="C8" s="160"/>
      <c r="D8" s="160"/>
      <c r="E8" s="160" t="s">
        <v>8</v>
      </c>
      <c r="F8" s="382" t="s">
        <v>9</v>
      </c>
      <c r="G8" s="160" t="s">
        <v>10</v>
      </c>
      <c r="H8" s="161" t="s">
        <v>11</v>
      </c>
      <c r="I8" s="477"/>
      <c r="J8" s="162"/>
      <c r="K8" s="162"/>
    </row>
    <row r="9" spans="1:11" ht="17" customHeight="1">
      <c r="A9" s="145"/>
      <c r="C9" s="151"/>
      <c r="D9" s="144"/>
      <c r="F9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'[55]Sch B'!E10</f>
        <v>2072495</v>
      </c>
      <c r="D11" s="501">
        <f>'[55]Sch B'!G10</f>
        <v>0</v>
      </c>
      <c r="E11" s="171">
        <f>C11+D11</f>
        <v>2072495</v>
      </c>
      <c r="F11" s="660">
        <v>1208762</v>
      </c>
      <c r="G11" s="171">
        <f t="shared" ref="G11:G20" si="0">E11+F11</f>
        <v>3281257</v>
      </c>
      <c r="H11" s="172">
        <f t="shared" ref="H11:H21" si="1">IF($G$21=0,0,G11/$G$21)</f>
        <v>0.38483584066909515</v>
      </c>
      <c r="I11" s="473"/>
      <c r="J11" s="336" t="s">
        <v>344</v>
      </c>
      <c r="K11" s="337">
        <f>G21</f>
        <v>8526381</v>
      </c>
    </row>
    <row r="12" spans="1:11" s="167" customFormat="1">
      <c r="A12" s="169" t="s">
        <v>15</v>
      </c>
      <c r="B12" s="170" t="s">
        <v>212</v>
      </c>
      <c r="C12" s="501">
        <f>'[55]Sch B'!E15</f>
        <v>0</v>
      </c>
      <c r="D12" s="501">
        <f>'[55]Sch B'!G15</f>
        <v>0</v>
      </c>
      <c r="E12" s="171">
        <f t="shared" ref="E12:E20" si="2">C12+D12</f>
        <v>0</v>
      </c>
      <c r="F12" s="660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7268694.8500000006</v>
      </c>
    </row>
    <row r="13" spans="1:11" s="167" customFormat="1">
      <c r="A13" s="169" t="s">
        <v>16</v>
      </c>
      <c r="B13" s="170" t="s">
        <v>170</v>
      </c>
      <c r="C13" s="501">
        <f>'[55]Sch B'!E21</f>
        <v>3362699</v>
      </c>
      <c r="D13" s="501">
        <f>'[55]Sch B'!G21</f>
        <v>0</v>
      </c>
      <c r="E13" s="171">
        <f t="shared" si="2"/>
        <v>3362699</v>
      </c>
      <c r="F13" s="660"/>
      <c r="G13" s="171">
        <f t="shared" si="0"/>
        <v>3362699</v>
      </c>
      <c r="H13" s="172">
        <f t="shared" si="1"/>
        <v>0.39438760712194304</v>
      </c>
      <c r="I13" s="473"/>
      <c r="J13" s="338" t="s">
        <v>346</v>
      </c>
      <c r="K13" s="339">
        <f>G228</f>
        <v>24159</v>
      </c>
    </row>
    <row r="14" spans="1:11" s="167" customFormat="1">
      <c r="A14" s="173" t="s">
        <v>18</v>
      </c>
      <c r="B14" s="174" t="s">
        <v>306</v>
      </c>
      <c r="C14" s="501">
        <f>'[55]Sch B'!E27</f>
        <v>886283</v>
      </c>
      <c r="D14" s="501">
        <f>'[55]Sch B'!G27</f>
        <v>0</v>
      </c>
      <c r="E14" s="171">
        <f t="shared" si="2"/>
        <v>886283</v>
      </c>
      <c r="F14" s="660"/>
      <c r="G14" s="175">
        <f>E14+F14</f>
        <v>886283</v>
      </c>
      <c r="H14" s="176">
        <f t="shared" si="1"/>
        <v>0.10394597661070974</v>
      </c>
      <c r="I14" s="479"/>
      <c r="J14" s="338" t="s">
        <v>347</v>
      </c>
      <c r="K14" s="339">
        <f>G231</f>
        <v>124</v>
      </c>
    </row>
    <row r="15" spans="1:11" s="167" customFormat="1">
      <c r="A15" s="169" t="s">
        <v>19</v>
      </c>
      <c r="B15" s="170" t="s">
        <v>171</v>
      </c>
      <c r="C15" s="501">
        <f>'[55]Sch B'!E32</f>
        <v>0</v>
      </c>
      <c r="D15" s="501">
        <f>'[55]Sch B'!G32</f>
        <v>0</v>
      </c>
      <c r="E15" s="171">
        <f t="shared" si="2"/>
        <v>0</v>
      </c>
      <c r="F15" s="660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45260</v>
      </c>
    </row>
    <row r="16" spans="1:11" s="167" customFormat="1">
      <c r="A16" s="169" t="s">
        <v>21</v>
      </c>
      <c r="B16" s="170" t="s">
        <v>172</v>
      </c>
      <c r="C16" s="501">
        <f>'[55]Sch B'!E37</f>
        <v>635146</v>
      </c>
      <c r="D16" s="501">
        <f>'[55]Sch B'!G37</f>
        <v>0</v>
      </c>
      <c r="E16" s="171">
        <f t="shared" si="2"/>
        <v>635146</v>
      </c>
      <c r="F16" s="660"/>
      <c r="G16" s="171">
        <f t="shared" si="0"/>
        <v>635146</v>
      </c>
      <c r="H16" s="172">
        <f t="shared" si="1"/>
        <v>7.4491862373966169E-2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'[55]Sch B'!E42</f>
        <v>253509</v>
      </c>
      <c r="D17" s="501">
        <f>'[55]Sch B'!G42</f>
        <v>0</v>
      </c>
      <c r="E17" s="171">
        <f t="shared" si="2"/>
        <v>253509</v>
      </c>
      <c r="F17" s="660"/>
      <c r="G17" s="171">
        <f>E17+F17</f>
        <v>253509</v>
      </c>
      <c r="H17" s="172">
        <f t="shared" si="1"/>
        <v>2.9732309639928123E-2</v>
      </c>
      <c r="I17" s="473"/>
      <c r="J17" s="338" t="s">
        <v>156</v>
      </c>
      <c r="K17" s="339">
        <f>J208</f>
        <v>171887.74</v>
      </c>
    </row>
    <row r="18" spans="1:11" s="167" customFormat="1" ht="13.5" thickBot="1">
      <c r="A18" s="169" t="s">
        <v>216</v>
      </c>
      <c r="B18" s="170" t="s">
        <v>229</v>
      </c>
      <c r="C18" s="501">
        <f>'[55]Sch B'!E47</f>
        <v>21023</v>
      </c>
      <c r="D18" s="501">
        <f>'[55]Sch B'!G47</f>
        <v>0</v>
      </c>
      <c r="E18" s="171">
        <f t="shared" si="2"/>
        <v>21023</v>
      </c>
      <c r="F18" s="660"/>
      <c r="G18" s="171">
        <f>E18+F18</f>
        <v>21023</v>
      </c>
      <c r="H18" s="172">
        <f t="shared" si="1"/>
        <v>2.4656416362346463E-3</v>
      </c>
      <c r="I18" s="473"/>
      <c r="J18" s="341" t="s">
        <v>252</v>
      </c>
      <c r="K18" s="342">
        <f>K208</f>
        <v>180533.75</v>
      </c>
    </row>
    <row r="19" spans="1:11" s="167" customFormat="1">
      <c r="A19" s="169" t="s">
        <v>227</v>
      </c>
      <c r="B19" s="177" t="s">
        <v>173</v>
      </c>
      <c r="C19" s="501">
        <f>'[55]Sch B'!E52</f>
        <v>0</v>
      </c>
      <c r="D19" s="501">
        <f>'[55]Sch B'!G52</f>
        <v>0</v>
      </c>
      <c r="E19" s="171">
        <f t="shared" si="2"/>
        <v>0</v>
      </c>
      <c r="F19" s="660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'[55]Sch B'!E67</f>
        <v>919989</v>
      </c>
      <c r="D20" s="501">
        <f>'[55]Sch B'!G67</f>
        <v>-378</v>
      </c>
      <c r="E20" s="171">
        <f t="shared" si="2"/>
        <v>919611</v>
      </c>
      <c r="F20" s="660">
        <v>-833147</v>
      </c>
      <c r="G20" s="171">
        <f t="shared" si="0"/>
        <v>86464</v>
      </c>
      <c r="H20" s="172">
        <f t="shared" si="1"/>
        <v>1.0140761948123125E-2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8151144</v>
      </c>
      <c r="D21" s="501">
        <f>SUM(D11:D20)</f>
        <v>-378</v>
      </c>
      <c r="E21" s="171">
        <f>SUM(E11:E20)</f>
        <v>8150766</v>
      </c>
      <c r="F21" s="171">
        <f>SUM(F11:F20)</f>
        <v>375615</v>
      </c>
      <c r="G21" s="171">
        <f>SUM(G11:G20)</f>
        <v>8526381</v>
      </c>
      <c r="H21" s="172">
        <f t="shared" si="1"/>
        <v>1</v>
      </c>
      <c r="I21" s="473"/>
      <c r="J21" s="168"/>
      <c r="K21" s="168"/>
    </row>
    <row r="22" spans="1:11" ht="13.25" customHeight="1">
      <c r="A22" s="145"/>
      <c r="B22" s="179"/>
      <c r="C22" s="151"/>
      <c r="D22" s="144"/>
      <c r="F22"/>
      <c r="G22" s="52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'[55]Sch C'!D10</f>
        <v>166476.54999999999</v>
      </c>
      <c r="D25" s="501">
        <f>'[55]Sch C'!F10</f>
        <v>0</v>
      </c>
      <c r="E25" s="171">
        <f t="shared" ref="E25:E60" si="3">C25+D25</f>
        <v>166476.54999999999</v>
      </c>
      <c r="F25" s="171"/>
      <c r="G25" s="182">
        <f>E25+F25</f>
        <v>166476.54999999999</v>
      </c>
      <c r="H25" s="172">
        <f>IF($G$208=0,0,G25/$G$208)</f>
        <v>2.2903224503914892E-2</v>
      </c>
      <c r="I25" s="473"/>
      <c r="J25" s="183">
        <v>2079.04</v>
      </c>
      <c r="K25" s="183">
        <v>2079.04</v>
      </c>
    </row>
    <row r="26" spans="1:11" s="167" customFormat="1">
      <c r="A26" s="169" t="s">
        <v>84</v>
      </c>
      <c r="B26" s="170" t="s">
        <v>176</v>
      </c>
      <c r="C26" s="501">
        <f>'[55]Sch C'!D11</f>
        <v>0</v>
      </c>
      <c r="D26" s="501">
        <f>'[55]Sch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'[55]Sch C'!D12</f>
        <v>217835.13</v>
      </c>
      <c r="D27" s="501">
        <f>'[55]Sch C'!F12</f>
        <v>-33921</v>
      </c>
      <c r="E27" s="171">
        <f t="shared" si="3"/>
        <v>183914.13</v>
      </c>
      <c r="F27" s="171"/>
      <c r="G27" s="171">
        <f t="shared" si="4"/>
        <v>183914.13</v>
      </c>
      <c r="H27" s="172">
        <f t="shared" si="5"/>
        <v>2.5302221897511627E-2</v>
      </c>
      <c r="I27" s="473"/>
      <c r="J27" s="183">
        <v>10099.290000000001</v>
      </c>
      <c r="K27" s="183">
        <v>10836.69</v>
      </c>
    </row>
    <row r="28" spans="1:11" s="167" customFormat="1">
      <c r="A28" s="169" t="s">
        <v>86</v>
      </c>
      <c r="B28" s="170" t="s">
        <v>45</v>
      </c>
      <c r="C28" s="501">
        <f>'[55]Sch C'!D13</f>
        <v>109477.94</v>
      </c>
      <c r="D28" s="501">
        <f>'[55]Sch C'!F13</f>
        <v>-11003</v>
      </c>
      <c r="E28" s="171">
        <f t="shared" si="3"/>
        <v>98474.94</v>
      </c>
      <c r="F28" s="171"/>
      <c r="G28" s="171">
        <f t="shared" si="4"/>
        <v>98474.94</v>
      </c>
      <c r="H28" s="172">
        <f t="shared" si="5"/>
        <v>1.3547815946627611E-2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'[55]Sch C'!D14</f>
        <v>0</v>
      </c>
      <c r="D29" s="501">
        <f>'[55]Sch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'[55]Sch C'!D15</f>
        <v>781635.47</v>
      </c>
      <c r="D30" s="501">
        <f>'[55]Sch C'!F15</f>
        <v>-781635</v>
      </c>
      <c r="E30" s="171">
        <f t="shared" si="3"/>
        <v>0.46999999997206032</v>
      </c>
      <c r="F30" s="171"/>
      <c r="G30" s="171">
        <f t="shared" si="4"/>
        <v>0.46999999997206032</v>
      </c>
      <c r="H30" s="172">
        <f t="shared" si="5"/>
        <v>6.4660851730769841E-8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'[55]Sch C'!D16</f>
        <v>0</v>
      </c>
      <c r="D31" s="501">
        <f>'[55]Sch C'!F16</f>
        <v>323166</v>
      </c>
      <c r="E31" s="171">
        <f t="shared" si="3"/>
        <v>323166</v>
      </c>
      <c r="F31" s="171"/>
      <c r="G31" s="171">
        <f t="shared" si="4"/>
        <v>323166</v>
      </c>
      <c r="H31" s="172">
        <f t="shared" si="5"/>
        <v>4.4459976195038643E-2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'[55]Sch C'!D17</f>
        <v>0</v>
      </c>
      <c r="D32" s="501">
        <f>'[55]Sch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'[55]Sch C'!D18</f>
        <v>34157.19</v>
      </c>
      <c r="D33" s="501">
        <f>'[55]Sch C'!F18</f>
        <v>0</v>
      </c>
      <c r="E33" s="171">
        <f t="shared" si="3"/>
        <v>34157.19</v>
      </c>
      <c r="F33" s="171"/>
      <c r="G33" s="171">
        <f t="shared" si="4"/>
        <v>34157.19</v>
      </c>
      <c r="H33" s="172">
        <f t="shared" si="5"/>
        <v>4.699219145236232E-3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'[55]Sch C'!D19</f>
        <v>18456.37</v>
      </c>
      <c r="D34" s="501">
        <f>'[55]Sch C'!F19</f>
        <v>1613</v>
      </c>
      <c r="E34" s="171">
        <f t="shared" si="3"/>
        <v>20069.37</v>
      </c>
      <c r="F34" s="171"/>
      <c r="G34" s="171">
        <f t="shared" si="4"/>
        <v>20069.37</v>
      </c>
      <c r="H34" s="172">
        <f t="shared" si="5"/>
        <v>2.7610692722917097E-3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'[55]Sch C'!D20</f>
        <v>20367.900000000001</v>
      </c>
      <c r="D35" s="501">
        <f>'[55]Sch C'!F20</f>
        <v>0</v>
      </c>
      <c r="E35" s="171">
        <f t="shared" si="3"/>
        <v>20367.900000000001</v>
      </c>
      <c r="F35" s="171"/>
      <c r="G35" s="171">
        <f t="shared" si="4"/>
        <v>20367.900000000001</v>
      </c>
      <c r="H35" s="172">
        <f t="shared" si="5"/>
        <v>2.8021399192456127E-3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'[55]Sch C'!D21</f>
        <v>24805.75</v>
      </c>
      <c r="D36" s="501">
        <f>'[55]Sch C'!F21</f>
        <v>22724</v>
      </c>
      <c r="E36" s="171">
        <f t="shared" si="3"/>
        <v>47529.75</v>
      </c>
      <c r="F36" s="171"/>
      <c r="G36" s="171">
        <f t="shared" si="4"/>
        <v>47529.75</v>
      </c>
      <c r="H36" s="172">
        <f t="shared" si="5"/>
        <v>6.5389662079430944E-3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'[55]Sch C'!D22</f>
        <v>0</v>
      </c>
      <c r="D37" s="501">
        <f>'[55]Sch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'[55]Sch C'!D23</f>
        <v>32778.92</v>
      </c>
      <c r="D38" s="501">
        <f>'[55]Sch C'!F23</f>
        <v>30612</v>
      </c>
      <c r="E38" s="171">
        <f t="shared" si="3"/>
        <v>63390.92</v>
      </c>
      <c r="F38" s="660">
        <v>-2961</v>
      </c>
      <c r="G38" s="171">
        <f t="shared" si="4"/>
        <v>60429.919999999998</v>
      </c>
      <c r="H38" s="172">
        <f t="shared" si="5"/>
        <v>8.3137236116054575E-3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'[55]Sch C'!D24</f>
        <v>45665.13</v>
      </c>
      <c r="D39" s="501">
        <f>'[55]Sch C'!F24</f>
        <v>0</v>
      </c>
      <c r="E39" s="171">
        <f t="shared" si="3"/>
        <v>45665.13</v>
      </c>
      <c r="F39" s="171"/>
      <c r="G39" s="171">
        <f t="shared" si="4"/>
        <v>45665.13</v>
      </c>
      <c r="H39" s="172">
        <f t="shared" si="5"/>
        <v>6.2824387241954436E-3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'[55]Sch C'!D25</f>
        <v>0</v>
      </c>
      <c r="D40" s="501">
        <f>'[55]Sch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'[55]Sch C'!D26</f>
        <v>292020.38</v>
      </c>
      <c r="D41" s="501">
        <f>'[55]Sch C'!F26</f>
        <v>0</v>
      </c>
      <c r="E41" s="171">
        <f t="shared" si="3"/>
        <v>292020.38</v>
      </c>
      <c r="F41" s="171"/>
      <c r="G41" s="171">
        <f t="shared" si="4"/>
        <v>292020.38</v>
      </c>
      <c r="H41" s="172">
        <f t="shared" si="5"/>
        <v>4.0175077648224561E-2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'[55]Sch C'!D27</f>
        <v>0</v>
      </c>
      <c r="D42" s="501">
        <f>'[55]Sch C'!F27</f>
        <v>15138</v>
      </c>
      <c r="E42" s="171">
        <f t="shared" si="3"/>
        <v>15138</v>
      </c>
      <c r="F42" s="171"/>
      <c r="G42" s="171">
        <f t="shared" si="4"/>
        <v>15138</v>
      </c>
      <c r="H42" s="172">
        <f t="shared" si="5"/>
        <v>2.0826297309757061E-3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'[55]Sch C'!D28</f>
        <v>0</v>
      </c>
      <c r="D43" s="501">
        <f>'[55]Sch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'[55]Sch C'!D29</f>
        <v>46714.92</v>
      </c>
      <c r="D44" s="501">
        <f>'[55]Sch C'!F29</f>
        <v>-46714.92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'[55]Sch C'!D30</f>
        <v>100</v>
      </c>
      <c r="D45" s="501">
        <f>'[55]Sch C'!F30</f>
        <v>-100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'[55]Sch C'!D31</f>
        <v>0</v>
      </c>
      <c r="D46" s="501">
        <f>'[55]Sch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'[55]Sch C'!D32</f>
        <v>118836.22</v>
      </c>
      <c r="D47" s="501">
        <f>'[55]Sch C'!F32</f>
        <v>6349</v>
      </c>
      <c r="E47" s="171">
        <f t="shared" si="3"/>
        <v>125185.22</v>
      </c>
      <c r="F47" s="171"/>
      <c r="G47" s="171">
        <f t="shared" si="4"/>
        <v>125185.22</v>
      </c>
      <c r="H47" s="172">
        <f t="shared" si="5"/>
        <v>1.7222516914436159E-2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'[55]Sch C'!D33</f>
        <v>0</v>
      </c>
      <c r="D48" s="501">
        <f>'[55]Sch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'[55]Sch C'!D34</f>
        <v>0</v>
      </c>
      <c r="D49" s="501">
        <f>'[55]Sch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'[55]Sch C'!D35</f>
        <v>0</v>
      </c>
      <c r="D50" s="501">
        <f>'[55]Sch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'[55]Sch C'!D36</f>
        <v>0</v>
      </c>
      <c r="D51" s="501">
        <f>'[55]Sch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'[55]Sch C'!D37</f>
        <v>0</v>
      </c>
      <c r="D52" s="501">
        <f>'[55]Sch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'[55]Sch C'!D38</f>
        <v>0</v>
      </c>
      <c r="D53" s="501">
        <f>'[55]Sch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'[55]Sch C'!D39</f>
        <v>28156.94</v>
      </c>
      <c r="D54" s="501">
        <f>'[55]Sch C'!F39</f>
        <v>5881</v>
      </c>
      <c r="E54" s="171">
        <f t="shared" si="3"/>
        <v>34037.94</v>
      </c>
      <c r="F54" s="171"/>
      <c r="G54" s="171">
        <f t="shared" si="4"/>
        <v>34037.94</v>
      </c>
      <c r="H54" s="172">
        <f t="shared" si="5"/>
        <v>4.6828131738120768E-3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'[55]Sch C'!D40</f>
        <v>28512.53</v>
      </c>
      <c r="D55" s="501">
        <f>'[55]Sch C'!F40</f>
        <v>-28512.53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'[55]Sch C'!D41</f>
        <v>35687.519999999997</v>
      </c>
      <c r="D56" s="501">
        <f>'[55]Sch C'!F41</f>
        <v>38490</v>
      </c>
      <c r="E56" s="171">
        <f t="shared" si="3"/>
        <v>74177.51999999999</v>
      </c>
      <c r="F56" s="171"/>
      <c r="G56" s="171">
        <f t="shared" si="4"/>
        <v>74177.51999999999</v>
      </c>
      <c r="H56" s="172">
        <f t="shared" si="5"/>
        <v>1.0205067282470935E-2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'[55]Sch C'!D42</f>
        <v>0</v>
      </c>
      <c r="D57" s="501">
        <f>'[55]Sch C'!F42</f>
        <v>3202</v>
      </c>
      <c r="E57" s="171">
        <f t="shared" si="3"/>
        <v>3202</v>
      </c>
      <c r="F57" s="171"/>
      <c r="G57" s="171">
        <f t="shared" si="4"/>
        <v>3202</v>
      </c>
      <c r="H57" s="172">
        <f t="shared" si="5"/>
        <v>4.4051924947709144E-4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'[55]Sch C'!D43</f>
        <v>0</v>
      </c>
      <c r="D58" s="501">
        <f>'[55]Sch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'[55]Sch C'!D44</f>
        <v>-500</v>
      </c>
      <c r="D59" s="501">
        <f>'[55]Sch C'!F44</f>
        <v>0</v>
      </c>
      <c r="E59" s="171">
        <f t="shared" si="3"/>
        <v>-500</v>
      </c>
      <c r="F59" s="171"/>
      <c r="G59" s="171">
        <f t="shared" si="4"/>
        <v>-500</v>
      </c>
      <c r="H59" s="172">
        <f t="shared" si="5"/>
        <v>-6.8788140143206033E-5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'[55]Sch C'!D45</f>
        <v>5885.24</v>
      </c>
      <c r="D60" s="501">
        <f>'[55]Sch C'!F45</f>
        <v>755</v>
      </c>
      <c r="E60" s="171">
        <f t="shared" si="3"/>
        <v>6640.24</v>
      </c>
      <c r="F60" s="171"/>
      <c r="G60" s="171">
        <f t="shared" si="4"/>
        <v>6640.24</v>
      </c>
      <c r="H60" s="172">
        <f t="shared" si="5"/>
        <v>9.1353951940904485E-4</v>
      </c>
      <c r="I60" s="473" t="s">
        <v>477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2007070.0999999994</v>
      </c>
      <c r="D61" s="501">
        <f>SUM(D25:D60)</f>
        <v>-453956.44999999995</v>
      </c>
      <c r="E61" s="171">
        <f t="shared" ref="E61:F61" si="6">SUM(E25:E60)</f>
        <v>1553113.65</v>
      </c>
      <c r="F61" s="171">
        <f t="shared" si="6"/>
        <v>-2961</v>
      </c>
      <c r="G61" s="171">
        <f>SUM(G25:G60)</f>
        <v>1550152.65</v>
      </c>
      <c r="H61" s="186">
        <f t="shared" si="5"/>
        <v>0.21326423546312442</v>
      </c>
      <c r="I61" s="480"/>
      <c r="J61" s="168"/>
      <c r="K61" s="168"/>
    </row>
    <row r="62" spans="1:11" s="167" customFormat="1" ht="15.5">
      <c r="A62" s="163"/>
      <c r="C62" s="165"/>
      <c r="D62" s="165"/>
      <c r="E62" s="165"/>
      <c r="F62"/>
      <c r="G62" s="165"/>
      <c r="H62" s="187"/>
      <c r="I62" s="481"/>
      <c r="J62" s="168"/>
      <c r="K62" s="168"/>
    </row>
    <row r="63" spans="1:11" s="167" customFormat="1" ht="15" customHeight="1">
      <c r="A63" s="169" t="s">
        <v>162</v>
      </c>
      <c r="B63" s="170" t="s">
        <v>178</v>
      </c>
      <c r="C63" s="165"/>
      <c r="D63" s="165"/>
      <c r="E63" s="165"/>
      <c r="F63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'[55]Sch C'!D57</f>
        <v>995612.04</v>
      </c>
      <c r="D64" s="501">
        <f>'[55]Sch C'!F57</f>
        <v>-995612</v>
      </c>
      <c r="E64" s="171">
        <f t="shared" ref="E64:E78" si="7">C64+D64</f>
        <v>4.0000000037252903E-2</v>
      </c>
      <c r="F64" s="171"/>
      <c r="G64" s="171">
        <f t="shared" ref="G64:G78" si="8">E64+F64</f>
        <v>4.0000000037252903E-2</v>
      </c>
      <c r="H64" s="172">
        <f t="shared" ref="H64:H79" si="9">IF($G$208=0,0,G64/$G$208)</f>
        <v>5.5030512165815984E-9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'[55]Sch C'!D58</f>
        <v>137683.64000000001</v>
      </c>
      <c r="D65" s="501">
        <f>'[55]Sch C'!F58</f>
        <v>14868</v>
      </c>
      <c r="E65" s="171">
        <f t="shared" si="7"/>
        <v>152551.64000000001</v>
      </c>
      <c r="F65" s="171"/>
      <c r="G65" s="171">
        <f t="shared" si="8"/>
        <v>152551.64000000001</v>
      </c>
      <c r="H65" s="172">
        <f t="shared" si="9"/>
        <v>2.0987487182791833E-2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'[55]Sch C'!D59</f>
        <v>0</v>
      </c>
      <c r="D66" s="501">
        <f>'[55]Sch C'!F59</f>
        <v>307713</v>
      </c>
      <c r="E66" s="171">
        <f t="shared" si="7"/>
        <v>307713</v>
      </c>
      <c r="F66" s="171"/>
      <c r="G66" s="171">
        <f t="shared" si="8"/>
        <v>307713</v>
      </c>
      <c r="H66" s="172">
        <f t="shared" si="9"/>
        <v>4.2334009935772715E-2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'[55]Sch C'!D60</f>
        <v>43290.46</v>
      </c>
      <c r="D67" s="501">
        <f>'[55]Sch C'!F60</f>
        <v>-5937</v>
      </c>
      <c r="E67" s="171">
        <f t="shared" si="7"/>
        <v>37353.46</v>
      </c>
      <c r="F67" s="171"/>
      <c r="G67" s="171">
        <f t="shared" si="8"/>
        <v>37353.46</v>
      </c>
      <c r="H67" s="172">
        <f t="shared" si="9"/>
        <v>5.1389500826272815E-3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'[55]Sch C'!D61</f>
        <v>14625.03</v>
      </c>
      <c r="D68" s="501">
        <f>'[55]Sch C'!F61</f>
        <v>2180</v>
      </c>
      <c r="E68" s="171">
        <f t="shared" si="7"/>
        <v>16805.03</v>
      </c>
      <c r="F68" s="171"/>
      <c r="G68" s="171">
        <f t="shared" si="8"/>
        <v>16805.03</v>
      </c>
      <c r="H68" s="172">
        <f t="shared" si="9"/>
        <v>2.311973517501563E-3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'[55]Sch C'!D62</f>
        <v>0</v>
      </c>
      <c r="D69" s="501">
        <f>'[55]Sch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'[55]Sch C'!D63</f>
        <v>0</v>
      </c>
      <c r="D70" s="501">
        <f>'[55]Sch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'[55]Sch C'!D64</f>
        <v>0</v>
      </c>
      <c r="D71" s="501">
        <f>'[55]Sch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'[55]Sch C'!D65</f>
        <v>0</v>
      </c>
      <c r="D72" s="501">
        <f>'[55]Sch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'[55]Sch C'!D66</f>
        <v>0</v>
      </c>
      <c r="D73" s="501">
        <f>'[55]Sch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'[55]Sch C'!D67</f>
        <v>53111.040000000001</v>
      </c>
      <c r="D74" s="501">
        <f>'[55]Sch C'!F67</f>
        <v>14278</v>
      </c>
      <c r="E74" s="171">
        <f t="shared" si="7"/>
        <v>67389.040000000008</v>
      </c>
      <c r="F74" s="171"/>
      <c r="G74" s="171">
        <f t="shared" si="8"/>
        <v>67389.040000000008</v>
      </c>
      <c r="H74" s="172">
        <f t="shared" si="9"/>
        <v>9.2711334552722357E-3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'[55]Sch C'!D68</f>
        <v>0</v>
      </c>
      <c r="D75" s="501">
        <f>'[55]Sch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'[55]Sch C'!D69</f>
        <v>0</v>
      </c>
      <c r="D76" s="501">
        <f>'[55]Sch C'!F69</f>
        <v>6863</v>
      </c>
      <c r="E76" s="171">
        <f t="shared" si="7"/>
        <v>6863</v>
      </c>
      <c r="F76" s="171"/>
      <c r="G76" s="171">
        <f t="shared" si="8"/>
        <v>6863</v>
      </c>
      <c r="H76" s="172">
        <f t="shared" si="9"/>
        <v>9.4418601160564599E-4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'[55]Sch C'!D70</f>
        <v>0</v>
      </c>
      <c r="D77" s="501">
        <f>'[55]Sch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'[55]Sch C'!D71</f>
        <v>0</v>
      </c>
      <c r="D78" s="501">
        <f>'[55]Sch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1244322.2100000002</v>
      </c>
      <c r="D79" s="501">
        <f>SUM(D64:D78)</f>
        <v>-655647</v>
      </c>
      <c r="E79" s="171">
        <f t="shared" ref="E79:F79" si="10">SUM(E64:E78)</f>
        <v>588675.21000000008</v>
      </c>
      <c r="F79" s="171">
        <f t="shared" si="10"/>
        <v>0</v>
      </c>
      <c r="G79" s="171">
        <f>SUM(G64:G78)</f>
        <v>588675.21000000008</v>
      </c>
      <c r="H79" s="172">
        <f t="shared" si="9"/>
        <v>8.0987745688622492E-2</v>
      </c>
      <c r="I79" s="473"/>
      <c r="J79" s="195"/>
      <c r="K79" s="168"/>
    </row>
    <row r="80" spans="1:11" s="167" customFormat="1" ht="15" customHeight="1">
      <c r="A80" s="163"/>
      <c r="B80" s="170"/>
      <c r="C80" s="196"/>
      <c r="D80" s="196"/>
      <c r="E80" s="196"/>
      <c r="F80"/>
      <c r="G80" s="196"/>
      <c r="H80" s="197"/>
      <c r="I80" s="473"/>
      <c r="J80" s="168"/>
      <c r="K80" s="168"/>
    </row>
    <row r="81" spans="1:11" s="167" customFormat="1" ht="15" customHeight="1">
      <c r="A81" s="169" t="s">
        <v>163</v>
      </c>
      <c r="B81" s="170" t="s">
        <v>43</v>
      </c>
      <c r="C81" s="165"/>
      <c r="D81" s="165"/>
      <c r="E81" s="165"/>
      <c r="F81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'[55]Sch C'!D75</f>
        <v>47448.68</v>
      </c>
      <c r="D82" s="501">
        <f>'[55]Sch C'!F75</f>
        <v>0</v>
      </c>
      <c r="E82" s="171">
        <f t="shared" ref="E82:E92" si="11">C82+D82</f>
        <v>47448.68</v>
      </c>
      <c r="F82" s="171"/>
      <c r="G82" s="171">
        <f t="shared" ref="G82:G92" si="12">E82+F82</f>
        <v>47448.68</v>
      </c>
      <c r="H82" s="172">
        <f t="shared" ref="H82:H93" si="13">IF($G$208=0,0,G82/$G$208)</f>
        <v>6.5278128989002746E-3</v>
      </c>
      <c r="I82" s="473"/>
      <c r="J82" s="183">
        <v>2502.2800000000002</v>
      </c>
      <c r="K82" s="183">
        <v>2586.2800000000002</v>
      </c>
    </row>
    <row r="83" spans="1:11" s="167" customFormat="1">
      <c r="A83" s="169" t="s">
        <v>86</v>
      </c>
      <c r="B83" s="199" t="s">
        <v>45</v>
      </c>
      <c r="C83" s="501">
        <f>'[55]Sch C'!D76</f>
        <v>17771.97</v>
      </c>
      <c r="D83" s="501">
        <f>'[55]Sch C'!F76</f>
        <v>0</v>
      </c>
      <c r="E83" s="171">
        <f t="shared" si="11"/>
        <v>17771.97</v>
      </c>
      <c r="F83" s="171"/>
      <c r="G83" s="171">
        <f t="shared" si="12"/>
        <v>17771.97</v>
      </c>
      <c r="H83" s="172">
        <f t="shared" si="13"/>
        <v>2.4450015259617069E-3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'[55]Sch C'!D77</f>
        <v>10613.6</v>
      </c>
      <c r="D84" s="501">
        <f>'[55]Sch C'!F77</f>
        <v>0</v>
      </c>
      <c r="E84" s="171">
        <f t="shared" si="11"/>
        <v>10613.6</v>
      </c>
      <c r="F84" s="171"/>
      <c r="G84" s="171">
        <f t="shared" si="12"/>
        <v>10613.6</v>
      </c>
      <c r="H84" s="172">
        <f t="shared" si="13"/>
        <v>1.4601796084478631E-3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'[55]Sch C'!D78</f>
        <v>36012.57</v>
      </c>
      <c r="D85" s="501">
        <f>'[55]Sch C'!F78</f>
        <v>1406</v>
      </c>
      <c r="E85" s="171">
        <f t="shared" si="11"/>
        <v>37418.57</v>
      </c>
      <c r="F85" s="171"/>
      <c r="G85" s="171">
        <f t="shared" si="12"/>
        <v>37418.57</v>
      </c>
      <c r="H85" s="172">
        <f t="shared" si="13"/>
        <v>5.14790767423673E-3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'[55]Sch C'!D79</f>
        <v>32165.919999999998</v>
      </c>
      <c r="D86" s="501">
        <f>'[55]Sch C'!F79</f>
        <v>0</v>
      </c>
      <c r="E86" s="171">
        <f t="shared" si="11"/>
        <v>32165.919999999998</v>
      </c>
      <c r="F86" s="171"/>
      <c r="G86" s="171">
        <f>E86+F86</f>
        <v>32165.919999999998</v>
      </c>
      <c r="H86" s="172">
        <f t="shared" si="13"/>
        <v>4.4252676255903071E-3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'[55]Sch C'!D80</f>
        <v>49463.79</v>
      </c>
      <c r="D87" s="501">
        <f>'[55]Sch C'!F80</f>
        <v>0</v>
      </c>
      <c r="E87" s="171">
        <f t="shared" si="11"/>
        <v>49463.79</v>
      </c>
      <c r="F87" s="171"/>
      <c r="G87" s="171">
        <f t="shared" si="12"/>
        <v>49463.79</v>
      </c>
      <c r="H87" s="172">
        <f t="shared" si="13"/>
        <v>6.8050442370682267E-3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'[55]Sch C'!D81</f>
        <v>7803.52</v>
      </c>
      <c r="D88" s="501">
        <f>'[55]Sch C'!F81</f>
        <v>0</v>
      </c>
      <c r="E88" s="171">
        <f t="shared" si="11"/>
        <v>7803.52</v>
      </c>
      <c r="F88" s="171"/>
      <c r="G88" s="171">
        <f t="shared" si="12"/>
        <v>7803.52</v>
      </c>
      <c r="H88" s="172">
        <f t="shared" si="13"/>
        <v>1.0735792547406223E-3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'[55]Sch C'!D82</f>
        <v>0</v>
      </c>
      <c r="D89" s="501">
        <f>'[55]Sch C'!F82</f>
        <v>0</v>
      </c>
      <c r="E89" s="171">
        <f t="shared" si="11"/>
        <v>0</v>
      </c>
      <c r="F89" s="171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'[55]Sch C'!D83</f>
        <v>0</v>
      </c>
      <c r="D90" s="501">
        <f>'[55]Sch C'!F83</f>
        <v>0</v>
      </c>
      <c r="E90" s="171">
        <f t="shared" si="11"/>
        <v>0</v>
      </c>
      <c r="F90" s="660">
        <v>2961</v>
      </c>
      <c r="G90" s="171">
        <f t="shared" si="12"/>
        <v>2961</v>
      </c>
      <c r="H90" s="172">
        <f t="shared" si="13"/>
        <v>4.0736336592806611E-4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'[55]Sch C'!D84</f>
        <v>162766.18</v>
      </c>
      <c r="D91" s="501">
        <f>'[55]Sch C'!F84</f>
        <v>916</v>
      </c>
      <c r="E91" s="171">
        <f t="shared" si="11"/>
        <v>163682.18</v>
      </c>
      <c r="F91" s="171"/>
      <c r="G91" s="171">
        <f t="shared" si="12"/>
        <v>163682.18</v>
      </c>
      <c r="H91" s="172">
        <f t="shared" si="13"/>
        <v>2.2518785473570949E-2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'[55]Sch C'!D85</f>
        <v>781.12</v>
      </c>
      <c r="D92" s="501">
        <f>'[55]Sch C'!F85</f>
        <v>0</v>
      </c>
      <c r="E92" s="171">
        <f t="shared" si="11"/>
        <v>781.12</v>
      </c>
      <c r="F92" s="171"/>
      <c r="G92" s="171">
        <f t="shared" si="12"/>
        <v>781.12</v>
      </c>
      <c r="H92" s="172">
        <f t="shared" si="13"/>
        <v>1.074635840573222E-4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364827.35</v>
      </c>
      <c r="D93" s="501">
        <f>SUM(D82:D92)</f>
        <v>2322</v>
      </c>
      <c r="E93" s="171">
        <f t="shared" ref="E93:F93" si="14">SUM(E82:E92)</f>
        <v>367149.35</v>
      </c>
      <c r="F93" s="171">
        <f t="shared" si="14"/>
        <v>2961</v>
      </c>
      <c r="G93" s="171">
        <f>SUM(G82:G92)</f>
        <v>370110.35</v>
      </c>
      <c r="H93" s="172">
        <f t="shared" si="13"/>
        <v>5.0918405248502066E-2</v>
      </c>
      <c r="I93" s="473"/>
      <c r="J93" s="168"/>
      <c r="K93" s="168"/>
    </row>
    <row r="94" spans="1:11" s="167" customFormat="1" ht="15.5">
      <c r="A94" s="163"/>
      <c r="C94" s="165"/>
      <c r="D94" s="165"/>
      <c r="E94" s="165"/>
      <c r="F94"/>
      <c r="G94" s="165"/>
      <c r="H94" s="198"/>
      <c r="I94" s="475"/>
      <c r="J94" s="168"/>
      <c r="K94" s="168"/>
    </row>
    <row r="95" spans="1:11" s="167" customFormat="1" ht="15.5">
      <c r="A95" s="169" t="s">
        <v>164</v>
      </c>
      <c r="B95" s="170" t="s">
        <v>51</v>
      </c>
      <c r="C95" s="165"/>
      <c r="D95" s="165"/>
      <c r="E95" s="165"/>
      <c r="F9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'[55]Sch C'!D89</f>
        <v>255601.88</v>
      </c>
      <c r="D96" s="501">
        <f>'[55]Sch C'!F89</f>
        <v>0</v>
      </c>
      <c r="E96" s="171">
        <f t="shared" ref="E96:E101" si="15">C96+D96</f>
        <v>255601.88</v>
      </c>
      <c r="F96" s="171"/>
      <c r="G96" s="171">
        <f t="shared" ref="G96:G101" si="16">E96+F96</f>
        <v>255601.88</v>
      </c>
      <c r="H96" s="172">
        <f t="shared" ref="H96:H102" si="17">IF($G$208=0,0,G96/$G$208)</f>
        <v>3.516475588461386E-2</v>
      </c>
      <c r="I96" s="473"/>
      <c r="J96" s="183">
        <v>21683.88</v>
      </c>
      <c r="K96" s="183">
        <v>22778.1</v>
      </c>
    </row>
    <row r="97" spans="1:11" s="167" customFormat="1">
      <c r="A97" s="169" t="s">
        <v>86</v>
      </c>
      <c r="B97" s="170" t="s">
        <v>45</v>
      </c>
      <c r="C97" s="501">
        <f>'[55]Sch C'!D90</f>
        <v>70356.13</v>
      </c>
      <c r="D97" s="501">
        <f>'[55]Sch C'!F90</f>
        <v>0</v>
      </c>
      <c r="E97" s="171">
        <f t="shared" si="15"/>
        <v>70356.13</v>
      </c>
      <c r="F97" s="171"/>
      <c r="G97" s="171">
        <f t="shared" si="16"/>
        <v>70356.13</v>
      </c>
      <c r="H97" s="172">
        <f t="shared" si="17"/>
        <v>9.6793346607472446E-3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'[55]Sch C'!D91</f>
        <v>23801.37</v>
      </c>
      <c r="D98" s="501">
        <f>'[55]Sch C'!F91</f>
        <v>0</v>
      </c>
      <c r="E98" s="171">
        <f t="shared" si="15"/>
        <v>23801.37</v>
      </c>
      <c r="F98" s="171"/>
      <c r="G98" s="171">
        <f t="shared" si="16"/>
        <v>23801.37</v>
      </c>
      <c r="H98" s="172">
        <f t="shared" si="17"/>
        <v>3.2745039503205993E-3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'[55]Sch C'!D92</f>
        <v>197070.01</v>
      </c>
      <c r="D99" s="501">
        <f>'[55]Sch C'!F92</f>
        <v>-356</v>
      </c>
      <c r="E99" s="171">
        <f t="shared" si="15"/>
        <v>196714.01</v>
      </c>
      <c r="F99" s="171"/>
      <c r="G99" s="171">
        <f t="shared" si="16"/>
        <v>196714.01</v>
      </c>
      <c r="H99" s="172">
        <f t="shared" si="17"/>
        <v>2.7063181776024067E-2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'[55]Sch C'!D93</f>
        <v>12183.84</v>
      </c>
      <c r="D100" s="501">
        <f>'[55]Sch C'!F93</f>
        <v>0</v>
      </c>
      <c r="E100" s="171">
        <f t="shared" si="15"/>
        <v>12183.84</v>
      </c>
      <c r="F100" s="171"/>
      <c r="G100" s="171">
        <f t="shared" si="16"/>
        <v>12183.84</v>
      </c>
      <c r="H100" s="172">
        <f t="shared" si="17"/>
        <v>1.6762073868047988E-3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'[55]Sch C'!D94</f>
        <v>9938.9</v>
      </c>
      <c r="D101" s="501">
        <f>'[55]Sch C'!F94</f>
        <v>0</v>
      </c>
      <c r="E101" s="171">
        <f t="shared" si="15"/>
        <v>9938.9</v>
      </c>
      <c r="F101" s="171"/>
      <c r="G101" s="171">
        <f t="shared" si="16"/>
        <v>9938.9</v>
      </c>
      <c r="H101" s="172">
        <f t="shared" si="17"/>
        <v>1.3673568921386209E-3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568952.13</v>
      </c>
      <c r="D102" s="501">
        <f>SUM(D96:D101)</f>
        <v>-356</v>
      </c>
      <c r="E102" s="171">
        <f t="shared" ref="E102:F102" si="18">SUM(E96:E101)</f>
        <v>568596.13</v>
      </c>
      <c r="F102" s="171">
        <f t="shared" si="18"/>
        <v>0</v>
      </c>
      <c r="G102" s="171">
        <f>SUM(G96:G101)</f>
        <v>568596.13</v>
      </c>
      <c r="H102" s="172">
        <f t="shared" si="17"/>
        <v>7.8225340550649197E-2</v>
      </c>
      <c r="I102" s="473"/>
      <c r="J102" s="168"/>
      <c r="K102" s="168"/>
    </row>
    <row r="103" spans="1:11" s="167" customFormat="1" ht="15.5">
      <c r="A103" s="163"/>
      <c r="C103" s="165"/>
      <c r="D103" s="165"/>
      <c r="E103" s="165"/>
      <c r="F103"/>
      <c r="G103" s="165"/>
      <c r="H103" s="198"/>
      <c r="I103" s="475"/>
      <c r="J103" s="168"/>
      <c r="K103" s="168"/>
    </row>
    <row r="104" spans="1:11" s="167" customFormat="1" ht="15.5">
      <c r="A104" s="169" t="s">
        <v>165</v>
      </c>
      <c r="B104" s="170" t="s">
        <v>56</v>
      </c>
      <c r="C104" s="165"/>
      <c r="D104" s="165"/>
      <c r="E104" s="165"/>
      <c r="F104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'[55]Sch C'!D98</f>
        <v>30675.08</v>
      </c>
      <c r="D105" s="501">
        <f>'[55]Sch C'!F98</f>
        <v>0</v>
      </c>
      <c r="E105" s="171">
        <f t="shared" ref="E105:E110" si="19">C105+D105</f>
        <v>30675.08</v>
      </c>
      <c r="F105" s="171"/>
      <c r="G105" s="171">
        <f t="shared" ref="G105:G110" si="20">E105+F105</f>
        <v>30675.08</v>
      </c>
      <c r="H105" s="172">
        <f t="shared" ref="H105:H111" si="21">IF($G$208=0,0,G105/$G$208)</f>
        <v>4.2201634038881129E-3</v>
      </c>
      <c r="I105" s="473"/>
      <c r="J105" s="183">
        <v>3121.04</v>
      </c>
      <c r="K105" s="183">
        <v>3177.04</v>
      </c>
    </row>
    <row r="106" spans="1:11" s="167" customFormat="1">
      <c r="A106" s="169" t="s">
        <v>86</v>
      </c>
      <c r="B106" s="170" t="s">
        <v>45</v>
      </c>
      <c r="C106" s="501">
        <f>'[55]Sch C'!D99</f>
        <v>3982.77</v>
      </c>
      <c r="D106" s="501">
        <f>'[55]Sch C'!F99</f>
        <v>0</v>
      </c>
      <c r="E106" s="171">
        <f t="shared" si="19"/>
        <v>3982.77</v>
      </c>
      <c r="F106" s="171"/>
      <c r="G106" s="171">
        <f t="shared" si="20"/>
        <v>3982.77</v>
      </c>
      <c r="H106" s="172">
        <f t="shared" si="21"/>
        <v>5.4793468183631335E-4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'[55]Sch C'!D100</f>
        <v>5071.22</v>
      </c>
      <c r="D107" s="501">
        <f>'[55]Sch C'!F100</f>
        <v>0</v>
      </c>
      <c r="E107" s="171">
        <f t="shared" si="19"/>
        <v>5071.22</v>
      </c>
      <c r="F107" s="171"/>
      <c r="G107" s="171">
        <f t="shared" si="20"/>
        <v>5071.22</v>
      </c>
      <c r="H107" s="172">
        <f t="shared" si="21"/>
        <v>6.9767958411405865E-4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'[55]Sch C'!D101</f>
        <v>39.880000000000003</v>
      </c>
      <c r="D108" s="501">
        <f>'[55]Sch C'!F101</f>
        <v>0</v>
      </c>
      <c r="E108" s="171">
        <f t="shared" si="19"/>
        <v>39.880000000000003</v>
      </c>
      <c r="F108" s="171"/>
      <c r="G108" s="171">
        <f t="shared" si="20"/>
        <v>39.880000000000003</v>
      </c>
      <c r="H108" s="172">
        <f t="shared" si="21"/>
        <v>5.4865420578221136E-6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'[55]Sch C'!D102</f>
        <v>6291.16</v>
      </c>
      <c r="D109" s="501">
        <f>'[55]Sch C'!F102</f>
        <v>0</v>
      </c>
      <c r="E109" s="171">
        <f t="shared" si="19"/>
        <v>6291.16</v>
      </c>
      <c r="F109" s="171"/>
      <c r="G109" s="171">
        <f t="shared" si="20"/>
        <v>6291.16</v>
      </c>
      <c r="H109" s="172">
        <f t="shared" si="21"/>
        <v>8.6551439148666411E-4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'[55]Sch C'!D103</f>
        <v>0</v>
      </c>
      <c r="D110" s="501">
        <f>'[55]Sch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46060.11</v>
      </c>
      <c r="D111" s="501">
        <f>SUM(D105:D110)</f>
        <v>0</v>
      </c>
      <c r="E111" s="171">
        <f t="shared" ref="E111:F111" si="22">SUM(E105:E110)</f>
        <v>46060.11</v>
      </c>
      <c r="F111" s="171">
        <f t="shared" si="22"/>
        <v>0</v>
      </c>
      <c r="G111" s="171">
        <f>SUM(G105:G110)</f>
        <v>46060.11</v>
      </c>
      <c r="H111" s="172">
        <f t="shared" si="21"/>
        <v>6.3367786033829716E-3</v>
      </c>
      <c r="I111" s="473"/>
      <c r="J111" s="168"/>
      <c r="K111" s="168"/>
    </row>
    <row r="112" spans="1:11" s="167" customFormat="1" ht="15.5">
      <c r="A112" s="163"/>
      <c r="C112" s="165"/>
      <c r="D112" s="165"/>
      <c r="E112" s="165"/>
      <c r="F112"/>
      <c r="G112" s="165"/>
      <c r="H112" s="198"/>
      <c r="I112" s="475"/>
      <c r="J112" s="168"/>
      <c r="K112" s="168"/>
    </row>
    <row r="113" spans="1:11" s="167" customFormat="1" ht="15.5">
      <c r="A113" s="169" t="s">
        <v>166</v>
      </c>
      <c r="B113" s="170" t="s">
        <v>59</v>
      </c>
      <c r="C113" s="165"/>
      <c r="D113" s="165"/>
      <c r="E113" s="165"/>
      <c r="F113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'[55]Sch C'!D115</f>
        <v>79731.62</v>
      </c>
      <c r="D114" s="501">
        <f>'[55]Sch C'!F115</f>
        <v>0</v>
      </c>
      <c r="E114" s="171">
        <f t="shared" ref="E114:E118" si="23">C114+D114</f>
        <v>79731.62</v>
      </c>
      <c r="F114" s="171"/>
      <c r="G114" s="171">
        <f>E114+F114</f>
        <v>79731.62</v>
      </c>
      <c r="H114" s="172">
        <f t="shared" ref="H114:H119" si="24">IF($G$208=0,0,G114/$G$208)</f>
        <v>1.0969179700809698E-2</v>
      </c>
      <c r="I114" s="473"/>
      <c r="J114" s="183">
        <v>8339.32</v>
      </c>
      <c r="K114" s="183">
        <v>8815.32</v>
      </c>
    </row>
    <row r="115" spans="1:11" s="167" customFormat="1">
      <c r="A115" s="169" t="s">
        <v>86</v>
      </c>
      <c r="B115" s="170" t="s">
        <v>151</v>
      </c>
      <c r="C115" s="501">
        <f>'[55]Sch C'!D116</f>
        <v>27489.279999999999</v>
      </c>
      <c r="D115" s="501">
        <f>'[55]Sch C'!F116</f>
        <v>0</v>
      </c>
      <c r="E115" s="171">
        <f t="shared" si="23"/>
        <v>27489.279999999999</v>
      </c>
      <c r="F115" s="171"/>
      <c r="G115" s="171">
        <f>E115+F115</f>
        <v>27489.279999999999</v>
      </c>
      <c r="H115" s="172">
        <f t="shared" si="24"/>
        <v>3.7818728901516615E-3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'[55]Sch C'!D117</f>
        <v>18426.54</v>
      </c>
      <c r="D116" s="501">
        <f>'[55]Sch C'!F117</f>
        <v>0</v>
      </c>
      <c r="E116" s="171">
        <f t="shared" si="23"/>
        <v>18426.54</v>
      </c>
      <c r="F116" s="171"/>
      <c r="G116" s="171">
        <f>E116+F116</f>
        <v>18426.54</v>
      </c>
      <c r="H116" s="172">
        <f t="shared" si="24"/>
        <v>2.5350548317487837E-3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'[55]Sch C'!D118</f>
        <v>38.4</v>
      </c>
      <c r="D117" s="501">
        <f>'[55]Sch C'!F118</f>
        <v>0</v>
      </c>
      <c r="E117" s="171">
        <f t="shared" si="23"/>
        <v>38.4</v>
      </c>
      <c r="F117" s="171"/>
      <c r="G117" s="171">
        <f>E117+F117</f>
        <v>38.4</v>
      </c>
      <c r="H117" s="172">
        <f t="shared" si="24"/>
        <v>5.2829291629982228E-6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'[55]Sch C'!D119</f>
        <v>712</v>
      </c>
      <c r="D118" s="501">
        <f>'[55]Sch C'!F119</f>
        <v>0</v>
      </c>
      <c r="E118" s="171">
        <f t="shared" si="23"/>
        <v>712</v>
      </c>
      <c r="F118" s="171"/>
      <c r="G118" s="171">
        <f>E118+F118</f>
        <v>712</v>
      </c>
      <c r="H118" s="172">
        <f t="shared" si="24"/>
        <v>9.7954311563925393E-5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126397.84</v>
      </c>
      <c r="D119" s="501">
        <f>SUM(D114:D118)</f>
        <v>0</v>
      </c>
      <c r="E119" s="171">
        <f t="shared" ref="E119:F119" si="25">SUM(E114:E118)</f>
        <v>126397.84</v>
      </c>
      <c r="F119" s="171">
        <f t="shared" si="25"/>
        <v>0</v>
      </c>
      <c r="G119" s="171">
        <f>SUM(G114:G118)</f>
        <v>126397.84</v>
      </c>
      <c r="H119" s="172">
        <f t="shared" si="24"/>
        <v>1.7389344663437067E-2</v>
      </c>
      <c r="I119" s="473"/>
      <c r="J119" s="168"/>
      <c r="K119" s="168"/>
    </row>
    <row r="120" spans="1:11" s="167" customFormat="1" ht="15.5">
      <c r="A120" s="163"/>
      <c r="B120" s="170"/>
      <c r="C120" s="196"/>
      <c r="D120" s="196"/>
      <c r="E120" s="196"/>
      <c r="F120"/>
      <c r="G120" s="196"/>
      <c r="H120" s="197"/>
      <c r="I120" s="473"/>
      <c r="J120" s="203"/>
      <c r="K120" s="203"/>
    </row>
    <row r="121" spans="1:11" s="167" customFormat="1" ht="15.5">
      <c r="A121" s="169" t="s">
        <v>167</v>
      </c>
      <c r="B121" s="170" t="s">
        <v>62</v>
      </c>
      <c r="C121" s="165"/>
      <c r="D121" s="165"/>
      <c r="E121" s="165"/>
      <c r="F121"/>
      <c r="G121" s="165"/>
      <c r="H121" s="198"/>
      <c r="I121" s="475"/>
      <c r="J121" s="204"/>
      <c r="K121" s="204"/>
    </row>
    <row r="122" spans="1:11" s="167" customFormat="1" ht="15.5">
      <c r="A122" s="169" t="s">
        <v>85</v>
      </c>
      <c r="B122" s="170" t="s">
        <v>63</v>
      </c>
      <c r="C122" s="165"/>
      <c r="D122" s="165"/>
      <c r="E122" s="165"/>
      <c r="F122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'[55]Sch C'!D124</f>
        <v>94816.97</v>
      </c>
      <c r="D123" s="501">
        <f>'[55]Sch C'!F124</f>
        <v>53071</v>
      </c>
      <c r="E123" s="171">
        <f t="shared" ref="E123:E127" si="26">C123+D123</f>
        <v>147887.97</v>
      </c>
      <c r="F123" s="171"/>
      <c r="G123" s="171">
        <f>E123+F123</f>
        <v>147887.97</v>
      </c>
      <c r="H123" s="172">
        <f>IF($G$208=0,0,G123/$G$208)</f>
        <v>2.0345876811708498E-2</v>
      </c>
      <c r="I123" s="473"/>
      <c r="J123" s="183">
        <v>2134.04</v>
      </c>
      <c r="K123" s="183">
        <v>2238.04</v>
      </c>
    </row>
    <row r="124" spans="1:11" s="167" customFormat="1">
      <c r="B124" s="163" t="s">
        <v>194</v>
      </c>
      <c r="C124" s="501">
        <f>'[55]Sch C'!D125</f>
        <v>48075.73</v>
      </c>
      <c r="D124" s="501">
        <f>'[55]Sch C'!F125</f>
        <v>0</v>
      </c>
      <c r="E124" s="171">
        <f t="shared" si="26"/>
        <v>48075.73</v>
      </c>
      <c r="F124" s="171"/>
      <c r="G124" s="171">
        <f>E124+F124</f>
        <v>48075.73</v>
      </c>
      <c r="H124" s="172">
        <f>IF($G$208=0,0,G124/$G$208)</f>
        <v>6.6140801054538701E-3</v>
      </c>
      <c r="I124" s="473"/>
      <c r="J124" s="183">
        <v>1884.25</v>
      </c>
      <c r="K124" s="183">
        <v>1897.52</v>
      </c>
    </row>
    <row r="125" spans="1:11" s="167" customFormat="1">
      <c r="A125" s="163" t="s">
        <v>198</v>
      </c>
      <c r="B125" s="163" t="s">
        <v>195</v>
      </c>
      <c r="C125" s="501">
        <f>'[55]Sch C'!D126</f>
        <v>0</v>
      </c>
      <c r="D125" s="501">
        <f>'[55]Sch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'[55]Sch C'!D127</f>
        <v>0</v>
      </c>
      <c r="D126" s="501">
        <f>'[55]Sch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'[55]Sch C'!D128</f>
        <v>38847.839999999997</v>
      </c>
      <c r="D127" s="501">
        <f>'[55]Sch C'!F128</f>
        <v>0</v>
      </c>
      <c r="E127" s="171">
        <f t="shared" si="26"/>
        <v>38847.839999999997</v>
      </c>
      <c r="F127" s="171"/>
      <c r="G127" s="171">
        <f>E127+F127</f>
        <v>38847.839999999997</v>
      </c>
      <c r="H127" s="172">
        <f>IF($G$208=0,0,G127/$G$208)</f>
        <v>5.3445413243616898E-3</v>
      </c>
      <c r="I127" s="473"/>
      <c r="J127" s="183">
        <v>2365.9299999999998</v>
      </c>
      <c r="K127" s="183">
        <v>2464.1999999999998</v>
      </c>
    </row>
    <row r="128" spans="1:11" s="167" customFormat="1" ht="15.5">
      <c r="A128" s="169" t="s">
        <v>95</v>
      </c>
      <c r="B128" s="170" t="s">
        <v>152</v>
      </c>
      <c r="C128" s="505"/>
      <c r="D128" s="505"/>
      <c r="E128" s="205"/>
      <c r="F128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'[55]Sch C'!D130</f>
        <v>24395.460000000003</v>
      </c>
      <c r="D129" s="501">
        <f>'[55]Sch C'!F130</f>
        <v>0</v>
      </c>
      <c r="E129" s="171">
        <f t="shared" ref="E129:E133" si="27">C129+D129</f>
        <v>24395.460000000003</v>
      </c>
      <c r="F129" s="171"/>
      <c r="G129" s="171">
        <f>E129+F129</f>
        <v>24395.460000000003</v>
      </c>
      <c r="H129" s="172">
        <f>IF($G$208=0,0,G129/$G$208)</f>
        <v>3.3562366426759544E-3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'[55]Sch C'!D131</f>
        <v>12361.210000000001</v>
      </c>
      <c r="D130" s="501">
        <f>'[55]Sch C'!F131</f>
        <v>0</v>
      </c>
      <c r="E130" s="171">
        <f t="shared" si="27"/>
        <v>12361.210000000001</v>
      </c>
      <c r="F130" s="171"/>
      <c r="G130" s="171">
        <f>E130+F130</f>
        <v>12361.210000000001</v>
      </c>
      <c r="H130" s="172">
        <f>IF($G$208=0,0,G130/$G$208)</f>
        <v>1.7006092916391998E-3</v>
      </c>
      <c r="I130" s="473" t="s">
        <v>471</v>
      </c>
      <c r="J130" s="204"/>
      <c r="K130" s="204"/>
    </row>
    <row r="131" spans="1:11" s="167" customFormat="1">
      <c r="B131" s="163" t="s">
        <v>195</v>
      </c>
      <c r="C131" s="501">
        <f>'[55]Sch C'!D132</f>
        <v>0</v>
      </c>
      <c r="D131" s="501">
        <f>'[55]Sch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 t="s">
        <v>472</v>
      </c>
      <c r="J131" s="168"/>
      <c r="K131" s="168"/>
    </row>
    <row r="132" spans="1:11" s="167" customFormat="1">
      <c r="B132" s="163" t="s">
        <v>196</v>
      </c>
      <c r="C132" s="501">
        <f>'[55]Sch C'!D133</f>
        <v>0</v>
      </c>
      <c r="D132" s="501">
        <f>'[55]Sch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'[55]Sch C'!D134</f>
        <v>11306.21</v>
      </c>
      <c r="D133" s="501">
        <f>'[55]Sch C'!F134</f>
        <v>0</v>
      </c>
      <c r="E133" s="171">
        <f t="shared" si="27"/>
        <v>11306.21</v>
      </c>
      <c r="F133" s="171"/>
      <c r="G133" s="171">
        <f>E133+F133</f>
        <v>11306.21</v>
      </c>
      <c r="H133" s="172">
        <f>IF($G$208=0,0,G133/$G$208)</f>
        <v>1.5554663159370349E-3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'[55]Sch C'!D136</f>
        <v>607609.80999999994</v>
      </c>
      <c r="D135" s="501">
        <f>'[55]Sch C'!F136</f>
        <v>0</v>
      </c>
      <c r="E135" s="171">
        <f t="shared" ref="E135:E138" si="28">C135+D135</f>
        <v>607609.80999999994</v>
      </c>
      <c r="F135" s="171"/>
      <c r="G135" s="171">
        <f>E135+F135</f>
        <v>607609.80999999994</v>
      </c>
      <c r="H135" s="172">
        <f>IF($G$208=0,0,G135/$G$208)</f>
        <v>8.3592697525333576E-2</v>
      </c>
      <c r="I135" s="473"/>
      <c r="J135" s="183">
        <v>21570.54</v>
      </c>
      <c r="K135" s="183">
        <v>22337.53</v>
      </c>
    </row>
    <row r="136" spans="1:11" s="167" customFormat="1">
      <c r="A136" s="169"/>
      <c r="B136" s="163" t="s">
        <v>195</v>
      </c>
      <c r="C136" s="501">
        <f>'[55]Sch C'!D137</f>
        <v>247841.12</v>
      </c>
      <c r="D136" s="501">
        <f>'[55]Sch C'!F137</f>
        <v>0</v>
      </c>
      <c r="E136" s="171">
        <f t="shared" si="28"/>
        <v>247841.12</v>
      </c>
      <c r="F136" s="171"/>
      <c r="G136" s="171">
        <f>E136+F136</f>
        <v>247841.12</v>
      </c>
      <c r="H136" s="172">
        <f>IF($G$208=0,0,G136/$G$208)</f>
        <v>3.4097059391618285E-2</v>
      </c>
      <c r="I136" s="473"/>
      <c r="J136" s="183">
        <v>9941.9</v>
      </c>
      <c r="K136" s="183">
        <v>10550.4</v>
      </c>
    </row>
    <row r="137" spans="1:11" s="167" customFormat="1">
      <c r="A137" s="169"/>
      <c r="B137" s="163" t="s">
        <v>196</v>
      </c>
      <c r="C137" s="501">
        <f>'[55]Sch C'!D138</f>
        <v>643827</v>
      </c>
      <c r="D137" s="501">
        <f>'[55]Sch C'!F138</f>
        <v>0</v>
      </c>
      <c r="E137" s="171">
        <f t="shared" si="28"/>
        <v>643827</v>
      </c>
      <c r="F137" s="171"/>
      <c r="G137" s="171">
        <f>E137+F137</f>
        <v>643827</v>
      </c>
      <c r="H137" s="172">
        <f>IF($G$208=0,0,G137/$G$208)</f>
        <v>8.8575323807959822E-2</v>
      </c>
      <c r="I137" s="473"/>
      <c r="J137" s="183">
        <v>48847.06</v>
      </c>
      <c r="K137" s="183">
        <v>51178.12</v>
      </c>
    </row>
    <row r="138" spans="1:11" s="167" customFormat="1">
      <c r="A138" s="169"/>
      <c r="B138" s="163" t="s">
        <v>197</v>
      </c>
      <c r="C138" s="501">
        <f>'[55]Sch C'!D139</f>
        <v>144170.13</v>
      </c>
      <c r="D138" s="501">
        <f>'[55]Sch C'!F139</f>
        <v>0</v>
      </c>
      <c r="E138" s="171">
        <f t="shared" si="28"/>
        <v>144170.13</v>
      </c>
      <c r="F138" s="171"/>
      <c r="G138" s="171">
        <f>E138+F138</f>
        <v>144170.13</v>
      </c>
      <c r="H138" s="172">
        <f>IF($G$208=0,0,G138/$G$208)</f>
        <v>1.9834390213808464E-2</v>
      </c>
      <c r="I138" s="473"/>
      <c r="J138" s="183">
        <v>10294.36</v>
      </c>
      <c r="K138" s="183">
        <v>10820.36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'[55]Sch C'!D141</f>
        <v>156331.92000000001</v>
      </c>
      <c r="D140" s="501">
        <f>'[55]Sch C'!F141</f>
        <v>0</v>
      </c>
      <c r="E140" s="171">
        <f t="shared" ref="E140:E143" si="29">C140+D140</f>
        <v>156331.92000000001</v>
      </c>
      <c r="F140" s="171"/>
      <c r="G140" s="171">
        <f>E140+F140</f>
        <v>156331.92000000001</v>
      </c>
      <c r="H140" s="172">
        <f>IF($G$208=0,0,G140/$G$208)</f>
        <v>2.1507564043632951E-2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'[55]Sch C'!D142</f>
        <v>63767.040000000001</v>
      </c>
      <c r="D141" s="501">
        <f>'[55]Sch C'!F142</f>
        <v>0</v>
      </c>
      <c r="E141" s="171">
        <f t="shared" si="29"/>
        <v>63767.040000000001</v>
      </c>
      <c r="F141" s="171"/>
      <c r="G141" s="171">
        <f>E141+F141</f>
        <v>63767.040000000001</v>
      </c>
      <c r="H141" s="172">
        <f>IF($G$208=0,0,G141/$G$208)</f>
        <v>8.7728321680748504E-3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'[55]Sch C'!D143</f>
        <v>191735.95</v>
      </c>
      <c r="D142" s="501">
        <f>'[55]Sch C'!F143</f>
        <v>0</v>
      </c>
      <c r="E142" s="171">
        <f t="shared" si="29"/>
        <v>191735.95</v>
      </c>
      <c r="F142" s="171"/>
      <c r="G142" s="171">
        <f>E142+F142</f>
        <v>191735.95</v>
      </c>
      <c r="H142" s="172">
        <f>IF($G$208=0,0,G142/$G$208)</f>
        <v>2.6378318798181491E-2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'[55]Sch C'!D144</f>
        <v>11007.81</v>
      </c>
      <c r="D143" s="501">
        <f>'[55]Sch C'!F144</f>
        <v>0</v>
      </c>
      <c r="E143" s="171">
        <f t="shared" si="29"/>
        <v>11007.81</v>
      </c>
      <c r="F143" s="171"/>
      <c r="G143" s="171">
        <f>E143+F143</f>
        <v>11007.81</v>
      </c>
      <c r="H143" s="172">
        <f>IF($G$208=0,0,G143/$G$208)</f>
        <v>1.5144135538995695E-3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'[55]Sch C'!D146</f>
        <v>20584.919999999998</v>
      </c>
      <c r="D145" s="501">
        <f>'[55]Sch C'!F146</f>
        <v>0</v>
      </c>
      <c r="E145" s="171">
        <f t="shared" ref="E145:E153" si="30">C145+D145</f>
        <v>20584.919999999998</v>
      </c>
      <c r="F145" s="171"/>
      <c r="G145" s="171">
        <f t="shared" ref="G145:G153" si="31">E145+F145</f>
        <v>20584.919999999998</v>
      </c>
      <c r="H145" s="172">
        <f t="shared" ref="H145:H153" si="32">IF($G$208=0,0,G145/$G$208)</f>
        <v>2.8319967235933691E-3</v>
      </c>
      <c r="I145" s="473"/>
      <c r="J145" s="183" t="s">
        <v>380</v>
      </c>
      <c r="K145" s="183" t="s">
        <v>380</v>
      </c>
    </row>
    <row r="146" spans="1:11" s="167" customFormat="1">
      <c r="A146" s="169"/>
      <c r="B146" s="163" t="s">
        <v>194</v>
      </c>
      <c r="C146" s="501">
        <f>'[55]Sch C'!D147</f>
        <v>0</v>
      </c>
      <c r="D146" s="501">
        <f>'[55]Sch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'[55]Sch C'!D148</f>
        <v>0</v>
      </c>
      <c r="D147" s="501">
        <f>'[55]Sch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'[55]Sch C'!D149</f>
        <v>0</v>
      </c>
      <c r="D148" s="501">
        <f>'[55]Sch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'[55]Sch C'!D150</f>
        <v>7930.3</v>
      </c>
      <c r="D149" s="501">
        <f>'[55]Sch C'!F150</f>
        <v>0</v>
      </c>
      <c r="E149" s="171">
        <f t="shared" si="30"/>
        <v>7930.3</v>
      </c>
      <c r="F149" s="171"/>
      <c r="G149" s="171">
        <f t="shared" si="31"/>
        <v>7930.3</v>
      </c>
      <c r="H149" s="172">
        <f t="shared" si="32"/>
        <v>1.0910211755553337E-3</v>
      </c>
      <c r="I149" s="473"/>
      <c r="J149" s="183" t="s">
        <v>380</v>
      </c>
      <c r="K149" s="183" t="s">
        <v>380</v>
      </c>
    </row>
    <row r="150" spans="1:11" s="167" customFormat="1">
      <c r="A150" s="169">
        <v>110</v>
      </c>
      <c r="B150" s="167" t="s">
        <v>65</v>
      </c>
      <c r="C150" s="501">
        <f>'[55]Sch C'!D151</f>
        <v>96494.64</v>
      </c>
      <c r="D150" s="501">
        <f>'[55]Sch C'!F151</f>
        <v>0</v>
      </c>
      <c r="E150" s="171">
        <f t="shared" si="30"/>
        <v>96494.64</v>
      </c>
      <c r="F150" s="171"/>
      <c r="G150" s="171">
        <f t="shared" si="31"/>
        <v>96494.64</v>
      </c>
      <c r="H150" s="172">
        <f t="shared" si="32"/>
        <v>1.3275373638776429E-2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'[55]Sch C'!D152</f>
        <v>10133.15</v>
      </c>
      <c r="D151" s="501">
        <f>'[55]Sch C'!F152</f>
        <v>0</v>
      </c>
      <c r="E151" s="171">
        <f t="shared" si="30"/>
        <v>10133.15</v>
      </c>
      <c r="F151" s="171"/>
      <c r="G151" s="171">
        <f t="shared" si="31"/>
        <v>10133.15</v>
      </c>
      <c r="H151" s="172">
        <f t="shared" si="32"/>
        <v>1.3940810845842564E-3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'[55]Sch C'!D153</f>
        <v>0</v>
      </c>
      <c r="D152" s="501">
        <f>'[55]Sch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'[55]Sch C'!D154</f>
        <v>0</v>
      </c>
      <c r="D153" s="501">
        <f>'[55]Sch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'[55]Sch C'!D156</f>
        <v>0</v>
      </c>
      <c r="D155" s="501">
        <f>'[55]Sch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'[55]Sch C'!D157</f>
        <v>0</v>
      </c>
      <c r="D156" s="501">
        <f>'[55]Sch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'[55]Sch C'!D158</f>
        <v>0</v>
      </c>
      <c r="D157" s="501">
        <f>'[55]Sch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'[55]Sch C'!D159</f>
        <v>0</v>
      </c>
      <c r="D158" s="501">
        <f>'[55]Sch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'[55]Sch C'!D160</f>
        <v>0</v>
      </c>
      <c r="D159" s="501">
        <f>'[55]Sch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'[55]Sch C'!D161</f>
        <v>15318.22</v>
      </c>
      <c r="D160" s="501">
        <f>'[55]Sch C'!F161</f>
        <v>0</v>
      </c>
      <c r="E160" s="171">
        <f t="shared" si="33"/>
        <v>15318.22</v>
      </c>
      <c r="F160" s="171"/>
      <c r="G160" s="171">
        <f t="shared" si="34"/>
        <v>15318.22</v>
      </c>
      <c r="H160" s="172">
        <f t="shared" si="35"/>
        <v>2.107423728208923E-3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2446555.4300000002</v>
      </c>
      <c r="D161" s="501">
        <f>SUM(D123:D160)</f>
        <v>53071</v>
      </c>
      <c r="E161" s="171">
        <f t="shared" ref="E161:F161" si="36">SUM(E123:E160)</f>
        <v>2499626.4300000002</v>
      </c>
      <c r="F161" s="171">
        <f t="shared" si="36"/>
        <v>0</v>
      </c>
      <c r="G161" s="171">
        <f>SUM(G123:G160)</f>
        <v>2499626.4300000002</v>
      </c>
      <c r="H161" s="172">
        <f t="shared" si="35"/>
        <v>0.34388930634500359</v>
      </c>
      <c r="I161" s="473"/>
      <c r="J161" s="168"/>
      <c r="K161" s="168"/>
    </row>
    <row r="162" spans="1:15" s="167" customFormat="1" ht="15.5">
      <c r="A162" s="169"/>
      <c r="B162" s="170"/>
      <c r="C162" s="196"/>
      <c r="D162" s="196"/>
      <c r="E162" s="196"/>
      <c r="F162"/>
      <c r="G162" s="196"/>
      <c r="H162" s="197"/>
      <c r="I162" s="473"/>
      <c r="J162" s="168"/>
      <c r="K162" s="168"/>
    </row>
    <row r="163" spans="1:15" s="167" customFormat="1" ht="15.5">
      <c r="A163" s="169" t="s">
        <v>168</v>
      </c>
      <c r="B163" s="212" t="s">
        <v>100</v>
      </c>
      <c r="C163" s="213"/>
      <c r="D163" s="213"/>
      <c r="E163" s="213"/>
      <c r="F16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'[55]Sch C'!D175</f>
        <v>0</v>
      </c>
      <c r="D164" s="501">
        <f>'[55]Sch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'[55]Sch C'!D176</f>
        <v>0</v>
      </c>
      <c r="D165" s="501">
        <f>'[55]Sch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'[55]Sch C'!D177</f>
        <v>428679.01</v>
      </c>
      <c r="D166" s="501">
        <f>'[55]Sch C'!F177</f>
        <v>16334</v>
      </c>
      <c r="E166" s="171">
        <f t="shared" si="37"/>
        <v>445013.01</v>
      </c>
      <c r="F166" s="171"/>
      <c r="G166" s="171">
        <f t="shared" si="38"/>
        <v>445013.01</v>
      </c>
      <c r="H166" s="172">
        <f t="shared" si="39"/>
        <v>6.1223234594859899E-2</v>
      </c>
      <c r="I166" s="483"/>
      <c r="J166" s="183">
        <v>10154.549999999999</v>
      </c>
      <c r="K166" s="183">
        <v>10830.55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'[55]Sch C'!D178</f>
        <v>103768.42</v>
      </c>
      <c r="D167" s="501">
        <f>'[55]Sch C'!F178</f>
        <v>0</v>
      </c>
      <c r="E167" s="171">
        <f t="shared" si="37"/>
        <v>103768.42</v>
      </c>
      <c r="F167" s="171"/>
      <c r="G167" s="171">
        <f t="shared" si="38"/>
        <v>103768.42</v>
      </c>
      <c r="H167" s="172">
        <f t="shared" si="39"/>
        <v>1.4276073234798127E-2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'[55]Sch C'!D179</f>
        <v>85241.34</v>
      </c>
      <c r="D168" s="501">
        <f>'[55]Sch C'!F179</f>
        <v>0</v>
      </c>
      <c r="E168" s="171">
        <f t="shared" si="37"/>
        <v>85241.34</v>
      </c>
      <c r="F168" s="171"/>
      <c r="G168" s="171">
        <f t="shared" si="38"/>
        <v>85241.34</v>
      </c>
      <c r="H168" s="172">
        <f t="shared" si="39"/>
        <v>1.1727186483829349E-2</v>
      </c>
      <c r="I168" s="483"/>
      <c r="J168" s="183">
        <v>1969.01</v>
      </c>
      <c r="K168" s="183">
        <v>2089.0100000000002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'[55]Sch C'!D180</f>
        <v>19729.310000000001</v>
      </c>
      <c r="D169" s="501">
        <f>'[55]Sch C'!F180</f>
        <v>0</v>
      </c>
      <c r="E169" s="171">
        <f t="shared" si="37"/>
        <v>19729.310000000001</v>
      </c>
      <c r="F169" s="171"/>
      <c r="G169" s="171">
        <f t="shared" si="38"/>
        <v>19729.310000000001</v>
      </c>
      <c r="H169" s="172">
        <f t="shared" si="39"/>
        <v>2.7142850824175128E-3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'[55]Sch C'!D181</f>
        <v>0</v>
      </c>
      <c r="D170" s="501">
        <f>'[55]Sch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'[55]Sch C'!D182</f>
        <v>0</v>
      </c>
      <c r="D171" s="501">
        <f>'[55]Sch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'[55]Sch C'!D183</f>
        <v>268859.49</v>
      </c>
      <c r="D172" s="501">
        <f>'[55]Sch C'!F183</f>
        <v>0</v>
      </c>
      <c r="E172" s="171">
        <f t="shared" si="37"/>
        <v>268859.49</v>
      </c>
      <c r="F172" s="171"/>
      <c r="G172" s="171">
        <f t="shared" si="38"/>
        <v>268859.49</v>
      </c>
      <c r="H172" s="172">
        <f t="shared" si="39"/>
        <v>3.6988688553901798E-2</v>
      </c>
      <c r="I172" s="483"/>
      <c r="J172" s="183">
        <v>7647.07</v>
      </c>
      <c r="K172" s="183">
        <v>8295.3700000000008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'[55]Sch C'!D184</f>
        <v>77110.97</v>
      </c>
      <c r="D173" s="501">
        <f>'[55]Sch C'!F184</f>
        <v>0</v>
      </c>
      <c r="E173" s="171">
        <f t="shared" si="37"/>
        <v>77110.97</v>
      </c>
      <c r="F173" s="171"/>
      <c r="G173" s="171">
        <f t="shared" si="38"/>
        <v>77110.97</v>
      </c>
      <c r="H173" s="172">
        <f t="shared" si="39"/>
        <v>1.0608640421877112E-2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'[55]Sch C'!D185</f>
        <v>0</v>
      </c>
      <c r="D174" s="501">
        <f>'[55]Sch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'[55]Sch C'!D186</f>
        <v>0</v>
      </c>
      <c r="D175" s="501">
        <f>'[55]Sch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'[55]Sch C'!D187</f>
        <v>0</v>
      </c>
      <c r="D176" s="501">
        <f>'[55]Sch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'[55]Sch C'!D188</f>
        <v>0</v>
      </c>
      <c r="D177" s="501">
        <f>'[55]Sch C'!F188</f>
        <v>0</v>
      </c>
      <c r="E177" s="171">
        <f t="shared" si="37"/>
        <v>0</v>
      </c>
      <c r="F177" s="171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'[55]Sch C'!D189</f>
        <v>808.79</v>
      </c>
      <c r="D178" s="501">
        <f>'[55]Sch C'!F189</f>
        <v>0</v>
      </c>
      <c r="E178" s="171">
        <f t="shared" si="37"/>
        <v>808.79</v>
      </c>
      <c r="F178" s="171"/>
      <c r="G178" s="171">
        <f t="shared" si="38"/>
        <v>808.79</v>
      </c>
      <c r="H178" s="172">
        <f t="shared" si="39"/>
        <v>1.1127031973284721E-4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'[55]Sch C'!D190</f>
        <v>0</v>
      </c>
      <c r="D179" s="501">
        <f>'[55]Sch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'[55]Sch C'!D191</f>
        <v>0</v>
      </c>
      <c r="D180" s="501">
        <f>'[55]Sch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'[55]Sch C'!D192</f>
        <v>56352.89</v>
      </c>
      <c r="D181" s="501">
        <f>'[55]Sch C'!F192</f>
        <v>0</v>
      </c>
      <c r="E181" s="171">
        <f t="shared" si="37"/>
        <v>56352.89</v>
      </c>
      <c r="F181" s="171"/>
      <c r="G181" s="171">
        <f t="shared" si="38"/>
        <v>56352.89</v>
      </c>
      <c r="H181" s="172">
        <f t="shared" si="39"/>
        <v>7.7528209895893476E-3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'[55]Sch C'!D193</f>
        <v>0</v>
      </c>
      <c r="D182" s="501">
        <f>'[55]Sch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'[55]Sch C'!D194</f>
        <v>0</v>
      </c>
      <c r="D183" s="501">
        <f>'[55]Sch C'!F194</f>
        <v>0</v>
      </c>
      <c r="E183" s="171">
        <f t="shared" si="37"/>
        <v>0</v>
      </c>
      <c r="F183" s="171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'[55]Sch C'!D195</f>
        <v>0</v>
      </c>
      <c r="D184" s="501">
        <f>'[55]Sch C'!F195</f>
        <v>0</v>
      </c>
      <c r="E184" s="171">
        <f t="shared" si="37"/>
        <v>0</v>
      </c>
      <c r="F184" s="171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'[55]Sch C'!D196</f>
        <v>0</v>
      </c>
      <c r="D185" s="501">
        <f>'[55]Sch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'[55]Sch C'!D197</f>
        <v>0</v>
      </c>
      <c r="D186" s="501">
        <f>'[55]Sch C'!F197</f>
        <v>0</v>
      </c>
      <c r="E186" s="171">
        <f t="shared" si="37"/>
        <v>0</v>
      </c>
      <c r="F186" s="171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'[55]Sch C'!D198</f>
        <v>0</v>
      </c>
      <c r="D187" s="501">
        <f>'[55]Sch C'!F198</f>
        <v>0</v>
      </c>
      <c r="E187" s="171">
        <f t="shared" si="37"/>
        <v>0</v>
      </c>
      <c r="F187" s="171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'[55]Sch C'!D199</f>
        <v>0</v>
      </c>
      <c r="D188" s="501">
        <f>'[55]Sch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'[55]Sch C'!D200</f>
        <v>0</v>
      </c>
      <c r="D189" s="501">
        <f>'[55]Sch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'[55]Sch C'!D201</f>
        <v>0</v>
      </c>
      <c r="D190" s="501">
        <f>'[55]Sch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'[55]Sch C'!D202</f>
        <v>0</v>
      </c>
      <c r="D191" s="501">
        <f>'[55]Sch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'[55]Sch C'!D203</f>
        <v>2088.25</v>
      </c>
      <c r="D192" s="501">
        <f>'[55]Sch C'!F203</f>
        <v>0</v>
      </c>
      <c r="E192" s="171">
        <f t="shared" si="37"/>
        <v>2088.25</v>
      </c>
      <c r="F192" s="171"/>
      <c r="G192" s="171">
        <f t="shared" si="38"/>
        <v>2088.25</v>
      </c>
      <c r="H192" s="172">
        <f t="shared" si="39"/>
        <v>2.8729366730809999E-4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'[55]Sch C'!D204</f>
        <v>0</v>
      </c>
      <c r="D193" s="501">
        <f>'[55]Sch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'[55]Sch C'!D205</f>
        <v>286502.71000000002</v>
      </c>
      <c r="D194" s="501">
        <f>'[55]Sch C'!F205</f>
        <v>0</v>
      </c>
      <c r="E194" s="171">
        <f t="shared" si="37"/>
        <v>286502.71000000002</v>
      </c>
      <c r="F194" s="171"/>
      <c r="G194" s="171">
        <f t="shared" si="38"/>
        <v>286502.71000000002</v>
      </c>
      <c r="H194" s="172">
        <f t="shared" si="39"/>
        <v>3.9415977133776633E-2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'[55]Sch C'!D206</f>
        <v>17146.169999999998</v>
      </c>
      <c r="D195" s="501">
        <f>'[55]Sch C'!F206</f>
        <v>0</v>
      </c>
      <c r="E195" s="171">
        <f t="shared" si="37"/>
        <v>17146.169999999998</v>
      </c>
      <c r="F195" s="171"/>
      <c r="G195" s="171">
        <f t="shared" si="38"/>
        <v>17146.169999999998</v>
      </c>
      <c r="H195" s="172">
        <f t="shared" si="39"/>
        <v>2.3589062897584698E-3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'[55]Sch C'!D207</f>
        <v>16155.75</v>
      </c>
      <c r="D196" s="501">
        <f>'[55]Sch C'!F207</f>
        <v>0</v>
      </c>
      <c r="E196" s="171">
        <f t="shared" si="37"/>
        <v>16155.75</v>
      </c>
      <c r="F196" s="171"/>
      <c r="G196" s="171">
        <f t="shared" si="38"/>
        <v>16155.75</v>
      </c>
      <c r="H196" s="172">
        <f t="shared" si="39"/>
        <v>2.2226479902372016E-3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1362443.1</v>
      </c>
      <c r="D197" s="501">
        <f>SUM(D164:D196)</f>
        <v>16334</v>
      </c>
      <c r="E197" s="171">
        <f t="shared" ref="E197:F197" si="40">SUM(E164:E196)</f>
        <v>1378777.0999999999</v>
      </c>
      <c r="F197" s="171">
        <f t="shared" si="40"/>
        <v>0</v>
      </c>
      <c r="G197" s="171">
        <f>SUM(G164:G196)</f>
        <v>1378777.0999999999</v>
      </c>
      <c r="H197" s="172">
        <f>IF($G$208=0,0,G197/$G$208)</f>
        <v>0.18968702476208638</v>
      </c>
      <c r="I197" s="473"/>
      <c r="J197" s="168"/>
      <c r="K197" s="168"/>
    </row>
    <row r="198" spans="1:14" s="167" customFormat="1" ht="15.5">
      <c r="A198" s="163"/>
      <c r="C198" s="165"/>
      <c r="D198" s="165"/>
      <c r="E198" s="165"/>
      <c r="F198"/>
      <c r="G198" s="165"/>
      <c r="H198" s="198"/>
      <c r="I198" s="475"/>
      <c r="J198" s="168"/>
      <c r="K198" s="168"/>
    </row>
    <row r="199" spans="1:14" s="167" customFormat="1" ht="15.5">
      <c r="A199" s="169" t="s">
        <v>169</v>
      </c>
      <c r="B199" s="170" t="s">
        <v>68</v>
      </c>
      <c r="C199" s="165"/>
      <c r="D199" s="165"/>
      <c r="E199" s="165"/>
      <c r="F199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'[55]Sch C'!D211</f>
        <v>103863.95</v>
      </c>
      <c r="D200" s="501">
        <f>'[55]Sch C'!F211</f>
        <v>0</v>
      </c>
      <c r="E200" s="171">
        <f t="shared" ref="E200:E205" si="41">C200+D200</f>
        <v>103863.95</v>
      </c>
      <c r="F200" s="171"/>
      <c r="G200" s="171">
        <f t="shared" ref="G200:G205" si="42">E200+F200</f>
        <v>103863.95</v>
      </c>
      <c r="H200" s="172">
        <f t="shared" ref="H200:H206" si="43">IF($G$208=0,0,G200/$G$208)</f>
        <v>1.4289215896853889E-2</v>
      </c>
      <c r="I200" s="473"/>
      <c r="J200" s="183">
        <v>7254.18</v>
      </c>
      <c r="K200" s="183">
        <v>7560.18</v>
      </c>
    </row>
    <row r="201" spans="1:14" s="167" customFormat="1">
      <c r="A201" s="169" t="s">
        <v>86</v>
      </c>
      <c r="B201" s="170" t="s">
        <v>45</v>
      </c>
      <c r="C201" s="501">
        <f>'[55]Sch C'!D212</f>
        <v>18739.63</v>
      </c>
      <c r="D201" s="501">
        <f>'[55]Sch C'!F212</f>
        <v>0</v>
      </c>
      <c r="E201" s="171">
        <f t="shared" si="41"/>
        <v>18739.63</v>
      </c>
      <c r="F201" s="171"/>
      <c r="G201" s="171">
        <f t="shared" si="42"/>
        <v>18739.63</v>
      </c>
      <c r="H201" s="172">
        <f t="shared" si="43"/>
        <v>2.5781285893436562E-3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'[55]Sch C'!D213</f>
        <v>11789.65</v>
      </c>
      <c r="D202" s="501">
        <f>'[55]Sch C'!F213</f>
        <v>0</v>
      </c>
      <c r="E202" s="171">
        <f t="shared" si="41"/>
        <v>11789.65</v>
      </c>
      <c r="F202" s="171"/>
      <c r="G202" s="171">
        <f t="shared" si="42"/>
        <v>11789.65</v>
      </c>
      <c r="H202" s="172">
        <f t="shared" si="43"/>
        <v>1.6219761928786981E-3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'[55]Sch C'!D214</f>
        <v>0</v>
      </c>
      <c r="D203" s="501">
        <f>'[55]Sch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'[55]Sch C'!D215</f>
        <v>0</v>
      </c>
      <c r="D204" s="501">
        <f>'[55]Sch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'[55]Sch C'!D216</f>
        <v>5905.8</v>
      </c>
      <c r="D205" s="501">
        <f>'[55]Sch C'!F216</f>
        <v>0</v>
      </c>
      <c r="E205" s="171">
        <f t="shared" si="41"/>
        <v>5905.8</v>
      </c>
      <c r="F205" s="171"/>
      <c r="G205" s="171">
        <f t="shared" si="42"/>
        <v>5905.8</v>
      </c>
      <c r="H205" s="172">
        <f t="shared" si="43"/>
        <v>8.1249799611549242E-4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140299.03</v>
      </c>
      <c r="D206" s="501">
        <f>SUM(D200:D205)</f>
        <v>0</v>
      </c>
      <c r="E206" s="171">
        <f t="shared" ref="E206:F206" si="44">SUM(E200:E205)</f>
        <v>140299.03</v>
      </c>
      <c r="F206" s="171">
        <f t="shared" si="44"/>
        <v>0</v>
      </c>
      <c r="G206" s="171">
        <f>SUM(G200:G205)</f>
        <v>140299.03</v>
      </c>
      <c r="H206" s="172">
        <f t="shared" si="43"/>
        <v>1.9301818675191734E-2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413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8306927.3000000007</v>
      </c>
      <c r="D208" s="501">
        <f>SUM(D25:D206)/2</f>
        <v>-1038232.45</v>
      </c>
      <c r="E208" s="171">
        <f t="shared" ref="E208:F208" si="45">SUM(E25:E206)/2</f>
        <v>7268694.8500000006</v>
      </c>
      <c r="F208" s="171">
        <f t="shared" si="45"/>
        <v>0</v>
      </c>
      <c r="G208" s="171">
        <f>SUM(G25:G206)/2</f>
        <v>7268694.8500000006</v>
      </c>
      <c r="H208" s="172">
        <f>IF($G$208=0,0,G208/$G$208)</f>
        <v>1</v>
      </c>
      <c r="I208" s="473"/>
      <c r="J208" s="183">
        <f>SUM(J25:J200)</f>
        <v>171887.74</v>
      </c>
      <c r="K208" s="183">
        <f>SUM(K25:K200)</f>
        <v>180533.75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 t="s">
        <v>198</v>
      </c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'[55]Sch C'!D221</f>
        <v>8306927.2999999998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 ht="15.5">
      <c r="A213" s="163"/>
      <c r="B213" s="230"/>
      <c r="C213" s="581"/>
      <c r="D213" s="231"/>
      <c r="E213" s="231"/>
      <c r="F213"/>
      <c r="G213" s="231"/>
      <c r="H213" s="166"/>
      <c r="I213" s="478"/>
      <c r="J213" s="168"/>
      <c r="K213" s="168"/>
    </row>
    <row r="214" spans="1:11" s="167" customFormat="1" ht="15.5">
      <c r="A214" s="169"/>
      <c r="B214" s="228"/>
      <c r="C214" s="165"/>
      <c r="D214" s="165"/>
      <c r="E214" s="165"/>
      <c r="F214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-155783.30000000075</v>
      </c>
      <c r="D215" s="501">
        <f>D21-D208</f>
        <v>1037854.45</v>
      </c>
      <c r="E215" s="171">
        <f t="shared" ref="E215:F215" si="46">E21-E208</f>
        <v>882071.14999999944</v>
      </c>
      <c r="F215" s="171">
        <f t="shared" si="46"/>
        <v>375615</v>
      </c>
      <c r="G215" s="171">
        <f>G21-G208</f>
        <v>1257686.1499999994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383"/>
      <c r="G216" s="196"/>
      <c r="I216" s="475"/>
      <c r="J216" s="168"/>
      <c r="K216" s="168"/>
    </row>
    <row r="217" spans="1:11" s="167" customFormat="1" ht="15.5">
      <c r="A217" s="163"/>
      <c r="B217" s="228"/>
      <c r="C217" s="196"/>
      <c r="D217" s="196"/>
      <c r="E217" s="196"/>
      <c r="F217"/>
      <c r="G217" s="196"/>
      <c r="I217" s="475"/>
      <c r="J217" s="168"/>
      <c r="K217" s="168"/>
    </row>
    <row r="218" spans="1:11" ht="15.5">
      <c r="A218" s="163"/>
      <c r="B218" s="232" t="s">
        <v>159</v>
      </c>
      <c r="C218" s="165"/>
      <c r="D218" s="165"/>
      <c r="E218" s="165"/>
      <c r="F218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'[55]Sch D'!C9</f>
        <v>10369</v>
      </c>
      <c r="D219" s="530"/>
      <c r="E219" s="234">
        <f t="shared" ref="E219:G227" si="47">C219+D219</f>
        <v>10369</v>
      </c>
      <c r="F219" s="234"/>
      <c r="G219" s="234">
        <f t="shared" si="47"/>
        <v>10369</v>
      </c>
      <c r="H219" s="172">
        <f t="shared" ref="H219:H228" si="48">IF($G$228=0,0,G219/$G$228)</f>
        <v>0.42919822840349353</v>
      </c>
      <c r="I219" s="473"/>
      <c r="J219" s="168"/>
      <c r="K219" s="168"/>
    </row>
    <row r="220" spans="1:11">
      <c r="A220" s="163"/>
      <c r="B220" s="170" t="s">
        <v>217</v>
      </c>
      <c r="C220" s="530">
        <f>'[55]Sch D'!D9</f>
        <v>0</v>
      </c>
      <c r="D220" s="530"/>
      <c r="E220" s="234">
        <f t="shared" ref="E220:E227" si="49">C220+D220</f>
        <v>0</v>
      </c>
      <c r="F220" s="234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'[55]Sch D'!E9</f>
        <v>6427</v>
      </c>
      <c r="D221" s="530"/>
      <c r="E221" s="234">
        <f t="shared" si="49"/>
        <v>6427</v>
      </c>
      <c r="F221" s="234"/>
      <c r="G221" s="234">
        <f t="shared" si="47"/>
        <v>6427</v>
      </c>
      <c r="H221" s="172">
        <f t="shared" si="48"/>
        <v>0.26602922306386856</v>
      </c>
      <c r="I221" s="473"/>
      <c r="J221" s="168"/>
      <c r="K221" s="168"/>
    </row>
    <row r="222" spans="1:11">
      <c r="A222" s="163"/>
      <c r="B222" s="202" t="s">
        <v>334</v>
      </c>
      <c r="C222" s="530">
        <f>'[55]Sch D'!F9</f>
        <v>2161</v>
      </c>
      <c r="D222" s="530"/>
      <c r="E222" s="234">
        <f>C222+D222</f>
        <v>2161</v>
      </c>
      <c r="F222" s="234"/>
      <c r="G222" s="234">
        <f>E222+F222</f>
        <v>2161</v>
      </c>
      <c r="H222" s="172">
        <f t="shared" si="48"/>
        <v>8.9449066600438762E-2</v>
      </c>
      <c r="I222" s="473"/>
      <c r="J222" s="168"/>
      <c r="K222" s="168"/>
    </row>
    <row r="223" spans="1:11">
      <c r="A223" s="163"/>
      <c r="B223" s="170" t="s">
        <v>73</v>
      </c>
      <c r="C223" s="530">
        <f>'[55]Sch D'!G9</f>
        <v>0</v>
      </c>
      <c r="D223" s="530"/>
      <c r="E223" s="234">
        <f t="shared" si="49"/>
        <v>0</v>
      </c>
      <c r="F223" s="234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'[55]Sch D'!H9</f>
        <v>3849</v>
      </c>
      <c r="D224" s="530"/>
      <c r="E224" s="234">
        <f t="shared" si="49"/>
        <v>3849</v>
      </c>
      <c r="F224" s="234"/>
      <c r="G224" s="234">
        <f t="shared" si="47"/>
        <v>3849</v>
      </c>
      <c r="H224" s="172">
        <f t="shared" si="48"/>
        <v>0.15931950825779212</v>
      </c>
      <c r="I224" s="473"/>
      <c r="J224" s="168"/>
      <c r="K224" s="168"/>
    </row>
    <row r="225" spans="1:11">
      <c r="A225" s="163"/>
      <c r="B225" s="170" t="s">
        <v>236</v>
      </c>
      <c r="C225" s="530">
        <f>'[55]Sch D'!I9</f>
        <v>1264</v>
      </c>
      <c r="D225" s="530"/>
      <c r="E225" s="234">
        <f t="shared" si="49"/>
        <v>1264</v>
      </c>
      <c r="F225" s="234"/>
      <c r="G225" s="234">
        <f t="shared" si="47"/>
        <v>1264</v>
      </c>
      <c r="H225" s="172">
        <f t="shared" si="48"/>
        <v>5.2320046359534751E-2</v>
      </c>
      <c r="I225" s="473"/>
      <c r="J225" s="168"/>
      <c r="K225" s="168"/>
    </row>
    <row r="226" spans="1:11">
      <c r="A226" s="163"/>
      <c r="B226" s="170" t="s">
        <v>235</v>
      </c>
      <c r="C226" s="530">
        <f>'[55]Sch D'!J9</f>
        <v>89</v>
      </c>
      <c r="D226" s="530"/>
      <c r="E226" s="234">
        <f>C226+D226</f>
        <v>89</v>
      </c>
      <c r="F226" s="234"/>
      <c r="G226" s="234">
        <f>E226+F226</f>
        <v>89</v>
      </c>
      <c r="H226" s="172">
        <f t="shared" si="48"/>
        <v>3.6839273148723045E-3</v>
      </c>
      <c r="I226" s="473"/>
      <c r="J226" s="168"/>
      <c r="K226" s="168"/>
    </row>
    <row r="227" spans="1:11">
      <c r="A227" s="163"/>
      <c r="B227" s="170" t="s">
        <v>179</v>
      </c>
      <c r="C227" s="530">
        <f>'[55]Sch D'!K9</f>
        <v>0</v>
      </c>
      <c r="D227" s="530"/>
      <c r="E227" s="234">
        <f t="shared" si="49"/>
        <v>0</v>
      </c>
      <c r="F227" s="234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24159</v>
      </c>
      <c r="D228" s="530">
        <f>SUM(D219:D227)</f>
        <v>0</v>
      </c>
      <c r="E228" s="236">
        <f>SUM(E219:E227)</f>
        <v>24159</v>
      </c>
      <c r="F228" s="236">
        <f>SUM(F219:F227)</f>
        <v>0</v>
      </c>
      <c r="G228" s="236">
        <f>SUM(G219:G227)</f>
        <v>24159</v>
      </c>
      <c r="H228" s="172">
        <f t="shared" si="48"/>
        <v>1</v>
      </c>
      <c r="I228" s="473"/>
      <c r="J228" s="168"/>
      <c r="K228" s="168"/>
    </row>
    <row r="229" spans="1:11" ht="16" thickTop="1">
      <c r="A229" s="163"/>
      <c r="B229" s="167"/>
      <c r="C229" s="582"/>
      <c r="D229" s="237"/>
      <c r="E229" s="231"/>
      <c r="F229"/>
      <c r="G229" s="231"/>
      <c r="H229" s="167"/>
      <c r="I229" s="475"/>
      <c r="J229" s="168"/>
      <c r="K229" s="168"/>
    </row>
    <row r="230" spans="1:11" ht="15.5">
      <c r="A230" s="163"/>
      <c r="B230" s="232" t="s">
        <v>160</v>
      </c>
      <c r="C230" s="581"/>
      <c r="D230" s="231"/>
      <c r="E230" s="231"/>
      <c r="F230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'[55]Sch D'!N22</f>
        <v>124</v>
      </c>
      <c r="D231" s="502"/>
      <c r="E231" s="234">
        <f>C231+D231</f>
        <v>124</v>
      </c>
      <c r="F231" s="234"/>
      <c r="G231" s="234">
        <f>E231</f>
        <v>124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'[55]Sch D'!N24</f>
        <v>124</v>
      </c>
      <c r="D232" s="502"/>
      <c r="E232" s="234">
        <f>C232+D232</f>
        <v>124</v>
      </c>
      <c r="F232" s="234"/>
      <c r="G232" s="234">
        <f>E232</f>
        <v>124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4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40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'[55]Sch D'!N28</f>
        <v>45260</v>
      </c>
      <c r="D235" s="438"/>
      <c r="E235" s="233">
        <f>E231*E233</f>
        <v>45260</v>
      </c>
      <c r="F235" s="233"/>
      <c r="G235" s="233">
        <f>G231*G233</f>
        <v>45260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'[55]Sch D'!N30</f>
        <v>0.53378258948298718</v>
      </c>
      <c r="D236" s="238"/>
      <c r="E236" s="242">
        <f>E228/E235</f>
        <v>0.53378258948298718</v>
      </c>
      <c r="F236" s="553"/>
      <c r="G236" s="242">
        <f>G228/G235</f>
        <v>0.53378258948298718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'[55]Sch D'!N32</f>
        <v>0.22909854175872735</v>
      </c>
      <c r="D237" s="238"/>
      <c r="E237" s="242">
        <f>(E219+E220)/E235</f>
        <v>0.22909854175872735</v>
      </c>
      <c r="F237" s="554"/>
      <c r="G237" s="242">
        <f>(G219+G220)/G235</f>
        <v>0.22909854175872735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'[55]Sch D'!N34</f>
        <v>0.42919822840349353</v>
      </c>
      <c r="D238" s="238"/>
      <c r="E238" s="242">
        <f>(E237/E236)</f>
        <v>0.42919822840349353</v>
      </c>
      <c r="F238" s="554"/>
      <c r="G238" s="242">
        <f>(G237/G236)</f>
        <v>0.42919822840349353</v>
      </c>
      <c r="H238" s="167"/>
      <c r="I238" s="475"/>
      <c r="J238" s="168"/>
      <c r="K238" s="168"/>
    </row>
    <row r="239" spans="1:11">
      <c r="F239" s="140"/>
      <c r="I239" s="475"/>
    </row>
    <row r="240" spans="1:11">
      <c r="F240" s="140"/>
      <c r="I240" s="475"/>
    </row>
    <row r="241" spans="2:9">
      <c r="B241" s="148" t="s">
        <v>339</v>
      </c>
      <c r="F241" s="374" t="s">
        <v>340</v>
      </c>
      <c r="G241" s="501">
        <f>'[55]Sch B'!C85</f>
        <v>160.37865612648221</v>
      </c>
      <c r="I241" s="475"/>
    </row>
    <row r="242" spans="2:9">
      <c r="F242" s="374" t="s">
        <v>341</v>
      </c>
      <c r="G242" s="501">
        <f>'[55]Sch B'!E85</f>
        <v>170.73754152823921</v>
      </c>
      <c r="I242" s="475"/>
    </row>
    <row r="243" spans="2:9">
      <c r="F243" s="374" t="s">
        <v>342</v>
      </c>
      <c r="G243" s="501">
        <f>'[55]Sch B'!G85</f>
        <v>163.75822784810126</v>
      </c>
      <c r="I243" s="475"/>
    </row>
    <row r="244" spans="2:9">
      <c r="F244" s="374" t="s">
        <v>343</v>
      </c>
      <c r="G244" s="501">
        <f>'[55]Sch B'!I85</f>
        <v>164.96610169491527</v>
      </c>
      <c r="I244" s="475"/>
    </row>
    <row r="245" spans="2:9">
      <c r="F245" s="374"/>
      <c r="I245" s="475"/>
    </row>
    <row r="246" spans="2:9">
      <c r="I246" s="475"/>
    </row>
  </sheetData>
  <phoneticPr fontId="0" type="noConversion"/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>
    <tabColor rgb="FFE28CAB"/>
  </sheetPr>
  <dimension ref="A1:O246"/>
  <sheetViews>
    <sheetView showGridLines="0" topLeftCell="A30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354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'[56]Sch B'!E10</f>
        <v>2010397</v>
      </c>
      <c r="D11" s="501">
        <f>'[56]Sch B'!G10</f>
        <v>0</v>
      </c>
      <c r="E11" s="171">
        <f>C11+D11</f>
        <v>2010397</v>
      </c>
      <c r="F11" s="171"/>
      <c r="G11" s="171">
        <f t="shared" ref="G11:G20" si="0">E11+F11</f>
        <v>2010397</v>
      </c>
      <c r="H11" s="172">
        <f t="shared" ref="H11:H21" si="1">IF($G$21=0,0,G11/$G$21)</f>
        <v>0.52303678147701915</v>
      </c>
      <c r="I11" s="473"/>
      <c r="J11" s="336" t="s">
        <v>344</v>
      </c>
      <c r="K11" s="337">
        <f>G21</f>
        <v>3843701</v>
      </c>
    </row>
    <row r="12" spans="1:11" s="167" customFormat="1">
      <c r="A12" s="169" t="s">
        <v>15</v>
      </c>
      <c r="B12" s="170" t="s">
        <v>212</v>
      </c>
      <c r="C12" s="501">
        <f>'[56]Sch B'!E15</f>
        <v>0</v>
      </c>
      <c r="D12" s="501">
        <f>'[56]Sch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3786021</v>
      </c>
    </row>
    <row r="13" spans="1:11" s="167" customFormat="1">
      <c r="A13" s="169" t="s">
        <v>16</v>
      </c>
      <c r="B13" s="170" t="s">
        <v>170</v>
      </c>
      <c r="C13" s="501">
        <f>'[56]Sch B'!E21</f>
        <v>844353</v>
      </c>
      <c r="D13" s="501">
        <f>'[56]Sch B'!G21</f>
        <v>0</v>
      </c>
      <c r="E13" s="171">
        <f t="shared" si="2"/>
        <v>844353</v>
      </c>
      <c r="F13" s="171"/>
      <c r="G13" s="171">
        <f t="shared" si="0"/>
        <v>844353</v>
      </c>
      <c r="H13" s="172">
        <f t="shared" si="1"/>
        <v>0.21967187354063181</v>
      </c>
      <c r="I13" s="473"/>
      <c r="J13" s="338" t="s">
        <v>346</v>
      </c>
      <c r="K13" s="339">
        <f>G228</f>
        <v>16350</v>
      </c>
    </row>
    <row r="14" spans="1:11" s="167" customFormat="1">
      <c r="A14" s="173" t="s">
        <v>18</v>
      </c>
      <c r="B14" s="174" t="s">
        <v>306</v>
      </c>
      <c r="C14" s="501">
        <f>'[56]Sch B'!E27</f>
        <v>45116</v>
      </c>
      <c r="D14" s="501">
        <f>'[56]Sch B'!G27</f>
        <v>0</v>
      </c>
      <c r="E14" s="171">
        <f t="shared" si="2"/>
        <v>45116</v>
      </c>
      <c r="F14" s="175"/>
      <c r="G14" s="175">
        <f>E14+F14</f>
        <v>45116</v>
      </c>
      <c r="H14" s="176">
        <f t="shared" si="1"/>
        <v>1.1737645566083314E-2</v>
      </c>
      <c r="I14" s="479"/>
      <c r="J14" s="338" t="s">
        <v>347</v>
      </c>
      <c r="K14" s="339">
        <f>G231</f>
        <v>98</v>
      </c>
    </row>
    <row r="15" spans="1:11" s="167" customFormat="1">
      <c r="A15" s="169" t="s">
        <v>19</v>
      </c>
      <c r="B15" s="170" t="s">
        <v>171</v>
      </c>
      <c r="C15" s="501">
        <f>'[56]Sch B'!E32</f>
        <v>0</v>
      </c>
      <c r="D15" s="501">
        <f>'[56]Sch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35770</v>
      </c>
    </row>
    <row r="16" spans="1:11" s="167" customFormat="1">
      <c r="A16" s="169" t="s">
        <v>21</v>
      </c>
      <c r="B16" s="170" t="s">
        <v>172</v>
      </c>
      <c r="C16" s="501">
        <f>'[56]Sch B'!E37</f>
        <v>694927</v>
      </c>
      <c r="D16" s="501">
        <f>'[56]Sch B'!G37</f>
        <v>0</v>
      </c>
      <c r="E16" s="171">
        <f t="shared" si="2"/>
        <v>694927</v>
      </c>
      <c r="F16" s="171"/>
      <c r="G16" s="171">
        <f t="shared" si="0"/>
        <v>694927</v>
      </c>
      <c r="H16" s="172">
        <f t="shared" si="1"/>
        <v>0.18079632104578375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'[56]Sch B'!E42</f>
        <v>163555</v>
      </c>
      <c r="D17" s="501">
        <f>'[56]Sch B'!G42</f>
        <v>0</v>
      </c>
      <c r="E17" s="171">
        <f t="shared" si="2"/>
        <v>163555</v>
      </c>
      <c r="F17" s="171"/>
      <c r="G17" s="171">
        <f>E17+F17</f>
        <v>163555</v>
      </c>
      <c r="H17" s="172">
        <f t="shared" si="1"/>
        <v>4.2551436753275031E-2</v>
      </c>
      <c r="I17" s="473"/>
      <c r="J17" s="338" t="s">
        <v>156</v>
      </c>
      <c r="K17" s="339">
        <f>J208</f>
        <v>71022</v>
      </c>
    </row>
    <row r="18" spans="1:11" s="167" customFormat="1" ht="13.5" thickBot="1">
      <c r="A18" s="169" t="s">
        <v>216</v>
      </c>
      <c r="B18" s="170" t="s">
        <v>229</v>
      </c>
      <c r="C18" s="501">
        <f>'[56]Sch B'!E47</f>
        <v>0</v>
      </c>
      <c r="D18" s="501">
        <f>'[56]Sch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77475</v>
      </c>
    </row>
    <row r="19" spans="1:11" s="167" customFormat="1">
      <c r="A19" s="169" t="s">
        <v>227</v>
      </c>
      <c r="B19" s="177" t="s">
        <v>173</v>
      </c>
      <c r="C19" s="501">
        <f>'[56]Sch B'!E52</f>
        <v>-1873</v>
      </c>
      <c r="D19" s="501">
        <f>'[56]Sch B'!G52</f>
        <v>0</v>
      </c>
      <c r="E19" s="171">
        <f t="shared" si="2"/>
        <v>-1873</v>
      </c>
      <c r="F19" s="171"/>
      <c r="G19" s="171">
        <f t="shared" si="0"/>
        <v>-1873</v>
      </c>
      <c r="H19" s="172">
        <f t="shared" si="1"/>
        <v>-4.8729076481235145E-4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'[56]Sch B'!E67</f>
        <v>91322</v>
      </c>
      <c r="D20" s="501">
        <f>'[56]Sch B'!G67</f>
        <v>-4096</v>
      </c>
      <c r="E20" s="171">
        <f t="shared" si="2"/>
        <v>87226</v>
      </c>
      <c r="F20" s="171"/>
      <c r="G20" s="171">
        <f t="shared" si="0"/>
        <v>87226</v>
      </c>
      <c r="H20" s="172">
        <f t="shared" si="1"/>
        <v>2.2693232382019309E-2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3847797</v>
      </c>
      <c r="D21" s="501">
        <f>SUM(D11:D20)</f>
        <v>-4096</v>
      </c>
      <c r="E21" s="171">
        <f>SUM(E11:E20)</f>
        <v>3843701</v>
      </c>
      <c r="F21" s="171">
        <f>SUM(F11:F20)</f>
        <v>0</v>
      </c>
      <c r="G21" s="171">
        <f>SUM(G11:G20)</f>
        <v>3843701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'[56]Sch C'!D10</f>
        <v>0</v>
      </c>
      <c r="D25" s="501">
        <f>'[56]Sch C'!F10</f>
        <v>97193</v>
      </c>
      <c r="E25" s="171">
        <f t="shared" ref="E25:E60" si="3">C25+D25</f>
        <v>97193</v>
      </c>
      <c r="F25" s="171"/>
      <c r="G25" s="182">
        <f>E25+F25</f>
        <v>97193</v>
      </c>
      <c r="H25" s="172">
        <f>IF($G$208=0,0,G25/$G$208)</f>
        <v>2.5671542762176966E-2</v>
      </c>
      <c r="I25" s="473"/>
      <c r="J25" s="183">
        <v>1928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'[56]Sch C'!D11</f>
        <v>0</v>
      </c>
      <c r="D26" s="501">
        <f>'[56]Sch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'[56]Sch C'!D12</f>
        <v>182079</v>
      </c>
      <c r="D27" s="501">
        <f>'[56]Sch C'!F12</f>
        <v>-97193</v>
      </c>
      <c r="E27" s="171">
        <f t="shared" si="3"/>
        <v>84886</v>
      </c>
      <c r="F27" s="171"/>
      <c r="G27" s="171">
        <f t="shared" si="4"/>
        <v>84886</v>
      </c>
      <c r="H27" s="172">
        <f t="shared" si="5"/>
        <v>2.2420900465158541E-2</v>
      </c>
      <c r="I27" s="473"/>
      <c r="J27" s="183">
        <v>3647</v>
      </c>
      <c r="K27" s="183">
        <v>3928</v>
      </c>
    </row>
    <row r="28" spans="1:11" s="167" customFormat="1">
      <c r="A28" s="169" t="s">
        <v>86</v>
      </c>
      <c r="B28" s="170" t="s">
        <v>45</v>
      </c>
      <c r="C28" s="501">
        <f>'[56]Sch C'!D13</f>
        <v>50434</v>
      </c>
      <c r="D28" s="501">
        <f>'[56]Sch C'!F13</f>
        <v>206</v>
      </c>
      <c r="E28" s="171">
        <f t="shared" si="3"/>
        <v>50640</v>
      </c>
      <c r="F28" s="171"/>
      <c r="G28" s="171">
        <f t="shared" si="4"/>
        <v>50640</v>
      </c>
      <c r="H28" s="172">
        <f t="shared" si="5"/>
        <v>1.337552010408817E-2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'[56]Sch C'!D14</f>
        <v>0</v>
      </c>
      <c r="D29" s="501">
        <f>'[56]Sch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'[56]Sch C'!D15</f>
        <v>0</v>
      </c>
      <c r="D30" s="501">
        <f>'[56]Sch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'[56]Sch C'!D16</f>
        <v>194485</v>
      </c>
      <c r="D31" s="501">
        <f>'[56]Sch C'!F16</f>
        <v>-17100</v>
      </c>
      <c r="E31" s="171">
        <f t="shared" si="3"/>
        <v>177385</v>
      </c>
      <c r="F31" s="171"/>
      <c r="G31" s="171">
        <f t="shared" si="4"/>
        <v>177385</v>
      </c>
      <c r="H31" s="172">
        <f t="shared" si="5"/>
        <v>4.6852619148176941E-2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'[56]Sch C'!D17</f>
        <v>585</v>
      </c>
      <c r="D32" s="501">
        <f>'[56]Sch C'!F17</f>
        <v>-585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'[56]Sch C'!D18</f>
        <v>14148</v>
      </c>
      <c r="D33" s="501">
        <f>'[56]Sch C'!F18</f>
        <v>0</v>
      </c>
      <c r="E33" s="171">
        <f t="shared" si="3"/>
        <v>14148</v>
      </c>
      <c r="F33" s="171"/>
      <c r="G33" s="171">
        <f t="shared" si="4"/>
        <v>14148</v>
      </c>
      <c r="H33" s="172">
        <f t="shared" si="5"/>
        <v>3.7369047873743967E-3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'[56]Sch C'!D19</f>
        <v>9640</v>
      </c>
      <c r="D34" s="501">
        <f>'[56]Sch C'!F19</f>
        <v>0</v>
      </c>
      <c r="E34" s="171">
        <f t="shared" si="3"/>
        <v>9640</v>
      </c>
      <c r="F34" s="171"/>
      <c r="G34" s="171">
        <f t="shared" si="4"/>
        <v>9640</v>
      </c>
      <c r="H34" s="172">
        <f t="shared" si="5"/>
        <v>2.5462088033848728E-3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'[56]Sch C'!D20</f>
        <v>6933</v>
      </c>
      <c r="D35" s="501">
        <f>'[56]Sch C'!F20</f>
        <v>0</v>
      </c>
      <c r="E35" s="171">
        <f t="shared" si="3"/>
        <v>6933</v>
      </c>
      <c r="F35" s="171"/>
      <c r="G35" s="171">
        <f t="shared" si="4"/>
        <v>6933</v>
      </c>
      <c r="H35" s="172">
        <f t="shared" si="5"/>
        <v>1.8312101279945358E-3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'[56]Sch C'!D21</f>
        <v>15869</v>
      </c>
      <c r="D36" s="501">
        <f>'[56]Sch C'!F21</f>
        <v>0</v>
      </c>
      <c r="E36" s="171">
        <f t="shared" si="3"/>
        <v>15869</v>
      </c>
      <c r="F36" s="171"/>
      <c r="G36" s="171">
        <f t="shared" si="4"/>
        <v>15869</v>
      </c>
      <c r="H36" s="172">
        <f t="shared" si="5"/>
        <v>4.1914717324600158E-3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'[56]Sch C'!D22</f>
        <v>0</v>
      </c>
      <c r="D37" s="501">
        <f>'[56]Sch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'[56]Sch C'!D23</f>
        <v>9229</v>
      </c>
      <c r="D38" s="501">
        <f>'[56]Sch C'!F23</f>
        <v>0</v>
      </c>
      <c r="E38" s="171">
        <f t="shared" si="3"/>
        <v>9229</v>
      </c>
      <c r="F38" s="171"/>
      <c r="G38" s="171">
        <f t="shared" si="4"/>
        <v>9229</v>
      </c>
      <c r="H38" s="172">
        <f t="shared" si="5"/>
        <v>2.4376515608339204E-3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'[56]Sch C'!D24</f>
        <v>0</v>
      </c>
      <c r="D39" s="501">
        <f>'[56]Sch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'[56]Sch C'!D25</f>
        <v>6452</v>
      </c>
      <c r="D40" s="501">
        <f>'[56]Sch C'!F25</f>
        <v>0</v>
      </c>
      <c r="E40" s="171">
        <f t="shared" si="3"/>
        <v>6452</v>
      </c>
      <c r="F40" s="171"/>
      <c r="G40" s="171">
        <f t="shared" si="4"/>
        <v>6452</v>
      </c>
      <c r="H40" s="172">
        <f t="shared" si="5"/>
        <v>1.7041638173692117E-3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'[56]Sch C'!D26</f>
        <v>274504</v>
      </c>
      <c r="D41" s="501">
        <f>'[56]Sch C'!F26</f>
        <v>0</v>
      </c>
      <c r="E41" s="171">
        <f t="shared" si="3"/>
        <v>274504</v>
      </c>
      <c r="F41" s="171"/>
      <c r="G41" s="171">
        <f t="shared" si="4"/>
        <v>274504</v>
      </c>
      <c r="H41" s="172">
        <f t="shared" si="5"/>
        <v>7.2504616324103849E-2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'[56]Sch C'!D27</f>
        <v>9734</v>
      </c>
      <c r="D42" s="501">
        <f>'[56]Sch C'!F27</f>
        <v>-471</v>
      </c>
      <c r="E42" s="171">
        <f t="shared" si="3"/>
        <v>9263</v>
      </c>
      <c r="F42" s="171"/>
      <c r="G42" s="171">
        <f t="shared" si="4"/>
        <v>9263</v>
      </c>
      <c r="H42" s="172">
        <f t="shared" si="5"/>
        <v>2.4466319653271866E-3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'[56]Sch C'!D28</f>
        <v>0</v>
      </c>
      <c r="D43" s="501">
        <f>'[56]Sch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'[56]Sch C'!D29</f>
        <v>13995</v>
      </c>
      <c r="D44" s="501">
        <f>'[56]Sch C'!F29</f>
        <v>-13995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'[56]Sch C'!D30</f>
        <v>0</v>
      </c>
      <c r="D45" s="501">
        <f>'[56]Sch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'[56]Sch C'!D31</f>
        <v>0</v>
      </c>
      <c r="D46" s="501">
        <f>'[56]Sch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'[56]Sch C'!D32</f>
        <v>48690</v>
      </c>
      <c r="D47" s="501">
        <f>'[56]Sch C'!F32</f>
        <v>0</v>
      </c>
      <c r="E47" s="171">
        <f t="shared" si="3"/>
        <v>48690</v>
      </c>
      <c r="F47" s="171"/>
      <c r="G47" s="171">
        <f t="shared" si="4"/>
        <v>48690</v>
      </c>
      <c r="H47" s="172">
        <f t="shared" si="5"/>
        <v>1.2860467493444966E-2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'[56]Sch C'!D33</f>
        <v>0</v>
      </c>
      <c r="D48" s="501">
        <f>'[56]Sch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'[56]Sch C'!D34</f>
        <v>127</v>
      </c>
      <c r="D49" s="501">
        <f>'[56]Sch C'!F34</f>
        <v>0</v>
      </c>
      <c r="E49" s="171">
        <f t="shared" si="3"/>
        <v>127</v>
      </c>
      <c r="F49" s="171"/>
      <c r="G49" s="171">
        <f t="shared" si="4"/>
        <v>127</v>
      </c>
      <c r="H49" s="172">
        <f t="shared" si="5"/>
        <v>3.3544452077788266E-5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'[56]Sch C'!D35</f>
        <v>0</v>
      </c>
      <c r="D50" s="501">
        <f>'[56]Sch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'[56]Sch C'!D36</f>
        <v>11489</v>
      </c>
      <c r="D51" s="501">
        <f>'[56]Sch C'!F36</f>
        <v>0</v>
      </c>
      <c r="E51" s="171">
        <f t="shared" si="3"/>
        <v>11489</v>
      </c>
      <c r="F51" s="171"/>
      <c r="G51" s="171">
        <f t="shared" si="4"/>
        <v>11489</v>
      </c>
      <c r="H51" s="172">
        <f t="shared" si="5"/>
        <v>3.0345843300921996E-3</v>
      </c>
      <c r="I51" s="473"/>
      <c r="J51" s="183">
        <v>986</v>
      </c>
      <c r="K51" s="183">
        <v>1067</v>
      </c>
    </row>
    <row r="52" spans="1:11" s="167" customFormat="1">
      <c r="A52" s="163">
        <v>290</v>
      </c>
      <c r="B52" s="170" t="s">
        <v>205</v>
      </c>
      <c r="C52" s="501">
        <f>'[56]Sch C'!D37</f>
        <v>294</v>
      </c>
      <c r="D52" s="501">
        <f>'[56]Sch C'!F37</f>
        <v>0</v>
      </c>
      <c r="E52" s="171">
        <f t="shared" si="3"/>
        <v>294</v>
      </c>
      <c r="F52" s="171"/>
      <c r="G52" s="171">
        <f t="shared" si="4"/>
        <v>294</v>
      </c>
      <c r="H52" s="172">
        <f t="shared" si="5"/>
        <v>7.7654085912360233E-5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'[56]Sch C'!D38</f>
        <v>41</v>
      </c>
      <c r="D53" s="501">
        <f>'[56]Sch C'!F38</f>
        <v>-41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'[56]Sch C'!D39</f>
        <v>4635</v>
      </c>
      <c r="D54" s="501">
        <f>'[56]Sch C'!F39</f>
        <v>0</v>
      </c>
      <c r="E54" s="171">
        <f t="shared" si="3"/>
        <v>4635</v>
      </c>
      <c r="F54" s="171"/>
      <c r="G54" s="171">
        <f t="shared" si="4"/>
        <v>4635</v>
      </c>
      <c r="H54" s="172">
        <f t="shared" si="5"/>
        <v>1.2242404360673117E-3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'[56]Sch C'!D40</f>
        <v>7863</v>
      </c>
      <c r="D55" s="501">
        <f>'[56]Sch C'!F40</f>
        <v>-7863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'[56]Sch C'!D41</f>
        <v>46502</v>
      </c>
      <c r="D56" s="501">
        <f>'[56]Sch C'!F41</f>
        <v>0</v>
      </c>
      <c r="E56" s="171">
        <f t="shared" si="3"/>
        <v>46502</v>
      </c>
      <c r="F56" s="171"/>
      <c r="G56" s="171">
        <f t="shared" si="4"/>
        <v>46502</v>
      </c>
      <c r="H56" s="172">
        <f t="shared" si="5"/>
        <v>1.2282552051348896E-2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'[56]Sch C'!D42</f>
        <v>75</v>
      </c>
      <c r="D57" s="501">
        <f>'[56]Sch C'!F42</f>
        <v>0</v>
      </c>
      <c r="E57" s="171">
        <f t="shared" si="3"/>
        <v>75</v>
      </c>
      <c r="F57" s="171"/>
      <c r="G57" s="171">
        <f t="shared" si="4"/>
        <v>75</v>
      </c>
      <c r="H57" s="172">
        <f t="shared" si="5"/>
        <v>1.9809715793969446E-5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'[56]Sch C'!D43</f>
        <v>6127</v>
      </c>
      <c r="D58" s="501">
        <f>'[56]Sch C'!F43</f>
        <v>-6127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'[56]Sch C'!D44</f>
        <v>0</v>
      </c>
      <c r="D59" s="501">
        <f>'[56]Sch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'[56]Sch C'!D45</f>
        <v>4372</v>
      </c>
      <c r="D60" s="501">
        <f>'[56]Sch C'!F45</f>
        <v>-1655</v>
      </c>
      <c r="E60" s="171">
        <f t="shared" si="3"/>
        <v>2717</v>
      </c>
      <c r="F60" s="171"/>
      <c r="G60" s="171">
        <f t="shared" si="4"/>
        <v>2717</v>
      </c>
      <c r="H60" s="172">
        <f t="shared" si="5"/>
        <v>7.1763997082953314E-4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918302</v>
      </c>
      <c r="D61" s="501">
        <f>SUM(D25:D60)</f>
        <v>-47631</v>
      </c>
      <c r="E61" s="171">
        <f t="shared" ref="E61:F61" si="6">SUM(E25:E60)</f>
        <v>870671</v>
      </c>
      <c r="F61" s="171">
        <f t="shared" si="6"/>
        <v>0</v>
      </c>
      <c r="G61" s="171">
        <f>SUM(G25:G60)</f>
        <v>870671</v>
      </c>
      <c r="H61" s="186">
        <f t="shared" si="5"/>
        <v>0.22996993413401562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'[56]Sch C'!D57</f>
        <v>0</v>
      </c>
      <c r="D64" s="501">
        <f>'[56]Sch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'[56]Sch C'!D58</f>
        <v>142784</v>
      </c>
      <c r="D65" s="501">
        <f>'[56]Sch C'!F58</f>
        <v>0</v>
      </c>
      <c r="E65" s="171">
        <f t="shared" si="7"/>
        <v>142784</v>
      </c>
      <c r="F65" s="171"/>
      <c r="G65" s="171">
        <f t="shared" si="8"/>
        <v>142784</v>
      </c>
      <c r="H65" s="172">
        <f t="shared" si="9"/>
        <v>3.7713472799015116E-2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'[56]Sch C'!D59</f>
        <v>280150</v>
      </c>
      <c r="D66" s="501">
        <f>'[56]Sch C'!F59</f>
        <v>0</v>
      </c>
      <c r="E66" s="171">
        <f t="shared" si="7"/>
        <v>280150</v>
      </c>
      <c r="F66" s="171"/>
      <c r="G66" s="171">
        <f t="shared" si="8"/>
        <v>280150</v>
      </c>
      <c r="H66" s="172">
        <f t="shared" si="9"/>
        <v>7.3995891729073879E-2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'[56]Sch C'!D60</f>
        <v>12747</v>
      </c>
      <c r="D67" s="501">
        <f>'[56]Sch C'!F60</f>
        <v>0</v>
      </c>
      <c r="E67" s="171">
        <f t="shared" si="7"/>
        <v>12747</v>
      </c>
      <c r="F67" s="171"/>
      <c r="G67" s="171">
        <f t="shared" si="8"/>
        <v>12747</v>
      </c>
      <c r="H67" s="172">
        <f t="shared" si="9"/>
        <v>3.3668592963430471E-3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'[56]Sch C'!D61</f>
        <v>53475</v>
      </c>
      <c r="D68" s="501">
        <f>'[56]Sch C'!F61</f>
        <v>0</v>
      </c>
      <c r="E68" s="171">
        <f t="shared" si="7"/>
        <v>53475</v>
      </c>
      <c r="F68" s="171"/>
      <c r="G68" s="171">
        <f t="shared" si="8"/>
        <v>53475</v>
      </c>
      <c r="H68" s="172">
        <f t="shared" si="9"/>
        <v>1.4124327361100216E-2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'[56]Sch C'!D62</f>
        <v>0</v>
      </c>
      <c r="D69" s="501">
        <f>'[56]Sch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'[56]Sch C'!D63</f>
        <v>0</v>
      </c>
      <c r="D70" s="501">
        <f>'[56]Sch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'[56]Sch C'!D64</f>
        <v>0</v>
      </c>
      <c r="D71" s="501">
        <f>'[56]Sch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'[56]Sch C'!D65</f>
        <v>2982</v>
      </c>
      <c r="D72" s="501">
        <f>'[56]Sch C'!F65</f>
        <v>0</v>
      </c>
      <c r="E72" s="171">
        <f t="shared" si="7"/>
        <v>2982</v>
      </c>
      <c r="F72" s="171"/>
      <c r="G72" s="171">
        <f t="shared" si="8"/>
        <v>2982</v>
      </c>
      <c r="H72" s="172">
        <f t="shared" si="9"/>
        <v>7.8763429996822523E-4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'[56]Sch C'!D66</f>
        <v>25969</v>
      </c>
      <c r="D73" s="501">
        <f>'[56]Sch C'!F66</f>
        <v>-604</v>
      </c>
      <c r="E73" s="171">
        <f t="shared" si="7"/>
        <v>25365</v>
      </c>
      <c r="F73" s="171"/>
      <c r="G73" s="171">
        <f t="shared" si="8"/>
        <v>25365</v>
      </c>
      <c r="H73" s="172">
        <f t="shared" si="9"/>
        <v>6.6996458815204666E-3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'[56]Sch C'!D67</f>
        <v>72992</v>
      </c>
      <c r="D74" s="501">
        <f>'[56]Sch C'!F67</f>
        <v>0</v>
      </c>
      <c r="E74" s="171">
        <f t="shared" si="7"/>
        <v>72992</v>
      </c>
      <c r="F74" s="171"/>
      <c r="G74" s="171">
        <f t="shared" si="8"/>
        <v>72992</v>
      </c>
      <c r="H74" s="172">
        <f t="shared" si="9"/>
        <v>1.9279343669778907E-2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'[56]Sch C'!D68</f>
        <v>0</v>
      </c>
      <c r="D75" s="501">
        <f>'[56]Sch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'[56]Sch C'!D69</f>
        <v>4837</v>
      </c>
      <c r="D76" s="501">
        <f>'[56]Sch C'!F69</f>
        <v>0</v>
      </c>
      <c r="E76" s="171">
        <f t="shared" si="7"/>
        <v>4837</v>
      </c>
      <c r="F76" s="171"/>
      <c r="G76" s="171">
        <f t="shared" si="8"/>
        <v>4837</v>
      </c>
      <c r="H76" s="172">
        <f t="shared" si="9"/>
        <v>1.2775946039390695E-3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'[56]Sch C'!D70</f>
        <v>0</v>
      </c>
      <c r="D77" s="501">
        <f>'[56]Sch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'[56]Sch C'!D71</f>
        <v>0</v>
      </c>
      <c r="D78" s="501">
        <f>'[56]Sch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595936</v>
      </c>
      <c r="D79" s="501">
        <f>SUM(D64:D78)</f>
        <v>-604</v>
      </c>
      <c r="E79" s="171">
        <f t="shared" ref="E79:F79" si="10">SUM(E64:E78)</f>
        <v>595332</v>
      </c>
      <c r="F79" s="171">
        <f t="shared" si="10"/>
        <v>0</v>
      </c>
      <c r="G79" s="171">
        <f>SUM(G64:G78)</f>
        <v>595332</v>
      </c>
      <c r="H79" s="172">
        <f t="shared" si="9"/>
        <v>0.15724476964073891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'[56]Sch C'!D75</f>
        <v>25265</v>
      </c>
      <c r="D82" s="501">
        <f>'[56]Sch C'!F75</f>
        <v>0</v>
      </c>
      <c r="E82" s="171">
        <f t="shared" ref="E82:E92" si="11">C82+D82</f>
        <v>25265</v>
      </c>
      <c r="F82" s="171"/>
      <c r="G82" s="171">
        <f t="shared" ref="G82:G92" si="12">E82+F82</f>
        <v>25265</v>
      </c>
      <c r="H82" s="172">
        <f t="shared" ref="H82:H93" si="13">IF($G$208=0,0,G82/$G$208)</f>
        <v>6.6732329271285079E-3</v>
      </c>
      <c r="I82" s="473"/>
      <c r="J82" s="183">
        <v>1381</v>
      </c>
      <c r="K82" s="183">
        <v>1448</v>
      </c>
    </row>
    <row r="83" spans="1:11" s="167" customFormat="1">
      <c r="A83" s="169" t="s">
        <v>86</v>
      </c>
      <c r="B83" s="199" t="s">
        <v>45</v>
      </c>
      <c r="C83" s="501">
        <f>'[56]Sch C'!D76</f>
        <v>15414</v>
      </c>
      <c r="D83" s="501">
        <f>'[56]Sch C'!F76</f>
        <v>0</v>
      </c>
      <c r="E83" s="171">
        <f t="shared" si="11"/>
        <v>15414</v>
      </c>
      <c r="F83" s="171"/>
      <c r="G83" s="171">
        <f t="shared" si="12"/>
        <v>15414</v>
      </c>
      <c r="H83" s="172">
        <f t="shared" si="13"/>
        <v>4.0712927899766004E-3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'[56]Sch C'!D77</f>
        <v>4495</v>
      </c>
      <c r="D84" s="501">
        <f>'[56]Sch C'!F77</f>
        <v>0</v>
      </c>
      <c r="E84" s="171">
        <f t="shared" si="11"/>
        <v>4495</v>
      </c>
      <c r="F84" s="171"/>
      <c r="G84" s="171">
        <f t="shared" si="12"/>
        <v>4495</v>
      </c>
      <c r="H84" s="172">
        <f t="shared" si="13"/>
        <v>1.1872622999185688E-3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'[56]Sch C'!D78</f>
        <v>0</v>
      </c>
      <c r="D85" s="501">
        <f>'[56]Sch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'[56]Sch C'!D79</f>
        <v>1121</v>
      </c>
      <c r="D86" s="501">
        <f>'[56]Sch C'!F79</f>
        <v>0</v>
      </c>
      <c r="E86" s="171">
        <f t="shared" si="11"/>
        <v>1121</v>
      </c>
      <c r="F86" s="171"/>
      <c r="G86" s="171">
        <f>E86+F86</f>
        <v>1121</v>
      </c>
      <c r="H86" s="172">
        <f t="shared" si="13"/>
        <v>2.9608921873386336E-4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'[56]Sch C'!D80</f>
        <v>18517</v>
      </c>
      <c r="D87" s="501">
        <f>'[56]Sch C'!F80</f>
        <v>0</v>
      </c>
      <c r="E87" s="171">
        <f t="shared" si="11"/>
        <v>18517</v>
      </c>
      <c r="F87" s="171"/>
      <c r="G87" s="171">
        <f t="shared" si="12"/>
        <v>18517</v>
      </c>
      <c r="H87" s="172">
        <f t="shared" si="13"/>
        <v>4.8908867647590969E-3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'[56]Sch C'!D81</f>
        <v>5331</v>
      </c>
      <c r="D88" s="501">
        <f>'[56]Sch C'!F81</f>
        <v>0</v>
      </c>
      <c r="E88" s="171">
        <f t="shared" si="11"/>
        <v>5331</v>
      </c>
      <c r="F88" s="171"/>
      <c r="G88" s="171">
        <f t="shared" si="12"/>
        <v>5331</v>
      </c>
      <c r="H88" s="172">
        <f t="shared" si="13"/>
        <v>1.4080745986353484E-3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'[56]Sch C'!D82</f>
        <v>3160</v>
      </c>
      <c r="D89" s="501">
        <f>'[56]Sch C'!F82</f>
        <v>0</v>
      </c>
      <c r="E89" s="171">
        <f t="shared" si="11"/>
        <v>3160</v>
      </c>
      <c r="F89" s="171"/>
      <c r="G89" s="171">
        <f t="shared" si="12"/>
        <v>3160</v>
      </c>
      <c r="H89" s="172">
        <f t="shared" si="13"/>
        <v>8.3464935878591268E-4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'[56]Sch C'!D83</f>
        <v>2130</v>
      </c>
      <c r="D90" s="501">
        <f>'[56]Sch C'!F83</f>
        <v>0</v>
      </c>
      <c r="E90" s="171">
        <f t="shared" si="11"/>
        <v>2130</v>
      </c>
      <c r="F90" s="171"/>
      <c r="G90" s="171">
        <f t="shared" si="12"/>
        <v>2130</v>
      </c>
      <c r="H90" s="172">
        <f t="shared" si="13"/>
        <v>5.6259592854873231E-4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'[56]Sch C'!D84</f>
        <v>58838</v>
      </c>
      <c r="D91" s="501">
        <f>'[56]Sch C'!F84</f>
        <v>0</v>
      </c>
      <c r="E91" s="171">
        <f t="shared" si="11"/>
        <v>58838</v>
      </c>
      <c r="F91" s="171"/>
      <c r="G91" s="171">
        <f t="shared" si="12"/>
        <v>58838</v>
      </c>
      <c r="H91" s="172">
        <f t="shared" si="13"/>
        <v>1.5540854105140991E-2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'[56]Sch C'!D85</f>
        <v>0</v>
      </c>
      <c r="D92" s="501">
        <f>'[56]Sch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134271</v>
      </c>
      <c r="D93" s="501">
        <f>SUM(D82:D92)</f>
        <v>0</v>
      </c>
      <c r="E93" s="171">
        <f t="shared" ref="E93:F93" si="14">SUM(E82:E92)</f>
        <v>134271</v>
      </c>
      <c r="F93" s="171">
        <f t="shared" si="14"/>
        <v>0</v>
      </c>
      <c r="G93" s="171">
        <f>SUM(G82:G92)</f>
        <v>134271</v>
      </c>
      <c r="H93" s="172">
        <f t="shared" si="13"/>
        <v>3.5464937991627622E-2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'[56]Sch C'!D89</f>
        <v>0</v>
      </c>
      <c r="D96" s="501">
        <f>'[56]Sch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'[56]Sch C'!D90</f>
        <v>0</v>
      </c>
      <c r="D97" s="501">
        <f>'[56]Sch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'[56]Sch C'!D91</f>
        <v>305033</v>
      </c>
      <c r="D98" s="501">
        <f>'[56]Sch C'!F91</f>
        <v>0</v>
      </c>
      <c r="E98" s="171">
        <f t="shared" si="15"/>
        <v>305033</v>
      </c>
      <c r="F98" s="171"/>
      <c r="G98" s="171">
        <f t="shared" si="16"/>
        <v>305033</v>
      </c>
      <c r="H98" s="172">
        <f t="shared" si="17"/>
        <v>8.0568227170425097E-2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'[56]Sch C'!D92</f>
        <v>3463</v>
      </c>
      <c r="D99" s="501">
        <f>'[56]Sch C'!F92</f>
        <v>-3670</v>
      </c>
      <c r="E99" s="171">
        <f t="shared" si="15"/>
        <v>-207</v>
      </c>
      <c r="F99" s="171"/>
      <c r="G99" s="171">
        <f t="shared" si="16"/>
        <v>-207</v>
      </c>
      <c r="H99" s="172">
        <f t="shared" si="17"/>
        <v>-5.4674815591355674E-5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'[56]Sch C'!D93</f>
        <v>2468</v>
      </c>
      <c r="D100" s="501">
        <f>'[56]Sch C'!F93</f>
        <v>0</v>
      </c>
      <c r="E100" s="171">
        <f t="shared" si="15"/>
        <v>2468</v>
      </c>
      <c r="F100" s="171"/>
      <c r="G100" s="171">
        <f t="shared" si="16"/>
        <v>2468</v>
      </c>
      <c r="H100" s="172">
        <f t="shared" si="17"/>
        <v>6.5187171439355456E-4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'[56]Sch C'!D94</f>
        <v>280</v>
      </c>
      <c r="D101" s="501">
        <f>'[56]Sch C'!F94</f>
        <v>0</v>
      </c>
      <c r="E101" s="171">
        <f t="shared" si="15"/>
        <v>280</v>
      </c>
      <c r="F101" s="171"/>
      <c r="G101" s="171">
        <f t="shared" si="16"/>
        <v>280</v>
      </c>
      <c r="H101" s="172">
        <f t="shared" si="17"/>
        <v>7.3956272297485932E-5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311244</v>
      </c>
      <c r="D102" s="501">
        <f>SUM(D96:D101)</f>
        <v>-3670</v>
      </c>
      <c r="E102" s="171">
        <f t="shared" ref="E102:F102" si="18">SUM(E96:E101)</f>
        <v>307574</v>
      </c>
      <c r="F102" s="171">
        <f t="shared" si="18"/>
        <v>0</v>
      </c>
      <c r="G102" s="171">
        <f>SUM(G96:G101)</f>
        <v>307574</v>
      </c>
      <c r="H102" s="172">
        <f t="shared" si="17"/>
        <v>8.1239380341524781E-2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'[56]Sch C'!D98</f>
        <v>0</v>
      </c>
      <c r="D105" s="501">
        <f>'[56]Sch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'[56]Sch C'!D99</f>
        <v>0</v>
      </c>
      <c r="D106" s="501">
        <f>'[56]Sch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'[56]Sch C'!D100</f>
        <v>32</v>
      </c>
      <c r="D107" s="501">
        <f>'[56]Sch C'!F100</f>
        <v>0</v>
      </c>
      <c r="E107" s="171">
        <f t="shared" si="19"/>
        <v>32</v>
      </c>
      <c r="F107" s="171"/>
      <c r="G107" s="171">
        <f t="shared" si="20"/>
        <v>32</v>
      </c>
      <c r="H107" s="172">
        <f t="shared" si="21"/>
        <v>8.4521454054269633E-6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'[56]Sch C'!D101</f>
        <v>47976</v>
      </c>
      <c r="D108" s="501">
        <f>'[56]Sch C'!F101</f>
        <v>0</v>
      </c>
      <c r="E108" s="171">
        <f t="shared" si="19"/>
        <v>47976</v>
      </c>
      <c r="F108" s="171"/>
      <c r="G108" s="171">
        <f t="shared" si="20"/>
        <v>47976</v>
      </c>
      <c r="H108" s="172">
        <f t="shared" si="21"/>
        <v>1.2671878999086375E-2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'[56]Sch C'!D102</f>
        <v>3257</v>
      </c>
      <c r="D109" s="501">
        <f>'[56]Sch C'!F102</f>
        <v>0</v>
      </c>
      <c r="E109" s="171">
        <f t="shared" si="19"/>
        <v>3257</v>
      </c>
      <c r="F109" s="171"/>
      <c r="G109" s="171">
        <f t="shared" si="20"/>
        <v>3257</v>
      </c>
      <c r="H109" s="172">
        <f t="shared" si="21"/>
        <v>8.6026992454611316E-4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'[56]Sch C'!D103</f>
        <v>0</v>
      </c>
      <c r="D110" s="501">
        <f>'[56]Sch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51265</v>
      </c>
      <c r="D111" s="501">
        <f>SUM(D105:D110)</f>
        <v>0</v>
      </c>
      <c r="E111" s="171">
        <f t="shared" ref="E111:F111" si="22">SUM(E105:E110)</f>
        <v>51265</v>
      </c>
      <c r="F111" s="171">
        <f t="shared" si="22"/>
        <v>0</v>
      </c>
      <c r="G111" s="171">
        <f>SUM(G105:G110)</f>
        <v>51265</v>
      </c>
      <c r="H111" s="172">
        <f t="shared" si="21"/>
        <v>1.3540601069037915E-2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'[56]Sch C'!D115</f>
        <v>0</v>
      </c>
      <c r="D114" s="501">
        <f>'[56]Sch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'[56]Sch C'!D116</f>
        <v>0</v>
      </c>
      <c r="D115" s="501">
        <f>'[56]Sch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'[56]Sch C'!D117</f>
        <v>6458</v>
      </c>
      <c r="D116" s="501">
        <f>'[56]Sch C'!F117</f>
        <v>0</v>
      </c>
      <c r="E116" s="171">
        <f t="shared" si="23"/>
        <v>6458</v>
      </c>
      <c r="F116" s="171"/>
      <c r="G116" s="171">
        <f>E116+F116</f>
        <v>6458</v>
      </c>
      <c r="H116" s="172">
        <f t="shared" si="24"/>
        <v>1.7057485946327291E-3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'[56]Sch C'!D118</f>
        <v>91320</v>
      </c>
      <c r="D117" s="501">
        <f>'[56]Sch C'!F118</f>
        <v>0</v>
      </c>
      <c r="E117" s="171">
        <f t="shared" si="23"/>
        <v>91320</v>
      </c>
      <c r="F117" s="171"/>
      <c r="G117" s="171">
        <f>E117+F117</f>
        <v>91320</v>
      </c>
      <c r="H117" s="172">
        <f t="shared" si="24"/>
        <v>2.41203099507372E-2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'[56]Sch C'!D119</f>
        <v>0</v>
      </c>
      <c r="D118" s="501">
        <f>'[56]Sch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97778</v>
      </c>
      <c r="D119" s="501">
        <f>SUM(D114:D118)</f>
        <v>0</v>
      </c>
      <c r="E119" s="171">
        <f t="shared" ref="E119:F119" si="25">SUM(E114:E118)</f>
        <v>97778</v>
      </c>
      <c r="F119" s="171">
        <f t="shared" si="25"/>
        <v>0</v>
      </c>
      <c r="G119" s="171">
        <f>SUM(G114:G118)</f>
        <v>97778</v>
      </c>
      <c r="H119" s="172">
        <f t="shared" si="24"/>
        <v>2.5826058545369929E-2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'[56]Sch C'!D124</f>
        <v>0</v>
      </c>
      <c r="D123" s="501">
        <f>'[56]Sch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'[56]Sch C'!D125</f>
        <v>124922</v>
      </c>
      <c r="D124" s="501">
        <f>'[56]Sch C'!F125</f>
        <v>0</v>
      </c>
      <c r="E124" s="171">
        <f t="shared" si="26"/>
        <v>124922</v>
      </c>
      <c r="F124" s="171"/>
      <c r="G124" s="171">
        <f>E124+F124</f>
        <v>124922</v>
      </c>
      <c r="H124" s="172">
        <f>IF($G$208=0,0,G124/$G$208)</f>
        <v>3.2995590885523347E-2</v>
      </c>
      <c r="I124" s="473"/>
      <c r="J124" s="183">
        <v>1696</v>
      </c>
      <c r="K124" s="183">
        <v>1954</v>
      </c>
    </row>
    <row r="125" spans="1:11" s="167" customFormat="1">
      <c r="A125" s="163" t="s">
        <v>198</v>
      </c>
      <c r="B125" s="163" t="s">
        <v>195</v>
      </c>
      <c r="C125" s="501">
        <f>'[56]Sch C'!D126</f>
        <v>0</v>
      </c>
      <c r="D125" s="501">
        <f>'[56]Sch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'[56]Sch C'!D127</f>
        <v>0</v>
      </c>
      <c r="D126" s="501">
        <f>'[56]Sch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'[56]Sch C'!D128</f>
        <v>34494</v>
      </c>
      <c r="D127" s="501">
        <f>'[56]Sch C'!F128</f>
        <v>0</v>
      </c>
      <c r="E127" s="171">
        <f t="shared" si="26"/>
        <v>34494</v>
      </c>
      <c r="F127" s="171"/>
      <c r="G127" s="171">
        <f>E127+F127</f>
        <v>34494</v>
      </c>
      <c r="H127" s="172">
        <f>IF($G$208=0,0,G127/$G$208)</f>
        <v>9.1108844879624288E-3</v>
      </c>
      <c r="I127" s="473"/>
      <c r="J127" s="183">
        <v>1864</v>
      </c>
      <c r="K127" s="183">
        <v>2048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'[56]Sch C'!D130</f>
        <v>0</v>
      </c>
      <c r="D129" s="501">
        <f>'[56]Sch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'[56]Sch C'!D131</f>
        <v>34558</v>
      </c>
      <c r="D130" s="501">
        <f>'[56]Sch C'!F131</f>
        <v>0</v>
      </c>
      <c r="E130" s="171">
        <f t="shared" si="27"/>
        <v>34558</v>
      </c>
      <c r="F130" s="171"/>
      <c r="G130" s="171">
        <f>E130+F130</f>
        <v>34558</v>
      </c>
      <c r="H130" s="172">
        <f>IF($G$208=0,0,G130/$G$208)</f>
        <v>9.1277887787732815E-3</v>
      </c>
      <c r="I130" s="473"/>
      <c r="J130" s="204"/>
      <c r="K130" s="204"/>
    </row>
    <row r="131" spans="1:11" s="167" customFormat="1">
      <c r="B131" s="163" t="s">
        <v>195</v>
      </c>
      <c r="C131" s="501">
        <f>'[56]Sch C'!D132</f>
        <v>0</v>
      </c>
      <c r="D131" s="501">
        <f>'[56]Sch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'[56]Sch C'!D133</f>
        <v>0</v>
      </c>
      <c r="D132" s="501">
        <f>'[56]Sch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'[56]Sch C'!D134</f>
        <v>7303</v>
      </c>
      <c r="D133" s="501">
        <f>'[56]Sch C'!F134</f>
        <v>0</v>
      </c>
      <c r="E133" s="171">
        <f t="shared" si="27"/>
        <v>7303</v>
      </c>
      <c r="F133" s="171"/>
      <c r="G133" s="171">
        <f>E133+F133</f>
        <v>7303</v>
      </c>
      <c r="H133" s="172">
        <f>IF($G$208=0,0,G133/$G$208)</f>
        <v>1.9289380592447849E-3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'[56]Sch C'!D136</f>
        <v>186763</v>
      </c>
      <c r="D135" s="501">
        <f>'[56]Sch C'!F136</f>
        <v>0</v>
      </c>
      <c r="E135" s="171">
        <f t="shared" ref="E135:E138" si="28">C135+D135</f>
        <v>186763</v>
      </c>
      <c r="F135" s="171"/>
      <c r="G135" s="171">
        <f>E135+F135</f>
        <v>186763</v>
      </c>
      <c r="H135" s="172">
        <f>IF($G$208=0,0,G135/$G$208)</f>
        <v>4.9329626011054881E-2</v>
      </c>
      <c r="I135" s="473"/>
      <c r="J135" s="183">
        <v>4360</v>
      </c>
      <c r="K135" s="183">
        <v>4807</v>
      </c>
    </row>
    <row r="136" spans="1:11" s="167" customFormat="1">
      <c r="A136" s="169"/>
      <c r="B136" s="163" t="s">
        <v>195</v>
      </c>
      <c r="C136" s="501">
        <f>'[56]Sch C'!D137</f>
        <v>265473</v>
      </c>
      <c r="D136" s="501">
        <f>'[56]Sch C'!F137</f>
        <v>0</v>
      </c>
      <c r="E136" s="171">
        <f t="shared" si="28"/>
        <v>265473</v>
      </c>
      <c r="F136" s="171"/>
      <c r="G136" s="171">
        <f>E136+F136</f>
        <v>265473</v>
      </c>
      <c r="H136" s="172">
        <f>IF($G$208=0,0,G136/$G$208)</f>
        <v>7.011926241296601E-2</v>
      </c>
      <c r="I136" s="473"/>
      <c r="J136" s="183">
        <v>15536</v>
      </c>
      <c r="K136" s="183">
        <v>16839</v>
      </c>
    </row>
    <row r="137" spans="1:11" s="167" customFormat="1">
      <c r="A137" s="169"/>
      <c r="B137" s="163" t="s">
        <v>196</v>
      </c>
      <c r="C137" s="501">
        <f>'[56]Sch C'!D138</f>
        <v>392014</v>
      </c>
      <c r="D137" s="501">
        <f>'[56]Sch C'!F138</f>
        <v>15643</v>
      </c>
      <c r="E137" s="171">
        <f t="shared" si="28"/>
        <v>407657</v>
      </c>
      <c r="F137" s="171"/>
      <c r="G137" s="171">
        <f>E137+F137</f>
        <v>407657</v>
      </c>
      <c r="H137" s="172">
        <f>IF($G$208=0,0,G137/$G$208)</f>
        <v>0.10767425748562937</v>
      </c>
      <c r="I137" s="473"/>
      <c r="J137" s="183">
        <v>34263</v>
      </c>
      <c r="K137" s="183">
        <v>37328</v>
      </c>
    </row>
    <row r="138" spans="1:11" s="167" customFormat="1">
      <c r="A138" s="169"/>
      <c r="B138" s="163" t="s">
        <v>197</v>
      </c>
      <c r="C138" s="501">
        <f>'[56]Sch C'!D139</f>
        <v>15643</v>
      </c>
      <c r="D138" s="501">
        <f>'[56]Sch C'!F139</f>
        <v>-15643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'[56]Sch C'!D141</f>
        <v>202328</v>
      </c>
      <c r="D140" s="501">
        <f>'[56]Sch C'!F141</f>
        <v>-158384</v>
      </c>
      <c r="E140" s="171">
        <f t="shared" ref="E140:E143" si="29">C140+D140</f>
        <v>43944</v>
      </c>
      <c r="F140" s="171"/>
      <c r="G140" s="171">
        <f>E140+F140</f>
        <v>43944</v>
      </c>
      <c r="H140" s="172">
        <f>IF($G$208=0,0,G140/$G$208)</f>
        <v>1.1606908678002579E-2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'[56]Sch C'!D142</f>
        <v>0</v>
      </c>
      <c r="D141" s="501">
        <f>'[56]Sch C'!F142</f>
        <v>62464</v>
      </c>
      <c r="E141" s="171">
        <f t="shared" si="29"/>
        <v>62464</v>
      </c>
      <c r="F141" s="171"/>
      <c r="G141" s="171">
        <f>E141+F141</f>
        <v>62464</v>
      </c>
      <c r="H141" s="172">
        <f>IF($G$208=0,0,G141/$G$208)</f>
        <v>1.6498587831393435E-2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'[56]Sch C'!D143</f>
        <v>0</v>
      </c>
      <c r="D142" s="501">
        <f>'[56]Sch C'!F143</f>
        <v>95920</v>
      </c>
      <c r="E142" s="171">
        <f t="shared" si="29"/>
        <v>95920</v>
      </c>
      <c r="F142" s="171"/>
      <c r="G142" s="171">
        <f>E142+F142</f>
        <v>95920</v>
      </c>
      <c r="H142" s="172">
        <f>IF($G$208=0,0,G142/$G$208)</f>
        <v>2.5335305852767324E-2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'[56]Sch C'!D144</f>
        <v>0</v>
      </c>
      <c r="D143" s="501">
        <f>'[56]Sch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'[56]Sch C'!D146</f>
        <v>27070</v>
      </c>
      <c r="D145" s="501">
        <f>'[56]Sch C'!F146</f>
        <v>0</v>
      </c>
      <c r="E145" s="171">
        <f t="shared" ref="E145:E153" si="30">C145+D145</f>
        <v>27070</v>
      </c>
      <c r="F145" s="171"/>
      <c r="G145" s="171">
        <f t="shared" ref="G145:G153" si="31">E145+F145</f>
        <v>27070</v>
      </c>
      <c r="H145" s="172">
        <f t="shared" ref="H145:H153" si="32">IF($G$208=0,0,G145/$G$208)</f>
        <v>7.1499867539033726E-3</v>
      </c>
      <c r="I145" s="473"/>
      <c r="J145" s="183">
        <v>181</v>
      </c>
      <c r="K145" s="183">
        <v>181</v>
      </c>
    </row>
    <row r="146" spans="1:11" s="167" customFormat="1">
      <c r="A146" s="169"/>
      <c r="B146" s="163" t="s">
        <v>194</v>
      </c>
      <c r="C146" s="501">
        <f>'[56]Sch C'!D147</f>
        <v>0</v>
      </c>
      <c r="D146" s="501">
        <f>'[56]Sch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'[56]Sch C'!D148</f>
        <v>0</v>
      </c>
      <c r="D147" s="501">
        <f>'[56]Sch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'[56]Sch C'!D149</f>
        <v>0</v>
      </c>
      <c r="D148" s="501">
        <f>'[56]Sch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'[56]Sch C'!D150</f>
        <v>629</v>
      </c>
      <c r="D149" s="501">
        <f>'[56]Sch C'!F150</f>
        <v>0</v>
      </c>
      <c r="E149" s="171">
        <f t="shared" si="30"/>
        <v>629</v>
      </c>
      <c r="F149" s="171"/>
      <c r="G149" s="171">
        <f t="shared" si="31"/>
        <v>629</v>
      </c>
      <c r="H149" s="172">
        <f t="shared" si="32"/>
        <v>1.6613748312542377E-4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'[56]Sch C'!D151</f>
        <v>36122</v>
      </c>
      <c r="D150" s="501">
        <f>'[56]Sch C'!F151</f>
        <v>0</v>
      </c>
      <c r="E150" s="171">
        <f t="shared" si="30"/>
        <v>36122</v>
      </c>
      <c r="F150" s="171"/>
      <c r="G150" s="171">
        <f t="shared" si="31"/>
        <v>36122</v>
      </c>
      <c r="H150" s="172">
        <f t="shared" si="32"/>
        <v>9.5408873854635253E-3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'[56]Sch C'!D152</f>
        <v>5016</v>
      </c>
      <c r="D151" s="501">
        <f>'[56]Sch C'!F152</f>
        <v>0</v>
      </c>
      <c r="E151" s="171">
        <f t="shared" si="30"/>
        <v>5016</v>
      </c>
      <c r="F151" s="171"/>
      <c r="G151" s="171">
        <f t="shared" si="31"/>
        <v>5016</v>
      </c>
      <c r="H151" s="172">
        <f t="shared" si="32"/>
        <v>1.3248737923006765E-3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'[56]Sch C'!D153</f>
        <v>0</v>
      </c>
      <c r="D152" s="501">
        <f>'[56]Sch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'[56]Sch C'!D154</f>
        <v>0</v>
      </c>
      <c r="D153" s="501">
        <f>'[56]Sch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'[56]Sch C'!D156</f>
        <v>0</v>
      </c>
      <c r="D155" s="501">
        <f>'[56]Sch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'[56]Sch C'!D157</f>
        <v>0</v>
      </c>
      <c r="D156" s="501">
        <f>'[56]Sch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'[56]Sch C'!D158</f>
        <v>75</v>
      </c>
      <c r="D157" s="501">
        <f>'[56]Sch C'!F158</f>
        <v>0</v>
      </c>
      <c r="E157" s="171">
        <f t="shared" si="33"/>
        <v>75</v>
      </c>
      <c r="F157" s="171"/>
      <c r="G157" s="171">
        <f t="shared" si="34"/>
        <v>75</v>
      </c>
      <c r="H157" s="172">
        <f t="shared" si="35"/>
        <v>1.9809715793969446E-5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'[56]Sch C'!D159</f>
        <v>0</v>
      </c>
      <c r="D158" s="501">
        <f>'[56]Sch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'[56]Sch C'!D160</f>
        <v>0</v>
      </c>
      <c r="D159" s="501">
        <f>'[56]Sch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'[56]Sch C'!D161</f>
        <v>9744</v>
      </c>
      <c r="D160" s="501">
        <f>'[56]Sch C'!F161</f>
        <v>396</v>
      </c>
      <c r="E160" s="171">
        <f t="shared" si="33"/>
        <v>10140</v>
      </c>
      <c r="F160" s="171"/>
      <c r="G160" s="171">
        <f t="shared" si="34"/>
        <v>10140</v>
      </c>
      <c r="H160" s="172">
        <f t="shared" si="35"/>
        <v>2.6782735753446692E-3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1342154</v>
      </c>
      <c r="D161" s="501">
        <f>SUM(D123:D160)</f>
        <v>396</v>
      </c>
      <c r="E161" s="171">
        <f t="shared" ref="E161:F161" si="36">SUM(E123:E160)</f>
        <v>1342550</v>
      </c>
      <c r="F161" s="171">
        <f t="shared" si="36"/>
        <v>0</v>
      </c>
      <c r="G161" s="171">
        <f>SUM(G123:G160)</f>
        <v>1342550</v>
      </c>
      <c r="H161" s="172">
        <f t="shared" si="35"/>
        <v>0.35460711918924909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'[56]Sch C'!D175</f>
        <v>0</v>
      </c>
      <c r="D164" s="501">
        <f>'[56]Sch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'[56]Sch C'!D176</f>
        <v>0</v>
      </c>
      <c r="D165" s="501">
        <f>'[56]Sch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'[56]Sch C'!D177</f>
        <v>0</v>
      </c>
      <c r="D166" s="501">
        <f>'[56]Sch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'[56]Sch C'!D178</f>
        <v>0</v>
      </c>
      <c r="D167" s="501">
        <f>'[56]Sch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'[56]Sch C'!D179</f>
        <v>0</v>
      </c>
      <c r="D168" s="501">
        <f>'[56]Sch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'[56]Sch C'!D180</f>
        <v>0</v>
      </c>
      <c r="D169" s="501">
        <f>'[56]Sch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'[56]Sch C'!D181</f>
        <v>0</v>
      </c>
      <c r="D170" s="501">
        <f>'[56]Sch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'[56]Sch C'!D182</f>
        <v>0</v>
      </c>
      <c r="D171" s="501">
        <f>'[56]Sch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'[56]Sch C'!D183</f>
        <v>0</v>
      </c>
      <c r="D172" s="501">
        <f>'[56]Sch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'[56]Sch C'!D184</f>
        <v>0</v>
      </c>
      <c r="D173" s="501">
        <f>'[56]Sch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'[56]Sch C'!D185</f>
        <v>0</v>
      </c>
      <c r="D174" s="501">
        <f>'[56]Sch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'[56]Sch C'!D186</f>
        <v>0</v>
      </c>
      <c r="D175" s="501">
        <f>'[56]Sch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'[56]Sch C'!D187</f>
        <v>0</v>
      </c>
      <c r="D176" s="501">
        <f>'[56]Sch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'[56]Sch C'!D188</f>
        <v>0</v>
      </c>
      <c r="D177" s="501">
        <f>'[56]Sch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'[56]Sch C'!D189</f>
        <v>0</v>
      </c>
      <c r="D178" s="501">
        <f>'[56]Sch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'[56]Sch C'!D190</f>
        <v>0</v>
      </c>
      <c r="D179" s="501">
        <f>'[56]Sch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'[56]Sch C'!D191</f>
        <v>0</v>
      </c>
      <c r="D180" s="501">
        <f>'[56]Sch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'[56]Sch C'!D192</f>
        <v>0</v>
      </c>
      <c r="D181" s="501">
        <f>'[56]Sch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'[56]Sch C'!D193</f>
        <v>0</v>
      </c>
      <c r="D182" s="501">
        <f>'[56]Sch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'[56]Sch C'!D194</f>
        <v>108379</v>
      </c>
      <c r="D183" s="501">
        <f>'[56]Sch C'!F194</f>
        <v>-4194</v>
      </c>
      <c r="E183" s="171">
        <f t="shared" si="37"/>
        <v>104185</v>
      </c>
      <c r="F183" s="216"/>
      <c r="G183" s="171">
        <f t="shared" si="38"/>
        <v>104185</v>
      </c>
      <c r="H183" s="172">
        <f t="shared" si="39"/>
        <v>2.7518336533262758E-2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'[56]Sch C'!D195</f>
        <v>3816</v>
      </c>
      <c r="D184" s="501">
        <f>'[56]Sch C'!F195</f>
        <v>-148</v>
      </c>
      <c r="E184" s="171">
        <f t="shared" si="37"/>
        <v>3668</v>
      </c>
      <c r="F184" s="216"/>
      <c r="G184" s="171">
        <f t="shared" si="38"/>
        <v>3668</v>
      </c>
      <c r="H184" s="172">
        <f t="shared" si="39"/>
        <v>9.688271670970658E-4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'[56]Sch C'!D196</f>
        <v>0</v>
      </c>
      <c r="D185" s="501">
        <f>'[56]Sch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'[56]Sch C'!D197</f>
        <v>88951</v>
      </c>
      <c r="D186" s="501">
        <f>'[56]Sch C'!F197</f>
        <v>-3442</v>
      </c>
      <c r="E186" s="171">
        <f t="shared" si="37"/>
        <v>85509</v>
      </c>
      <c r="F186" s="216"/>
      <c r="G186" s="171">
        <f t="shared" si="38"/>
        <v>85509</v>
      </c>
      <c r="H186" s="172">
        <f t="shared" si="39"/>
        <v>2.2585453171020446E-2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'[56]Sch C'!D198</f>
        <v>18554</v>
      </c>
      <c r="D187" s="501">
        <f>'[56]Sch C'!F198</f>
        <v>0</v>
      </c>
      <c r="E187" s="171">
        <f t="shared" si="37"/>
        <v>18554</v>
      </c>
      <c r="F187" s="216"/>
      <c r="G187" s="171">
        <f t="shared" si="38"/>
        <v>18554</v>
      </c>
      <c r="H187" s="172">
        <f t="shared" si="39"/>
        <v>4.9006595578841216E-3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'[56]Sch C'!D199</f>
        <v>0</v>
      </c>
      <c r="D188" s="501">
        <f>'[56]Sch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'[56]Sch C'!D200</f>
        <v>0</v>
      </c>
      <c r="D189" s="501">
        <f>'[56]Sch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'[56]Sch C'!D201</f>
        <v>0</v>
      </c>
      <c r="D190" s="501">
        <f>'[56]Sch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'[56]Sch C'!D202</f>
        <v>0</v>
      </c>
      <c r="D191" s="501">
        <f>'[56]Sch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'[56]Sch C'!D203</f>
        <v>0</v>
      </c>
      <c r="D192" s="501">
        <f>'[56]Sch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'[56]Sch C'!D204</f>
        <v>0</v>
      </c>
      <c r="D193" s="501">
        <f>'[56]Sch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'[56]Sch C'!D205</f>
        <v>59614</v>
      </c>
      <c r="D194" s="501">
        <f>'[56]Sch C'!F205</f>
        <v>4486</v>
      </c>
      <c r="E194" s="171">
        <f t="shared" si="37"/>
        <v>64100</v>
      </c>
      <c r="F194" s="216"/>
      <c r="G194" s="171">
        <f t="shared" si="38"/>
        <v>64100</v>
      </c>
      <c r="H194" s="172">
        <f t="shared" si="39"/>
        <v>1.6930703765245886E-2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'[56]Sch C'!D206</f>
        <v>582</v>
      </c>
      <c r="D195" s="501">
        <f>'[56]Sch C'!F206</f>
        <v>0</v>
      </c>
      <c r="E195" s="171">
        <f t="shared" si="37"/>
        <v>582</v>
      </c>
      <c r="F195" s="216"/>
      <c r="G195" s="171">
        <f t="shared" si="38"/>
        <v>582</v>
      </c>
      <c r="H195" s="172">
        <f t="shared" si="39"/>
        <v>1.5372339456120292E-4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'[56]Sch C'!D207</f>
        <v>0</v>
      </c>
      <c r="D196" s="501">
        <f>'[56]Sch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279896</v>
      </c>
      <c r="D197" s="501">
        <f>SUM(D164:D196)</f>
        <v>-3298</v>
      </c>
      <c r="E197" s="171">
        <f t="shared" ref="E197:F197" si="40">SUM(E164:E196)</f>
        <v>276598</v>
      </c>
      <c r="F197" s="171">
        <f t="shared" si="40"/>
        <v>0</v>
      </c>
      <c r="G197" s="171">
        <f>SUM(G164:G196)</f>
        <v>276598</v>
      </c>
      <c r="H197" s="172">
        <f>IF($G$208=0,0,G197/$G$208)</f>
        <v>7.3057703589071488E-2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'[56]Sch C'!D211</f>
        <v>86683</v>
      </c>
      <c r="D200" s="501">
        <f>'[56]Sch C'!F211</f>
        <v>0</v>
      </c>
      <c r="E200" s="171">
        <f t="shared" ref="E200:E205" si="41">C200+D200</f>
        <v>86683</v>
      </c>
      <c r="F200" s="171"/>
      <c r="G200" s="171">
        <f t="shared" ref="G200:G205" si="42">E200+F200</f>
        <v>86683</v>
      </c>
      <c r="H200" s="172">
        <f t="shared" ref="H200:H206" si="43">IF($G$208=0,0,G200/$G$208)</f>
        <v>2.2895541255582047E-2</v>
      </c>
      <c r="I200" s="473"/>
      <c r="J200" s="183">
        <v>5180</v>
      </c>
      <c r="K200" s="183">
        <v>5795</v>
      </c>
    </row>
    <row r="201" spans="1:14" s="167" customFormat="1">
      <c r="A201" s="169" t="s">
        <v>86</v>
      </c>
      <c r="B201" s="170" t="s">
        <v>45</v>
      </c>
      <c r="C201" s="501">
        <f>'[56]Sch C'!D212</f>
        <v>19775</v>
      </c>
      <c r="D201" s="501">
        <f>'[56]Sch C'!F212</f>
        <v>0</v>
      </c>
      <c r="E201" s="171">
        <f t="shared" si="41"/>
        <v>19775</v>
      </c>
      <c r="F201" s="171"/>
      <c r="G201" s="171">
        <f t="shared" si="42"/>
        <v>19775</v>
      </c>
      <c r="H201" s="172">
        <f t="shared" si="43"/>
        <v>5.223161731009944E-3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'[56]Sch C'!D213</f>
        <v>1548</v>
      </c>
      <c r="D202" s="501">
        <f>'[56]Sch C'!F213</f>
        <v>0</v>
      </c>
      <c r="E202" s="171">
        <f t="shared" si="41"/>
        <v>1548</v>
      </c>
      <c r="F202" s="171"/>
      <c r="G202" s="171">
        <f t="shared" si="42"/>
        <v>1548</v>
      </c>
      <c r="H202" s="172">
        <f t="shared" si="43"/>
        <v>4.0887253398752939E-4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'[56]Sch C'!D214</f>
        <v>0</v>
      </c>
      <c r="D203" s="501">
        <f>'[56]Sch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'[56]Sch C'!D215</f>
        <v>0</v>
      </c>
      <c r="D204" s="501">
        <f>'[56]Sch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'[56]Sch C'!D216</f>
        <v>1976</v>
      </c>
      <c r="D205" s="501">
        <f>'[56]Sch C'!F216</f>
        <v>0</v>
      </c>
      <c r="E205" s="171">
        <f t="shared" si="41"/>
        <v>1976</v>
      </c>
      <c r="F205" s="171"/>
      <c r="G205" s="171">
        <f t="shared" si="42"/>
        <v>1976</v>
      </c>
      <c r="H205" s="172">
        <f t="shared" si="43"/>
        <v>5.2191997878511505E-4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109982</v>
      </c>
      <c r="D206" s="501">
        <f>SUM(D200:D205)</f>
        <v>0</v>
      </c>
      <c r="E206" s="171">
        <f t="shared" ref="E206:F206" si="44">SUM(E200:E205)</f>
        <v>109982</v>
      </c>
      <c r="F206" s="171">
        <f t="shared" si="44"/>
        <v>0</v>
      </c>
      <c r="G206" s="171">
        <f>SUM(G200:G205)</f>
        <v>109982</v>
      </c>
      <c r="H206" s="172">
        <f t="shared" si="43"/>
        <v>2.9049495499364638E-2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3840828</v>
      </c>
      <c r="D208" s="501">
        <f>SUM(D25:D206)/2</f>
        <v>-54807</v>
      </c>
      <c r="E208" s="171">
        <f t="shared" ref="E208:F208" si="45">SUM(E25:E206)/2</f>
        <v>3786021</v>
      </c>
      <c r="F208" s="171">
        <f t="shared" si="45"/>
        <v>0</v>
      </c>
      <c r="G208" s="171">
        <f>SUM(G25:G206)/2</f>
        <v>3786021</v>
      </c>
      <c r="H208" s="172">
        <f>IF($G$208=0,0,G208/$G$208)</f>
        <v>1</v>
      </c>
      <c r="I208" s="473"/>
      <c r="J208" s="183">
        <f>SUM(J25:J200)</f>
        <v>71022</v>
      </c>
      <c r="K208" s="183">
        <f>SUM(K25:K200)</f>
        <v>77475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'[56]Sch C'!D221</f>
        <v>3840828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6969</v>
      </c>
      <c r="D215" s="501">
        <f>D21-D208</f>
        <v>50711</v>
      </c>
      <c r="E215" s="171">
        <f t="shared" ref="E215:F215" si="46">E21-E208</f>
        <v>57680</v>
      </c>
      <c r="F215" s="171">
        <f t="shared" si="46"/>
        <v>0</v>
      </c>
      <c r="G215" s="171">
        <f>G21-G208</f>
        <v>57680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'[56]Sch D'!C9</f>
        <v>10103</v>
      </c>
      <c r="D219" s="530"/>
      <c r="E219" s="234">
        <f t="shared" ref="E219:G227" si="47">C219+D219</f>
        <v>10103</v>
      </c>
      <c r="F219" s="233"/>
      <c r="G219" s="234">
        <f t="shared" si="47"/>
        <v>10103</v>
      </c>
      <c r="H219" s="172">
        <f t="shared" ref="H219:H228" si="48">IF($G$228=0,0,G219/$G$228)</f>
        <v>0.61792048929663612</v>
      </c>
      <c r="I219" s="473"/>
      <c r="J219" s="168"/>
      <c r="K219" s="168"/>
    </row>
    <row r="220" spans="1:11">
      <c r="A220" s="163"/>
      <c r="B220" s="170" t="s">
        <v>217</v>
      </c>
      <c r="C220" s="530">
        <f>'[56]Sch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'[56]Sch D'!E9</f>
        <v>1603</v>
      </c>
      <c r="D221" s="530"/>
      <c r="E221" s="234">
        <f t="shared" si="49"/>
        <v>1603</v>
      </c>
      <c r="F221" s="233"/>
      <c r="G221" s="234">
        <f t="shared" si="47"/>
        <v>1603</v>
      </c>
      <c r="H221" s="172">
        <f t="shared" si="48"/>
        <v>9.804281345565749E-2</v>
      </c>
      <c r="I221" s="473"/>
      <c r="J221" s="168"/>
      <c r="K221" s="168"/>
    </row>
    <row r="222" spans="1:11">
      <c r="A222" s="163"/>
      <c r="B222" s="202" t="s">
        <v>334</v>
      </c>
      <c r="C222" s="530">
        <f>'[56]Sch D'!F9</f>
        <v>99</v>
      </c>
      <c r="D222" s="530"/>
      <c r="E222" s="234">
        <f>C222+D222</f>
        <v>99</v>
      </c>
      <c r="F222" s="233"/>
      <c r="G222" s="234">
        <f>E222+F222</f>
        <v>99</v>
      </c>
      <c r="H222" s="172">
        <f t="shared" si="48"/>
        <v>6.0550458715596328E-3</v>
      </c>
      <c r="I222" s="473"/>
      <c r="J222" s="168"/>
      <c r="K222" s="168"/>
    </row>
    <row r="223" spans="1:11">
      <c r="A223" s="163"/>
      <c r="B223" s="170" t="s">
        <v>73</v>
      </c>
      <c r="C223" s="530">
        <f>'[56]Sch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'[56]Sch D'!H9</f>
        <v>3716</v>
      </c>
      <c r="D224" s="530"/>
      <c r="E224" s="234">
        <f t="shared" si="49"/>
        <v>3716</v>
      </c>
      <c r="F224" s="233"/>
      <c r="G224" s="234">
        <f t="shared" si="47"/>
        <v>3716</v>
      </c>
      <c r="H224" s="172">
        <f t="shared" si="48"/>
        <v>0.2272782874617737</v>
      </c>
      <c r="I224" s="473"/>
      <c r="J224" s="168"/>
      <c r="K224" s="168"/>
    </row>
    <row r="225" spans="1:11">
      <c r="A225" s="163"/>
      <c r="B225" s="170" t="s">
        <v>236</v>
      </c>
      <c r="C225" s="530">
        <f>'[56]Sch D'!I9</f>
        <v>829</v>
      </c>
      <c r="D225" s="530"/>
      <c r="E225" s="234">
        <f t="shared" si="49"/>
        <v>829</v>
      </c>
      <c r="F225" s="233"/>
      <c r="G225" s="234">
        <f t="shared" si="47"/>
        <v>829</v>
      </c>
      <c r="H225" s="172">
        <f t="shared" si="48"/>
        <v>5.0703363914373085E-2</v>
      </c>
      <c r="I225" s="473"/>
      <c r="J225" s="168"/>
      <c r="K225" s="168"/>
    </row>
    <row r="226" spans="1:11">
      <c r="A226" s="163"/>
      <c r="B226" s="170" t="s">
        <v>235</v>
      </c>
      <c r="C226" s="530">
        <f>'[56]Sch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'[56]Sch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16350</v>
      </c>
      <c r="D228" s="530">
        <f>SUM(D219:D227)</f>
        <v>0</v>
      </c>
      <c r="E228" s="236">
        <f>SUM(E219:E227)</f>
        <v>16350</v>
      </c>
      <c r="F228" s="236">
        <f>SUM(F219:F227)</f>
        <v>0</v>
      </c>
      <c r="G228" s="236">
        <f>SUM(G219:G227)</f>
        <v>16350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'[56]Sch D'!N22</f>
        <v>98</v>
      </c>
      <c r="D231" s="502"/>
      <c r="E231" s="234">
        <f>C231+D231</f>
        <v>98</v>
      </c>
      <c r="F231" s="234"/>
      <c r="G231" s="234">
        <f>E231+F231</f>
        <v>98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'[56]Sch D'!N24</f>
        <v>98</v>
      </c>
      <c r="D232" s="502"/>
      <c r="E232" s="234">
        <f>C232+D232</f>
        <v>98</v>
      </c>
      <c r="F232" s="234"/>
      <c r="G232" s="234">
        <f>E232+F232</f>
        <v>98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'[56]Sch D'!N28</f>
        <v>35770</v>
      </c>
      <c r="D235" s="438"/>
      <c r="E235" s="233">
        <f>E231*E233</f>
        <v>35770</v>
      </c>
      <c r="F235" s="238"/>
      <c r="G235" s="233">
        <f>G231*G233</f>
        <v>35770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'[56]Sch D'!N30</f>
        <v>0.45708694436678782</v>
      </c>
      <c r="D236" s="238"/>
      <c r="E236" s="242">
        <f>E228/E235</f>
        <v>0.45708694436678782</v>
      </c>
      <c r="F236" s="243"/>
      <c r="G236" s="242">
        <f>G228/G235</f>
        <v>0.45708694436678782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'[56]Sch D'!N32</f>
        <v>0.28244338831422983</v>
      </c>
      <c r="D237" s="238"/>
      <c r="E237" s="242">
        <f>(E219+E220)/E235</f>
        <v>0.28244338831422983</v>
      </c>
      <c r="F237" s="243"/>
      <c r="G237" s="242">
        <f>(G219+G220)/G235</f>
        <v>0.28244338831422983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'[56]Sch D'!N34</f>
        <v>0.61792048929663612</v>
      </c>
      <c r="D238" s="238"/>
      <c r="E238" s="242">
        <f>(E237/E236)</f>
        <v>0.61792048929663612</v>
      </c>
      <c r="F238" s="243"/>
      <c r="G238" s="242">
        <f>(G237/G236)</f>
        <v>0.61792048929663612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'[56]Sch B'!C85</f>
        <v>187.00904977375566</v>
      </c>
      <c r="I241" s="475"/>
    </row>
    <row r="242" spans="2:9">
      <c r="F242" s="142" t="s">
        <v>341</v>
      </c>
      <c r="G242" s="501">
        <f>'[56]Sch B'!E85</f>
        <v>187.00922722029989</v>
      </c>
      <c r="I242" s="475"/>
    </row>
    <row r="243" spans="2:9">
      <c r="F243" s="142" t="s">
        <v>342</v>
      </c>
      <c r="G243" s="501">
        <f>'[56]Sch B'!G85</f>
        <v>187.00896414342628</v>
      </c>
      <c r="I243" s="475"/>
    </row>
    <row r="244" spans="2:9">
      <c r="F244" s="142" t="s">
        <v>343</v>
      </c>
      <c r="G244" s="501">
        <f>'[56]Sch B'!I85</f>
        <v>187.01015228426397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E28CAB"/>
  </sheetPr>
  <dimension ref="A1:X246"/>
  <sheetViews>
    <sheetView showGridLines="0" topLeftCell="A182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431</v>
      </c>
      <c r="D2" s="244"/>
      <c r="E2" s="144"/>
      <c r="F2" s="421"/>
    </row>
    <row r="3" spans="1:11">
      <c r="A3" s="145"/>
      <c r="B3" s="140" t="s">
        <v>79</v>
      </c>
      <c r="C3" s="441">
        <v>42552</v>
      </c>
      <c r="D3" s="144"/>
      <c r="E3" s="147"/>
      <c r="F3" s="459"/>
    </row>
    <row r="4" spans="1:11">
      <c r="A4" s="145"/>
      <c r="B4" s="148" t="s">
        <v>80</v>
      </c>
      <c r="C4" s="441">
        <v>42916</v>
      </c>
      <c r="D4" s="144"/>
      <c r="E4" s="149"/>
      <c r="F4" s="459"/>
      <c r="G4" s="150"/>
    </row>
    <row r="5" spans="1:11">
      <c r="A5" s="145"/>
      <c r="B5" s="148"/>
      <c r="C5" s="151"/>
      <c r="D5" s="144"/>
      <c r="F5" s="459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5.5" thickBot="1">
      <c r="A10" s="163" t="s">
        <v>245</v>
      </c>
      <c r="B10" s="164" t="s">
        <v>246</v>
      </c>
      <c r="C10" s="165"/>
      <c r="D10" s="165"/>
      <c r="E10" s="165"/>
      <c r="F10" s="416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'[57]Sch B'!E10</f>
        <v>6982700.5600000005</v>
      </c>
      <c r="D11" s="501">
        <f>'[57]Sch B'!G10</f>
        <v>144489.33000000007</v>
      </c>
      <c r="E11" s="171">
        <f>C11+D11</f>
        <v>7127189.8900000006</v>
      </c>
      <c r="F11" s="171">
        <v>1416414</v>
      </c>
      <c r="G11" s="171">
        <f t="shared" ref="G11:G20" si="0">E11+F11</f>
        <v>8543603.8900000006</v>
      </c>
      <c r="H11" s="172">
        <f t="shared" ref="H11:H21" si="1">IF($G$21=0,0,G11/$G$21)</f>
        <v>0.50492575815533469</v>
      </c>
      <c r="I11" s="472"/>
      <c r="J11" s="336" t="s">
        <v>344</v>
      </c>
      <c r="K11" s="337">
        <f>G21</f>
        <v>16920515.050000001</v>
      </c>
    </row>
    <row r="12" spans="1:11" s="167" customFormat="1">
      <c r="A12" s="169" t="s">
        <v>15</v>
      </c>
      <c r="B12" s="170" t="s">
        <v>212</v>
      </c>
      <c r="C12" s="501">
        <f>'[57]Sch B'!E15</f>
        <v>0</v>
      </c>
      <c r="D12" s="501">
        <f>'[57]Sch B'!G15</f>
        <v>339012</v>
      </c>
      <c r="E12" s="171">
        <f t="shared" ref="E12:E20" si="2">C12+D12</f>
        <v>339012</v>
      </c>
      <c r="F12" s="171"/>
      <c r="G12" s="171">
        <f>E12+F12</f>
        <v>339012</v>
      </c>
      <c r="H12" s="172">
        <f t="shared" si="1"/>
        <v>2.0035560324152189E-2</v>
      </c>
      <c r="I12" s="473"/>
      <c r="J12" s="338" t="s">
        <v>345</v>
      </c>
      <c r="K12" s="339">
        <f>G208</f>
        <v>14072171.140000002</v>
      </c>
    </row>
    <row r="13" spans="1:11" s="167" customFormat="1">
      <c r="A13" s="169" t="s">
        <v>16</v>
      </c>
      <c r="B13" s="170" t="s">
        <v>170</v>
      </c>
      <c r="C13" s="501">
        <f>'[57]Sch B'!E21</f>
        <v>3829573.79</v>
      </c>
      <c r="D13" s="501">
        <f>'[57]Sch B'!G21</f>
        <v>320687</v>
      </c>
      <c r="E13" s="171">
        <f t="shared" si="2"/>
        <v>4150260.79</v>
      </c>
      <c r="F13" s="171"/>
      <c r="G13" s="171">
        <f t="shared" si="0"/>
        <v>4150260.79</v>
      </c>
      <c r="H13" s="172">
        <f t="shared" si="1"/>
        <v>0.24527981433993051</v>
      </c>
      <c r="I13" s="473"/>
      <c r="J13" s="338" t="s">
        <v>346</v>
      </c>
      <c r="K13" s="339">
        <f>G228</f>
        <v>46810</v>
      </c>
    </row>
    <row r="14" spans="1:11" s="167" customFormat="1">
      <c r="A14" s="173" t="s">
        <v>18</v>
      </c>
      <c r="B14" s="174" t="s">
        <v>306</v>
      </c>
      <c r="C14" s="501">
        <f>'[57]Sch B'!E27</f>
        <v>1145069.6200000001</v>
      </c>
      <c r="D14" s="501">
        <f>'[57]Sch B'!G27</f>
        <v>0</v>
      </c>
      <c r="E14" s="171">
        <f t="shared" si="2"/>
        <v>1145069.6200000001</v>
      </c>
      <c r="F14" s="171"/>
      <c r="G14" s="175">
        <f>E14+F14</f>
        <v>1145069.6200000001</v>
      </c>
      <c r="H14" s="176">
        <f t="shared" si="1"/>
        <v>6.7673449455665363E-2</v>
      </c>
      <c r="I14" s="479"/>
      <c r="J14" s="338" t="s">
        <v>347</v>
      </c>
      <c r="K14" s="339">
        <f>G231</f>
        <v>168</v>
      </c>
    </row>
    <row r="15" spans="1:11" s="167" customFormat="1">
      <c r="A15" s="169" t="s">
        <v>19</v>
      </c>
      <c r="B15" s="170" t="s">
        <v>171</v>
      </c>
      <c r="C15" s="501">
        <f>'[57]Sch B'!E32</f>
        <v>0</v>
      </c>
      <c r="D15" s="501">
        <f>'[57]Sch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61320</v>
      </c>
    </row>
    <row r="16" spans="1:11" s="167" customFormat="1">
      <c r="A16" s="169" t="s">
        <v>21</v>
      </c>
      <c r="B16" s="170" t="s">
        <v>172</v>
      </c>
      <c r="C16" s="501">
        <f>'[57]Sch B'!E37</f>
        <v>1040282.1499999999</v>
      </c>
      <c r="D16" s="501">
        <f>'[57]Sch B'!G37</f>
        <v>334484</v>
      </c>
      <c r="E16" s="171">
        <f t="shared" si="2"/>
        <v>1374766.15</v>
      </c>
      <c r="F16" s="171"/>
      <c r="G16" s="171">
        <f t="shared" si="0"/>
        <v>1374766.15</v>
      </c>
      <c r="H16" s="172">
        <f t="shared" si="1"/>
        <v>8.124848126298613E-2</v>
      </c>
      <c r="I16" s="473"/>
      <c r="J16" s="340"/>
      <c r="K16" s="339"/>
    </row>
    <row r="17" spans="1:24" s="167" customFormat="1">
      <c r="A17" s="169" t="s">
        <v>215</v>
      </c>
      <c r="B17" s="170" t="s">
        <v>228</v>
      </c>
      <c r="C17" s="501">
        <f>'[57]Sch B'!E42</f>
        <v>0</v>
      </c>
      <c r="D17" s="501">
        <f>'[57]Sch B'!G42</f>
        <v>911852</v>
      </c>
      <c r="E17" s="171">
        <f t="shared" si="2"/>
        <v>911852</v>
      </c>
      <c r="F17" s="171"/>
      <c r="G17" s="171">
        <f>E17+F17</f>
        <v>911852</v>
      </c>
      <c r="H17" s="172">
        <f t="shared" si="1"/>
        <v>5.3890321736985186E-2</v>
      </c>
      <c r="I17" s="473"/>
      <c r="J17" s="338" t="s">
        <v>156</v>
      </c>
      <c r="K17" s="339">
        <f>J208</f>
        <v>287257.16000000003</v>
      </c>
    </row>
    <row r="18" spans="1:24" s="167" customFormat="1" ht="13.5" thickBot="1">
      <c r="A18" s="169" t="s">
        <v>216</v>
      </c>
      <c r="B18" s="170" t="s">
        <v>229</v>
      </c>
      <c r="C18" s="501">
        <f>'[57]Sch B'!E47</f>
        <v>1247189.9099999999</v>
      </c>
      <c r="D18" s="501">
        <f>'[57]Sch B'!G47</f>
        <v>-911852</v>
      </c>
      <c r="E18" s="171">
        <f t="shared" si="2"/>
        <v>335337.90999999992</v>
      </c>
      <c r="F18" s="171"/>
      <c r="G18" s="171">
        <f>E18+F18</f>
        <v>335337.90999999992</v>
      </c>
      <c r="H18" s="172">
        <f t="shared" si="1"/>
        <v>1.9818422134851025E-2</v>
      </c>
      <c r="I18" s="473"/>
      <c r="J18" s="341" t="s">
        <v>252</v>
      </c>
      <c r="K18" s="342">
        <f>K208</f>
        <v>307812</v>
      </c>
    </row>
    <row r="19" spans="1:24" s="167" customFormat="1">
      <c r="A19" s="169" t="s">
        <v>227</v>
      </c>
      <c r="B19" s="177" t="s">
        <v>173</v>
      </c>
      <c r="C19" s="501">
        <f>'[57]Sch B'!E52</f>
        <v>0</v>
      </c>
      <c r="D19" s="501">
        <f>'[57]Sch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24" s="167" customFormat="1">
      <c r="A20" s="169" t="s">
        <v>183</v>
      </c>
      <c r="B20" s="23" t="s">
        <v>180</v>
      </c>
      <c r="C20" s="501">
        <f>'[57]Sch B'!E67</f>
        <v>175711.69</v>
      </c>
      <c r="D20" s="501">
        <f>'[57]Sch B'!G67</f>
        <v>0</v>
      </c>
      <c r="E20" s="171">
        <f t="shared" si="2"/>
        <v>175711.69</v>
      </c>
      <c r="F20" s="171">
        <v>-55099</v>
      </c>
      <c r="G20" s="171">
        <f t="shared" si="0"/>
        <v>120612.69</v>
      </c>
      <c r="H20" s="172">
        <f t="shared" si="1"/>
        <v>7.1281925900949453E-3</v>
      </c>
      <c r="I20" s="473"/>
      <c r="J20" s="168"/>
      <c r="K20" s="168"/>
    </row>
    <row r="21" spans="1:24" s="167" customFormat="1">
      <c r="A21" s="169"/>
      <c r="B21" s="178" t="s">
        <v>77</v>
      </c>
      <c r="C21" s="501">
        <f>SUM(C11:C20)</f>
        <v>14420527.720000003</v>
      </c>
      <c r="D21" s="501">
        <f>SUM(D11:D20)</f>
        <v>1138672.33</v>
      </c>
      <c r="E21" s="171">
        <f>SUM(E11:E20)</f>
        <v>15559200.050000001</v>
      </c>
      <c r="F21" s="171">
        <f>SUM(F11:F20)</f>
        <v>1361315</v>
      </c>
      <c r="G21" s="171">
        <f>SUM(G11:G20)</f>
        <v>16920515.050000001</v>
      </c>
      <c r="H21" s="172">
        <f t="shared" si="1"/>
        <v>1</v>
      </c>
      <c r="I21" s="473"/>
      <c r="J21" s="168"/>
      <c r="K21" s="168"/>
    </row>
    <row r="22" spans="1:24" ht="12" customHeight="1">
      <c r="A22" s="145"/>
      <c r="B22" s="179"/>
      <c r="C22" s="151"/>
      <c r="D22" s="144"/>
      <c r="F22" s="144"/>
      <c r="G22" s="144"/>
      <c r="I22" s="475"/>
    </row>
    <row r="23" spans="1:24" ht="26.5">
      <c r="A23" s="180" t="s">
        <v>231</v>
      </c>
      <c r="B23" s="179" t="s">
        <v>222</v>
      </c>
      <c r="C23" s="151"/>
      <c r="D23" s="144"/>
      <c r="F23"/>
      <c r="G23" s="144"/>
      <c r="I23" s="475"/>
      <c r="U23" s="140" t="s">
        <v>410</v>
      </c>
      <c r="W23" s="140" t="s">
        <v>411</v>
      </c>
    </row>
    <row r="24" spans="1:24" ht="15.5">
      <c r="A24" s="181" t="s">
        <v>161</v>
      </c>
      <c r="B24" s="148" t="s">
        <v>12</v>
      </c>
      <c r="F24"/>
      <c r="I24" s="475"/>
      <c r="U24" s="140" t="s">
        <v>406</v>
      </c>
      <c r="V24" s="140" t="s">
        <v>407</v>
      </c>
      <c r="W24" s="140" t="s">
        <v>406</v>
      </c>
      <c r="X24" s="140" t="s">
        <v>407</v>
      </c>
    </row>
    <row r="25" spans="1:24" s="167" customFormat="1">
      <c r="A25" s="169" t="s">
        <v>83</v>
      </c>
      <c r="B25" s="170" t="s">
        <v>14</v>
      </c>
      <c r="C25" s="501">
        <f>'[57]Sch C'!D10</f>
        <v>0</v>
      </c>
      <c r="D25" s="501">
        <f>'[57]Sch C'!F10</f>
        <v>106538</v>
      </c>
      <c r="E25" s="171">
        <f t="shared" ref="E25:E60" si="3">C25+D25</f>
        <v>106538</v>
      </c>
      <c r="F25" s="171"/>
      <c r="G25" s="182">
        <f>E25+F25</f>
        <v>106538</v>
      </c>
      <c r="H25" s="172">
        <f>IF($G$208=0,0,G25/$G$208)</f>
        <v>7.5708289033784432E-3</v>
      </c>
      <c r="I25" s="473"/>
      <c r="J25" s="183">
        <v>2080</v>
      </c>
      <c r="K25" s="183">
        <v>2080</v>
      </c>
      <c r="U25" s="183">
        <v>0</v>
      </c>
      <c r="V25" s="183">
        <v>0</v>
      </c>
      <c r="W25" s="439">
        <v>0</v>
      </c>
      <c r="X25" s="439">
        <v>0</v>
      </c>
    </row>
    <row r="26" spans="1:24" s="167" customFormat="1">
      <c r="A26" s="169" t="s">
        <v>84</v>
      </c>
      <c r="B26" s="170" t="s">
        <v>176</v>
      </c>
      <c r="C26" s="501">
        <f>'[57]Sch C'!D11</f>
        <v>0</v>
      </c>
      <c r="D26" s="501">
        <f>'[57]Sch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  <c r="U26" s="183">
        <v>0</v>
      </c>
      <c r="V26" s="183">
        <v>0</v>
      </c>
      <c r="W26" s="439">
        <v>0</v>
      </c>
      <c r="X26" s="439">
        <v>0</v>
      </c>
    </row>
    <row r="27" spans="1:24" s="167" customFormat="1">
      <c r="A27" s="169" t="s">
        <v>85</v>
      </c>
      <c r="B27" s="170" t="s">
        <v>17</v>
      </c>
      <c r="C27" s="501">
        <f>'[57]Sch C'!D12</f>
        <v>195214.49</v>
      </c>
      <c r="D27" s="501">
        <f>'[57]Sch C'!F12</f>
        <v>-116674</v>
      </c>
      <c r="E27" s="171">
        <f t="shared" si="3"/>
        <v>78540.489999999991</v>
      </c>
      <c r="F27" s="171"/>
      <c r="G27" s="171">
        <f t="shared" si="4"/>
        <v>78540.489999999991</v>
      </c>
      <c r="H27" s="172">
        <f t="shared" si="5"/>
        <v>5.5812631340695857E-3</v>
      </c>
      <c r="I27" s="473"/>
      <c r="J27" s="183">
        <v>8472</v>
      </c>
      <c r="K27" s="183">
        <v>9308</v>
      </c>
      <c r="U27" s="185">
        <v>2752</v>
      </c>
      <c r="V27" s="185">
        <v>2947</v>
      </c>
      <c r="W27" s="439">
        <v>8423</v>
      </c>
      <c r="X27" s="439">
        <v>8877</v>
      </c>
    </row>
    <row r="28" spans="1:24" s="167" customFormat="1">
      <c r="A28" s="169" t="s">
        <v>86</v>
      </c>
      <c r="B28" s="170" t="s">
        <v>45</v>
      </c>
      <c r="C28" s="501">
        <f>'[57]Sch C'!D13</f>
        <v>66782.13</v>
      </c>
      <c r="D28" s="501">
        <f>'[57]Sch C'!F13</f>
        <v>-247.51000000000022</v>
      </c>
      <c r="E28" s="171">
        <f t="shared" si="3"/>
        <v>66534.62000000001</v>
      </c>
      <c r="F28" s="171"/>
      <c r="G28" s="171">
        <f t="shared" si="4"/>
        <v>66534.62000000001</v>
      </c>
      <c r="H28" s="172">
        <f t="shared" si="5"/>
        <v>4.7280991211708645E-3</v>
      </c>
      <c r="I28" s="473"/>
      <c r="J28" s="168"/>
      <c r="K28" s="168"/>
      <c r="U28" s="168"/>
      <c r="V28" s="168"/>
      <c r="W28" s="461"/>
      <c r="X28" s="461"/>
    </row>
    <row r="29" spans="1:24" s="167" customFormat="1">
      <c r="A29" s="169" t="s">
        <v>175</v>
      </c>
      <c r="B29" s="170" t="s">
        <v>20</v>
      </c>
      <c r="C29" s="501">
        <f>'[57]Sch C'!D14</f>
        <v>0</v>
      </c>
      <c r="D29" s="501">
        <f>'[57]Sch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  <c r="U29" s="168"/>
      <c r="V29" s="168"/>
      <c r="W29" s="461"/>
      <c r="X29" s="461"/>
    </row>
    <row r="30" spans="1:24" s="167" customFormat="1">
      <c r="A30" s="169" t="s">
        <v>88</v>
      </c>
      <c r="B30" s="170" t="s">
        <v>22</v>
      </c>
      <c r="C30" s="501">
        <f>'[57]Sch C'!D15</f>
        <v>0</v>
      </c>
      <c r="D30" s="501">
        <f>'[57]Sch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  <c r="U30" s="168"/>
      <c r="V30" s="168"/>
      <c r="W30" s="461"/>
      <c r="X30" s="461"/>
    </row>
    <row r="31" spans="1:24" s="167" customFormat="1">
      <c r="A31" s="169" t="s">
        <v>89</v>
      </c>
      <c r="B31" s="170" t="s">
        <v>148</v>
      </c>
      <c r="C31" s="501">
        <f>'[57]Sch C'!D16</f>
        <v>806549.71</v>
      </c>
      <c r="D31" s="501">
        <f>'[57]Sch C'!F16</f>
        <v>-22298</v>
      </c>
      <c r="E31" s="171">
        <f t="shared" si="3"/>
        <v>784251.71</v>
      </c>
      <c r="F31" s="171"/>
      <c r="G31" s="171">
        <f t="shared" si="4"/>
        <v>784251.71</v>
      </c>
      <c r="H31" s="172">
        <f t="shared" si="5"/>
        <v>5.5730683076385595E-2</v>
      </c>
      <c r="I31" s="473"/>
      <c r="J31" s="168"/>
      <c r="K31" s="168"/>
      <c r="U31" s="168"/>
      <c r="V31" s="168"/>
      <c r="W31" s="461"/>
      <c r="X31" s="461"/>
    </row>
    <row r="32" spans="1:24" s="167" customFormat="1">
      <c r="A32" s="169" t="s">
        <v>90</v>
      </c>
      <c r="B32" s="170" t="s">
        <v>23</v>
      </c>
      <c r="C32" s="501">
        <f>'[57]Sch C'!D17</f>
        <v>20325.990000000002</v>
      </c>
      <c r="D32" s="501">
        <f>'[57]Sch C'!F17</f>
        <v>-20326</v>
      </c>
      <c r="E32" s="171">
        <f t="shared" si="3"/>
        <v>-9.9999999983992893E-3</v>
      </c>
      <c r="F32" s="171"/>
      <c r="G32" s="171">
        <f t="shared" si="4"/>
        <v>-9.9999999983992893E-3</v>
      </c>
      <c r="H32" s="172">
        <f t="shared" si="5"/>
        <v>-7.1062239784551732E-10</v>
      </c>
      <c r="I32" s="473"/>
      <c r="J32" s="168"/>
      <c r="K32" s="168"/>
      <c r="U32" s="168"/>
      <c r="V32" s="168"/>
      <c r="W32" s="461"/>
      <c r="X32" s="461"/>
    </row>
    <row r="33" spans="1:24" s="167" customFormat="1">
      <c r="A33" s="169" t="s">
        <v>91</v>
      </c>
      <c r="B33" s="170" t="s">
        <v>24</v>
      </c>
      <c r="C33" s="501">
        <f>'[57]Sch C'!D18</f>
        <v>13084.91</v>
      </c>
      <c r="D33" s="501">
        <f>'[57]Sch C'!F18</f>
        <v>0</v>
      </c>
      <c r="E33" s="171">
        <f t="shared" si="3"/>
        <v>13084.91</v>
      </c>
      <c r="F33" s="171"/>
      <c r="G33" s="171">
        <f t="shared" si="4"/>
        <v>13084.91</v>
      </c>
      <c r="H33" s="172">
        <f t="shared" si="5"/>
        <v>9.2984301212811976E-4</v>
      </c>
      <c r="I33" s="473"/>
      <c r="J33" s="168"/>
      <c r="K33" s="168"/>
      <c r="U33" s="168"/>
      <c r="V33" s="168"/>
      <c r="W33" s="461"/>
      <c r="X33" s="461"/>
    </row>
    <row r="34" spans="1:24" s="167" customFormat="1">
      <c r="A34" s="169" t="s">
        <v>92</v>
      </c>
      <c r="B34" s="170" t="s">
        <v>25</v>
      </c>
      <c r="C34" s="501">
        <f>'[57]Sch C'!D19</f>
        <v>49398.79</v>
      </c>
      <c r="D34" s="501">
        <f>'[57]Sch C'!F19</f>
        <v>0</v>
      </c>
      <c r="E34" s="171">
        <f t="shared" si="3"/>
        <v>49398.79</v>
      </c>
      <c r="F34" s="171"/>
      <c r="G34" s="171">
        <f t="shared" si="4"/>
        <v>49398.79</v>
      </c>
      <c r="H34" s="172">
        <f t="shared" si="5"/>
        <v>3.5103886606086283E-3</v>
      </c>
      <c r="I34" s="473"/>
      <c r="J34" s="168"/>
      <c r="K34" s="168"/>
      <c r="U34" s="168"/>
      <c r="V34" s="168"/>
      <c r="W34" s="461"/>
      <c r="X34" s="461"/>
    </row>
    <row r="35" spans="1:24" s="167" customFormat="1">
      <c r="A35" s="169" t="s">
        <v>93</v>
      </c>
      <c r="B35" s="170" t="s">
        <v>26</v>
      </c>
      <c r="C35" s="501">
        <f>'[57]Sch C'!D20</f>
        <v>29516.83</v>
      </c>
      <c r="D35" s="501">
        <f>'[57]Sch C'!F20</f>
        <v>0</v>
      </c>
      <c r="E35" s="171">
        <f t="shared" si="3"/>
        <v>29516.83</v>
      </c>
      <c r="F35" s="171"/>
      <c r="G35" s="171">
        <f t="shared" si="4"/>
        <v>29516.83</v>
      </c>
      <c r="H35" s="172">
        <f t="shared" si="5"/>
        <v>2.0975320514756046E-3</v>
      </c>
      <c r="I35" s="473"/>
      <c r="J35" s="168"/>
      <c r="K35" s="168"/>
      <c r="U35" s="168"/>
      <c r="V35" s="168"/>
      <c r="W35" s="461"/>
      <c r="X35" s="461"/>
    </row>
    <row r="36" spans="1:24" s="167" customFormat="1">
      <c r="A36" s="169" t="s">
        <v>94</v>
      </c>
      <c r="B36" s="170" t="s">
        <v>27</v>
      </c>
      <c r="C36" s="501">
        <f>'[57]Sch C'!D21</f>
        <v>111541.64</v>
      </c>
      <c r="D36" s="501">
        <f>'[57]Sch C'!F21</f>
        <v>0</v>
      </c>
      <c r="E36" s="171">
        <f t="shared" si="3"/>
        <v>111541.64</v>
      </c>
      <c r="F36" s="171">
        <v>-8583</v>
      </c>
      <c r="G36" s="171">
        <f t="shared" si="4"/>
        <v>102958.64</v>
      </c>
      <c r="H36" s="172">
        <f t="shared" si="5"/>
        <v>7.3164715647424947E-3</v>
      </c>
      <c r="I36" s="473"/>
      <c r="J36" s="168"/>
      <c r="K36" s="168"/>
      <c r="U36" s="168"/>
      <c r="V36" s="168"/>
      <c r="W36" s="461"/>
      <c r="X36" s="461"/>
    </row>
    <row r="37" spans="1:24" s="167" customFormat="1">
      <c r="A37" s="163">
        <v>130</v>
      </c>
      <c r="B37" s="170" t="s">
        <v>28</v>
      </c>
      <c r="C37" s="501">
        <f>'[57]Sch C'!D22</f>
        <v>0</v>
      </c>
      <c r="D37" s="501">
        <f>'[57]Sch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  <c r="U37" s="168"/>
      <c r="V37" s="168"/>
      <c r="W37" s="461"/>
      <c r="X37" s="461"/>
    </row>
    <row r="38" spans="1:24" s="167" customFormat="1">
      <c r="A38" s="163">
        <v>140</v>
      </c>
      <c r="B38" s="170" t="s">
        <v>149</v>
      </c>
      <c r="C38" s="501">
        <f>'[57]Sch C'!D23</f>
        <v>35955.54</v>
      </c>
      <c r="D38" s="501">
        <f>'[57]Sch C'!F23</f>
        <v>0</v>
      </c>
      <c r="E38" s="171">
        <f t="shared" si="3"/>
        <v>35955.54</v>
      </c>
      <c r="F38" s="171">
        <v>-7491</v>
      </c>
      <c r="G38" s="171">
        <f t="shared" si="4"/>
        <v>28464.54</v>
      </c>
      <c r="H38" s="172">
        <f t="shared" si="5"/>
        <v>2.0227539671607486E-3</v>
      </c>
      <c r="I38" s="473"/>
      <c r="J38" s="168"/>
      <c r="K38" s="168"/>
      <c r="U38" s="168"/>
      <c r="V38" s="168"/>
      <c r="W38" s="461"/>
      <c r="X38" s="461"/>
    </row>
    <row r="39" spans="1:24" s="167" customFormat="1">
      <c r="A39" s="163">
        <v>150</v>
      </c>
      <c r="B39" s="170" t="s">
        <v>29</v>
      </c>
      <c r="C39" s="501">
        <f>'[57]Sch C'!D24</f>
        <v>146583.31</v>
      </c>
      <c r="D39" s="501">
        <f>'[57]Sch C'!F24</f>
        <v>-14072</v>
      </c>
      <c r="E39" s="171">
        <f t="shared" si="3"/>
        <v>132511.31</v>
      </c>
      <c r="F39" s="171"/>
      <c r="G39" s="171">
        <f t="shared" si="4"/>
        <v>132511.31</v>
      </c>
      <c r="H39" s="172">
        <f t="shared" si="5"/>
        <v>9.416550486892385E-3</v>
      </c>
      <c r="I39" s="473"/>
      <c r="J39" s="168"/>
      <c r="K39" s="168"/>
      <c r="U39" s="168"/>
      <c r="V39" s="168"/>
      <c r="W39" s="461"/>
      <c r="X39" s="461"/>
    </row>
    <row r="40" spans="1:24" s="167" customFormat="1">
      <c r="A40" s="163">
        <v>160</v>
      </c>
      <c r="B40" s="170" t="s">
        <v>30</v>
      </c>
      <c r="C40" s="501">
        <f>'[57]Sch C'!D25</f>
        <v>0</v>
      </c>
      <c r="D40" s="501">
        <f>'[57]Sch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  <c r="U40" s="168"/>
      <c r="V40" s="168"/>
      <c r="W40" s="461"/>
      <c r="X40" s="461"/>
    </row>
    <row r="41" spans="1:24" s="167" customFormat="1">
      <c r="A41" s="163">
        <v>170</v>
      </c>
      <c r="B41" s="170" t="s">
        <v>31</v>
      </c>
      <c r="C41" s="501">
        <f>'[57]Sch C'!D26</f>
        <v>682904.34</v>
      </c>
      <c r="D41" s="501">
        <f>'[57]Sch C'!F26</f>
        <v>0</v>
      </c>
      <c r="E41" s="171">
        <f t="shared" si="3"/>
        <v>682904.34</v>
      </c>
      <c r="F41" s="171"/>
      <c r="G41" s="171">
        <f t="shared" si="4"/>
        <v>682904.34</v>
      </c>
      <c r="H41" s="172">
        <f t="shared" si="5"/>
        <v>4.8528711966759085E-2</v>
      </c>
      <c r="I41" s="473"/>
      <c r="J41" s="168"/>
      <c r="K41" s="168"/>
      <c r="U41" s="168"/>
      <c r="V41" s="168"/>
      <c r="W41" s="461"/>
      <c r="X41" s="461"/>
    </row>
    <row r="42" spans="1:24" s="167" customFormat="1">
      <c r="A42" s="163">
        <v>180</v>
      </c>
      <c r="B42" s="170" t="s">
        <v>32</v>
      </c>
      <c r="C42" s="501">
        <f>'[57]Sch C'!D27</f>
        <v>13770.63</v>
      </c>
      <c r="D42" s="501">
        <f>'[57]Sch C'!F27</f>
        <v>0</v>
      </c>
      <c r="E42" s="171">
        <f t="shared" si="3"/>
        <v>13770.63</v>
      </c>
      <c r="F42" s="171"/>
      <c r="G42" s="171">
        <f t="shared" si="4"/>
        <v>13770.63</v>
      </c>
      <c r="H42" s="172">
        <f t="shared" si="5"/>
        <v>9.785718112009826E-4</v>
      </c>
      <c r="I42" s="473"/>
      <c r="J42" s="168"/>
      <c r="K42" s="168"/>
      <c r="U42" s="168"/>
      <c r="V42" s="168"/>
      <c r="W42" s="461"/>
      <c r="X42" s="461"/>
    </row>
    <row r="43" spans="1:24" s="167" customFormat="1">
      <c r="A43" s="163">
        <v>190</v>
      </c>
      <c r="B43" s="170" t="s">
        <v>33</v>
      </c>
      <c r="C43" s="501">
        <f>'[57]Sch C'!D28</f>
        <v>0</v>
      </c>
      <c r="D43" s="501">
        <f>'[57]Sch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  <c r="U43" s="168"/>
      <c r="V43" s="168"/>
      <c r="W43" s="461"/>
      <c r="X43" s="461"/>
    </row>
    <row r="44" spans="1:24" s="167" customFormat="1">
      <c r="A44" s="163">
        <v>200</v>
      </c>
      <c r="B44" s="170" t="s">
        <v>34</v>
      </c>
      <c r="C44" s="501">
        <f>'[57]Sch C'!D29</f>
        <v>551438.36</v>
      </c>
      <c r="D44" s="501">
        <f>'[57]Sch C'!F29</f>
        <v>-551438.36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  <c r="U44" s="168"/>
      <c r="V44" s="168"/>
      <c r="W44" s="461"/>
      <c r="X44" s="461"/>
    </row>
    <row r="45" spans="1:24" s="167" customFormat="1">
      <c r="A45" s="163">
        <v>210</v>
      </c>
      <c r="B45" s="170" t="s">
        <v>35</v>
      </c>
      <c r="C45" s="501">
        <f>'[57]Sch C'!D30</f>
        <v>0</v>
      </c>
      <c r="D45" s="501">
        <f>'[57]Sch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  <c r="U45" s="168"/>
      <c r="V45" s="168"/>
      <c r="W45" s="461"/>
      <c r="X45" s="461"/>
    </row>
    <row r="46" spans="1:24" s="167" customFormat="1">
      <c r="A46" s="163">
        <v>220</v>
      </c>
      <c r="B46" s="170" t="s">
        <v>190</v>
      </c>
      <c r="C46" s="501">
        <f>'[57]Sch C'!D31</f>
        <v>1018.67</v>
      </c>
      <c r="D46" s="501">
        <f>'[57]Sch C'!F31</f>
        <v>0</v>
      </c>
      <c r="E46" s="171">
        <f t="shared" si="3"/>
        <v>1018.67</v>
      </c>
      <c r="F46" s="171"/>
      <c r="G46" s="171">
        <f t="shared" si="4"/>
        <v>1018.67</v>
      </c>
      <c r="H46" s="172">
        <f t="shared" si="5"/>
        <v>7.2388971812916691E-5</v>
      </c>
      <c r="I46" s="473"/>
      <c r="J46" s="168"/>
      <c r="K46" s="168"/>
      <c r="U46" s="168"/>
      <c r="V46" s="168"/>
      <c r="W46" s="461"/>
      <c r="X46" s="461"/>
    </row>
    <row r="47" spans="1:24" s="167" customFormat="1">
      <c r="A47" s="163">
        <v>230</v>
      </c>
      <c r="B47" s="170" t="s">
        <v>191</v>
      </c>
      <c r="C47" s="501">
        <f>'[57]Sch C'!D32</f>
        <v>500</v>
      </c>
      <c r="D47" s="501">
        <f>'[57]Sch C'!F32</f>
        <v>23281</v>
      </c>
      <c r="E47" s="171">
        <f t="shared" si="3"/>
        <v>23781</v>
      </c>
      <c r="F47" s="171"/>
      <c r="G47" s="171">
        <f t="shared" si="4"/>
        <v>23781</v>
      </c>
      <c r="H47" s="172">
        <f t="shared" si="5"/>
        <v>1.6899311245869339E-3</v>
      </c>
      <c r="I47" s="473"/>
      <c r="J47" s="168"/>
      <c r="K47" s="168"/>
      <c r="U47" s="168"/>
      <c r="V47" s="168"/>
      <c r="W47" s="461"/>
      <c r="X47" s="461"/>
    </row>
    <row r="48" spans="1:24" s="167" customFormat="1">
      <c r="A48" s="163">
        <v>240</v>
      </c>
      <c r="B48" s="170" t="s">
        <v>201</v>
      </c>
      <c r="C48" s="501">
        <f>'[57]Sch C'!D33</f>
        <v>-0.03</v>
      </c>
      <c r="D48" s="501">
        <f>'[57]Sch C'!F33</f>
        <v>0.03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  <c r="U48" s="168"/>
      <c r="V48" s="168"/>
      <c r="W48" s="461"/>
      <c r="X48" s="461"/>
    </row>
    <row r="49" spans="1:24" s="167" customFormat="1">
      <c r="A49" s="163">
        <v>250</v>
      </c>
      <c r="B49" s="170" t="s">
        <v>202</v>
      </c>
      <c r="C49" s="501">
        <f>'[57]Sch C'!D34</f>
        <v>0</v>
      </c>
      <c r="D49" s="501">
        <f>'[57]Sch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  <c r="U49" s="168"/>
      <c r="V49" s="168"/>
      <c r="W49" s="461"/>
      <c r="X49" s="461"/>
    </row>
    <row r="50" spans="1:24" s="167" customFormat="1">
      <c r="A50" s="163">
        <v>270</v>
      </c>
      <c r="B50" s="170" t="s">
        <v>203</v>
      </c>
      <c r="C50" s="501">
        <f>'[57]Sch C'!D35</f>
        <v>26097.41</v>
      </c>
      <c r="D50" s="501">
        <f>'[57]Sch C'!F35</f>
        <v>-26097.41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  <c r="U50" s="168"/>
      <c r="V50" s="168"/>
      <c r="W50" s="461"/>
      <c r="X50" s="461"/>
    </row>
    <row r="51" spans="1:24" s="167" customFormat="1">
      <c r="A51" s="163">
        <v>280</v>
      </c>
      <c r="B51" s="170" t="s">
        <v>204</v>
      </c>
      <c r="C51" s="501">
        <f>'[57]Sch C'!D36</f>
        <v>0</v>
      </c>
      <c r="D51" s="501">
        <f>'[57]Sch C'!F36</f>
        <v>116674</v>
      </c>
      <c r="E51" s="171">
        <f t="shared" si="3"/>
        <v>116674</v>
      </c>
      <c r="F51" s="171"/>
      <c r="G51" s="171">
        <f t="shared" si="4"/>
        <v>116674</v>
      </c>
      <c r="H51" s="172">
        <f t="shared" si="5"/>
        <v>8.2911157659499562E-3</v>
      </c>
      <c r="I51" s="473"/>
      <c r="J51" s="183">
        <v>7539</v>
      </c>
      <c r="K51" s="183">
        <v>8013</v>
      </c>
      <c r="U51" s="183">
        <v>0</v>
      </c>
      <c r="V51" s="183">
        <v>0</v>
      </c>
      <c r="W51" s="439">
        <v>0</v>
      </c>
      <c r="X51" s="439">
        <v>0</v>
      </c>
    </row>
    <row r="52" spans="1:24" s="167" customFormat="1">
      <c r="A52" s="163">
        <v>290</v>
      </c>
      <c r="B52" s="170" t="s">
        <v>205</v>
      </c>
      <c r="C52" s="501">
        <f>'[57]Sch C'!D37</f>
        <v>0</v>
      </c>
      <c r="D52" s="501">
        <f>'[57]Sch C'!F37</f>
        <v>11434</v>
      </c>
      <c r="E52" s="171">
        <f t="shared" si="3"/>
        <v>11434</v>
      </c>
      <c r="F52" s="171"/>
      <c r="G52" s="171">
        <f t="shared" si="4"/>
        <v>11434</v>
      </c>
      <c r="H52" s="172">
        <f t="shared" si="5"/>
        <v>8.1252564982662635E-4</v>
      </c>
      <c r="I52" s="473"/>
      <c r="J52" s="168"/>
      <c r="K52" s="168"/>
      <c r="U52" s="168"/>
      <c r="V52" s="168"/>
      <c r="W52" s="461"/>
      <c r="X52" s="461"/>
    </row>
    <row r="53" spans="1:24" s="167" customFormat="1">
      <c r="A53" s="163">
        <v>300</v>
      </c>
      <c r="B53" s="170" t="s">
        <v>206</v>
      </c>
      <c r="C53" s="501">
        <f>'[57]Sch C'!D38</f>
        <v>275.83999999999997</v>
      </c>
      <c r="D53" s="501">
        <f>'[57]Sch C'!F38</f>
        <v>0</v>
      </c>
      <c r="E53" s="171">
        <f t="shared" si="3"/>
        <v>275.83999999999997</v>
      </c>
      <c r="F53" s="171"/>
      <c r="G53" s="171">
        <f t="shared" si="4"/>
        <v>275.83999999999997</v>
      </c>
      <c r="H53" s="172">
        <f t="shared" si="5"/>
        <v>1.9601808225308431E-5</v>
      </c>
      <c r="I53" s="473"/>
      <c r="J53" s="168"/>
      <c r="K53" s="168"/>
      <c r="U53" s="168"/>
      <c r="V53" s="168"/>
      <c r="W53" s="461"/>
      <c r="X53" s="461"/>
    </row>
    <row r="54" spans="1:24" s="167" customFormat="1">
      <c r="A54" s="163">
        <v>310</v>
      </c>
      <c r="B54" s="170" t="s">
        <v>207</v>
      </c>
      <c r="C54" s="501">
        <f>'[57]Sch C'!D39</f>
        <v>5206.95</v>
      </c>
      <c r="D54" s="501">
        <f>'[57]Sch C'!F39</f>
        <v>0</v>
      </c>
      <c r="E54" s="171">
        <f t="shared" si="3"/>
        <v>5206.95</v>
      </c>
      <c r="F54" s="171"/>
      <c r="G54" s="171">
        <f t="shared" si="4"/>
        <v>5206.95</v>
      </c>
      <c r="H54" s="172">
        <f t="shared" si="5"/>
        <v>3.7001752950540073E-4</v>
      </c>
      <c r="I54" s="473"/>
      <c r="J54" s="168"/>
      <c r="K54" s="168"/>
      <c r="U54" s="168"/>
      <c r="V54" s="168"/>
      <c r="W54" s="461"/>
      <c r="X54" s="461"/>
    </row>
    <row r="55" spans="1:24" s="167" customFormat="1">
      <c r="A55" s="163">
        <v>320</v>
      </c>
      <c r="B55" s="170" t="s">
        <v>208</v>
      </c>
      <c r="C55" s="501">
        <f>'[57]Sch C'!D40</f>
        <v>20108.060000000001</v>
      </c>
      <c r="D55" s="501">
        <f>'[57]Sch C'!F40</f>
        <v>0</v>
      </c>
      <c r="E55" s="171">
        <f t="shared" si="3"/>
        <v>20108.060000000001</v>
      </c>
      <c r="F55" s="171"/>
      <c r="G55" s="171">
        <f t="shared" si="4"/>
        <v>20108.060000000001</v>
      </c>
      <c r="H55" s="172">
        <f t="shared" si="5"/>
        <v>1.4289237815508827E-3</v>
      </c>
      <c r="I55" s="473"/>
      <c r="J55" s="168"/>
      <c r="K55" s="168"/>
      <c r="U55" s="168"/>
      <c r="V55" s="168"/>
      <c r="W55" s="461"/>
      <c r="X55" s="461"/>
    </row>
    <row r="56" spans="1:24" s="167" customFormat="1">
      <c r="A56" s="163">
        <v>330</v>
      </c>
      <c r="B56" s="170" t="s">
        <v>48</v>
      </c>
      <c r="C56" s="501">
        <f>'[57]Sch C'!D41</f>
        <v>130585.64</v>
      </c>
      <c r="D56" s="501">
        <f>'[57]Sch C'!F41</f>
        <v>-20353</v>
      </c>
      <c r="E56" s="171">
        <f t="shared" si="3"/>
        <v>110232.64</v>
      </c>
      <c r="F56" s="171"/>
      <c r="G56" s="171">
        <f t="shared" si="4"/>
        <v>110232.64</v>
      </c>
      <c r="H56" s="172">
        <f t="shared" si="5"/>
        <v>7.8333782970180666E-3</v>
      </c>
      <c r="I56" s="473"/>
      <c r="J56" s="168"/>
      <c r="K56" s="168"/>
      <c r="U56" s="168"/>
      <c r="V56" s="168"/>
      <c r="W56" s="461"/>
      <c r="X56" s="461"/>
    </row>
    <row r="57" spans="1:24" s="167" customFormat="1">
      <c r="A57" s="163">
        <v>340</v>
      </c>
      <c r="B57" s="170" t="s">
        <v>209</v>
      </c>
      <c r="C57" s="501">
        <f>'[57]Sch C'!D42</f>
        <v>1940.26</v>
      </c>
      <c r="D57" s="501">
        <f>'[57]Sch C'!F42</f>
        <v>0</v>
      </c>
      <c r="E57" s="171">
        <f t="shared" si="3"/>
        <v>1940.26</v>
      </c>
      <c r="F57" s="171"/>
      <c r="G57" s="171">
        <f t="shared" si="4"/>
        <v>1940.26</v>
      </c>
      <c r="H57" s="172">
        <f t="shared" si="5"/>
        <v>1.3787922138644483E-4</v>
      </c>
      <c r="I57" s="473"/>
      <c r="J57" s="168"/>
      <c r="K57" s="168"/>
      <c r="U57" s="168"/>
      <c r="V57" s="168"/>
      <c r="W57" s="461"/>
      <c r="X57" s="461"/>
    </row>
    <row r="58" spans="1:24" s="167" customFormat="1">
      <c r="A58" s="163">
        <v>350</v>
      </c>
      <c r="B58" s="170" t="s">
        <v>210</v>
      </c>
      <c r="C58" s="501">
        <f>'[57]Sch C'!D43</f>
        <v>0</v>
      </c>
      <c r="D58" s="501">
        <f>'[57]Sch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  <c r="U58" s="168"/>
      <c r="V58" s="168"/>
      <c r="W58" s="461"/>
      <c r="X58" s="461"/>
    </row>
    <row r="59" spans="1:24" s="167" customFormat="1">
      <c r="A59" s="163">
        <v>360</v>
      </c>
      <c r="B59" s="170" t="s">
        <v>211</v>
      </c>
      <c r="C59" s="501">
        <f>'[57]Sch C'!D44</f>
        <v>0</v>
      </c>
      <c r="D59" s="501">
        <f>'[57]Sch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  <c r="U59" s="168"/>
      <c r="V59" s="168"/>
      <c r="W59" s="461"/>
      <c r="X59" s="461"/>
    </row>
    <row r="60" spans="1:24" s="167" customFormat="1">
      <c r="A60" s="163">
        <v>490</v>
      </c>
      <c r="B60" s="170" t="s">
        <v>36</v>
      </c>
      <c r="C60" s="501">
        <f>'[57]Sch C'!D45</f>
        <v>213896.31</v>
      </c>
      <c r="D60" s="501">
        <f>'[57]Sch C'!F45</f>
        <v>-137655.76999999999</v>
      </c>
      <c r="E60" s="171">
        <f t="shared" si="3"/>
        <v>76240.540000000008</v>
      </c>
      <c r="F60" s="171"/>
      <c r="G60" s="171">
        <f t="shared" si="4"/>
        <v>76240.540000000008</v>
      </c>
      <c r="H60" s="172">
        <f t="shared" si="5"/>
        <v>5.417823535650945E-3</v>
      </c>
      <c r="I60" s="473"/>
      <c r="J60" s="168"/>
      <c r="K60" s="168"/>
      <c r="U60" s="168"/>
      <c r="V60" s="168"/>
      <c r="W60" s="461"/>
      <c r="X60" s="461"/>
    </row>
    <row r="61" spans="1:24" s="167" customFormat="1">
      <c r="A61" s="163"/>
      <c r="B61" s="170" t="s">
        <v>177</v>
      </c>
      <c r="C61" s="501">
        <f>SUM(C25:C60)</f>
        <v>3122695.7800000003</v>
      </c>
      <c r="D61" s="501">
        <f>SUM(D25:D60)</f>
        <v>-651235.02</v>
      </c>
      <c r="E61" s="171">
        <f t="shared" ref="E61:F61" si="6">SUM(E25:E60)</f>
        <v>2471460.7599999998</v>
      </c>
      <c r="F61" s="171">
        <f t="shared" si="6"/>
        <v>-16074</v>
      </c>
      <c r="G61" s="171">
        <f>SUM(G25:G60)</f>
        <v>2455386.7599999998</v>
      </c>
      <c r="H61" s="186">
        <f t="shared" si="5"/>
        <v>0.17448528273086361</v>
      </c>
      <c r="I61" s="480"/>
      <c r="J61" s="168"/>
      <c r="K61" s="168"/>
      <c r="U61" s="168"/>
      <c r="V61" s="168"/>
      <c r="W61" s="461"/>
      <c r="X61" s="461"/>
    </row>
    <row r="62" spans="1:24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  <c r="U62" s="168"/>
      <c r="V62" s="168"/>
      <c r="W62" s="461"/>
      <c r="X62" s="461"/>
    </row>
    <row r="63" spans="1:2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  <c r="U63" s="168"/>
      <c r="V63" s="168"/>
      <c r="W63" s="461"/>
      <c r="X63" s="461"/>
    </row>
    <row r="64" spans="1:24" s="167" customFormat="1">
      <c r="A64" s="188">
        <v>230</v>
      </c>
      <c r="B64" s="189" t="s">
        <v>253</v>
      </c>
      <c r="C64" s="501">
        <f>'[57]Sch C'!D57</f>
        <v>953218.05</v>
      </c>
      <c r="D64" s="501">
        <f>'[57]Sch C'!F57</f>
        <v>0</v>
      </c>
      <c r="E64" s="171">
        <f t="shared" ref="E64:E78" si="7">C64+D64</f>
        <v>953218.05</v>
      </c>
      <c r="F64" s="171"/>
      <c r="G64" s="171">
        <f t="shared" ref="G64:G78" si="8">E64+F64</f>
        <v>953218.05</v>
      </c>
      <c r="H64" s="172">
        <f t="shared" ref="H64:H79" si="9">IF($G$208=0,0,G64/$G$208)</f>
        <v>6.7737809646905692E-2</v>
      </c>
      <c r="I64" s="473"/>
      <c r="J64" s="190"/>
      <c r="K64" s="168"/>
      <c r="U64" s="190"/>
      <c r="V64" s="168"/>
      <c r="W64" s="462"/>
      <c r="X64" s="461"/>
    </row>
    <row r="65" spans="1:24" s="167" customFormat="1">
      <c r="A65" s="191">
        <v>240</v>
      </c>
      <c r="B65" s="189" t="s">
        <v>254</v>
      </c>
      <c r="C65" s="501">
        <f>'[57]Sch C'!D58</f>
        <v>58549.98</v>
      </c>
      <c r="D65" s="501">
        <f>'[57]Sch C'!F58</f>
        <v>0</v>
      </c>
      <c r="E65" s="171">
        <f t="shared" si="7"/>
        <v>58549.98</v>
      </c>
      <c r="F65" s="171"/>
      <c r="G65" s="171">
        <f t="shared" si="8"/>
        <v>58549.98</v>
      </c>
      <c r="H65" s="172">
        <f t="shared" si="9"/>
        <v>4.1606927188067152E-3</v>
      </c>
      <c r="I65" s="473"/>
      <c r="J65" s="190"/>
      <c r="K65" s="168"/>
      <c r="U65" s="190"/>
      <c r="V65" s="168"/>
      <c r="W65" s="462"/>
      <c r="X65" s="461"/>
    </row>
    <row r="66" spans="1:24" s="167" customFormat="1">
      <c r="A66" s="142">
        <v>250</v>
      </c>
      <c r="B66" s="189" t="s">
        <v>307</v>
      </c>
      <c r="C66" s="501">
        <f>'[57]Sch C'!D59</f>
        <v>0</v>
      </c>
      <c r="D66" s="501">
        <f>'[57]Sch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  <c r="U66" s="190"/>
      <c r="V66" s="168"/>
      <c r="W66" s="462"/>
      <c r="X66" s="461"/>
    </row>
    <row r="67" spans="1:24" s="167" customFormat="1">
      <c r="A67" s="142">
        <v>260</v>
      </c>
      <c r="B67" s="192" t="s">
        <v>308</v>
      </c>
      <c r="C67" s="501">
        <f>'[57]Sch C'!D60</f>
        <v>49891.92</v>
      </c>
      <c r="D67" s="501">
        <f>'[57]Sch C'!F60</f>
        <v>0</v>
      </c>
      <c r="E67" s="171">
        <f t="shared" si="7"/>
        <v>49891.92</v>
      </c>
      <c r="F67" s="171"/>
      <c r="G67" s="171">
        <f t="shared" si="8"/>
        <v>49891.92</v>
      </c>
      <c r="H67" s="172">
        <f t="shared" si="9"/>
        <v>3.5454315829191933E-3</v>
      </c>
      <c r="I67" s="473"/>
      <c r="J67" s="193"/>
      <c r="K67" s="168"/>
      <c r="U67" s="193"/>
      <c r="V67" s="168"/>
      <c r="W67" s="463"/>
      <c r="X67" s="461"/>
    </row>
    <row r="68" spans="1:24" s="167" customFormat="1">
      <c r="A68" s="142">
        <v>270</v>
      </c>
      <c r="B68" s="192" t="s">
        <v>309</v>
      </c>
      <c r="C68" s="501">
        <f>'[57]Sch C'!D61</f>
        <v>36485.339999999997</v>
      </c>
      <c r="D68" s="501">
        <f>'[57]Sch C'!F61</f>
        <v>-23281</v>
      </c>
      <c r="E68" s="171">
        <f t="shared" si="7"/>
        <v>13204.339999999997</v>
      </c>
      <c r="F68" s="171"/>
      <c r="G68" s="171">
        <f t="shared" si="8"/>
        <v>13204.339999999997</v>
      </c>
      <c r="H68" s="172">
        <f t="shared" si="9"/>
        <v>9.3832997542694712E-4</v>
      </c>
      <c r="I68" s="473"/>
      <c r="J68" s="193"/>
      <c r="K68" s="168"/>
      <c r="U68" s="193"/>
      <c r="V68" s="168"/>
      <c r="W68" s="463"/>
      <c r="X68" s="461"/>
    </row>
    <row r="69" spans="1:24" s="167" customFormat="1">
      <c r="A69" s="142">
        <v>280</v>
      </c>
      <c r="B69" s="194" t="s">
        <v>258</v>
      </c>
      <c r="C69" s="501">
        <f>'[57]Sch C'!D62</f>
        <v>12287.67</v>
      </c>
      <c r="D69" s="501">
        <f>'[57]Sch C'!F62</f>
        <v>0</v>
      </c>
      <c r="E69" s="171">
        <f t="shared" si="7"/>
        <v>12287.67</v>
      </c>
      <c r="F69" s="171"/>
      <c r="G69" s="171">
        <f t="shared" si="8"/>
        <v>12287.67</v>
      </c>
      <c r="H69" s="172">
        <f t="shared" si="9"/>
        <v>8.7318935207321522E-4</v>
      </c>
      <c r="I69" s="473"/>
      <c r="J69" s="195"/>
      <c r="K69" s="168"/>
      <c r="U69" s="195"/>
      <c r="V69" s="168"/>
      <c r="W69" s="464"/>
      <c r="X69" s="461"/>
    </row>
    <row r="70" spans="1:24" s="167" customFormat="1">
      <c r="A70" s="142">
        <v>290</v>
      </c>
      <c r="B70" s="194" t="s">
        <v>259</v>
      </c>
      <c r="C70" s="501">
        <f>'[57]Sch C'!D63</f>
        <v>0</v>
      </c>
      <c r="D70" s="501">
        <f>'[57]Sch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  <c r="U70" s="195"/>
      <c r="V70" s="168"/>
      <c r="W70" s="464"/>
      <c r="X70" s="461"/>
    </row>
    <row r="71" spans="1:24" s="167" customFormat="1">
      <c r="A71" s="142">
        <v>300</v>
      </c>
      <c r="B71" s="194" t="s">
        <v>260</v>
      </c>
      <c r="C71" s="501">
        <f>'[57]Sch C'!D64</f>
        <v>0</v>
      </c>
      <c r="D71" s="501">
        <f>'[57]Sch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  <c r="U71" s="195"/>
      <c r="V71" s="168"/>
      <c r="W71" s="464"/>
      <c r="X71" s="461"/>
    </row>
    <row r="72" spans="1:24" s="167" customFormat="1">
      <c r="A72" s="142">
        <v>310</v>
      </c>
      <c r="B72" s="194" t="s">
        <v>310</v>
      </c>
      <c r="C72" s="501">
        <f>'[57]Sch C'!D65</f>
        <v>1555.2</v>
      </c>
      <c r="D72" s="501">
        <f>'[57]Sch C'!F65</f>
        <v>0</v>
      </c>
      <c r="E72" s="171">
        <f t="shared" si="7"/>
        <v>1555.2</v>
      </c>
      <c r="F72" s="171"/>
      <c r="G72" s="171">
        <f t="shared" si="8"/>
        <v>1555.2</v>
      </c>
      <c r="H72" s="172">
        <f t="shared" si="9"/>
        <v>1.1051599533062527E-4</v>
      </c>
      <c r="I72" s="473"/>
      <c r="J72" s="195"/>
      <c r="K72" s="168"/>
      <c r="U72" s="195"/>
      <c r="V72" s="168"/>
      <c r="W72" s="464"/>
      <c r="X72" s="461"/>
    </row>
    <row r="73" spans="1:24" s="167" customFormat="1">
      <c r="A73" s="142">
        <v>320</v>
      </c>
      <c r="B73" s="194" t="s">
        <v>262</v>
      </c>
      <c r="C73" s="501">
        <f>'[57]Sch C'!D66</f>
        <v>14485.08</v>
      </c>
      <c r="D73" s="501">
        <f>'[57]Sch C'!F66</f>
        <v>0</v>
      </c>
      <c r="E73" s="171">
        <f t="shared" si="7"/>
        <v>14485.08</v>
      </c>
      <c r="F73" s="171"/>
      <c r="G73" s="171">
        <f t="shared" si="8"/>
        <v>14485.08</v>
      </c>
      <c r="H73" s="172">
        <f t="shared" si="9"/>
        <v>1.0293422284231826E-3</v>
      </c>
      <c r="I73" s="473"/>
      <c r="J73" s="195"/>
      <c r="K73" s="168"/>
      <c r="U73" s="195"/>
      <c r="V73" s="168"/>
      <c r="W73" s="464"/>
      <c r="X73" s="461"/>
    </row>
    <row r="74" spans="1:24" s="167" customFormat="1">
      <c r="A74" s="142">
        <v>330</v>
      </c>
      <c r="B74" s="194" t="s">
        <v>263</v>
      </c>
      <c r="C74" s="501">
        <f>'[57]Sch C'!D67</f>
        <v>203964.06</v>
      </c>
      <c r="D74" s="501">
        <f>'[57]Sch C'!F67</f>
        <v>0</v>
      </c>
      <c r="E74" s="171">
        <f t="shared" si="7"/>
        <v>203964.06</v>
      </c>
      <c r="F74" s="171">
        <v>42</v>
      </c>
      <c r="G74" s="171">
        <f t="shared" si="8"/>
        <v>204006.06</v>
      </c>
      <c r="H74" s="172">
        <f t="shared" si="9"/>
        <v>1.4497127555542218E-2</v>
      </c>
      <c r="I74" s="473"/>
      <c r="J74" s="195"/>
      <c r="K74" s="168"/>
      <c r="U74" s="195"/>
      <c r="V74" s="168"/>
      <c r="W74" s="464"/>
      <c r="X74" s="461"/>
    </row>
    <row r="75" spans="1:24" s="167" customFormat="1">
      <c r="A75" s="142">
        <v>340</v>
      </c>
      <c r="B75" s="194" t="s">
        <v>264</v>
      </c>
      <c r="C75" s="501">
        <f>'[57]Sch C'!D68</f>
        <v>0</v>
      </c>
      <c r="D75" s="501">
        <f>'[57]Sch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  <c r="U75" s="195"/>
      <c r="V75" s="168"/>
      <c r="W75" s="464"/>
      <c r="X75" s="461"/>
    </row>
    <row r="76" spans="1:24" s="167" customFormat="1">
      <c r="A76" s="167">
        <v>350</v>
      </c>
      <c r="B76" s="194" t="s">
        <v>311</v>
      </c>
      <c r="C76" s="501">
        <f>'[57]Sch C'!D69</f>
        <v>51484.83</v>
      </c>
      <c r="D76" s="501">
        <f>'[57]Sch C'!F69</f>
        <v>0</v>
      </c>
      <c r="E76" s="171">
        <f t="shared" si="7"/>
        <v>51484.83</v>
      </c>
      <c r="F76" s="171"/>
      <c r="G76" s="171">
        <f t="shared" si="8"/>
        <v>51484.83</v>
      </c>
      <c r="H76" s="172">
        <f t="shared" si="9"/>
        <v>3.6586273353125232E-3</v>
      </c>
      <c r="I76" s="473"/>
      <c r="J76" s="195"/>
      <c r="K76" s="168"/>
      <c r="U76" s="195"/>
      <c r="V76" s="168"/>
      <c r="W76" s="464"/>
      <c r="X76" s="461"/>
    </row>
    <row r="77" spans="1:24" s="167" customFormat="1">
      <c r="A77" s="142">
        <v>360</v>
      </c>
      <c r="B77" s="194" t="s">
        <v>192</v>
      </c>
      <c r="C77" s="501">
        <f>'[57]Sch C'!D70</f>
        <v>0</v>
      </c>
      <c r="D77" s="501">
        <f>'[57]Sch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  <c r="U77" s="195"/>
      <c r="V77" s="168"/>
      <c r="W77" s="464"/>
      <c r="X77" s="461"/>
    </row>
    <row r="78" spans="1:24" s="167" customFormat="1">
      <c r="A78" s="142">
        <v>490</v>
      </c>
      <c r="B78" s="194" t="s">
        <v>312</v>
      </c>
      <c r="C78" s="501">
        <f>'[57]Sch C'!D71</f>
        <v>0</v>
      </c>
      <c r="D78" s="501">
        <f>'[57]Sch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  <c r="U78" s="195"/>
      <c r="V78" s="168"/>
      <c r="W78" s="464"/>
      <c r="X78" s="461"/>
    </row>
    <row r="79" spans="1:24" s="167" customFormat="1">
      <c r="A79" s="163"/>
      <c r="B79" s="170" t="s">
        <v>150</v>
      </c>
      <c r="C79" s="501">
        <f>SUM(C64:C78)</f>
        <v>1381922.1300000001</v>
      </c>
      <c r="D79" s="501">
        <f>SUM(D64:D78)</f>
        <v>-23281</v>
      </c>
      <c r="E79" s="171">
        <f t="shared" ref="E79:F79" si="10">SUM(E64:E78)</f>
        <v>1358641.1300000001</v>
      </c>
      <c r="F79" s="171">
        <f t="shared" si="10"/>
        <v>42</v>
      </c>
      <c r="G79" s="171">
        <f>SUM(G64:G78)</f>
        <v>1358683.1300000001</v>
      </c>
      <c r="H79" s="172">
        <f t="shared" si="9"/>
        <v>9.655106639074032E-2</v>
      </c>
      <c r="I79" s="473"/>
      <c r="J79" s="195"/>
      <c r="K79" s="168"/>
      <c r="U79" s="195"/>
      <c r="V79" s="168"/>
      <c r="W79" s="464"/>
      <c r="X79" s="461"/>
    </row>
    <row r="80" spans="1:24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  <c r="U80" s="168"/>
      <c r="V80" s="168"/>
      <c r="W80" s="461"/>
      <c r="X80" s="461"/>
    </row>
    <row r="81" spans="1:2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  <c r="U81" s="168"/>
      <c r="V81" s="168"/>
      <c r="W81" s="461"/>
      <c r="X81" s="461"/>
    </row>
    <row r="82" spans="1:24" s="167" customFormat="1">
      <c r="A82" s="169" t="s">
        <v>85</v>
      </c>
      <c r="B82" s="148" t="s">
        <v>44</v>
      </c>
      <c r="C82" s="501">
        <f>'[57]Sch C'!D75</f>
        <v>72199</v>
      </c>
      <c r="D82" s="501">
        <f>'[57]Sch C'!F75</f>
        <v>0</v>
      </c>
      <c r="E82" s="171">
        <f t="shared" ref="E82:E92" si="11">C82+D82</f>
        <v>72199</v>
      </c>
      <c r="F82" s="171"/>
      <c r="G82" s="171">
        <f t="shared" ref="G82:G92" si="12">E82+F82</f>
        <v>72199</v>
      </c>
      <c r="H82" s="172">
        <f t="shared" ref="H82:H93" si="13">IF($G$208=0,0,G82/$G$208)</f>
        <v>5.1306226510261154E-3</v>
      </c>
      <c r="I82" s="473"/>
      <c r="J82" s="183">
        <v>4109</v>
      </c>
      <c r="K82" s="183">
        <v>4705</v>
      </c>
      <c r="U82" s="183">
        <v>1132</v>
      </c>
      <c r="V82" s="183">
        <v>1252</v>
      </c>
      <c r="W82" s="439">
        <v>2896</v>
      </c>
      <c r="X82" s="439">
        <v>3233</v>
      </c>
    </row>
    <row r="83" spans="1:24" s="167" customFormat="1">
      <c r="A83" s="169" t="s">
        <v>86</v>
      </c>
      <c r="B83" s="199" t="s">
        <v>45</v>
      </c>
      <c r="C83" s="501">
        <f>'[57]Sch C'!D76</f>
        <v>7317.4</v>
      </c>
      <c r="D83" s="501">
        <f>'[57]Sch C'!F76</f>
        <v>0</v>
      </c>
      <c r="E83" s="171">
        <f t="shared" si="11"/>
        <v>7317.4</v>
      </c>
      <c r="F83" s="171"/>
      <c r="G83" s="171">
        <f t="shared" si="12"/>
        <v>7317.4</v>
      </c>
      <c r="H83" s="172">
        <f t="shared" si="13"/>
        <v>5.1999083348271428E-4</v>
      </c>
      <c r="I83" s="473"/>
      <c r="J83" s="168"/>
      <c r="K83" s="168"/>
      <c r="U83" s="168"/>
      <c r="V83" s="168"/>
      <c r="W83" s="461"/>
      <c r="X83" s="461"/>
    </row>
    <row r="84" spans="1:24" s="167" customFormat="1">
      <c r="A84" s="169" t="s">
        <v>93</v>
      </c>
      <c r="B84" s="199" t="s">
        <v>47</v>
      </c>
      <c r="C84" s="501">
        <f>'[57]Sch C'!D77</f>
        <v>4923.38</v>
      </c>
      <c r="D84" s="501">
        <f>'[57]Sch C'!F77</f>
        <v>0</v>
      </c>
      <c r="E84" s="171">
        <f t="shared" si="11"/>
        <v>4923.38</v>
      </c>
      <c r="F84" s="171"/>
      <c r="G84" s="171">
        <f t="shared" si="12"/>
        <v>4923.38</v>
      </c>
      <c r="H84" s="172">
        <f t="shared" si="13"/>
        <v>3.498664101664698E-4</v>
      </c>
      <c r="I84" s="473"/>
      <c r="J84" s="168"/>
      <c r="K84" s="168"/>
      <c r="U84" s="168"/>
      <c r="V84" s="168"/>
      <c r="W84" s="461"/>
      <c r="X84" s="461"/>
    </row>
    <row r="85" spans="1:24" s="167" customFormat="1">
      <c r="A85" s="169">
        <v>230</v>
      </c>
      <c r="B85" s="199" t="s">
        <v>46</v>
      </c>
      <c r="C85" s="501">
        <f>'[57]Sch C'!D78</f>
        <v>0</v>
      </c>
      <c r="D85" s="501">
        <f>'[57]Sch C'!F78</f>
        <v>0</v>
      </c>
      <c r="E85" s="171">
        <f t="shared" si="11"/>
        <v>0</v>
      </c>
      <c r="F85" s="171">
        <v>17774</v>
      </c>
      <c r="G85" s="171">
        <f t="shared" si="12"/>
        <v>17774</v>
      </c>
      <c r="H85" s="172">
        <f t="shared" si="13"/>
        <v>1.2630602501328019E-3</v>
      </c>
      <c r="I85" s="473"/>
      <c r="J85" s="168"/>
      <c r="K85" s="168"/>
      <c r="U85" s="168"/>
      <c r="V85" s="168"/>
      <c r="W85" s="461"/>
      <c r="X85" s="461"/>
    </row>
    <row r="86" spans="1:24" s="167" customFormat="1">
      <c r="A86" s="169">
        <v>240</v>
      </c>
      <c r="B86" s="200" t="s">
        <v>267</v>
      </c>
      <c r="C86" s="501">
        <f>'[57]Sch C'!D79</f>
        <v>9594.2000000000007</v>
      </c>
      <c r="D86" s="501">
        <f>'[57]Sch C'!F79</f>
        <v>0</v>
      </c>
      <c r="E86" s="171">
        <f t="shared" si="11"/>
        <v>9594.2000000000007</v>
      </c>
      <c r="F86" s="171"/>
      <c r="G86" s="171">
        <f>E86+F86</f>
        <v>9594.2000000000007</v>
      </c>
      <c r="H86" s="172">
        <f t="shared" si="13"/>
        <v>6.8178534105008039E-4</v>
      </c>
      <c r="I86" s="473"/>
      <c r="J86" s="168"/>
      <c r="K86" s="168"/>
      <c r="U86" s="168"/>
      <c r="V86" s="168"/>
      <c r="W86" s="461"/>
      <c r="X86" s="461"/>
    </row>
    <row r="87" spans="1:24" s="167" customFormat="1">
      <c r="A87" s="169">
        <v>310</v>
      </c>
      <c r="B87" s="199" t="s">
        <v>54</v>
      </c>
      <c r="C87" s="501">
        <f>'[57]Sch C'!D80</f>
        <v>18177.3</v>
      </c>
      <c r="D87" s="501">
        <f>'[57]Sch C'!F80</f>
        <v>0</v>
      </c>
      <c r="E87" s="171">
        <f t="shared" si="11"/>
        <v>18177.3</v>
      </c>
      <c r="F87" s="171"/>
      <c r="G87" s="171">
        <f t="shared" si="12"/>
        <v>18177.3</v>
      </c>
      <c r="H87" s="172">
        <f t="shared" si="13"/>
        <v>1.2917196514424991E-3</v>
      </c>
      <c r="I87" s="473"/>
      <c r="J87" s="168"/>
      <c r="K87" s="168"/>
      <c r="U87" s="168"/>
      <c r="V87" s="168"/>
      <c r="W87" s="461"/>
      <c r="X87" s="461"/>
    </row>
    <row r="88" spans="1:24" s="167" customFormat="1">
      <c r="A88" s="169">
        <v>320</v>
      </c>
      <c r="B88" s="201" t="s">
        <v>313</v>
      </c>
      <c r="C88" s="501">
        <f>'[57]Sch C'!D81</f>
        <v>2405.5700000000002</v>
      </c>
      <c r="D88" s="501">
        <f>'[57]Sch C'!F81</f>
        <v>0</v>
      </c>
      <c r="E88" s="171">
        <f t="shared" si="11"/>
        <v>2405.5700000000002</v>
      </c>
      <c r="F88" s="171"/>
      <c r="G88" s="171">
        <f t="shared" si="12"/>
        <v>2405.5700000000002</v>
      </c>
      <c r="H88" s="172">
        <f t="shared" si="13"/>
        <v>1.7094519218588752E-4</v>
      </c>
      <c r="I88" s="473"/>
      <c r="J88" s="168"/>
      <c r="K88" s="168"/>
      <c r="U88" s="168"/>
      <c r="V88" s="168"/>
      <c r="W88" s="461"/>
      <c r="X88" s="461"/>
    </row>
    <row r="89" spans="1:24" s="167" customFormat="1">
      <c r="A89" s="169">
        <v>330</v>
      </c>
      <c r="B89" s="201" t="s">
        <v>314</v>
      </c>
      <c r="C89" s="501">
        <f>'[57]Sch C'!D82</f>
        <v>65707.929999999993</v>
      </c>
      <c r="D89" s="501">
        <f>'[57]Sch C'!F82</f>
        <v>0</v>
      </c>
      <c r="E89" s="171">
        <f t="shared" si="11"/>
        <v>65707.929999999993</v>
      </c>
      <c r="F89" s="171">
        <f>-1900-3957</f>
        <v>-5857</v>
      </c>
      <c r="G89" s="171">
        <f t="shared" si="12"/>
        <v>59850.929999999993</v>
      </c>
      <c r="H89" s="172">
        <f t="shared" si="13"/>
        <v>4.2531411396692252E-3</v>
      </c>
      <c r="I89" s="473"/>
      <c r="J89" s="168"/>
      <c r="K89" s="168"/>
      <c r="U89" s="168"/>
      <c r="V89" s="168"/>
      <c r="W89" s="461"/>
      <c r="X89" s="461"/>
    </row>
    <row r="90" spans="1:24" s="167" customFormat="1">
      <c r="A90" s="163">
        <v>340</v>
      </c>
      <c r="B90" s="201" t="s">
        <v>300</v>
      </c>
      <c r="C90" s="501">
        <f>'[57]Sch C'!D83</f>
        <v>0</v>
      </c>
      <c r="D90" s="501">
        <f>'[57]Sch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  <c r="U90" s="168"/>
      <c r="V90" s="168"/>
      <c r="W90" s="461"/>
      <c r="X90" s="461"/>
    </row>
    <row r="91" spans="1:24" s="167" customFormat="1">
      <c r="A91" s="163">
        <v>350</v>
      </c>
      <c r="B91" s="199" t="s">
        <v>49</v>
      </c>
      <c r="C91" s="501">
        <f>'[57]Sch C'!D84</f>
        <v>214026.51</v>
      </c>
      <c r="D91" s="501">
        <f>'[57]Sch C'!F84</f>
        <v>0</v>
      </c>
      <c r="E91" s="171">
        <f t="shared" si="11"/>
        <v>214026.51</v>
      </c>
      <c r="F91" s="171"/>
      <c r="G91" s="171">
        <f t="shared" si="12"/>
        <v>214026.51</v>
      </c>
      <c r="H91" s="172">
        <f t="shared" si="13"/>
        <v>1.5209203176305313E-2</v>
      </c>
      <c r="I91" s="473"/>
      <c r="J91" s="168"/>
      <c r="K91" s="168"/>
      <c r="U91" s="168"/>
      <c r="V91" s="168"/>
      <c r="W91" s="461"/>
      <c r="X91" s="461"/>
    </row>
    <row r="92" spans="1:24" s="167" customFormat="1">
      <c r="A92" s="163">
        <v>490</v>
      </c>
      <c r="B92" s="148" t="s">
        <v>312</v>
      </c>
      <c r="C92" s="501">
        <f>'[57]Sch C'!D85</f>
        <v>330</v>
      </c>
      <c r="D92" s="501">
        <f>'[57]Sch C'!F85</f>
        <v>0</v>
      </c>
      <c r="E92" s="171">
        <f t="shared" si="11"/>
        <v>330</v>
      </c>
      <c r="F92" s="171"/>
      <c r="G92" s="171">
        <f t="shared" si="12"/>
        <v>330</v>
      </c>
      <c r="H92" s="172">
        <f t="shared" si="13"/>
        <v>2.3450539132655827E-5</v>
      </c>
      <c r="I92" s="473"/>
      <c r="J92" s="168"/>
      <c r="K92" s="168"/>
      <c r="U92" s="168"/>
      <c r="V92" s="168"/>
      <c r="W92" s="461"/>
      <c r="X92" s="461"/>
    </row>
    <row r="93" spans="1:24" s="167" customFormat="1">
      <c r="A93" s="163"/>
      <c r="B93" s="170" t="s">
        <v>50</v>
      </c>
      <c r="C93" s="501">
        <f>SUM(C82:C92)</f>
        <v>394681.29000000004</v>
      </c>
      <c r="D93" s="501">
        <f>SUM(D82:D92)</f>
        <v>0</v>
      </c>
      <c r="E93" s="171">
        <f t="shared" ref="E93:F93" si="14">SUM(E82:E92)</f>
        <v>394681.29000000004</v>
      </c>
      <c r="F93" s="171">
        <f t="shared" si="14"/>
        <v>11917</v>
      </c>
      <c r="G93" s="171">
        <f>SUM(G82:G92)</f>
        <v>406598.29000000004</v>
      </c>
      <c r="H93" s="172">
        <f t="shared" si="13"/>
        <v>2.8893785184593766E-2</v>
      </c>
      <c r="I93" s="473"/>
      <c r="J93" s="168"/>
      <c r="K93" s="168"/>
      <c r="U93" s="168"/>
      <c r="V93" s="168"/>
      <c r="W93" s="461"/>
      <c r="X93" s="461"/>
    </row>
    <row r="94" spans="1:24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  <c r="U94" s="168"/>
      <c r="V94" s="168"/>
      <c r="W94" s="461"/>
      <c r="X94" s="461"/>
    </row>
    <row r="95" spans="1:2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  <c r="U95" s="168"/>
      <c r="V95" s="168"/>
      <c r="W95" s="461"/>
      <c r="X95" s="461"/>
    </row>
    <row r="96" spans="1:24" s="167" customFormat="1">
      <c r="A96" s="169" t="s">
        <v>85</v>
      </c>
      <c r="B96" s="170" t="s">
        <v>44</v>
      </c>
      <c r="C96" s="501">
        <f>'[57]Sch C'!D89</f>
        <v>479687.62</v>
      </c>
      <c r="D96" s="501">
        <f>'[57]Sch C'!F89</f>
        <v>0</v>
      </c>
      <c r="E96" s="171">
        <f t="shared" ref="E96:E101" si="15">C96+D96</f>
        <v>479687.62</v>
      </c>
      <c r="F96" s="171"/>
      <c r="G96" s="171">
        <f t="shared" ref="G96:G101" si="16">E96+F96</f>
        <v>479687.62</v>
      </c>
      <c r="H96" s="172">
        <f t="shared" ref="H96:H102" si="17">IF($G$208=0,0,G96/$G$208)</f>
        <v>3.4087676679577385E-2</v>
      </c>
      <c r="I96" s="473"/>
      <c r="J96" s="183">
        <v>36191</v>
      </c>
      <c r="K96" s="183">
        <v>38699</v>
      </c>
      <c r="U96" s="183">
        <v>7695</v>
      </c>
      <c r="V96" s="183">
        <v>7974</v>
      </c>
      <c r="W96" s="439">
        <v>22963</v>
      </c>
      <c r="X96" s="439">
        <v>24522</v>
      </c>
    </row>
    <row r="97" spans="1:24" s="167" customFormat="1">
      <c r="A97" s="169" t="s">
        <v>86</v>
      </c>
      <c r="B97" s="170" t="s">
        <v>45</v>
      </c>
      <c r="C97" s="501">
        <f>'[57]Sch C'!D90</f>
        <v>89682.15</v>
      </c>
      <c r="D97" s="501">
        <f>'[57]Sch C'!F90</f>
        <v>0</v>
      </c>
      <c r="E97" s="171">
        <f t="shared" si="15"/>
        <v>89682.15</v>
      </c>
      <c r="F97" s="171"/>
      <c r="G97" s="171">
        <f t="shared" si="16"/>
        <v>89682.15</v>
      </c>
      <c r="H97" s="172">
        <f t="shared" si="17"/>
        <v>6.3730144487142712E-3</v>
      </c>
      <c r="I97" s="473"/>
      <c r="J97" s="168"/>
      <c r="K97" s="168"/>
      <c r="U97" s="168"/>
      <c r="V97" s="168"/>
      <c r="W97" s="461"/>
      <c r="X97" s="461"/>
    </row>
    <row r="98" spans="1:24" s="167" customFormat="1">
      <c r="A98" s="169">
        <v>310</v>
      </c>
      <c r="B98" s="170" t="s">
        <v>54</v>
      </c>
      <c r="C98" s="501">
        <f>'[57]Sch C'!D91</f>
        <v>3445.89</v>
      </c>
      <c r="D98" s="501">
        <f>'[57]Sch C'!F91</f>
        <v>0</v>
      </c>
      <c r="E98" s="171">
        <f t="shared" si="15"/>
        <v>3445.89</v>
      </c>
      <c r="F98" s="171"/>
      <c r="G98" s="171">
        <f t="shared" si="16"/>
        <v>3445.89</v>
      </c>
      <c r="H98" s="172">
        <f t="shared" si="17"/>
        <v>2.44872661490386E-4</v>
      </c>
      <c r="I98" s="473"/>
      <c r="J98" s="168"/>
      <c r="K98" s="168"/>
      <c r="U98" s="168"/>
      <c r="V98" s="168"/>
      <c r="W98" s="461"/>
      <c r="X98" s="461"/>
    </row>
    <row r="99" spans="1:24" s="167" customFormat="1">
      <c r="A99" s="169">
        <v>380</v>
      </c>
      <c r="B99" s="170" t="s">
        <v>52</v>
      </c>
      <c r="C99" s="501">
        <f>'[57]Sch C'!D92</f>
        <v>332771.68</v>
      </c>
      <c r="D99" s="501">
        <f>'[57]Sch C'!F92</f>
        <v>0</v>
      </c>
      <c r="E99" s="171">
        <f t="shared" si="15"/>
        <v>332771.68</v>
      </c>
      <c r="F99" s="171"/>
      <c r="G99" s="171">
        <f t="shared" si="16"/>
        <v>332771.68</v>
      </c>
      <c r="H99" s="172">
        <f t="shared" si="17"/>
        <v>2.3647500921453398E-2</v>
      </c>
      <c r="I99" s="473"/>
      <c r="J99" s="168"/>
      <c r="K99" s="168"/>
      <c r="U99" s="168"/>
      <c r="V99" s="168"/>
      <c r="W99" s="461"/>
      <c r="X99" s="461"/>
    </row>
    <row r="100" spans="1:24" s="167" customFormat="1">
      <c r="A100" s="169">
        <v>390</v>
      </c>
      <c r="B100" s="170" t="s">
        <v>53</v>
      </c>
      <c r="C100" s="501">
        <f>'[57]Sch C'!D93</f>
        <v>40438.25</v>
      </c>
      <c r="D100" s="501">
        <f>'[57]Sch C'!F93</f>
        <v>0</v>
      </c>
      <c r="E100" s="171">
        <f t="shared" si="15"/>
        <v>40438.25</v>
      </c>
      <c r="F100" s="171">
        <v>-1484</v>
      </c>
      <c r="G100" s="171">
        <f t="shared" si="16"/>
        <v>38954.25</v>
      </c>
      <c r="H100" s="172">
        <f t="shared" si="17"/>
        <v>2.7681762545704795E-3</v>
      </c>
      <c r="I100" s="473"/>
      <c r="J100" s="168"/>
      <c r="K100" s="168"/>
      <c r="U100" s="168"/>
      <c r="V100" s="168"/>
      <c r="W100" s="461"/>
      <c r="X100" s="461"/>
    </row>
    <row r="101" spans="1:24" s="167" customFormat="1">
      <c r="A101" s="169">
        <v>490</v>
      </c>
      <c r="B101" s="202" t="s">
        <v>312</v>
      </c>
      <c r="C101" s="501">
        <f>'[57]Sch C'!D94</f>
        <v>200</v>
      </c>
      <c r="D101" s="501">
        <f>'[57]Sch C'!F94</f>
        <v>0</v>
      </c>
      <c r="E101" s="171">
        <f t="shared" si="15"/>
        <v>200</v>
      </c>
      <c r="F101" s="171"/>
      <c r="G101" s="171">
        <f t="shared" si="16"/>
        <v>200</v>
      </c>
      <c r="H101" s="172">
        <f t="shared" si="17"/>
        <v>1.4212447959185349E-5</v>
      </c>
      <c r="I101" s="473"/>
      <c r="J101" s="168"/>
      <c r="K101" s="168"/>
      <c r="U101" s="168"/>
      <c r="V101" s="168"/>
      <c r="W101" s="461"/>
      <c r="X101" s="461"/>
    </row>
    <row r="102" spans="1:24" s="167" customFormat="1">
      <c r="A102" s="169"/>
      <c r="B102" s="170" t="s">
        <v>55</v>
      </c>
      <c r="C102" s="501">
        <f>SUM(C96:C101)</f>
        <v>946225.59000000008</v>
      </c>
      <c r="D102" s="501">
        <f>SUM(D96:D101)</f>
        <v>0</v>
      </c>
      <c r="E102" s="171">
        <f t="shared" ref="E102:F102" si="18">SUM(E96:E101)</f>
        <v>946225.59000000008</v>
      </c>
      <c r="F102" s="171">
        <f t="shared" si="18"/>
        <v>-1484</v>
      </c>
      <c r="G102" s="171">
        <f>SUM(G96:G101)</f>
        <v>944741.59000000008</v>
      </c>
      <c r="H102" s="172">
        <f t="shared" si="17"/>
        <v>6.7135453413765117E-2</v>
      </c>
      <c r="I102" s="473"/>
      <c r="J102" s="168"/>
      <c r="K102" s="168"/>
      <c r="U102" s="168"/>
      <c r="V102" s="168"/>
      <c r="W102" s="461"/>
      <c r="X102" s="461"/>
    </row>
    <row r="103" spans="1:24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  <c r="U103" s="168"/>
      <c r="V103" s="168"/>
      <c r="W103" s="461"/>
      <c r="X103" s="461"/>
    </row>
    <row r="104" spans="1:2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  <c r="U104" s="168"/>
      <c r="V104" s="168"/>
      <c r="W104" s="461"/>
      <c r="X104" s="461"/>
    </row>
    <row r="105" spans="1:24" s="167" customFormat="1">
      <c r="A105" s="169" t="s">
        <v>85</v>
      </c>
      <c r="B105" s="170" t="s">
        <v>44</v>
      </c>
      <c r="C105" s="501">
        <f>'[57]Sch C'!D98</f>
        <v>50219.73</v>
      </c>
      <c r="D105" s="501">
        <f>'[57]Sch C'!F98</f>
        <v>0</v>
      </c>
      <c r="E105" s="171">
        <f t="shared" ref="E105:E110" si="19">C105+D105</f>
        <v>50219.73</v>
      </c>
      <c r="F105" s="171"/>
      <c r="G105" s="171">
        <f t="shared" ref="G105:G110" si="20">E105+F105</f>
        <v>50219.73</v>
      </c>
      <c r="H105" s="172">
        <f t="shared" ref="H105:H111" si="21">IF($G$208=0,0,G105/$G$208)</f>
        <v>3.5687264957466962E-3</v>
      </c>
      <c r="I105" s="473"/>
      <c r="J105" s="183">
        <v>4573.16</v>
      </c>
      <c r="K105" s="183">
        <v>4966</v>
      </c>
      <c r="U105" s="183">
        <v>963</v>
      </c>
      <c r="V105" s="183">
        <v>1063</v>
      </c>
      <c r="W105" s="439">
        <v>2791</v>
      </c>
      <c r="X105" s="439">
        <v>3141</v>
      </c>
    </row>
    <row r="106" spans="1:24" s="167" customFormat="1">
      <c r="A106" s="169" t="s">
        <v>86</v>
      </c>
      <c r="B106" s="170" t="s">
        <v>45</v>
      </c>
      <c r="C106" s="501">
        <f>'[57]Sch C'!D99</f>
        <v>13807.65</v>
      </c>
      <c r="D106" s="501">
        <f>'[57]Sch C'!F99</f>
        <v>0</v>
      </c>
      <c r="E106" s="171">
        <f t="shared" si="19"/>
        <v>13807.65</v>
      </c>
      <c r="F106" s="171"/>
      <c r="G106" s="171">
        <f t="shared" si="20"/>
        <v>13807.65</v>
      </c>
      <c r="H106" s="172">
        <f t="shared" si="21"/>
        <v>9.8120253531822793E-4</v>
      </c>
      <c r="I106" s="473"/>
      <c r="J106" s="168"/>
      <c r="K106" s="168"/>
      <c r="U106" s="168"/>
      <c r="V106" s="168"/>
      <c r="W106" s="461"/>
      <c r="X106" s="461"/>
    </row>
    <row r="107" spans="1:24" s="167" customFormat="1">
      <c r="A107" s="169">
        <v>110</v>
      </c>
      <c r="B107" s="170" t="s">
        <v>47</v>
      </c>
      <c r="C107" s="501">
        <f>'[57]Sch C'!D100</f>
        <v>32151.02</v>
      </c>
      <c r="D107" s="501">
        <f>'[57]Sch C'!F100</f>
        <v>0</v>
      </c>
      <c r="E107" s="171">
        <f t="shared" si="19"/>
        <v>32151.02</v>
      </c>
      <c r="F107" s="171"/>
      <c r="G107" s="171">
        <f t="shared" si="20"/>
        <v>32151.02</v>
      </c>
      <c r="H107" s="172">
        <f t="shared" si="21"/>
        <v>2.2847234929236366E-3</v>
      </c>
      <c r="I107" s="473"/>
      <c r="J107" s="168"/>
      <c r="K107" s="168"/>
      <c r="U107" s="168"/>
      <c r="V107" s="168"/>
      <c r="W107" s="461"/>
      <c r="X107" s="461"/>
    </row>
    <row r="108" spans="1:24" s="167" customFormat="1">
      <c r="A108" s="169">
        <v>310</v>
      </c>
      <c r="B108" s="170" t="s">
        <v>54</v>
      </c>
      <c r="C108" s="501">
        <f>'[57]Sch C'!D101</f>
        <v>0</v>
      </c>
      <c r="D108" s="501">
        <f>'[57]Sch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  <c r="U108" s="168"/>
      <c r="V108" s="168"/>
      <c r="W108" s="461"/>
      <c r="X108" s="461"/>
    </row>
    <row r="109" spans="1:24" s="167" customFormat="1">
      <c r="A109" s="169">
        <v>410</v>
      </c>
      <c r="B109" s="170" t="s">
        <v>57</v>
      </c>
      <c r="C109" s="501">
        <f>'[57]Sch C'!D102</f>
        <v>5857.89</v>
      </c>
      <c r="D109" s="501">
        <f>'[57]Sch C'!F102</f>
        <v>0</v>
      </c>
      <c r="E109" s="171">
        <f t="shared" si="19"/>
        <v>5857.89</v>
      </c>
      <c r="F109" s="171"/>
      <c r="G109" s="171">
        <f t="shared" si="20"/>
        <v>5857.89</v>
      </c>
      <c r="H109" s="172">
        <f t="shared" si="21"/>
        <v>4.1627478387816133E-4</v>
      </c>
      <c r="I109" s="473"/>
      <c r="J109" s="168"/>
      <c r="K109" s="168"/>
      <c r="U109" s="168"/>
      <c r="V109" s="168"/>
      <c r="W109" s="461"/>
      <c r="X109" s="461"/>
    </row>
    <row r="110" spans="1:24" s="167" customFormat="1">
      <c r="A110" s="169">
        <v>490</v>
      </c>
      <c r="B110" s="202" t="s">
        <v>312</v>
      </c>
      <c r="C110" s="501">
        <f>'[57]Sch C'!D103</f>
        <v>586.07000000000005</v>
      </c>
      <c r="D110" s="501">
        <f>'[57]Sch C'!F103</f>
        <v>0</v>
      </c>
      <c r="E110" s="171">
        <f t="shared" si="19"/>
        <v>586.07000000000005</v>
      </c>
      <c r="F110" s="171"/>
      <c r="G110" s="171">
        <f t="shared" si="20"/>
        <v>586.07000000000005</v>
      </c>
      <c r="H110" s="172">
        <f t="shared" si="21"/>
        <v>4.1647446877198789E-5</v>
      </c>
      <c r="I110" s="473"/>
      <c r="J110" s="168"/>
      <c r="K110" s="168"/>
      <c r="U110" s="168"/>
      <c r="V110" s="168"/>
      <c r="W110" s="461"/>
      <c r="X110" s="461"/>
    </row>
    <row r="111" spans="1:24" s="167" customFormat="1">
      <c r="A111" s="163"/>
      <c r="B111" s="170" t="s">
        <v>58</v>
      </c>
      <c r="C111" s="501">
        <f>SUM(C105:C110)</f>
        <v>102622.36000000002</v>
      </c>
      <c r="D111" s="501">
        <f>SUM(D105:D110)</f>
        <v>0</v>
      </c>
      <c r="E111" s="171">
        <f t="shared" ref="E111:F111" si="22">SUM(E105:E110)</f>
        <v>102622.36000000002</v>
      </c>
      <c r="F111" s="171">
        <f t="shared" si="22"/>
        <v>0</v>
      </c>
      <c r="G111" s="171">
        <f>SUM(G105:G110)</f>
        <v>102622.36000000002</v>
      </c>
      <c r="H111" s="172">
        <f t="shared" si="21"/>
        <v>7.2925747547439223E-3</v>
      </c>
      <c r="I111" s="473"/>
      <c r="J111" s="168"/>
      <c r="K111" s="168"/>
      <c r="U111" s="168"/>
      <c r="V111" s="168"/>
      <c r="W111" s="461"/>
      <c r="X111" s="461"/>
    </row>
    <row r="112" spans="1:24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  <c r="U112" s="168"/>
      <c r="V112" s="168"/>
      <c r="W112" s="461"/>
      <c r="X112" s="461"/>
    </row>
    <row r="113" spans="1:2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  <c r="U113" s="168"/>
      <c r="V113" s="168"/>
      <c r="W113" s="461"/>
      <c r="X113" s="461"/>
    </row>
    <row r="114" spans="1:24" s="167" customFormat="1">
      <c r="A114" s="169" t="s">
        <v>85</v>
      </c>
      <c r="B114" s="170" t="s">
        <v>44</v>
      </c>
      <c r="C114" s="501">
        <f>'[57]Sch C'!D115</f>
        <v>173120.92</v>
      </c>
      <c r="D114" s="501">
        <f>'[57]Sch C'!F115</f>
        <v>0</v>
      </c>
      <c r="E114" s="171">
        <f t="shared" ref="E114:E118" si="23">C114+D114</f>
        <v>173120.92</v>
      </c>
      <c r="F114" s="171"/>
      <c r="G114" s="171">
        <f>E114+F114</f>
        <v>173120.92</v>
      </c>
      <c r="H114" s="172">
        <f t="shared" ref="H114:H119" si="24">IF($G$208=0,0,G114/$G$208)</f>
        <v>1.2302360330731451E-2</v>
      </c>
      <c r="I114" s="473"/>
      <c r="J114" s="183">
        <v>16288</v>
      </c>
      <c r="K114" s="183">
        <v>17891</v>
      </c>
      <c r="U114" s="183">
        <v>4252</v>
      </c>
      <c r="V114" s="183">
        <v>4630</v>
      </c>
      <c r="W114" s="439">
        <v>12507</v>
      </c>
      <c r="X114" s="439">
        <v>13770</v>
      </c>
    </row>
    <row r="115" spans="1:24" s="167" customFormat="1">
      <c r="A115" s="169" t="s">
        <v>86</v>
      </c>
      <c r="B115" s="170" t="s">
        <v>151</v>
      </c>
      <c r="C115" s="501">
        <f>'[57]Sch C'!D116</f>
        <v>39955.94</v>
      </c>
      <c r="D115" s="501">
        <f>'[57]Sch C'!F116</f>
        <v>0</v>
      </c>
      <c r="E115" s="171">
        <f t="shared" si="23"/>
        <v>39955.94</v>
      </c>
      <c r="F115" s="171"/>
      <c r="G115" s="171">
        <f>E115+F115</f>
        <v>39955.94</v>
      </c>
      <c r="H115" s="172">
        <f t="shared" si="24"/>
        <v>2.8393585895516616E-3</v>
      </c>
      <c r="I115" s="473"/>
      <c r="J115" s="168"/>
      <c r="K115" s="168"/>
      <c r="U115" s="168"/>
      <c r="V115" s="168"/>
      <c r="W115" s="461"/>
      <c r="X115" s="461"/>
    </row>
    <row r="116" spans="1:24" s="167" customFormat="1">
      <c r="A116" s="169" t="s">
        <v>93</v>
      </c>
      <c r="B116" s="170" t="s">
        <v>47</v>
      </c>
      <c r="C116" s="501">
        <f>'[57]Sch C'!D117</f>
        <v>20603.77</v>
      </c>
      <c r="D116" s="501">
        <f>'[57]Sch C'!F117</f>
        <v>0</v>
      </c>
      <c r="E116" s="171">
        <f t="shared" si="23"/>
        <v>20603.77</v>
      </c>
      <c r="F116" s="171"/>
      <c r="G116" s="171">
        <f>E116+F116</f>
        <v>20603.77</v>
      </c>
      <c r="H116" s="172">
        <f t="shared" si="24"/>
        <v>1.4641500444401217E-3</v>
      </c>
      <c r="I116" s="473"/>
      <c r="J116" s="168"/>
      <c r="K116" s="168"/>
      <c r="U116" s="168"/>
      <c r="V116" s="168"/>
      <c r="W116" s="461"/>
      <c r="X116" s="461"/>
    </row>
    <row r="117" spans="1:24" s="167" customFormat="1">
      <c r="A117" s="169">
        <v>310</v>
      </c>
      <c r="B117" s="170" t="s">
        <v>60</v>
      </c>
      <c r="C117" s="501">
        <f>'[57]Sch C'!D118</f>
        <v>0</v>
      </c>
      <c r="D117" s="501">
        <f>'[57]Sch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  <c r="U117" s="168"/>
      <c r="V117" s="168"/>
      <c r="W117" s="461"/>
      <c r="X117" s="461"/>
    </row>
    <row r="118" spans="1:24" s="167" customFormat="1">
      <c r="A118" s="169">
        <v>490</v>
      </c>
      <c r="B118" s="202" t="s">
        <v>312</v>
      </c>
      <c r="C118" s="501">
        <f>'[57]Sch C'!D119</f>
        <v>77.16</v>
      </c>
      <c r="D118" s="501">
        <f>'[57]Sch C'!F119</f>
        <v>0</v>
      </c>
      <c r="E118" s="171">
        <f t="shared" si="23"/>
        <v>77.16</v>
      </c>
      <c r="F118" s="171"/>
      <c r="G118" s="171">
        <f>E118+F118</f>
        <v>77.16</v>
      </c>
      <c r="H118" s="172">
        <f t="shared" si="24"/>
        <v>5.4831624226537076E-6</v>
      </c>
      <c r="I118" s="473"/>
      <c r="J118" s="168"/>
      <c r="K118" s="168"/>
      <c r="U118" s="168"/>
      <c r="V118" s="168"/>
      <c r="W118" s="461"/>
      <c r="X118" s="461"/>
    </row>
    <row r="119" spans="1:24" s="167" customFormat="1">
      <c r="A119" s="163"/>
      <c r="B119" s="170" t="s">
        <v>61</v>
      </c>
      <c r="C119" s="501">
        <f>SUM(C114:C118)</f>
        <v>233757.79</v>
      </c>
      <c r="D119" s="501">
        <f>SUM(D114:D118)</f>
        <v>0</v>
      </c>
      <c r="E119" s="171">
        <f t="shared" ref="E119:F119" si="25">SUM(E114:E118)</f>
        <v>233757.79</v>
      </c>
      <c r="F119" s="171">
        <f t="shared" si="25"/>
        <v>0</v>
      </c>
      <c r="G119" s="171">
        <f>SUM(G114:G118)</f>
        <v>233757.79</v>
      </c>
      <c r="H119" s="172">
        <f t="shared" si="24"/>
        <v>1.6611352127145887E-2</v>
      </c>
      <c r="I119" s="473"/>
      <c r="J119" s="168"/>
      <c r="K119" s="168"/>
      <c r="U119" s="168"/>
      <c r="V119" s="168"/>
      <c r="W119" s="461"/>
      <c r="X119" s="461"/>
    </row>
    <row r="120" spans="1:24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  <c r="U120" s="203"/>
      <c r="V120" s="203"/>
      <c r="W120" s="203"/>
      <c r="X120" s="203"/>
    </row>
    <row r="121" spans="1:2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  <c r="U121" s="204"/>
      <c r="V121" s="204"/>
      <c r="W121" s="438"/>
      <c r="X121" s="438"/>
    </row>
    <row r="122" spans="1:2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  <c r="U122" s="204"/>
      <c r="V122" s="204"/>
      <c r="W122" s="438"/>
      <c r="X122" s="438"/>
    </row>
    <row r="123" spans="1:24" s="167" customFormat="1">
      <c r="B123" s="163" t="s">
        <v>232</v>
      </c>
      <c r="C123" s="501">
        <f>'[57]Sch C'!D124</f>
        <v>0</v>
      </c>
      <c r="D123" s="501">
        <f>'[57]Sch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  <c r="U123" s="183">
        <v>0</v>
      </c>
      <c r="V123" s="183">
        <v>0</v>
      </c>
      <c r="W123" s="439">
        <v>0</v>
      </c>
      <c r="X123" s="439">
        <v>0</v>
      </c>
    </row>
    <row r="124" spans="1:24" s="167" customFormat="1">
      <c r="B124" s="163" t="s">
        <v>194</v>
      </c>
      <c r="C124" s="501">
        <f>'[57]Sch C'!D125</f>
        <v>864870</v>
      </c>
      <c r="D124" s="501">
        <f>'[57]Sch C'!F125</f>
        <v>0</v>
      </c>
      <c r="E124" s="171">
        <f t="shared" si="26"/>
        <v>864870</v>
      </c>
      <c r="F124" s="171"/>
      <c r="G124" s="171">
        <f>E124+F124</f>
        <v>864870</v>
      </c>
      <c r="H124" s="172">
        <f>IF($G$208=0,0,G124/$G$208)</f>
        <v>6.1459599332303161E-2</v>
      </c>
      <c r="I124" s="473"/>
      <c r="J124" s="183">
        <v>18440</v>
      </c>
      <c r="K124" s="183">
        <v>19337</v>
      </c>
      <c r="U124" s="183">
        <v>7324</v>
      </c>
      <c r="V124" s="183">
        <v>7799</v>
      </c>
      <c r="W124" s="439">
        <v>20604</v>
      </c>
      <c r="X124" s="439">
        <v>22375</v>
      </c>
    </row>
    <row r="125" spans="1:24" s="167" customFormat="1">
      <c r="A125" s="163" t="s">
        <v>198</v>
      </c>
      <c r="B125" s="163" t="s">
        <v>195</v>
      </c>
      <c r="C125" s="501">
        <f>'[57]Sch C'!D126</f>
        <v>0</v>
      </c>
      <c r="D125" s="501">
        <f>'[57]Sch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  <c r="U125" s="183">
        <v>0</v>
      </c>
      <c r="V125" s="183">
        <v>0</v>
      </c>
      <c r="W125" s="439">
        <v>0</v>
      </c>
      <c r="X125" s="439">
        <v>0</v>
      </c>
    </row>
    <row r="126" spans="1:24" s="167" customFormat="1">
      <c r="A126" s="169"/>
      <c r="B126" s="163" t="s">
        <v>196</v>
      </c>
      <c r="C126" s="501">
        <f>'[57]Sch C'!D127</f>
        <v>43130</v>
      </c>
      <c r="D126" s="501">
        <f>'[57]Sch C'!F127</f>
        <v>0</v>
      </c>
      <c r="E126" s="171">
        <f t="shared" si="26"/>
        <v>43130</v>
      </c>
      <c r="F126" s="171"/>
      <c r="G126" s="171">
        <f>E126+F126</f>
        <v>43130</v>
      </c>
      <c r="H126" s="172">
        <f>IF($G$208=0,0,G126/$G$208)</f>
        <v>3.0649144023983206E-3</v>
      </c>
      <c r="I126" s="473"/>
      <c r="J126" s="183">
        <v>2749</v>
      </c>
      <c r="K126" s="183">
        <v>3032</v>
      </c>
      <c r="U126" s="183">
        <v>0</v>
      </c>
      <c r="V126" s="183">
        <v>0</v>
      </c>
      <c r="W126" s="439">
        <v>0</v>
      </c>
      <c r="X126" s="439">
        <v>0</v>
      </c>
    </row>
    <row r="127" spans="1:24" s="167" customFormat="1">
      <c r="A127" s="169"/>
      <c r="B127" s="163" t="s">
        <v>197</v>
      </c>
      <c r="C127" s="501">
        <f>'[57]Sch C'!D128</f>
        <v>51323</v>
      </c>
      <c r="D127" s="501">
        <f>'[57]Sch C'!F128</f>
        <v>0</v>
      </c>
      <c r="E127" s="171">
        <f t="shared" si="26"/>
        <v>51323</v>
      </c>
      <c r="F127" s="171"/>
      <c r="G127" s="171">
        <f>E127+F127</f>
        <v>51323</v>
      </c>
      <c r="H127" s="172">
        <f>IF($G$208=0,0,G127/$G$208)</f>
        <v>3.6471273330463483E-3</v>
      </c>
      <c r="I127" s="473"/>
      <c r="J127" s="183">
        <v>3589</v>
      </c>
      <c r="K127" s="183">
        <v>3973</v>
      </c>
      <c r="U127" s="183">
        <v>0</v>
      </c>
      <c r="V127" s="183">
        <v>0</v>
      </c>
      <c r="W127" s="439">
        <v>0</v>
      </c>
      <c r="X127" s="439">
        <v>0</v>
      </c>
    </row>
    <row r="128" spans="1:24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  <c r="U128" s="207"/>
      <c r="V128" s="207"/>
      <c r="W128" s="465"/>
      <c r="X128" s="465"/>
    </row>
    <row r="129" spans="1:24" s="167" customFormat="1">
      <c r="A129" s="169"/>
      <c r="B129" s="163" t="s">
        <v>232</v>
      </c>
      <c r="C129" s="501">
        <f>'[57]Sch C'!D130</f>
        <v>0</v>
      </c>
      <c r="D129" s="501">
        <f>'[57]Sch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  <c r="U129" s="204"/>
      <c r="V129" s="204"/>
      <c r="W129" s="438"/>
      <c r="X129" s="438"/>
    </row>
    <row r="130" spans="1:24" s="167" customFormat="1">
      <c r="A130" s="169"/>
      <c r="B130" s="163" t="s">
        <v>194</v>
      </c>
      <c r="C130" s="501">
        <f>'[57]Sch C'!D131</f>
        <v>128499</v>
      </c>
      <c r="D130" s="501">
        <f>'[57]Sch C'!F131</f>
        <v>0</v>
      </c>
      <c r="E130" s="171">
        <f t="shared" si="27"/>
        <v>128499</v>
      </c>
      <c r="F130" s="171"/>
      <c r="G130" s="171">
        <f>E130+F130</f>
        <v>128499</v>
      </c>
      <c r="H130" s="172">
        <f>IF($G$208=0,0,G130/$G$208)</f>
        <v>9.1314267515367909E-3</v>
      </c>
      <c r="I130" s="473"/>
      <c r="J130" s="204"/>
      <c r="K130" s="204"/>
      <c r="U130" s="204"/>
      <c r="V130" s="204"/>
      <c r="W130" s="438"/>
      <c r="X130" s="438"/>
    </row>
    <row r="131" spans="1:24" s="167" customFormat="1">
      <c r="B131" s="163" t="s">
        <v>195</v>
      </c>
      <c r="C131" s="501">
        <f>'[57]Sch C'!D132</f>
        <v>0</v>
      </c>
      <c r="D131" s="501">
        <f>'[57]Sch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  <c r="U131" s="168"/>
      <c r="V131" s="168"/>
      <c r="W131" s="461"/>
      <c r="X131" s="461"/>
    </row>
    <row r="132" spans="1:24" s="167" customFormat="1">
      <c r="B132" s="163" t="s">
        <v>196</v>
      </c>
      <c r="C132" s="501">
        <f>'[57]Sch C'!D133</f>
        <v>13970</v>
      </c>
      <c r="D132" s="501">
        <f>'[57]Sch C'!F133</f>
        <v>0</v>
      </c>
      <c r="E132" s="171">
        <f t="shared" si="27"/>
        <v>13970</v>
      </c>
      <c r="F132" s="171"/>
      <c r="G132" s="171">
        <f>E132+F132</f>
        <v>13970</v>
      </c>
      <c r="H132" s="172">
        <f>IF($G$208=0,0,G132/$G$208)</f>
        <v>9.9273948994909656E-4</v>
      </c>
      <c r="I132" s="473"/>
      <c r="J132" s="168"/>
      <c r="K132" s="168"/>
      <c r="U132" s="168"/>
      <c r="V132" s="168"/>
      <c r="W132" s="461"/>
      <c r="X132" s="461"/>
    </row>
    <row r="133" spans="1:24" s="167" customFormat="1">
      <c r="B133" s="163" t="s">
        <v>197</v>
      </c>
      <c r="C133" s="501">
        <f>'[57]Sch C'!D134</f>
        <v>12439</v>
      </c>
      <c r="D133" s="501">
        <f>'[57]Sch C'!F134</f>
        <v>0</v>
      </c>
      <c r="E133" s="171">
        <f t="shared" si="27"/>
        <v>12439</v>
      </c>
      <c r="F133" s="171"/>
      <c r="G133" s="171">
        <f>E133+F133</f>
        <v>12439</v>
      </c>
      <c r="H133" s="172">
        <f>IF($G$208=0,0,G133/$G$208)</f>
        <v>8.8394320082153279E-4</v>
      </c>
      <c r="I133" s="473"/>
      <c r="J133" s="168"/>
      <c r="K133" s="168"/>
      <c r="U133" s="168"/>
      <c r="V133" s="168"/>
      <c r="W133" s="461"/>
      <c r="X133" s="461"/>
    </row>
    <row r="134" spans="1:2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  <c r="U134" s="204"/>
      <c r="V134" s="204"/>
      <c r="W134" s="438"/>
      <c r="X134" s="438"/>
    </row>
    <row r="135" spans="1:24" s="167" customFormat="1">
      <c r="A135" s="169"/>
      <c r="B135" s="163" t="s">
        <v>194</v>
      </c>
      <c r="C135" s="501">
        <f>'[57]Sch C'!D136</f>
        <v>1227447.78</v>
      </c>
      <c r="D135" s="501">
        <f>'[57]Sch C'!F136</f>
        <v>0</v>
      </c>
      <c r="E135" s="171">
        <f t="shared" ref="E135:E138" si="28">C135+D135</f>
        <v>1227447.78</v>
      </c>
      <c r="F135" s="171"/>
      <c r="G135" s="171">
        <f>E135+F135</f>
        <v>1227447.78</v>
      </c>
      <c r="H135" s="172">
        <f>IF($G$208=0,0,G135/$G$208)</f>
        <v>8.722518847933794E-2</v>
      </c>
      <c r="I135" s="473"/>
      <c r="J135" s="183">
        <v>38915</v>
      </c>
      <c r="K135" s="183">
        <v>41729</v>
      </c>
      <c r="U135" s="183">
        <v>9954</v>
      </c>
      <c r="V135" s="183">
        <v>10678</v>
      </c>
      <c r="W135" s="439">
        <v>28226.21</v>
      </c>
      <c r="X135" s="439">
        <v>29083</v>
      </c>
    </row>
    <row r="136" spans="1:24" s="167" customFormat="1">
      <c r="A136" s="169"/>
      <c r="B136" s="163" t="s">
        <v>195</v>
      </c>
      <c r="C136" s="501">
        <f>'[57]Sch C'!D137</f>
        <v>399092.17</v>
      </c>
      <c r="D136" s="501">
        <f>'[57]Sch C'!F137</f>
        <v>0</v>
      </c>
      <c r="E136" s="171">
        <f t="shared" si="28"/>
        <v>399092.17</v>
      </c>
      <c r="F136" s="171"/>
      <c r="G136" s="171">
        <f>E136+F136</f>
        <v>399092.17</v>
      </c>
      <c r="H136" s="172">
        <f>IF($G$208=0,0,G136/$G$208)</f>
        <v>2.8360383485216762E-2</v>
      </c>
      <c r="I136" s="473"/>
      <c r="J136" s="183">
        <v>15734</v>
      </c>
      <c r="K136" s="183">
        <v>17337</v>
      </c>
      <c r="U136" s="183">
        <v>3718</v>
      </c>
      <c r="V136" s="183">
        <v>3754</v>
      </c>
      <c r="W136" s="439">
        <v>10703</v>
      </c>
      <c r="X136" s="439">
        <v>10902</v>
      </c>
    </row>
    <row r="137" spans="1:24" s="167" customFormat="1">
      <c r="A137" s="169"/>
      <c r="B137" s="163" t="s">
        <v>196</v>
      </c>
      <c r="C137" s="501">
        <f>'[57]Sch C'!D138</f>
        <v>1517553.25</v>
      </c>
      <c r="D137" s="501">
        <f>'[57]Sch C'!F138</f>
        <v>0</v>
      </c>
      <c r="E137" s="171">
        <f t="shared" si="28"/>
        <v>1517553.25</v>
      </c>
      <c r="F137" s="171"/>
      <c r="G137" s="171">
        <f>E137+F137</f>
        <v>1517553.25</v>
      </c>
      <c r="H137" s="172">
        <f>IF($G$208=0,0,G137/$G$208)</f>
        <v>0.10784073295458797</v>
      </c>
      <c r="I137" s="473"/>
      <c r="J137" s="183">
        <v>111541</v>
      </c>
      <c r="K137" s="183">
        <v>118615</v>
      </c>
      <c r="U137" s="183">
        <v>27478</v>
      </c>
      <c r="V137" s="183">
        <v>28370</v>
      </c>
      <c r="W137" s="439">
        <v>72439.23</v>
      </c>
      <c r="X137" s="439">
        <v>74134</v>
      </c>
    </row>
    <row r="138" spans="1:24" s="167" customFormat="1">
      <c r="A138" s="169"/>
      <c r="B138" s="163" t="s">
        <v>197</v>
      </c>
      <c r="C138" s="501">
        <f>'[57]Sch C'!D139</f>
        <v>542923.60000000009</v>
      </c>
      <c r="D138" s="501">
        <f>'[57]Sch C'!F139</f>
        <v>0</v>
      </c>
      <c r="E138" s="171">
        <f t="shared" si="28"/>
        <v>542923.60000000009</v>
      </c>
      <c r="F138" s="171"/>
      <c r="G138" s="171">
        <f>E138+F138</f>
        <v>542923.60000000009</v>
      </c>
      <c r="H138" s="172">
        <f>IF($G$208=0,0,G138/$G$208)</f>
        <v>3.8581367054067818E-2</v>
      </c>
      <c r="I138" s="473"/>
      <c r="J138" s="183">
        <v>11182</v>
      </c>
      <c r="K138" s="183">
        <v>11650</v>
      </c>
      <c r="U138" s="183">
        <v>10372</v>
      </c>
      <c r="V138" s="183">
        <v>10574</v>
      </c>
      <c r="W138" s="439">
        <v>29461</v>
      </c>
      <c r="X138" s="439">
        <v>30441</v>
      </c>
    </row>
    <row r="139" spans="1:2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  <c r="U139" s="372"/>
      <c r="V139" s="372"/>
      <c r="W139" s="466"/>
      <c r="X139" s="466"/>
    </row>
    <row r="140" spans="1:24" s="167" customFormat="1">
      <c r="A140" s="169"/>
      <c r="B140" s="163" t="s">
        <v>194</v>
      </c>
      <c r="C140" s="501">
        <f>'[57]Sch C'!D141</f>
        <v>207061</v>
      </c>
      <c r="D140" s="501">
        <f>'[57]Sch C'!F141</f>
        <v>0</v>
      </c>
      <c r="E140" s="171">
        <f t="shared" ref="E140:E143" si="29">C140+D140</f>
        <v>207061</v>
      </c>
      <c r="F140" s="171"/>
      <c r="G140" s="171">
        <f>E140+F140</f>
        <v>207061</v>
      </c>
      <c r="H140" s="172">
        <f>IF($G$208=0,0,G140/$G$208)</f>
        <v>1.4714218434384387E-2</v>
      </c>
      <c r="I140" s="473"/>
      <c r="J140" s="168"/>
      <c r="K140" s="168"/>
      <c r="U140" s="168"/>
      <c r="V140" s="168"/>
      <c r="W140" s="461"/>
      <c r="X140" s="461"/>
    </row>
    <row r="141" spans="1:24" s="167" customFormat="1">
      <c r="A141" s="169"/>
      <c r="B141" s="163" t="s">
        <v>195</v>
      </c>
      <c r="C141" s="501">
        <f>'[57]Sch C'!D142</f>
        <v>67324</v>
      </c>
      <c r="D141" s="501">
        <f>'[57]Sch C'!F142</f>
        <v>0</v>
      </c>
      <c r="E141" s="171">
        <f t="shared" si="29"/>
        <v>67324</v>
      </c>
      <c r="F141" s="171"/>
      <c r="G141" s="171">
        <f>E141+F141</f>
        <v>67324</v>
      </c>
      <c r="H141" s="172">
        <f>IF($G$208=0,0,G141/$G$208)</f>
        <v>4.7841942320209722E-3</v>
      </c>
      <c r="I141" s="473"/>
      <c r="J141" s="168"/>
      <c r="K141" s="168"/>
      <c r="U141" s="168"/>
      <c r="V141" s="168"/>
      <c r="W141" s="461"/>
      <c r="X141" s="461"/>
    </row>
    <row r="142" spans="1:24" s="167" customFormat="1">
      <c r="A142" s="169"/>
      <c r="B142" s="163" t="s">
        <v>196</v>
      </c>
      <c r="C142" s="501">
        <f>'[57]Sch C'!D143</f>
        <v>256000</v>
      </c>
      <c r="D142" s="501">
        <f>'[57]Sch C'!F143</f>
        <v>0</v>
      </c>
      <c r="E142" s="171">
        <f t="shared" si="29"/>
        <v>256000</v>
      </c>
      <c r="F142" s="171"/>
      <c r="G142" s="171">
        <f>E142+F142</f>
        <v>256000</v>
      </c>
      <c r="H142" s="172">
        <f>IF($G$208=0,0,G142/$G$208)</f>
        <v>1.8191933387757247E-2</v>
      </c>
      <c r="I142" s="473"/>
      <c r="J142" s="168"/>
      <c r="K142" s="168"/>
      <c r="U142" s="168"/>
      <c r="V142" s="168"/>
      <c r="W142" s="461"/>
      <c r="X142" s="461"/>
    </row>
    <row r="143" spans="1:24" s="167" customFormat="1">
      <c r="A143" s="169"/>
      <c r="B143" s="163" t="s">
        <v>197</v>
      </c>
      <c r="C143" s="501">
        <f>'[57]Sch C'!D144</f>
        <v>91588</v>
      </c>
      <c r="D143" s="501">
        <f>'[57]Sch C'!F144</f>
        <v>0</v>
      </c>
      <c r="E143" s="171">
        <f t="shared" si="29"/>
        <v>91588</v>
      </c>
      <c r="F143" s="171"/>
      <c r="G143" s="171">
        <f>E143+F143</f>
        <v>91588</v>
      </c>
      <c r="H143" s="172">
        <f>IF($G$208=0,0,G143/$G$208)</f>
        <v>6.5084484184293389E-3</v>
      </c>
      <c r="I143" s="473"/>
      <c r="J143" s="168"/>
      <c r="K143" s="168"/>
      <c r="U143" s="168"/>
      <c r="V143" s="168"/>
      <c r="W143" s="461"/>
      <c r="X143" s="461"/>
    </row>
    <row r="144" spans="1:2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  <c r="U144" s="204"/>
      <c r="V144" s="204"/>
      <c r="W144" s="438"/>
      <c r="X144" s="438"/>
    </row>
    <row r="145" spans="1:24" s="167" customFormat="1">
      <c r="A145" s="169"/>
      <c r="B145" s="163" t="s">
        <v>232</v>
      </c>
      <c r="C145" s="501">
        <f>'[57]Sch C'!D146</f>
        <v>84000</v>
      </c>
      <c r="D145" s="501">
        <f>'[57]Sch C'!F146</f>
        <v>0</v>
      </c>
      <c r="E145" s="171">
        <f t="shared" ref="E145:E153" si="30">C145+D145</f>
        <v>84000</v>
      </c>
      <c r="F145" s="171"/>
      <c r="G145" s="171">
        <f t="shared" ref="G145:G153" si="31">E145+F145</f>
        <v>84000</v>
      </c>
      <c r="H145" s="172">
        <f t="shared" ref="H145:H153" si="32">IF($G$208=0,0,G145/$G$208)</f>
        <v>5.9692281428578462E-3</v>
      </c>
      <c r="I145" s="473"/>
      <c r="J145" s="183">
        <v>0</v>
      </c>
      <c r="K145" s="183">
        <v>0</v>
      </c>
      <c r="U145" s="183">
        <v>0</v>
      </c>
      <c r="V145" s="183">
        <v>0</v>
      </c>
      <c r="W145" s="439">
        <v>0</v>
      </c>
      <c r="X145" s="439">
        <v>0</v>
      </c>
    </row>
    <row r="146" spans="1:24" s="167" customFormat="1">
      <c r="A146" s="169"/>
      <c r="B146" s="163" t="s">
        <v>194</v>
      </c>
      <c r="C146" s="501">
        <f>'[57]Sch C'!D147</f>
        <v>70541.98</v>
      </c>
      <c r="D146" s="501">
        <f>'[57]Sch C'!F147</f>
        <v>0</v>
      </c>
      <c r="E146" s="171">
        <f t="shared" si="30"/>
        <v>70541.98</v>
      </c>
      <c r="F146" s="171">
        <v>-6172</v>
      </c>
      <c r="G146" s="171">
        <f t="shared" si="31"/>
        <v>64369.979999999996</v>
      </c>
      <c r="H146" s="172">
        <f t="shared" si="32"/>
        <v>4.5742749544190079E-3</v>
      </c>
      <c r="I146" s="473"/>
      <c r="J146" s="183">
        <v>0</v>
      </c>
      <c r="K146" s="183">
        <v>0</v>
      </c>
      <c r="U146" s="183">
        <v>0</v>
      </c>
      <c r="V146" s="183">
        <v>0</v>
      </c>
      <c r="W146" s="439">
        <v>0</v>
      </c>
      <c r="X146" s="439">
        <v>0</v>
      </c>
    </row>
    <row r="147" spans="1:24" s="167" customFormat="1">
      <c r="A147" s="169"/>
      <c r="B147" s="163" t="s">
        <v>195</v>
      </c>
      <c r="C147" s="501">
        <f>'[57]Sch C'!D148</f>
        <v>4860.1099999999997</v>
      </c>
      <c r="D147" s="501">
        <f>'[57]Sch C'!F148</f>
        <v>0</v>
      </c>
      <c r="E147" s="171">
        <f t="shared" si="30"/>
        <v>4860.1099999999997</v>
      </c>
      <c r="F147" s="171"/>
      <c r="G147" s="171">
        <f t="shared" si="31"/>
        <v>4860.1099999999997</v>
      </c>
      <c r="H147" s="172">
        <f t="shared" si="32"/>
        <v>3.4537030225458151E-4</v>
      </c>
      <c r="I147" s="473"/>
      <c r="J147" s="183">
        <v>0</v>
      </c>
      <c r="K147" s="183">
        <v>0</v>
      </c>
      <c r="U147" s="183">
        <v>0</v>
      </c>
      <c r="V147" s="183">
        <v>0</v>
      </c>
      <c r="W147" s="439">
        <v>0</v>
      </c>
      <c r="X147" s="439">
        <v>0</v>
      </c>
    </row>
    <row r="148" spans="1:24" s="167" customFormat="1">
      <c r="A148" s="169"/>
      <c r="B148" s="163" t="s">
        <v>196</v>
      </c>
      <c r="C148" s="501">
        <f>'[57]Sch C'!D149</f>
        <v>39154.71</v>
      </c>
      <c r="D148" s="501">
        <f>'[57]Sch C'!F149</f>
        <v>0</v>
      </c>
      <c r="E148" s="171">
        <f t="shared" si="30"/>
        <v>39154.71</v>
      </c>
      <c r="F148" s="171">
        <v>-9961</v>
      </c>
      <c r="G148" s="171">
        <f t="shared" si="31"/>
        <v>29193.71</v>
      </c>
      <c r="H148" s="172">
        <f t="shared" si="32"/>
        <v>2.0745704205527445E-3</v>
      </c>
      <c r="I148" s="473"/>
      <c r="J148" s="183">
        <v>0</v>
      </c>
      <c r="K148" s="183">
        <v>0</v>
      </c>
      <c r="U148" s="183">
        <v>0</v>
      </c>
      <c r="V148" s="183">
        <v>0</v>
      </c>
      <c r="W148" s="439">
        <v>0</v>
      </c>
      <c r="X148" s="439">
        <v>0</v>
      </c>
    </row>
    <row r="149" spans="1:24" s="167" customFormat="1">
      <c r="A149" s="169"/>
      <c r="B149" s="163" t="s">
        <v>197</v>
      </c>
      <c r="C149" s="501">
        <f>'[57]Sch C'!D150</f>
        <v>212457.48</v>
      </c>
      <c r="D149" s="501">
        <f>'[57]Sch C'!F150</f>
        <v>0</v>
      </c>
      <c r="E149" s="171">
        <f t="shared" si="30"/>
        <v>212457.48</v>
      </c>
      <c r="F149" s="171"/>
      <c r="G149" s="171">
        <f t="shared" si="31"/>
        <v>212457.48</v>
      </c>
      <c r="H149" s="172">
        <f t="shared" si="32"/>
        <v>1.5097704390198311E-2</v>
      </c>
      <c r="I149" s="473"/>
      <c r="J149" s="183">
        <v>0</v>
      </c>
      <c r="K149" s="183">
        <v>0</v>
      </c>
      <c r="U149" s="183">
        <v>0</v>
      </c>
      <c r="V149" s="183">
        <v>0</v>
      </c>
      <c r="W149" s="439">
        <v>0</v>
      </c>
      <c r="X149" s="439">
        <v>0</v>
      </c>
    </row>
    <row r="150" spans="1:24" s="167" customFormat="1">
      <c r="A150" s="169">
        <v>110</v>
      </c>
      <c r="B150" s="167" t="s">
        <v>65</v>
      </c>
      <c r="C150" s="501">
        <f>'[57]Sch C'!D151</f>
        <v>523598</v>
      </c>
      <c r="D150" s="501">
        <f>'[57]Sch C'!F151</f>
        <v>0</v>
      </c>
      <c r="E150" s="171">
        <f t="shared" si="30"/>
        <v>523598</v>
      </c>
      <c r="F150" s="171">
        <f>-17774-12644</f>
        <v>-30418</v>
      </c>
      <c r="G150" s="171">
        <f t="shared" si="31"/>
        <v>493180</v>
      </c>
      <c r="H150" s="172">
        <f t="shared" si="32"/>
        <v>3.5046475422555151E-2</v>
      </c>
      <c r="I150" s="473"/>
      <c r="J150" s="168"/>
      <c r="K150" s="168"/>
      <c r="U150" s="168"/>
      <c r="V150" s="168"/>
      <c r="W150" s="461"/>
      <c r="X150" s="461"/>
    </row>
    <row r="151" spans="1:24" s="167" customFormat="1">
      <c r="A151" s="169">
        <v>111</v>
      </c>
      <c r="B151" s="170" t="s">
        <v>97</v>
      </c>
      <c r="C151" s="501">
        <f>'[57]Sch C'!D152</f>
        <v>2705.17</v>
      </c>
      <c r="D151" s="501">
        <f>'[57]Sch C'!F152</f>
        <v>0</v>
      </c>
      <c r="E151" s="171">
        <f t="shared" si="30"/>
        <v>2705.17</v>
      </c>
      <c r="F151" s="171"/>
      <c r="G151" s="171">
        <f t="shared" si="31"/>
        <v>2705.17</v>
      </c>
      <c r="H151" s="172">
        <f t="shared" si="32"/>
        <v>1.9223543922874717E-4</v>
      </c>
      <c r="I151" s="473"/>
      <c r="J151" s="168"/>
      <c r="K151" s="168"/>
      <c r="U151" s="168"/>
      <c r="V151" s="168"/>
      <c r="W151" s="461"/>
      <c r="X151" s="461"/>
    </row>
    <row r="152" spans="1:24" s="167" customFormat="1">
      <c r="A152" s="169">
        <v>230</v>
      </c>
      <c r="B152" s="170" t="s">
        <v>66</v>
      </c>
      <c r="C152" s="501">
        <f>'[57]Sch C'!D153</f>
        <v>0</v>
      </c>
      <c r="D152" s="501">
        <f>'[57]Sch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  <c r="U152" s="168"/>
      <c r="V152" s="168"/>
      <c r="W152" s="461"/>
      <c r="X152" s="461"/>
    </row>
    <row r="153" spans="1:24" s="167" customFormat="1">
      <c r="A153" s="169">
        <v>430</v>
      </c>
      <c r="B153" s="170" t="s">
        <v>99</v>
      </c>
      <c r="C153" s="501">
        <f>'[57]Sch C'!D154</f>
        <v>0</v>
      </c>
      <c r="D153" s="501">
        <f>'[57]Sch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  <c r="U153" s="168"/>
      <c r="V153" s="168"/>
      <c r="W153" s="461"/>
      <c r="X153" s="461"/>
    </row>
    <row r="154" spans="1:24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  <c r="U154" s="168"/>
      <c r="V154" s="168"/>
      <c r="W154" s="461"/>
      <c r="X154" s="461"/>
    </row>
    <row r="155" spans="1:24" s="167" customFormat="1">
      <c r="A155" s="169">
        <v>440.1</v>
      </c>
      <c r="B155" s="163" t="s">
        <v>223</v>
      </c>
      <c r="C155" s="501">
        <f>'[57]Sch C'!D156</f>
        <v>0</v>
      </c>
      <c r="D155" s="501">
        <f>'[57]Sch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  <c r="U155" s="168"/>
      <c r="V155" s="168"/>
      <c r="W155" s="461"/>
      <c r="X155" s="461"/>
    </row>
    <row r="156" spans="1:24" s="167" customFormat="1">
      <c r="A156" s="169">
        <v>440.2</v>
      </c>
      <c r="B156" s="163" t="s">
        <v>224</v>
      </c>
      <c r="C156" s="501">
        <f>'[57]Sch C'!D157</f>
        <v>0</v>
      </c>
      <c r="D156" s="501">
        <f>'[57]Sch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  <c r="U156" s="168"/>
      <c r="V156" s="168"/>
      <c r="W156" s="461"/>
      <c r="X156" s="461"/>
    </row>
    <row r="157" spans="1:24" s="167" customFormat="1">
      <c r="A157" s="169">
        <v>440.3</v>
      </c>
      <c r="B157" s="163" t="s">
        <v>225</v>
      </c>
      <c r="C157" s="501">
        <f>'[57]Sch C'!D158</f>
        <v>0</v>
      </c>
      <c r="D157" s="501">
        <f>'[57]Sch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  <c r="U157" s="168"/>
      <c r="V157" s="168"/>
      <c r="W157" s="461"/>
      <c r="X157" s="461"/>
    </row>
    <row r="158" spans="1:24" s="167" customFormat="1">
      <c r="A158" s="169">
        <v>440.4</v>
      </c>
      <c r="B158" s="163" t="s">
        <v>226</v>
      </c>
      <c r="C158" s="501">
        <f>'[57]Sch C'!D159</f>
        <v>0</v>
      </c>
      <c r="D158" s="501">
        <f>'[57]Sch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  <c r="U158" s="168"/>
      <c r="V158" s="168"/>
      <c r="W158" s="461"/>
      <c r="X158" s="461"/>
    </row>
    <row r="159" spans="1:24" s="167" customFormat="1">
      <c r="A159" s="169">
        <v>440.5</v>
      </c>
      <c r="B159" s="163" t="s">
        <v>301</v>
      </c>
      <c r="C159" s="501">
        <f>'[57]Sch C'!D160</f>
        <v>457.53</v>
      </c>
      <c r="D159" s="501">
        <f>'[57]Sch C'!F160</f>
        <v>0</v>
      </c>
      <c r="E159" s="171">
        <f t="shared" si="33"/>
        <v>457.53</v>
      </c>
      <c r="F159" s="171"/>
      <c r="G159" s="171">
        <f t="shared" si="34"/>
        <v>457.53</v>
      </c>
      <c r="H159" s="172">
        <f>IF($G$208=0,0,G159/$G$208)</f>
        <v>3.251310657383036E-5</v>
      </c>
      <c r="I159" s="473"/>
      <c r="J159" s="168"/>
      <c r="K159" s="168"/>
      <c r="U159" s="168"/>
      <c r="V159" s="168"/>
      <c r="W159" s="461"/>
      <c r="X159" s="461"/>
    </row>
    <row r="160" spans="1:24" s="167" customFormat="1">
      <c r="A160" s="169">
        <v>490</v>
      </c>
      <c r="B160" s="202" t="s">
        <v>315</v>
      </c>
      <c r="C160" s="501">
        <f>'[57]Sch C'!D161</f>
        <v>57381.07</v>
      </c>
      <c r="D160" s="501">
        <f>'[57]Sch C'!F161</f>
        <v>0</v>
      </c>
      <c r="E160" s="171">
        <f t="shared" si="33"/>
        <v>57381.07</v>
      </c>
      <c r="F160" s="171"/>
      <c r="G160" s="171">
        <f t="shared" si="34"/>
        <v>57381.07</v>
      </c>
      <c r="H160" s="172">
        <f t="shared" si="35"/>
        <v>4.0776273560868583E-3</v>
      </c>
      <c r="I160" s="473"/>
      <c r="J160" s="168"/>
      <c r="K160" s="168"/>
      <c r="U160" s="168"/>
      <c r="V160" s="168"/>
      <c r="W160" s="461"/>
      <c r="X160" s="461"/>
    </row>
    <row r="161" spans="1:24" s="167" customFormat="1">
      <c r="A161" s="169"/>
      <c r="B161" s="170" t="s">
        <v>233</v>
      </c>
      <c r="C161" s="501">
        <f>SUM(C123:C160)</f>
        <v>6418376.8500000024</v>
      </c>
      <c r="D161" s="501">
        <f>SUM(D123:D160)</f>
        <v>0</v>
      </c>
      <c r="E161" s="171">
        <f t="shared" ref="E161:F161" si="36">SUM(E123:E160)</f>
        <v>6418376.8500000024</v>
      </c>
      <c r="F161" s="171">
        <f t="shared" si="36"/>
        <v>-46551</v>
      </c>
      <c r="G161" s="171">
        <f>SUM(G123:G160)</f>
        <v>6371825.8500000024</v>
      </c>
      <c r="H161" s="172">
        <f t="shared" si="35"/>
        <v>0.45279621649058494</v>
      </c>
      <c r="I161" s="473"/>
      <c r="J161" s="168"/>
      <c r="K161" s="168"/>
      <c r="U161" s="168"/>
      <c r="V161" s="168"/>
      <c r="W161" s="461"/>
      <c r="X161" s="461"/>
    </row>
    <row r="162" spans="1:24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  <c r="U162" s="168"/>
      <c r="V162" s="168"/>
      <c r="W162" s="461"/>
      <c r="X162" s="461"/>
    </row>
    <row r="163" spans="1:24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  <c r="U163" s="168"/>
      <c r="V163" s="168"/>
      <c r="W163" s="461"/>
      <c r="X163" s="461"/>
    </row>
    <row r="164" spans="1:24" s="221" customFormat="1">
      <c r="A164" s="215" t="s">
        <v>95</v>
      </c>
      <c r="B164" s="148" t="s">
        <v>102</v>
      </c>
      <c r="C164" s="501">
        <f>'[57]Sch C'!D175</f>
        <v>0</v>
      </c>
      <c r="D164" s="501">
        <f>'[57]Sch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  <c r="U164" s="217">
        <v>0</v>
      </c>
      <c r="V164" s="217">
        <v>0</v>
      </c>
      <c r="W164" s="439">
        <v>0</v>
      </c>
      <c r="X164" s="439">
        <v>0</v>
      </c>
    </row>
    <row r="165" spans="1:24" s="221" customFormat="1">
      <c r="A165" s="215" t="s">
        <v>123</v>
      </c>
      <c r="B165" s="148" t="s">
        <v>103</v>
      </c>
      <c r="C165" s="501">
        <f>'[57]Sch C'!D176</f>
        <v>0</v>
      </c>
      <c r="D165" s="501">
        <f>'[57]Sch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  <c r="U165" s="222"/>
      <c r="V165" s="222"/>
      <c r="W165" s="467"/>
      <c r="X165" s="467"/>
    </row>
    <row r="166" spans="1:24" s="221" customFormat="1">
      <c r="A166" s="215" t="s">
        <v>124</v>
      </c>
      <c r="B166" s="148" t="s">
        <v>104</v>
      </c>
      <c r="C166" s="501">
        <f>'[57]Sch C'!D177</f>
        <v>0</v>
      </c>
      <c r="D166" s="501">
        <f>'[57]Sch C'!F177</f>
        <v>0</v>
      </c>
      <c r="E166" s="171">
        <f t="shared" si="37"/>
        <v>0</v>
      </c>
      <c r="F166" s="171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  <c r="U166" s="217">
        <v>0</v>
      </c>
      <c r="V166" s="217">
        <v>0</v>
      </c>
      <c r="W166" s="439">
        <v>0</v>
      </c>
      <c r="X166" s="439">
        <v>0</v>
      </c>
    </row>
    <row r="167" spans="1:24" s="221" customFormat="1">
      <c r="A167" s="215" t="s">
        <v>157</v>
      </c>
      <c r="B167" s="148" t="s">
        <v>105</v>
      </c>
      <c r="C167" s="501">
        <f>'[57]Sch C'!D178</f>
        <v>0</v>
      </c>
      <c r="D167" s="501">
        <f>'[57]Sch C'!F178</f>
        <v>0</v>
      </c>
      <c r="E167" s="171">
        <f t="shared" si="37"/>
        <v>0</v>
      </c>
      <c r="F167" s="171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  <c r="U167" s="222"/>
      <c r="V167" s="222"/>
      <c r="W167" s="467"/>
      <c r="X167" s="467"/>
    </row>
    <row r="168" spans="1:24" s="221" customFormat="1">
      <c r="A168" s="215" t="s">
        <v>158</v>
      </c>
      <c r="B168" s="148" t="s">
        <v>316</v>
      </c>
      <c r="C168" s="501">
        <f>'[57]Sch C'!D179</f>
        <v>0</v>
      </c>
      <c r="D168" s="501">
        <f>'[57]Sch C'!F179</f>
        <v>0</v>
      </c>
      <c r="E168" s="171">
        <f t="shared" si="37"/>
        <v>0</v>
      </c>
      <c r="F168" s="171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  <c r="U168" s="217">
        <v>0</v>
      </c>
      <c r="V168" s="217">
        <v>0</v>
      </c>
      <c r="W168" s="439">
        <v>0</v>
      </c>
      <c r="X168" s="439">
        <v>0</v>
      </c>
    </row>
    <row r="169" spans="1:24" s="221" customFormat="1">
      <c r="A169" s="215" t="s">
        <v>86</v>
      </c>
      <c r="B169" s="148" t="s">
        <v>317</v>
      </c>
      <c r="C169" s="501">
        <f>'[57]Sch C'!D180</f>
        <v>0</v>
      </c>
      <c r="D169" s="501">
        <f>'[57]Sch C'!F180</f>
        <v>0</v>
      </c>
      <c r="E169" s="171">
        <f t="shared" si="37"/>
        <v>0</v>
      </c>
      <c r="F169" s="171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  <c r="U169" s="222"/>
      <c r="V169" s="222"/>
      <c r="W169" s="467"/>
      <c r="X169" s="467"/>
    </row>
    <row r="170" spans="1:24" s="221" customFormat="1">
      <c r="A170" s="215" t="s">
        <v>96</v>
      </c>
      <c r="B170" s="148" t="s">
        <v>318</v>
      </c>
      <c r="C170" s="501">
        <f>'[57]Sch C'!D181</f>
        <v>0</v>
      </c>
      <c r="D170" s="501">
        <f>'[57]Sch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  <c r="U170" s="217">
        <v>0</v>
      </c>
      <c r="V170" s="217">
        <v>0</v>
      </c>
      <c r="W170" s="439">
        <v>0</v>
      </c>
      <c r="X170" s="439">
        <v>0</v>
      </c>
    </row>
    <row r="171" spans="1:24" s="221" customFormat="1">
      <c r="A171" s="215" t="s">
        <v>125</v>
      </c>
      <c r="B171" s="148" t="s">
        <v>109</v>
      </c>
      <c r="C171" s="501">
        <f>'[57]Sch C'!D182</f>
        <v>0</v>
      </c>
      <c r="D171" s="501">
        <f>'[57]Sch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  <c r="U171" s="222"/>
      <c r="V171" s="222"/>
      <c r="W171" s="467"/>
      <c r="X171" s="467"/>
    </row>
    <row r="172" spans="1:24" s="221" customFormat="1">
      <c r="A172" s="215" t="s">
        <v>126</v>
      </c>
      <c r="B172" s="148" t="s">
        <v>319</v>
      </c>
      <c r="C172" s="501">
        <f>'[57]Sch C'!D183</f>
        <v>0</v>
      </c>
      <c r="D172" s="501">
        <f>'[57]Sch C'!F183</f>
        <v>0</v>
      </c>
      <c r="E172" s="171">
        <f t="shared" si="37"/>
        <v>0</v>
      </c>
      <c r="F172" s="171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  <c r="U172" s="217">
        <v>0</v>
      </c>
      <c r="V172" s="217">
        <v>0</v>
      </c>
      <c r="W172" s="439">
        <v>0</v>
      </c>
      <c r="X172" s="439">
        <v>0</v>
      </c>
    </row>
    <row r="173" spans="1:24" s="221" customFormat="1">
      <c r="A173" s="215" t="s">
        <v>127</v>
      </c>
      <c r="B173" s="148" t="s">
        <v>111</v>
      </c>
      <c r="C173" s="501">
        <f>'[57]Sch C'!D184</f>
        <v>0</v>
      </c>
      <c r="D173" s="501">
        <f>'[57]Sch C'!F184</f>
        <v>0</v>
      </c>
      <c r="E173" s="171">
        <f t="shared" si="37"/>
        <v>0</v>
      </c>
      <c r="F173" s="171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  <c r="U173" s="222"/>
      <c r="V173" s="222"/>
      <c r="W173" s="467"/>
      <c r="X173" s="467"/>
    </row>
    <row r="174" spans="1:24" s="221" customFormat="1">
      <c r="A174" s="215" t="s">
        <v>128</v>
      </c>
      <c r="B174" s="148" t="s">
        <v>320</v>
      </c>
      <c r="C174" s="501">
        <f>'[57]Sch C'!D185</f>
        <v>0</v>
      </c>
      <c r="D174" s="501">
        <f>'[57]Sch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  <c r="U174" s="217">
        <v>0</v>
      </c>
      <c r="V174" s="217">
        <v>0</v>
      </c>
      <c r="W174" s="439">
        <v>0</v>
      </c>
      <c r="X174" s="439">
        <v>0</v>
      </c>
    </row>
    <row r="175" spans="1:24" s="221" customFormat="1">
      <c r="A175" s="215" t="s">
        <v>129</v>
      </c>
      <c r="B175" s="148" t="s">
        <v>321</v>
      </c>
      <c r="C175" s="501">
        <f>'[57]Sch C'!D186</f>
        <v>0</v>
      </c>
      <c r="D175" s="501">
        <f>'[57]Sch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  <c r="U175" s="223"/>
      <c r="V175" s="218"/>
      <c r="W175" s="468"/>
      <c r="X175" s="469"/>
    </row>
    <row r="176" spans="1:24" s="221" customFormat="1">
      <c r="A176" s="224" t="s">
        <v>293</v>
      </c>
      <c r="B176" s="148" t="s">
        <v>154</v>
      </c>
      <c r="C176" s="501">
        <f>'[57]Sch C'!D187</f>
        <v>0</v>
      </c>
      <c r="D176" s="501">
        <f>'[57]Sch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  <c r="U176" s="223"/>
      <c r="V176" s="218"/>
      <c r="W176" s="468"/>
      <c r="X176" s="469"/>
    </row>
    <row r="177" spans="1:24" s="221" customFormat="1">
      <c r="A177" s="224" t="s">
        <v>294</v>
      </c>
      <c r="B177" s="148" t="s">
        <v>322</v>
      </c>
      <c r="C177" s="501">
        <f>'[57]Sch C'!D188</f>
        <v>0</v>
      </c>
      <c r="D177" s="501">
        <f>'[57]Sch C'!F188</f>
        <v>0</v>
      </c>
      <c r="E177" s="171">
        <f t="shared" si="37"/>
        <v>0</v>
      </c>
      <c r="F177" s="171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  <c r="U177" s="223"/>
      <c r="V177" s="218"/>
      <c r="W177" s="468"/>
      <c r="X177" s="469"/>
    </row>
    <row r="178" spans="1:24" s="221" customFormat="1">
      <c r="A178" s="224" t="s">
        <v>295</v>
      </c>
      <c r="B178" s="148" t="s">
        <v>323</v>
      </c>
      <c r="C178" s="501">
        <f>'[57]Sch C'!D189</f>
        <v>0</v>
      </c>
      <c r="D178" s="501">
        <f>'[57]Sch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  <c r="U178" s="223"/>
      <c r="V178" s="218"/>
      <c r="W178" s="468"/>
      <c r="X178" s="469"/>
    </row>
    <row r="179" spans="1:24" s="221" customFormat="1">
      <c r="A179" s="224" t="s">
        <v>296</v>
      </c>
      <c r="B179" s="148" t="s">
        <v>324</v>
      </c>
      <c r="C179" s="501">
        <f>'[57]Sch C'!D190</f>
        <v>0</v>
      </c>
      <c r="D179" s="501">
        <f>'[57]Sch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  <c r="U179" s="223"/>
      <c r="V179" s="218"/>
      <c r="W179" s="468"/>
      <c r="X179" s="469"/>
    </row>
    <row r="180" spans="1:24" s="221" customFormat="1">
      <c r="A180" s="224" t="s">
        <v>297</v>
      </c>
      <c r="B180" s="148" t="s">
        <v>325</v>
      </c>
      <c r="C180" s="501">
        <f>'[57]Sch C'!D191</f>
        <v>0</v>
      </c>
      <c r="D180" s="501">
        <f>'[57]Sch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  <c r="U180" s="223"/>
      <c r="V180" s="218"/>
      <c r="W180" s="468"/>
      <c r="X180" s="469"/>
    </row>
    <row r="181" spans="1:24" s="221" customFormat="1">
      <c r="A181" s="224" t="s">
        <v>298</v>
      </c>
      <c r="B181" s="148" t="s">
        <v>117</v>
      </c>
      <c r="C181" s="501">
        <f>'[57]Sch C'!D192</f>
        <v>0</v>
      </c>
      <c r="D181" s="501">
        <f>'[57]Sch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  <c r="U181" s="223"/>
      <c r="V181" s="218"/>
      <c r="W181" s="468"/>
      <c r="X181" s="469"/>
    </row>
    <row r="182" spans="1:24" s="221" customFormat="1">
      <c r="A182" s="224" t="s">
        <v>132</v>
      </c>
      <c r="B182" s="148" t="s">
        <v>118</v>
      </c>
      <c r="C182" s="501">
        <f>'[57]Sch C'!D193</f>
        <v>0</v>
      </c>
      <c r="D182" s="501">
        <f>'[57]Sch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  <c r="U182" s="223"/>
      <c r="V182" s="218"/>
      <c r="W182" s="468"/>
      <c r="X182" s="469"/>
    </row>
    <row r="183" spans="1:24" s="221" customFormat="1">
      <c r="A183" s="224" t="s">
        <v>133</v>
      </c>
      <c r="B183" s="148" t="s">
        <v>119</v>
      </c>
      <c r="C183" s="501">
        <f>'[57]Sch C'!D194</f>
        <v>646964.06999999995</v>
      </c>
      <c r="D183" s="501">
        <f>'[57]Sch C'!F194</f>
        <v>-3905</v>
      </c>
      <c r="E183" s="171">
        <f t="shared" si="37"/>
        <v>643059.06999999995</v>
      </c>
      <c r="F183" s="171"/>
      <c r="G183" s="171">
        <f t="shared" si="38"/>
        <v>643059.06999999995</v>
      </c>
      <c r="H183" s="172">
        <f t="shared" si="39"/>
        <v>4.5697217835285638E-2</v>
      </c>
      <c r="I183" s="473"/>
      <c r="J183" s="223"/>
      <c r="K183" s="218"/>
      <c r="M183" s="220"/>
      <c r="N183" s="220"/>
      <c r="U183" s="223"/>
      <c r="V183" s="218"/>
      <c r="W183" s="468"/>
      <c r="X183" s="469"/>
    </row>
    <row r="184" spans="1:24" s="221" customFormat="1">
      <c r="A184" s="224" t="s">
        <v>134</v>
      </c>
      <c r="B184" s="148" t="s">
        <v>326</v>
      </c>
      <c r="C184" s="501">
        <f>'[57]Sch C'!D195</f>
        <v>120410.81</v>
      </c>
      <c r="D184" s="501">
        <f>'[57]Sch C'!F195</f>
        <v>-727</v>
      </c>
      <c r="E184" s="171">
        <f t="shared" si="37"/>
        <v>119683.81</v>
      </c>
      <c r="F184" s="171"/>
      <c r="G184" s="171">
        <f t="shared" si="38"/>
        <v>119683.81</v>
      </c>
      <c r="H184" s="172">
        <f t="shared" si="39"/>
        <v>8.5049996059101355E-3</v>
      </c>
      <c r="I184" s="473"/>
      <c r="J184" s="223"/>
      <c r="K184" s="218"/>
      <c r="M184" s="220"/>
      <c r="N184" s="220"/>
      <c r="U184" s="223"/>
      <c r="V184" s="218"/>
      <c r="W184" s="468"/>
      <c r="X184" s="469"/>
    </row>
    <row r="185" spans="1:24" s="221" customFormat="1">
      <c r="A185" s="224" t="s">
        <v>135</v>
      </c>
      <c r="B185" s="148" t="s">
        <v>327</v>
      </c>
      <c r="C185" s="501">
        <f>'[57]Sch C'!D196</f>
        <v>0</v>
      </c>
      <c r="D185" s="501">
        <f>'[57]Sch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  <c r="U185" s="223"/>
      <c r="V185" s="218"/>
      <c r="W185" s="468"/>
      <c r="X185" s="469"/>
    </row>
    <row r="186" spans="1:24" s="221" customFormat="1">
      <c r="A186" s="224" t="s">
        <v>136</v>
      </c>
      <c r="B186" s="148" t="s">
        <v>328</v>
      </c>
      <c r="C186" s="501">
        <f>'[57]Sch C'!D197</f>
        <v>594200.17000000004</v>
      </c>
      <c r="D186" s="501">
        <f>'[57]Sch C'!F197</f>
        <v>-3586</v>
      </c>
      <c r="E186" s="171">
        <f t="shared" si="37"/>
        <v>590614.17000000004</v>
      </c>
      <c r="F186" s="171"/>
      <c r="G186" s="171">
        <f t="shared" si="38"/>
        <v>590614.17000000004</v>
      </c>
      <c r="H186" s="172">
        <f t="shared" si="39"/>
        <v>4.1970365775412244E-2</v>
      </c>
      <c r="I186" s="473"/>
      <c r="J186" s="223"/>
      <c r="K186" s="218"/>
      <c r="M186" s="220"/>
      <c r="N186" s="220"/>
      <c r="U186" s="223"/>
      <c r="V186" s="218"/>
      <c r="W186" s="468"/>
      <c r="X186" s="469"/>
    </row>
    <row r="187" spans="1:24" s="221" customFormat="1">
      <c r="A187" s="224" t="s">
        <v>137</v>
      </c>
      <c r="B187" s="148" t="s">
        <v>122</v>
      </c>
      <c r="C187" s="501">
        <f>'[57]Sch C'!D198</f>
        <v>50274.400000000001</v>
      </c>
      <c r="D187" s="501">
        <f>'[57]Sch C'!F198</f>
        <v>0</v>
      </c>
      <c r="E187" s="171">
        <f t="shared" si="37"/>
        <v>50274.400000000001</v>
      </c>
      <c r="F187" s="171"/>
      <c r="G187" s="171">
        <f t="shared" si="38"/>
        <v>50274.400000000001</v>
      </c>
      <c r="H187" s="172">
        <f t="shared" si="39"/>
        <v>3.5726114683963398E-3</v>
      </c>
      <c r="I187" s="473"/>
      <c r="J187" s="223"/>
      <c r="K187" s="218"/>
      <c r="M187" s="220"/>
      <c r="N187" s="220"/>
      <c r="U187" s="223"/>
      <c r="V187" s="218"/>
      <c r="W187" s="468"/>
      <c r="X187" s="469"/>
    </row>
    <row r="188" spans="1:24" s="221" customFormat="1">
      <c r="A188" s="224" t="s">
        <v>275</v>
      </c>
      <c r="B188" s="148" t="s">
        <v>329</v>
      </c>
      <c r="C188" s="501">
        <f>'[57]Sch C'!D199</f>
        <v>0</v>
      </c>
      <c r="D188" s="501">
        <f>'[57]Sch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  <c r="U188" s="223"/>
      <c r="V188" s="218"/>
      <c r="W188" s="468"/>
      <c r="X188" s="469"/>
    </row>
    <row r="189" spans="1:24" s="221" customFormat="1">
      <c r="A189" s="224" t="s">
        <v>277</v>
      </c>
      <c r="B189" s="148" t="s">
        <v>278</v>
      </c>
      <c r="C189" s="501">
        <f>'[57]Sch C'!D200</f>
        <v>0</v>
      </c>
      <c r="D189" s="501">
        <f>'[57]Sch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  <c r="U189" s="223"/>
      <c r="V189" s="218"/>
      <c r="W189" s="468"/>
      <c r="X189" s="469"/>
    </row>
    <row r="190" spans="1:24" s="221" customFormat="1">
      <c r="A190" s="225" t="s">
        <v>279</v>
      </c>
      <c r="B190" s="226" t="s">
        <v>280</v>
      </c>
      <c r="C190" s="501">
        <f>'[57]Sch C'!D201</f>
        <v>0</v>
      </c>
      <c r="D190" s="501">
        <f>'[57]Sch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  <c r="U190" s="223"/>
      <c r="V190" s="218"/>
      <c r="W190" s="468"/>
      <c r="X190" s="469"/>
    </row>
    <row r="191" spans="1:24" s="221" customFormat="1">
      <c r="A191" s="225" t="s">
        <v>281</v>
      </c>
      <c r="B191" s="226" t="s">
        <v>282</v>
      </c>
      <c r="C191" s="501">
        <f>'[57]Sch C'!D202</f>
        <v>0</v>
      </c>
      <c r="D191" s="501">
        <f>'[57]Sch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  <c r="U191" s="223"/>
      <c r="V191" s="218"/>
      <c r="W191" s="468"/>
      <c r="X191" s="469"/>
    </row>
    <row r="192" spans="1:24" s="221" customFormat="1">
      <c r="A192" s="225" t="s">
        <v>283</v>
      </c>
      <c r="B192" s="226" t="s">
        <v>330</v>
      </c>
      <c r="C192" s="501">
        <f>'[57]Sch C'!D203</f>
        <v>0</v>
      </c>
      <c r="D192" s="501">
        <f>'[57]Sch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  <c r="U192" s="223"/>
      <c r="V192" s="218"/>
      <c r="W192" s="468"/>
      <c r="X192" s="469"/>
    </row>
    <row r="193" spans="1:24" s="221" customFormat="1">
      <c r="A193" s="225" t="s">
        <v>285</v>
      </c>
      <c r="B193" s="226" t="s">
        <v>331</v>
      </c>
      <c r="C193" s="501">
        <f>'[57]Sch C'!D204</f>
        <v>0</v>
      </c>
      <c r="D193" s="501">
        <f>'[57]Sch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  <c r="U193" s="223"/>
      <c r="V193" s="218"/>
      <c r="W193" s="468"/>
      <c r="X193" s="469"/>
    </row>
    <row r="194" spans="1:24" s="221" customFormat="1">
      <c r="A194" s="224" t="s">
        <v>138</v>
      </c>
      <c r="B194" s="148" t="s">
        <v>332</v>
      </c>
      <c r="C194" s="501">
        <f>'[57]Sch C'!D205</f>
        <v>911994.37</v>
      </c>
      <c r="D194" s="501">
        <f>'[57]Sch C'!F205</f>
        <v>-544740</v>
      </c>
      <c r="E194" s="171">
        <f t="shared" si="37"/>
        <v>367254.37</v>
      </c>
      <c r="F194" s="171"/>
      <c r="G194" s="171">
        <f t="shared" si="38"/>
        <v>367254.37</v>
      </c>
      <c r="H194" s="172">
        <f t="shared" si="39"/>
        <v>2.6097918107042005E-2</v>
      </c>
      <c r="I194" s="473"/>
      <c r="J194" s="223"/>
      <c r="K194" s="218"/>
      <c r="M194" s="220"/>
      <c r="N194" s="220"/>
      <c r="U194" s="223"/>
      <c r="V194" s="218"/>
      <c r="W194" s="468"/>
      <c r="X194" s="469"/>
    </row>
    <row r="195" spans="1:24" s="221" customFormat="1">
      <c r="A195" s="224" t="s">
        <v>139</v>
      </c>
      <c r="B195" s="148" t="s">
        <v>67</v>
      </c>
      <c r="C195" s="501">
        <f>'[57]Sch C'!D206</f>
        <v>48085.47</v>
      </c>
      <c r="D195" s="501">
        <f>'[57]Sch C'!F206</f>
        <v>0</v>
      </c>
      <c r="E195" s="171">
        <f t="shared" si="37"/>
        <v>48085.47</v>
      </c>
      <c r="F195" s="171"/>
      <c r="G195" s="171">
        <f t="shared" si="38"/>
        <v>48085.47</v>
      </c>
      <c r="H195" s="172">
        <f t="shared" si="39"/>
        <v>3.4170611998398416E-3</v>
      </c>
      <c r="I195" s="473"/>
      <c r="J195" s="223"/>
      <c r="K195" s="218"/>
      <c r="M195" s="220"/>
      <c r="N195" s="220"/>
      <c r="U195" s="223"/>
      <c r="V195" s="218"/>
      <c r="W195" s="468"/>
      <c r="X195" s="469"/>
    </row>
    <row r="196" spans="1:24" s="221" customFormat="1">
      <c r="A196" s="225" t="s">
        <v>143</v>
      </c>
      <c r="B196" s="194" t="s">
        <v>333</v>
      </c>
      <c r="C196" s="501">
        <f>'[57]Sch C'!D207</f>
        <v>49758.94</v>
      </c>
      <c r="D196" s="501">
        <f>'[57]Sch C'!F207</f>
        <v>0</v>
      </c>
      <c r="E196" s="171">
        <f t="shared" si="37"/>
        <v>49758.94</v>
      </c>
      <c r="F196" s="171"/>
      <c r="G196" s="171">
        <f t="shared" si="38"/>
        <v>49758.94</v>
      </c>
      <c r="H196" s="172">
        <f t="shared" si="39"/>
        <v>3.5359817262711314E-3</v>
      </c>
      <c r="I196" s="473"/>
      <c r="J196" s="223"/>
      <c r="K196" s="218"/>
      <c r="M196" s="220"/>
      <c r="N196" s="220"/>
      <c r="U196" s="223"/>
      <c r="V196" s="218"/>
      <c r="W196" s="468"/>
      <c r="X196" s="469"/>
    </row>
    <row r="197" spans="1:24" s="167" customFormat="1">
      <c r="A197" s="163"/>
      <c r="B197" s="212" t="s">
        <v>130</v>
      </c>
      <c r="C197" s="501">
        <f>SUM(C164:C196)</f>
        <v>2421688.23</v>
      </c>
      <c r="D197" s="501">
        <f>SUM(D164:D196)</f>
        <v>-552958</v>
      </c>
      <c r="E197" s="171">
        <f t="shared" ref="E197:F197" si="40">SUM(E164:E196)</f>
        <v>1868730.2299999997</v>
      </c>
      <c r="F197" s="171">
        <f t="shared" si="40"/>
        <v>0</v>
      </c>
      <c r="G197" s="171">
        <f>SUM(G164:G196)</f>
        <v>1868730.2299999997</v>
      </c>
      <c r="H197" s="172">
        <f>IF($G$208=0,0,G197/$G$208)</f>
        <v>0.13279615571815731</v>
      </c>
      <c r="I197" s="473"/>
      <c r="J197" s="168"/>
      <c r="K197" s="168"/>
      <c r="U197" s="168"/>
      <c r="V197" s="168"/>
      <c r="W197" s="461"/>
      <c r="X197" s="461"/>
    </row>
    <row r="198" spans="1:2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  <c r="U198" s="168"/>
      <c r="V198" s="168"/>
      <c r="W198" s="461"/>
      <c r="X198" s="461"/>
    </row>
    <row r="199" spans="1:2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  <c r="U199" s="168"/>
      <c r="V199" s="168"/>
      <c r="W199" s="461"/>
      <c r="X199" s="461"/>
    </row>
    <row r="200" spans="1:24" s="167" customFormat="1">
      <c r="A200" s="169" t="s">
        <v>85</v>
      </c>
      <c r="B200" s="170" t="s">
        <v>69</v>
      </c>
      <c r="C200" s="501">
        <f>'[57]Sch C'!D211</f>
        <v>252831.8</v>
      </c>
      <c r="D200" s="501">
        <f>'[57]Sch C'!F211</f>
        <v>0</v>
      </c>
      <c r="E200" s="171">
        <f t="shared" ref="E200:E205" si="41">C200+D200</f>
        <v>252831.8</v>
      </c>
      <c r="F200" s="171"/>
      <c r="G200" s="171">
        <f t="shared" ref="G200:G205" si="42">E200+F200</f>
        <v>252831.8</v>
      </c>
      <c r="H200" s="172">
        <f t="shared" ref="H200:H206" si="43">IF($G$208=0,0,G200/$G$208)</f>
        <v>1.7966793999635789E-2</v>
      </c>
      <c r="I200" s="473"/>
      <c r="J200" s="183">
        <v>5855</v>
      </c>
      <c r="K200" s="183">
        <v>6477</v>
      </c>
      <c r="U200" s="183">
        <v>3262</v>
      </c>
      <c r="V200" s="183">
        <v>3585</v>
      </c>
      <c r="W200" s="439">
        <v>9321</v>
      </c>
      <c r="X200" s="439">
        <v>10191</v>
      </c>
    </row>
    <row r="201" spans="1:24" s="167" customFormat="1">
      <c r="A201" s="169" t="s">
        <v>86</v>
      </c>
      <c r="B201" s="170" t="s">
        <v>45</v>
      </c>
      <c r="C201" s="501">
        <f>'[57]Sch C'!D212</f>
        <v>50782.59</v>
      </c>
      <c r="D201" s="501">
        <f>'[57]Sch C'!F212</f>
        <v>0</v>
      </c>
      <c r="E201" s="171">
        <f t="shared" si="41"/>
        <v>50782.59</v>
      </c>
      <c r="F201" s="171"/>
      <c r="G201" s="171">
        <f t="shared" si="42"/>
        <v>50782.59</v>
      </c>
      <c r="H201" s="172">
        <f t="shared" si="43"/>
        <v>3.6087245880382312E-3</v>
      </c>
      <c r="I201" s="473"/>
      <c r="J201" s="168"/>
      <c r="K201" s="168"/>
      <c r="U201" s="168"/>
      <c r="V201" s="168"/>
      <c r="W201" s="461"/>
      <c r="X201" s="461"/>
    </row>
    <row r="202" spans="1:24" s="167" customFormat="1">
      <c r="A202" s="169" t="s">
        <v>140</v>
      </c>
      <c r="B202" s="170" t="s">
        <v>54</v>
      </c>
      <c r="C202" s="501">
        <f>'[57]Sch C'!D213</f>
        <v>21447.75</v>
      </c>
      <c r="D202" s="501">
        <f>'[57]Sch C'!F213</f>
        <v>0</v>
      </c>
      <c r="E202" s="171">
        <f t="shared" si="41"/>
        <v>21447.75</v>
      </c>
      <c r="F202" s="171"/>
      <c r="G202" s="171">
        <f t="shared" si="42"/>
        <v>21447.75</v>
      </c>
      <c r="H202" s="172">
        <f t="shared" si="43"/>
        <v>1.5241251535830877E-3</v>
      </c>
      <c r="I202" s="473"/>
      <c r="J202" s="168"/>
      <c r="K202" s="168"/>
      <c r="U202" s="168"/>
      <c r="V202" s="168"/>
      <c r="W202" s="461"/>
      <c r="X202" s="461"/>
    </row>
    <row r="203" spans="1:24" s="167" customFormat="1">
      <c r="A203" s="169" t="s">
        <v>141</v>
      </c>
      <c r="B203" s="170" t="s">
        <v>70</v>
      </c>
      <c r="C203" s="501">
        <f>'[57]Sch C'!D214</f>
        <v>451.16</v>
      </c>
      <c r="D203" s="501">
        <f>'[57]Sch C'!F214</f>
        <v>0</v>
      </c>
      <c r="E203" s="171">
        <f t="shared" si="41"/>
        <v>451.16</v>
      </c>
      <c r="F203" s="171"/>
      <c r="G203" s="171">
        <f t="shared" si="42"/>
        <v>451.16</v>
      </c>
      <c r="H203" s="172">
        <f t="shared" si="43"/>
        <v>3.2060440106330314E-5</v>
      </c>
      <c r="I203" s="473"/>
      <c r="J203" s="168"/>
      <c r="K203" s="168"/>
      <c r="U203" s="168"/>
      <c r="V203" s="168"/>
      <c r="W203" s="461"/>
      <c r="X203" s="461"/>
    </row>
    <row r="204" spans="1:24" s="167" customFormat="1">
      <c r="A204" s="169" t="s">
        <v>142</v>
      </c>
      <c r="B204" s="202" t="s">
        <v>71</v>
      </c>
      <c r="C204" s="501">
        <f>'[57]Sch C'!D215</f>
        <v>0</v>
      </c>
      <c r="D204" s="501">
        <f>'[57]Sch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  <c r="U204" s="168"/>
      <c r="V204" s="168"/>
      <c r="W204" s="461"/>
      <c r="X204" s="461"/>
    </row>
    <row r="205" spans="1:24" s="167" customFormat="1">
      <c r="A205" s="169" t="s">
        <v>143</v>
      </c>
      <c r="B205" s="170" t="s">
        <v>312</v>
      </c>
      <c r="C205" s="501">
        <f>'[57]Sch C'!D216</f>
        <v>4311.84</v>
      </c>
      <c r="D205" s="501">
        <f>'[57]Sch C'!F216</f>
        <v>0</v>
      </c>
      <c r="E205" s="171">
        <f t="shared" si="41"/>
        <v>4311.84</v>
      </c>
      <c r="F205" s="171"/>
      <c r="G205" s="171">
        <f t="shared" si="42"/>
        <v>4311.84</v>
      </c>
      <c r="H205" s="172">
        <f t="shared" si="43"/>
        <v>3.0640900804166878E-4</v>
      </c>
      <c r="I205" s="473"/>
      <c r="J205" s="168"/>
      <c r="K205" s="168"/>
      <c r="U205" s="168"/>
      <c r="V205" s="168"/>
      <c r="W205" s="461"/>
      <c r="X205" s="461"/>
    </row>
    <row r="206" spans="1:24" s="167" customFormat="1">
      <c r="A206" s="163"/>
      <c r="B206" s="170" t="s">
        <v>144</v>
      </c>
      <c r="C206" s="501">
        <f>SUM(C200:C205)</f>
        <v>329825.14</v>
      </c>
      <c r="D206" s="501">
        <f>SUM(D200:D205)</f>
        <v>0</v>
      </c>
      <c r="E206" s="171">
        <f t="shared" ref="E206:F206" si="44">SUM(E200:E205)</f>
        <v>329825.14</v>
      </c>
      <c r="F206" s="171">
        <f t="shared" si="44"/>
        <v>0</v>
      </c>
      <c r="G206" s="171">
        <f>SUM(G200:G205)</f>
        <v>329825.14</v>
      </c>
      <c r="H206" s="172">
        <f t="shared" si="43"/>
        <v>2.343811318940511E-2</v>
      </c>
      <c r="I206" s="473"/>
      <c r="J206" s="168"/>
      <c r="K206" s="168"/>
    </row>
    <row r="207" spans="1:2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24" s="167" customFormat="1">
      <c r="A208" s="227"/>
      <c r="B208" s="228" t="s">
        <v>145</v>
      </c>
      <c r="C208" s="501">
        <f>SUM(C25:C206)/2</f>
        <v>15351795.160000004</v>
      </c>
      <c r="D208" s="501">
        <f>SUM(D25:D206)/2</f>
        <v>-1227474.02</v>
      </c>
      <c r="E208" s="171">
        <f t="shared" ref="E208:F208" si="45">SUM(E25:E206)/2</f>
        <v>14124321.140000002</v>
      </c>
      <c r="F208" s="171">
        <f t="shared" si="45"/>
        <v>-52150</v>
      </c>
      <c r="G208" s="171">
        <f>SUM(G25:G206)/2</f>
        <v>14072171.140000002</v>
      </c>
      <c r="H208" s="172">
        <f>IF($G$208=0,0,G208/$G$208)</f>
        <v>1</v>
      </c>
      <c r="I208" s="473"/>
      <c r="J208" s="183">
        <f>SUM(J25:J200)</f>
        <v>287257.16000000003</v>
      </c>
      <c r="K208" s="183">
        <f>SUM(K25:K200)</f>
        <v>307812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'[57]Sch C'!D221</f>
        <v>15351795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0.16000000387430191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-931267.44000000134</v>
      </c>
      <c r="D215" s="501">
        <f>D21-D208</f>
        <v>2366146.35</v>
      </c>
      <c r="E215" s="171">
        <f t="shared" ref="E215:F215" si="46">E21-E208</f>
        <v>1434878.9099999983</v>
      </c>
      <c r="F215" s="171">
        <f t="shared" si="46"/>
        <v>1413465</v>
      </c>
      <c r="G215" s="171">
        <f>G21-G208</f>
        <v>2848343.9099999983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'[57]Sch D'!C9</f>
        <v>24137</v>
      </c>
      <c r="D219" s="530"/>
      <c r="E219" s="234">
        <f t="shared" ref="E219:G227" si="47">C219+D219</f>
        <v>24137</v>
      </c>
      <c r="F219" s="234"/>
      <c r="G219" s="234">
        <f t="shared" si="47"/>
        <v>24137</v>
      </c>
      <c r="H219" s="172">
        <f t="shared" ref="H219:H228" si="48">IF($G$228=0,0,G219/$G$228)</f>
        <v>0.51563768425550094</v>
      </c>
      <c r="I219" s="473"/>
      <c r="J219" s="168"/>
      <c r="K219" s="168"/>
    </row>
    <row r="220" spans="1:11">
      <c r="A220" s="163"/>
      <c r="B220" s="170" t="s">
        <v>217</v>
      </c>
      <c r="C220" s="530">
        <f>'[57]Sch D'!D9</f>
        <v>1850</v>
      </c>
      <c r="D220" s="530"/>
      <c r="E220" s="234">
        <f t="shared" ref="E220:E227" si="49">C220+D220</f>
        <v>1850</v>
      </c>
      <c r="F220" s="234"/>
      <c r="G220" s="234">
        <f t="shared" si="47"/>
        <v>1850</v>
      </c>
      <c r="H220" s="172">
        <f t="shared" si="48"/>
        <v>3.9521469771416365E-2</v>
      </c>
      <c r="I220" s="473"/>
      <c r="J220" s="168"/>
      <c r="K220" s="168"/>
    </row>
    <row r="221" spans="1:11">
      <c r="A221" s="163"/>
      <c r="B221" s="170" t="s">
        <v>72</v>
      </c>
      <c r="C221" s="530">
        <f>'[57]Sch D'!E9</f>
        <v>7483</v>
      </c>
      <c r="D221" s="530"/>
      <c r="E221" s="234">
        <f t="shared" si="49"/>
        <v>7483</v>
      </c>
      <c r="F221" s="234"/>
      <c r="G221" s="234">
        <f t="shared" si="47"/>
        <v>7483</v>
      </c>
      <c r="H221" s="172">
        <f t="shared" si="48"/>
        <v>0.1598590044862209</v>
      </c>
      <c r="I221" s="473"/>
      <c r="J221" s="168"/>
      <c r="K221" s="168"/>
    </row>
    <row r="222" spans="1:11">
      <c r="A222" s="163"/>
      <c r="B222" s="202" t="s">
        <v>334</v>
      </c>
      <c r="C222" s="530">
        <f>'[57]Sch D'!F9</f>
        <v>2695</v>
      </c>
      <c r="D222" s="530"/>
      <c r="E222" s="234">
        <f>C222+D222</f>
        <v>2695</v>
      </c>
      <c r="F222" s="234"/>
      <c r="G222" s="234">
        <f>E222+F222</f>
        <v>2695</v>
      </c>
      <c r="H222" s="172">
        <f t="shared" si="48"/>
        <v>5.7573168126468705E-2</v>
      </c>
      <c r="I222" s="473"/>
      <c r="J222" s="168"/>
      <c r="K222" s="168"/>
    </row>
    <row r="223" spans="1:11">
      <c r="A223" s="163"/>
      <c r="B223" s="170" t="s">
        <v>73</v>
      </c>
      <c r="C223" s="530">
        <f>'[57]Sch D'!G9</f>
        <v>0</v>
      </c>
      <c r="D223" s="530"/>
      <c r="E223" s="234">
        <f t="shared" si="49"/>
        <v>0</v>
      </c>
      <c r="F223" s="234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'[57]Sch D'!H9</f>
        <v>4012</v>
      </c>
      <c r="D224" s="530"/>
      <c r="E224" s="234">
        <f t="shared" si="49"/>
        <v>4012</v>
      </c>
      <c r="F224" s="234"/>
      <c r="G224" s="234">
        <f t="shared" si="47"/>
        <v>4012</v>
      </c>
      <c r="H224" s="172">
        <f t="shared" si="48"/>
        <v>8.5708182012390513E-2</v>
      </c>
      <c r="I224" s="473"/>
      <c r="J224" s="168"/>
      <c r="K224" s="168"/>
    </row>
    <row r="225" spans="1:11">
      <c r="A225" s="163"/>
      <c r="B225" s="170" t="s">
        <v>236</v>
      </c>
      <c r="C225" s="530">
        <f>'[57]Sch D'!I9</f>
        <v>4976</v>
      </c>
      <c r="D225" s="530"/>
      <c r="E225" s="234">
        <f t="shared" si="49"/>
        <v>4976</v>
      </c>
      <c r="F225" s="234"/>
      <c r="G225" s="234">
        <f t="shared" si="47"/>
        <v>4976</v>
      </c>
      <c r="H225" s="172">
        <f t="shared" si="48"/>
        <v>0.10630207220679343</v>
      </c>
      <c r="I225" s="473"/>
      <c r="J225" s="168"/>
      <c r="K225" s="168"/>
    </row>
    <row r="226" spans="1:11">
      <c r="A226" s="163"/>
      <c r="B226" s="170" t="s">
        <v>235</v>
      </c>
      <c r="C226" s="530">
        <f>'[57]Sch D'!J9</f>
        <v>1657</v>
      </c>
      <c r="D226" s="530"/>
      <c r="E226" s="234">
        <f>C226+D226</f>
        <v>1657</v>
      </c>
      <c r="F226" s="234"/>
      <c r="G226" s="234">
        <f>E226+F226</f>
        <v>1657</v>
      </c>
      <c r="H226" s="172">
        <f t="shared" si="48"/>
        <v>3.5398419141209142E-2</v>
      </c>
      <c r="I226" s="473"/>
      <c r="J226" s="168"/>
      <c r="K226" s="168"/>
    </row>
    <row r="227" spans="1:11">
      <c r="A227" s="163"/>
      <c r="B227" s="170" t="s">
        <v>179</v>
      </c>
      <c r="C227" s="530">
        <f>'[57]Sch D'!K9</f>
        <v>0</v>
      </c>
      <c r="D227" s="530"/>
      <c r="E227" s="234">
        <f t="shared" si="49"/>
        <v>0</v>
      </c>
      <c r="F227" s="234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46810</v>
      </c>
      <c r="D228" s="530">
        <f>SUM(D219:D227)</f>
        <v>0</v>
      </c>
      <c r="E228" s="236">
        <f>SUM(E219:E227)</f>
        <v>46810</v>
      </c>
      <c r="F228" s="236">
        <f>SUM(F219:F227)</f>
        <v>0</v>
      </c>
      <c r="G228" s="236">
        <f>SUM(G219:G227)</f>
        <v>46810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'[57]Sch D'!N22</f>
        <v>168</v>
      </c>
      <c r="D231" s="502"/>
      <c r="E231" s="234">
        <f>C231+D231</f>
        <v>168</v>
      </c>
      <c r="F231" s="234"/>
      <c r="G231" s="234">
        <f>E231+F231</f>
        <v>168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'[57]Sch D'!N24</f>
        <v>168</v>
      </c>
      <c r="D232" s="502"/>
      <c r="E232" s="234">
        <f>C232+D232</f>
        <v>168</v>
      </c>
      <c r="F232" s="234"/>
      <c r="G232" s="234">
        <f>E232+F232</f>
        <v>168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'[57]Sch D'!N28</f>
        <v>61320</v>
      </c>
      <c r="D235" s="438"/>
      <c r="E235" s="233">
        <f>E231*E233</f>
        <v>61320</v>
      </c>
      <c r="F235" s="238"/>
      <c r="G235" s="233">
        <f>G231*G233</f>
        <v>61320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'[57]Sch D'!N30</f>
        <v>0.76337247227658189</v>
      </c>
      <c r="D236" s="238"/>
      <c r="E236" s="242">
        <f>E228/E235</f>
        <v>0.76337247227658189</v>
      </c>
      <c r="F236" s="243"/>
      <c r="G236" s="242">
        <f>G228/G235</f>
        <v>0.76337247227658189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'[57]Sch D'!N32</f>
        <v>0.4237932159165036</v>
      </c>
      <c r="D237" s="238"/>
      <c r="E237" s="242">
        <f>(E219+E220)/E235</f>
        <v>0.4237932159165036</v>
      </c>
      <c r="F237" s="243"/>
      <c r="G237" s="242">
        <f>(G219+G220)/G235</f>
        <v>0.4237932159165036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'[57]Sch D'!N34</f>
        <v>0.55515915402691729</v>
      </c>
      <c r="D238" s="238"/>
      <c r="E238" s="242">
        <f>(E237/E236)</f>
        <v>0.55515915402691729</v>
      </c>
      <c r="F238" s="243"/>
      <c r="G238" s="242">
        <f>(G237/G236)</f>
        <v>0.55515915402691729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'[57]Sch B'!C85</f>
        <v>316.467903930131</v>
      </c>
      <c r="I241" s="475"/>
    </row>
    <row r="242" spans="2:9">
      <c r="F242" s="142" t="s">
        <v>341</v>
      </c>
      <c r="G242" s="501">
        <f>'[57]Sch B'!E85</f>
        <v>267.31893592677346</v>
      </c>
      <c r="I242" s="475"/>
    </row>
    <row r="243" spans="2:9">
      <c r="F243" s="142" t="s">
        <v>342</v>
      </c>
      <c r="G243" s="501">
        <f>'[57]Sch B'!G85</f>
        <v>321.30665895953757</v>
      </c>
      <c r="I243" s="475"/>
    </row>
    <row r="244" spans="2:9">
      <c r="F244" s="142" t="s">
        <v>343</v>
      </c>
      <c r="G244" s="501">
        <f>'[57]Sch B'!I85</f>
        <v>407.17906683480453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E28CAB"/>
  </sheetPr>
  <dimension ref="A1:O246"/>
  <sheetViews>
    <sheetView showGridLines="0" topLeftCell="A38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432</v>
      </c>
      <c r="D2" s="244"/>
      <c r="E2" s="144"/>
      <c r="F2" s="253"/>
    </row>
    <row r="3" spans="1:11" ht="15.5">
      <c r="A3" s="145"/>
      <c r="B3" s="140" t="s">
        <v>79</v>
      </c>
      <c r="C3" s="441">
        <v>42552</v>
      </c>
      <c r="D3" s="144"/>
      <c r="E3" s="147"/>
      <c r="F3"/>
    </row>
    <row r="4" spans="1:11" ht="15.5">
      <c r="A4" s="145"/>
      <c r="B4" s="148" t="s">
        <v>80</v>
      </c>
      <c r="C4" s="441">
        <v>42916</v>
      </c>
      <c r="D4" s="144"/>
      <c r="E4" s="149"/>
      <c r="F4"/>
      <c r="G4" s="150"/>
    </row>
    <row r="5" spans="1:11" ht="15.5">
      <c r="A5" s="145"/>
      <c r="B5" s="148"/>
      <c r="C5" s="151"/>
      <c r="D5" s="144"/>
      <c r="F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367"/>
      <c r="I9" s="475"/>
    </row>
    <row r="10" spans="1:11" s="167" customFormat="1" ht="15.5" thickBot="1">
      <c r="A10" s="163" t="s">
        <v>245</v>
      </c>
      <c r="B10" s="164" t="s">
        <v>246</v>
      </c>
      <c r="C10" s="165"/>
      <c r="D10" s="165"/>
      <c r="E10" s="165"/>
      <c r="F10" s="416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'[58]Sch B'!E10</f>
        <v>2337383.6399999997</v>
      </c>
      <c r="D11" s="501">
        <f>'[58]Sch B'!G10</f>
        <v>788019.44</v>
      </c>
      <c r="E11" s="171">
        <f>C11+D11</f>
        <v>3125403.0799999996</v>
      </c>
      <c r="F11" s="507">
        <v>1219190</v>
      </c>
      <c r="G11" s="171">
        <f t="shared" ref="G11:G20" si="0">E11+F11</f>
        <v>4344593.08</v>
      </c>
      <c r="H11" s="172">
        <f t="shared" ref="H11:H21" si="1">IF($G$21=0,0,G11/$G$21)</f>
        <v>0.67990768251803069</v>
      </c>
      <c r="I11" s="472"/>
      <c r="J11" s="336" t="s">
        <v>344</v>
      </c>
      <c r="K11" s="337">
        <f>G21</f>
        <v>6389974.9800000004</v>
      </c>
    </row>
    <row r="12" spans="1:11" s="167" customFormat="1">
      <c r="A12" s="169" t="s">
        <v>15</v>
      </c>
      <c r="B12" s="170" t="s">
        <v>212</v>
      </c>
      <c r="C12" s="501">
        <f>'[58]Sch B'!E15</f>
        <v>0</v>
      </c>
      <c r="D12" s="501">
        <f>'[58]Sch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4991620.0280000009</v>
      </c>
    </row>
    <row r="13" spans="1:11" s="167" customFormat="1">
      <c r="A13" s="169" t="s">
        <v>16</v>
      </c>
      <c r="B13" s="170" t="s">
        <v>170</v>
      </c>
      <c r="C13" s="501">
        <f>'[58]Sch B'!E21</f>
        <v>937633.31</v>
      </c>
      <c r="D13" s="501">
        <f>'[58]Sch B'!G21</f>
        <v>0</v>
      </c>
      <c r="E13" s="171">
        <f t="shared" si="2"/>
        <v>937633.31</v>
      </c>
      <c r="F13" s="171"/>
      <c r="G13" s="171">
        <f t="shared" si="0"/>
        <v>937633.31</v>
      </c>
      <c r="H13" s="172">
        <f t="shared" si="1"/>
        <v>0.14673505184835636</v>
      </c>
      <c r="I13" s="473"/>
      <c r="J13" s="338" t="s">
        <v>346</v>
      </c>
      <c r="K13" s="339">
        <f>G228</f>
        <v>18538</v>
      </c>
    </row>
    <row r="14" spans="1:11" s="167" customFormat="1">
      <c r="A14" s="173" t="s">
        <v>18</v>
      </c>
      <c r="B14" s="174" t="s">
        <v>306</v>
      </c>
      <c r="C14" s="501">
        <f>'[58]Sch B'!E27</f>
        <v>445479.69999999995</v>
      </c>
      <c r="D14" s="501">
        <f>'[58]Sch B'!G27</f>
        <v>0</v>
      </c>
      <c r="E14" s="171">
        <f t="shared" si="2"/>
        <v>445479.69999999995</v>
      </c>
      <c r="F14" s="175"/>
      <c r="G14" s="175">
        <f>E14+F14</f>
        <v>445479.69999999995</v>
      </c>
      <c r="H14" s="176">
        <f t="shared" si="1"/>
        <v>6.9715405990525475E-2</v>
      </c>
      <c r="I14" s="479"/>
      <c r="J14" s="338" t="s">
        <v>347</v>
      </c>
      <c r="K14" s="339">
        <f>G231</f>
        <v>61</v>
      </c>
    </row>
    <row r="15" spans="1:11" s="167" customFormat="1">
      <c r="A15" s="169" t="s">
        <v>19</v>
      </c>
      <c r="B15" s="170" t="s">
        <v>171</v>
      </c>
      <c r="C15" s="501">
        <f>'[58]Sch B'!E32</f>
        <v>0</v>
      </c>
      <c r="D15" s="501">
        <f>'[58]Sch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22265</v>
      </c>
    </row>
    <row r="16" spans="1:11" s="167" customFormat="1">
      <c r="A16" s="169" t="s">
        <v>21</v>
      </c>
      <c r="B16" s="170" t="s">
        <v>172</v>
      </c>
      <c r="C16" s="501">
        <f>'[58]Sch B'!E37</f>
        <v>220454.75999999998</v>
      </c>
      <c r="D16" s="501">
        <f>'[58]Sch B'!G37</f>
        <v>0</v>
      </c>
      <c r="E16" s="171">
        <f t="shared" si="2"/>
        <v>220454.75999999998</v>
      </c>
      <c r="F16" s="171"/>
      <c r="G16" s="171">
        <f t="shared" si="0"/>
        <v>220454.75999999998</v>
      </c>
      <c r="H16" s="172">
        <f t="shared" si="1"/>
        <v>3.4500097526203456E-2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'[58]Sch B'!E42</f>
        <v>0</v>
      </c>
      <c r="D17" s="501">
        <f>'[58]Sch B'!G42</f>
        <v>409340.79000000004</v>
      </c>
      <c r="E17" s="171">
        <f t="shared" si="2"/>
        <v>409340.79000000004</v>
      </c>
      <c r="F17" s="171"/>
      <c r="G17" s="171">
        <f>E17+F17</f>
        <v>409340.79000000004</v>
      </c>
      <c r="H17" s="172">
        <f t="shared" si="1"/>
        <v>6.4059842375157466E-2</v>
      </c>
      <c r="I17" s="473"/>
      <c r="J17" s="338" t="s">
        <v>156</v>
      </c>
      <c r="K17" s="339">
        <f>J208</f>
        <v>92499.859999999986</v>
      </c>
    </row>
    <row r="18" spans="1:11" s="167" customFormat="1" ht="13.5" thickBot="1">
      <c r="A18" s="169" t="s">
        <v>216</v>
      </c>
      <c r="B18" s="170" t="s">
        <v>229</v>
      </c>
      <c r="C18" s="501">
        <f>'[58]Sch B'!E47</f>
        <v>420075.29000000004</v>
      </c>
      <c r="D18" s="501">
        <f>'[58]Sch B'!G47</f>
        <v>-409340.79000000004</v>
      </c>
      <c r="E18" s="171">
        <f t="shared" si="2"/>
        <v>10734.5</v>
      </c>
      <c r="F18" s="171"/>
      <c r="G18" s="171">
        <f>E18+F18</f>
        <v>10734.5</v>
      </c>
      <c r="H18" s="172">
        <f t="shared" si="1"/>
        <v>1.6798970314591121E-3</v>
      </c>
      <c r="I18" s="473"/>
      <c r="J18" s="341" t="s">
        <v>252</v>
      </c>
      <c r="K18" s="342">
        <f>K208</f>
        <v>99316.270000000019</v>
      </c>
    </row>
    <row r="19" spans="1:11" s="167" customFormat="1">
      <c r="A19" s="169" t="s">
        <v>227</v>
      </c>
      <c r="B19" s="177" t="s">
        <v>173</v>
      </c>
      <c r="C19" s="501">
        <f>'[58]Sch B'!E52</f>
        <v>0</v>
      </c>
      <c r="D19" s="501">
        <f>'[58]Sch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'[58]Sch B'!E67</f>
        <v>-25977.13</v>
      </c>
      <c r="D20" s="501">
        <f>'[58]Sch B'!G67</f>
        <v>47715.97</v>
      </c>
      <c r="E20" s="171">
        <f t="shared" si="2"/>
        <v>21738.84</v>
      </c>
      <c r="F20" s="171"/>
      <c r="G20" s="171">
        <f t="shared" si="0"/>
        <v>21738.84</v>
      </c>
      <c r="H20" s="172">
        <f t="shared" si="1"/>
        <v>3.4020227102673256E-3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4335049.5699999994</v>
      </c>
      <c r="D21" s="501">
        <f>SUM(D11:D20)</f>
        <v>835735.40999999992</v>
      </c>
      <c r="E21" s="171">
        <f>SUM(E11:E20)</f>
        <v>5170784.9799999995</v>
      </c>
      <c r="F21" s="171">
        <f>SUM(F11:F20)</f>
        <v>1219190</v>
      </c>
      <c r="G21" s="171">
        <f>SUM(G11:G20)</f>
        <v>6389974.9800000004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'[58]Sch C'!D10</f>
        <v>0</v>
      </c>
      <c r="D25" s="501">
        <f>'[58]Sch C'!F10</f>
        <v>75270.490000000005</v>
      </c>
      <c r="E25" s="171">
        <f t="shared" ref="E25:E60" si="3">C25+D25</f>
        <v>75270.490000000005</v>
      </c>
      <c r="F25" s="171"/>
      <c r="G25" s="182">
        <f>E25+F25</f>
        <v>75270.490000000005</v>
      </c>
      <c r="H25" s="172">
        <f>IF($G$208=0,0,G25/$G$208)</f>
        <v>1.5079370941253062E-2</v>
      </c>
      <c r="I25" s="473"/>
      <c r="J25" s="183">
        <v>1960.0800000000002</v>
      </c>
      <c r="K25" s="183">
        <v>2080.08</v>
      </c>
    </row>
    <row r="26" spans="1:11" s="167" customFormat="1">
      <c r="A26" s="169" t="s">
        <v>84</v>
      </c>
      <c r="B26" s="170" t="s">
        <v>176</v>
      </c>
      <c r="C26" s="501">
        <f>'[58]Sch C'!D11</f>
        <v>0</v>
      </c>
      <c r="D26" s="501">
        <f>'[58]Sch C'!F11</f>
        <v>4609.8</v>
      </c>
      <c r="E26" s="171">
        <f t="shared" si="3"/>
        <v>4609.8</v>
      </c>
      <c r="F26" s="171"/>
      <c r="G26" s="171">
        <f t="shared" ref="G26:G60" si="4">E26+F26</f>
        <v>4609.8</v>
      </c>
      <c r="H26" s="184">
        <f t="shared" ref="H26:H61" si="5">IF($G$208=0,0,G26/$G$208)</f>
        <v>9.2350779389091737E-4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'[58]Sch C'!D12</f>
        <v>50634.2</v>
      </c>
      <c r="D27" s="501">
        <f>'[58]Sch C'!F12</f>
        <v>0</v>
      </c>
      <c r="E27" s="171">
        <f t="shared" si="3"/>
        <v>50634.2</v>
      </c>
      <c r="F27" s="171"/>
      <c r="G27" s="171">
        <f t="shared" si="4"/>
        <v>50634.2</v>
      </c>
      <c r="H27" s="172">
        <f t="shared" si="5"/>
        <v>1.0143841020745257E-2</v>
      </c>
      <c r="I27" s="473"/>
      <c r="J27" s="183">
        <v>2436.84</v>
      </c>
      <c r="K27" s="183">
        <v>2714.64</v>
      </c>
    </row>
    <row r="28" spans="1:11" s="167" customFormat="1">
      <c r="A28" s="169" t="s">
        <v>86</v>
      </c>
      <c r="B28" s="170" t="s">
        <v>45</v>
      </c>
      <c r="C28" s="501">
        <f>'[58]Sch C'!D13</f>
        <v>21322.19</v>
      </c>
      <c r="D28" s="501">
        <f>'[58]Sch C'!F13</f>
        <v>0</v>
      </c>
      <c r="E28" s="171">
        <f t="shared" si="3"/>
        <v>21322.19</v>
      </c>
      <c r="F28" s="171"/>
      <c r="G28" s="171">
        <f t="shared" si="4"/>
        <v>21322.19</v>
      </c>
      <c r="H28" s="172">
        <f t="shared" si="5"/>
        <v>4.271597172940904E-3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'[58]Sch C'!D14</f>
        <v>0</v>
      </c>
      <c r="D29" s="501">
        <f>'[58]Sch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'[58]Sch C'!D15</f>
        <v>0</v>
      </c>
      <c r="D30" s="501">
        <f>'[58]Sch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'[58]Sch C'!D16</f>
        <v>259733.58</v>
      </c>
      <c r="D31" s="501">
        <f>'[58]Sch C'!F16</f>
        <v>-1623</v>
      </c>
      <c r="E31" s="171">
        <f t="shared" si="3"/>
        <v>258110.58</v>
      </c>
      <c r="F31" s="171"/>
      <c r="G31" s="171">
        <f t="shared" si="4"/>
        <v>258110.58</v>
      </c>
      <c r="H31" s="172">
        <f t="shared" si="5"/>
        <v>5.1708779625082461E-2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'[58]Sch C'!D17</f>
        <v>14921.66</v>
      </c>
      <c r="D32" s="501">
        <f>'[58]Sch C'!F17</f>
        <v>-14921.66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'[58]Sch C'!D18</f>
        <v>4144.58</v>
      </c>
      <c r="D33" s="501">
        <f>'[58]Sch C'!F18</f>
        <v>0</v>
      </c>
      <c r="E33" s="171">
        <f t="shared" si="3"/>
        <v>4144.58</v>
      </c>
      <c r="F33" s="171"/>
      <c r="G33" s="171">
        <f t="shared" si="4"/>
        <v>4144.58</v>
      </c>
      <c r="H33" s="172">
        <f t="shared" si="5"/>
        <v>8.3030759087257978E-4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'[58]Sch C'!D19</f>
        <v>24772.2</v>
      </c>
      <c r="D34" s="501">
        <f>'[58]Sch C'!F19</f>
        <v>0</v>
      </c>
      <c r="E34" s="171">
        <f t="shared" si="3"/>
        <v>24772.2</v>
      </c>
      <c r="F34" s="171"/>
      <c r="G34" s="171">
        <f t="shared" si="4"/>
        <v>24772.2</v>
      </c>
      <c r="H34" s="172">
        <f t="shared" si="5"/>
        <v>4.9627575538688413E-3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'[58]Sch C'!D20</f>
        <v>15203.74</v>
      </c>
      <c r="D35" s="501">
        <f>'[58]Sch C'!F20</f>
        <v>0</v>
      </c>
      <c r="E35" s="171">
        <f t="shared" si="3"/>
        <v>15203.74</v>
      </c>
      <c r="F35" s="171"/>
      <c r="G35" s="171">
        <f t="shared" si="4"/>
        <v>15203.74</v>
      </c>
      <c r="H35" s="172">
        <f t="shared" si="5"/>
        <v>3.0458528322901417E-3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'[58]Sch C'!D21</f>
        <v>63067.68</v>
      </c>
      <c r="D36" s="501">
        <f>'[58]Sch C'!F21</f>
        <v>0</v>
      </c>
      <c r="E36" s="171">
        <f t="shared" si="3"/>
        <v>63067.68</v>
      </c>
      <c r="F36" s="171"/>
      <c r="G36" s="171">
        <f t="shared" si="4"/>
        <v>63067.68</v>
      </c>
      <c r="H36" s="172">
        <f t="shared" si="5"/>
        <v>1.2634711706064977E-2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'[58]Sch C'!D22</f>
        <v>0</v>
      </c>
      <c r="D37" s="501">
        <f>'[58]Sch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'[58]Sch C'!D23</f>
        <v>26286.91</v>
      </c>
      <c r="D38" s="501">
        <f>'[58]Sch C'!F23</f>
        <v>0</v>
      </c>
      <c r="E38" s="171">
        <f t="shared" si="3"/>
        <v>26286.91</v>
      </c>
      <c r="F38" s="171"/>
      <c r="G38" s="171">
        <f t="shared" si="4"/>
        <v>26286.91</v>
      </c>
      <c r="H38" s="172">
        <f t="shared" si="5"/>
        <v>5.2662081353440698E-3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'[58]Sch C'!D24</f>
        <v>65103.040000000001</v>
      </c>
      <c r="D39" s="501">
        <f>'[58]Sch C'!F24</f>
        <v>-7181.15</v>
      </c>
      <c r="E39" s="171">
        <f t="shared" si="3"/>
        <v>57921.89</v>
      </c>
      <c r="F39" s="171"/>
      <c r="G39" s="171">
        <f t="shared" si="4"/>
        <v>57921.89</v>
      </c>
      <c r="H39" s="172">
        <f t="shared" si="5"/>
        <v>1.1603825947306258E-2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'[58]Sch C'!D25</f>
        <v>0</v>
      </c>
      <c r="D40" s="501">
        <f>'[58]Sch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'[58]Sch C'!D26</f>
        <v>295472.34999999998</v>
      </c>
      <c r="D41" s="501">
        <f>'[58]Sch C'!F26</f>
        <v>0</v>
      </c>
      <c r="E41" s="171">
        <f t="shared" si="3"/>
        <v>295472.34999999998</v>
      </c>
      <c r="F41" s="171"/>
      <c r="G41" s="171">
        <f t="shared" si="4"/>
        <v>295472.34999999998</v>
      </c>
      <c r="H41" s="172">
        <f t="shared" si="5"/>
        <v>5.9193678273301437E-2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'[58]Sch C'!D27</f>
        <v>2182.2199999999998</v>
      </c>
      <c r="D42" s="501">
        <f>'[58]Sch C'!F27</f>
        <v>47715.97</v>
      </c>
      <c r="E42" s="171">
        <f t="shared" si="3"/>
        <v>49898.19</v>
      </c>
      <c r="F42" s="171"/>
      <c r="G42" s="171">
        <f t="shared" si="4"/>
        <v>49898.19</v>
      </c>
      <c r="H42" s="172">
        <f t="shared" si="5"/>
        <v>9.9963918968393062E-3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'[58]Sch C'!D28</f>
        <v>0</v>
      </c>
      <c r="D43" s="501">
        <f>'[58]Sch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'[58]Sch C'!D29</f>
        <v>363549.69</v>
      </c>
      <c r="D44" s="501">
        <f>'[58]Sch C'!F29</f>
        <v>-363549.69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'[58]Sch C'!D30</f>
        <v>0</v>
      </c>
      <c r="D45" s="501">
        <f>'[58]Sch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'[58]Sch C'!D31</f>
        <v>197.09</v>
      </c>
      <c r="D46" s="501">
        <f>'[58]Sch C'!F31</f>
        <v>0</v>
      </c>
      <c r="E46" s="171">
        <f t="shared" si="3"/>
        <v>197.09</v>
      </c>
      <c r="F46" s="171"/>
      <c r="G46" s="171">
        <f t="shared" si="4"/>
        <v>197.09</v>
      </c>
      <c r="H46" s="172">
        <f t="shared" si="5"/>
        <v>3.9484175256618703E-5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'[58]Sch C'!D32</f>
        <v>0</v>
      </c>
      <c r="D47" s="501">
        <f>'[58]Sch C'!F32</f>
        <v>21928.400000000001</v>
      </c>
      <c r="E47" s="171">
        <f t="shared" si="3"/>
        <v>21928.400000000001</v>
      </c>
      <c r="F47" s="171"/>
      <c r="G47" s="171">
        <f t="shared" si="4"/>
        <v>21928.400000000001</v>
      </c>
      <c r="H47" s="172">
        <f t="shared" si="5"/>
        <v>4.393042714989282E-3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'[58]Sch C'!D33</f>
        <v>0</v>
      </c>
      <c r="D48" s="501">
        <f>'[58]Sch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'[58]Sch C'!D34</f>
        <v>0</v>
      </c>
      <c r="D49" s="501">
        <f>'[58]Sch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'[58]Sch C'!D35</f>
        <v>35637.64</v>
      </c>
      <c r="D50" s="501">
        <f>'[58]Sch C'!F35</f>
        <v>-35637.64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'[58]Sch C'!D36</f>
        <v>0</v>
      </c>
      <c r="D51" s="501">
        <f>'[58]Sch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2581.1</v>
      </c>
      <c r="K51" s="183">
        <v>2889.96</v>
      </c>
    </row>
    <row r="52" spans="1:11" s="167" customFormat="1">
      <c r="A52" s="163">
        <v>290</v>
      </c>
      <c r="B52" s="170" t="s">
        <v>205</v>
      </c>
      <c r="C52" s="501">
        <f>'[58]Sch C'!D37</f>
        <v>0</v>
      </c>
      <c r="D52" s="501">
        <f>'[58]Sch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'[58]Sch C'!D38</f>
        <v>915.89</v>
      </c>
      <c r="D53" s="501">
        <f>'[58]Sch C'!F38</f>
        <v>0</v>
      </c>
      <c r="E53" s="171">
        <f t="shared" si="3"/>
        <v>915.89</v>
      </c>
      <c r="F53" s="171"/>
      <c r="G53" s="171">
        <f t="shared" si="4"/>
        <v>915.89</v>
      </c>
      <c r="H53" s="172">
        <f t="shared" si="5"/>
        <v>1.8348552070518293E-4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'[58]Sch C'!D39</f>
        <v>4049.51</v>
      </c>
      <c r="D54" s="501">
        <f>'[58]Sch C'!F39</f>
        <v>0</v>
      </c>
      <c r="E54" s="171">
        <f t="shared" si="3"/>
        <v>4049.51</v>
      </c>
      <c r="F54" s="171"/>
      <c r="G54" s="171">
        <f t="shared" si="4"/>
        <v>4049.51</v>
      </c>
      <c r="H54" s="172">
        <f t="shared" si="5"/>
        <v>8.1126167001588118E-4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'[58]Sch C'!D40</f>
        <v>14374.96</v>
      </c>
      <c r="D55" s="501">
        <f>'[58]Sch C'!F40</f>
        <v>0</v>
      </c>
      <c r="E55" s="171">
        <f t="shared" si="3"/>
        <v>14374.96</v>
      </c>
      <c r="F55" s="171"/>
      <c r="G55" s="171">
        <f t="shared" si="4"/>
        <v>14374.96</v>
      </c>
      <c r="H55" s="172">
        <f t="shared" si="5"/>
        <v>2.8798185597792053E-3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'[58]Sch C'!D41</f>
        <v>42310.29</v>
      </c>
      <c r="D56" s="501">
        <f>'[58]Sch C'!F41</f>
        <v>-7296.37</v>
      </c>
      <c r="E56" s="171">
        <f t="shared" si="3"/>
        <v>35013.919999999998</v>
      </c>
      <c r="F56" s="171"/>
      <c r="G56" s="171">
        <f t="shared" si="4"/>
        <v>35013.919999999998</v>
      </c>
      <c r="H56" s="172">
        <f t="shared" si="5"/>
        <v>7.0145403303121757E-3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'[58]Sch C'!D42</f>
        <v>239.7</v>
      </c>
      <c r="D57" s="501">
        <f>'[58]Sch C'!F42</f>
        <v>0</v>
      </c>
      <c r="E57" s="171">
        <f t="shared" si="3"/>
        <v>239.7</v>
      </c>
      <c r="F57" s="171"/>
      <c r="G57" s="171">
        <f t="shared" si="4"/>
        <v>239.7</v>
      </c>
      <c r="H57" s="172">
        <f t="shared" si="5"/>
        <v>4.8020482059016204E-5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'[58]Sch C'!D43</f>
        <v>0</v>
      </c>
      <c r="D58" s="501">
        <f>'[58]Sch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'[58]Sch C'!D44</f>
        <v>0</v>
      </c>
      <c r="D59" s="501">
        <f>'[58]Sch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'[58]Sch C'!D45</f>
        <v>79880.289999999994</v>
      </c>
      <c r="D60" s="501">
        <f>'[58]Sch C'!F45</f>
        <v>-79880.289999999994</v>
      </c>
      <c r="E60" s="171">
        <f t="shared" si="3"/>
        <v>0</v>
      </c>
      <c r="F60" s="171"/>
      <c r="G60" s="171">
        <f t="shared" si="4"/>
        <v>0</v>
      </c>
      <c r="H60" s="172">
        <f t="shared" si="5"/>
        <v>0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1383999.4099999997</v>
      </c>
      <c r="D61" s="501">
        <f>SUM(D25:D60)</f>
        <v>-360565.13999999996</v>
      </c>
      <c r="E61" s="171">
        <f t="shared" ref="E61:F61" si="6">SUM(E25:E60)</f>
        <v>1023434.27</v>
      </c>
      <c r="F61" s="171">
        <f t="shared" si="6"/>
        <v>0</v>
      </c>
      <c r="G61" s="171">
        <f>SUM(G25:G60)</f>
        <v>1023434.27</v>
      </c>
      <c r="H61" s="186">
        <f t="shared" si="5"/>
        <v>0.20503048394291759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481" t="s">
        <v>721</v>
      </c>
      <c r="K63" s="168"/>
    </row>
    <row r="64" spans="1:11" s="167" customFormat="1">
      <c r="A64" s="188"/>
      <c r="B64" s="189" t="s">
        <v>253</v>
      </c>
      <c r="C64" s="501">
        <f>'[58]Sch C'!D57</f>
        <v>384448</v>
      </c>
      <c r="D64" s="501">
        <f>'[58]Sch C'!F57</f>
        <v>-48066.520000000019</v>
      </c>
      <c r="E64" s="171">
        <f t="shared" ref="E64:E78" si="7">C64+D64</f>
        <v>336381.48</v>
      </c>
      <c r="F64" s="171"/>
      <c r="G64" s="171">
        <f t="shared" ref="G64:G78" si="8">E64+F64</f>
        <v>336381.48</v>
      </c>
      <c r="H64" s="172">
        <f t="shared" ref="H64:H79" si="9">IF($G$208=0,0,G64/$G$208)</f>
        <v>6.738923998884154E-2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'[58]Sch C'!D58</f>
        <v>20914.66</v>
      </c>
      <c r="D65" s="501">
        <f>'[58]Sch C'!F58</f>
        <v>34927.919999999998</v>
      </c>
      <c r="E65" s="171">
        <f t="shared" si="7"/>
        <v>55842.58</v>
      </c>
      <c r="F65" s="171"/>
      <c r="G65" s="171">
        <f t="shared" si="8"/>
        <v>55842.58</v>
      </c>
      <c r="H65" s="172">
        <f t="shared" si="9"/>
        <v>1.1187265794823435E-2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'[58]Sch C'!D59</f>
        <v>0</v>
      </c>
      <c r="D66" s="501">
        <f>'[58]Sch C'!F59</f>
        <v>17329.68</v>
      </c>
      <c r="E66" s="171">
        <f t="shared" si="7"/>
        <v>17329.68</v>
      </c>
      <c r="F66" s="171"/>
      <c r="G66" s="171">
        <f t="shared" si="8"/>
        <v>17329.68</v>
      </c>
      <c r="H66" s="172">
        <f t="shared" si="9"/>
        <v>3.4717546413370543E-3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'[58]Sch C'!D60</f>
        <v>19999.98</v>
      </c>
      <c r="D67" s="501">
        <f>'[58]Sch C'!F60</f>
        <v>0</v>
      </c>
      <c r="E67" s="171">
        <f t="shared" si="7"/>
        <v>19999.98</v>
      </c>
      <c r="F67" s="171"/>
      <c r="G67" s="171">
        <f t="shared" si="8"/>
        <v>19999.98</v>
      </c>
      <c r="H67" s="172">
        <f t="shared" si="9"/>
        <v>4.0067112255764824E-3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'[58]Sch C'!D61</f>
        <v>21928.400000000001</v>
      </c>
      <c r="D68" s="501">
        <f>'[58]Sch C'!F61</f>
        <v>-21928.400000000001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'[58]Sch C'!D62</f>
        <v>16148.2</v>
      </c>
      <c r="D69" s="501">
        <f>'[58]Sch C'!F62</f>
        <v>0</v>
      </c>
      <c r="E69" s="171">
        <f t="shared" si="7"/>
        <v>16148.2</v>
      </c>
      <c r="F69" s="171"/>
      <c r="G69" s="171">
        <f t="shared" si="8"/>
        <v>16148.2</v>
      </c>
      <c r="H69" s="172">
        <f t="shared" si="9"/>
        <v>3.2350619457046535E-3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'[58]Sch C'!D63</f>
        <v>0</v>
      </c>
      <c r="D70" s="501">
        <f>'[58]Sch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'[58]Sch C'!D64</f>
        <v>1344.66</v>
      </c>
      <c r="D71" s="501">
        <f>'[58]Sch C'!F64</f>
        <v>0</v>
      </c>
      <c r="E71" s="171">
        <f t="shared" si="7"/>
        <v>1344.66</v>
      </c>
      <c r="F71" s="171"/>
      <c r="G71" s="171">
        <f t="shared" si="8"/>
        <v>1344.66</v>
      </c>
      <c r="H71" s="172">
        <f t="shared" si="9"/>
        <v>2.6938348521266886E-4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'[58]Sch C'!D65</f>
        <v>0</v>
      </c>
      <c r="D72" s="501">
        <f>'[58]Sch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'[58]Sch C'!D66</f>
        <v>5934.86</v>
      </c>
      <c r="D73" s="501">
        <f>'[58]Sch C'!F66</f>
        <v>0</v>
      </c>
      <c r="E73" s="171">
        <f t="shared" si="7"/>
        <v>5934.86</v>
      </c>
      <c r="F73" s="171"/>
      <c r="G73" s="171">
        <f t="shared" si="8"/>
        <v>5934.86</v>
      </c>
      <c r="H73" s="172">
        <f t="shared" si="9"/>
        <v>1.1889646981759403E-3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'[58]Sch C'!D67</f>
        <v>52321.74</v>
      </c>
      <c r="D74" s="501">
        <f>'[58]Sch C'!F67</f>
        <v>0</v>
      </c>
      <c r="E74" s="171">
        <f t="shared" si="7"/>
        <v>52321.74</v>
      </c>
      <c r="F74" s="171"/>
      <c r="G74" s="171">
        <f t="shared" si="8"/>
        <v>52321.74</v>
      </c>
      <c r="H74" s="172">
        <f t="shared" si="9"/>
        <v>1.0481915631900336E-2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'[58]Sch C'!D68</f>
        <v>0</v>
      </c>
      <c r="D75" s="501">
        <f>'[58]Sch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'[58]Sch C'!D69</f>
        <v>10129.66</v>
      </c>
      <c r="D76" s="501">
        <f>'[58]Sch C'!F69</f>
        <v>0</v>
      </c>
      <c r="E76" s="171">
        <f t="shared" si="7"/>
        <v>10129.66</v>
      </c>
      <c r="F76" s="171"/>
      <c r="G76" s="171">
        <f t="shared" si="8"/>
        <v>10129.66</v>
      </c>
      <c r="H76" s="172">
        <f t="shared" si="9"/>
        <v>2.0293331509968048E-3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'[58]Sch C'!D70</f>
        <v>0</v>
      </c>
      <c r="D77" s="501">
        <f>'[58]Sch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'[58]Sch C'!D71</f>
        <v>0</v>
      </c>
      <c r="D78" s="501">
        <f>'[58]Sch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533170.15999999992</v>
      </c>
      <c r="D79" s="501">
        <f>SUM(D64:D78)</f>
        <v>-17737.320000000022</v>
      </c>
      <c r="E79" s="171">
        <f t="shared" ref="E79:F79" si="10">SUM(E64:E78)</f>
        <v>515432.83999999991</v>
      </c>
      <c r="F79" s="171">
        <f t="shared" si="10"/>
        <v>0</v>
      </c>
      <c r="G79" s="171">
        <f>SUM(G64:G78)</f>
        <v>515432.83999999991</v>
      </c>
      <c r="H79" s="172">
        <f t="shared" si="9"/>
        <v>0.1032596305625689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'[58]Sch C'!D75</f>
        <v>42108.24</v>
      </c>
      <c r="D82" s="501">
        <f>'[58]Sch C'!F75</f>
        <v>0</v>
      </c>
      <c r="E82" s="171">
        <f t="shared" ref="E82:E92" si="11">C82+D82</f>
        <v>42108.24</v>
      </c>
      <c r="F82" s="171"/>
      <c r="G82" s="171">
        <f t="shared" ref="G82:G92" si="12">E82+F82</f>
        <v>42108.24</v>
      </c>
      <c r="H82" s="172">
        <f t="shared" ref="H82:H93" si="13">IF($G$208=0,0,G82/$G$208)</f>
        <v>8.4357863306497635E-3</v>
      </c>
      <c r="I82" s="473"/>
      <c r="J82" s="183">
        <v>2064.91</v>
      </c>
      <c r="K82" s="183">
        <v>2311.91</v>
      </c>
    </row>
    <row r="83" spans="1:11" s="167" customFormat="1">
      <c r="A83" s="169" t="s">
        <v>86</v>
      </c>
      <c r="B83" s="199" t="s">
        <v>45</v>
      </c>
      <c r="C83" s="501">
        <f>'[58]Sch C'!D76</f>
        <v>4803.05</v>
      </c>
      <c r="D83" s="501">
        <f>'[58]Sch C'!F76</f>
        <v>0</v>
      </c>
      <c r="E83" s="171">
        <f t="shared" si="11"/>
        <v>4803.05</v>
      </c>
      <c r="F83" s="171"/>
      <c r="G83" s="171">
        <f t="shared" si="12"/>
        <v>4803.05</v>
      </c>
      <c r="H83" s="172">
        <f t="shared" si="13"/>
        <v>9.6222267982293611E-4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'[58]Sch C'!D77</f>
        <v>7157.53</v>
      </c>
      <c r="D84" s="501">
        <f>'[58]Sch C'!F77</f>
        <v>0</v>
      </c>
      <c r="E84" s="171">
        <f t="shared" si="11"/>
        <v>7157.53</v>
      </c>
      <c r="F84" s="171"/>
      <c r="G84" s="171">
        <f t="shared" si="12"/>
        <v>7157.53</v>
      </c>
      <c r="H84" s="172">
        <f t="shared" si="13"/>
        <v>1.4339092238292459E-3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'[58]Sch C'!D78</f>
        <v>385.88</v>
      </c>
      <c r="D85" s="501">
        <f>'[58]Sch C'!F78</f>
        <v>0</v>
      </c>
      <c r="E85" s="171">
        <f t="shared" si="11"/>
        <v>385.88</v>
      </c>
      <c r="F85" s="171"/>
      <c r="G85" s="171">
        <f t="shared" si="12"/>
        <v>385.88</v>
      </c>
      <c r="H85" s="172">
        <f t="shared" si="13"/>
        <v>7.7305563691836351E-5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'[58]Sch C'!D79</f>
        <v>10186.94</v>
      </c>
      <c r="D86" s="501">
        <f>'[58]Sch C'!F79</f>
        <v>0</v>
      </c>
      <c r="E86" s="171">
        <f t="shared" si="11"/>
        <v>10186.94</v>
      </c>
      <c r="F86" s="171"/>
      <c r="G86" s="171">
        <f>E86+F86</f>
        <v>10186.94</v>
      </c>
      <c r="H86" s="172">
        <f t="shared" si="13"/>
        <v>2.0408083834220882E-3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'[58]Sch C'!D80</f>
        <v>14448.4</v>
      </c>
      <c r="D87" s="501">
        <f>'[58]Sch C'!F80</f>
        <v>0</v>
      </c>
      <c r="E87" s="171">
        <f t="shared" si="11"/>
        <v>14448.4</v>
      </c>
      <c r="F87" s="171"/>
      <c r="G87" s="171">
        <f t="shared" si="12"/>
        <v>14448.4</v>
      </c>
      <c r="H87" s="172">
        <f t="shared" si="13"/>
        <v>2.8945312181121808E-3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'[58]Sch C'!D81</f>
        <v>1862.04</v>
      </c>
      <c r="D88" s="501">
        <f>'[58]Sch C'!F81</f>
        <v>0</v>
      </c>
      <c r="E88" s="171">
        <f t="shared" si="11"/>
        <v>1862.04</v>
      </c>
      <c r="F88" s="171"/>
      <c r="G88" s="171">
        <f t="shared" si="12"/>
        <v>1862.04</v>
      </c>
      <c r="H88" s="172">
        <f t="shared" si="13"/>
        <v>3.7303320155682325E-4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'[58]Sch C'!D82</f>
        <v>1985.08</v>
      </c>
      <c r="D89" s="501">
        <f>'[58]Sch C'!F82</f>
        <v>0</v>
      </c>
      <c r="E89" s="171">
        <f t="shared" si="11"/>
        <v>1985.08</v>
      </c>
      <c r="F89" s="171"/>
      <c r="G89" s="171">
        <f t="shared" si="12"/>
        <v>1985.08</v>
      </c>
      <c r="H89" s="172">
        <f t="shared" si="13"/>
        <v>3.9768251366588186E-4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'[58]Sch C'!D83</f>
        <v>0</v>
      </c>
      <c r="D90" s="501">
        <f>'[58]Sch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'[58]Sch C'!D84</f>
        <v>69024.149999999994</v>
      </c>
      <c r="D91" s="501">
        <f>'[58]Sch C'!F84</f>
        <v>0</v>
      </c>
      <c r="E91" s="171">
        <f t="shared" si="11"/>
        <v>69024.149999999994</v>
      </c>
      <c r="F91" s="171"/>
      <c r="G91" s="171">
        <f t="shared" si="12"/>
        <v>69024.149999999994</v>
      </c>
      <c r="H91" s="172">
        <f t="shared" si="13"/>
        <v>1.3828005660049408E-2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'[58]Sch C'!D85</f>
        <v>298.91000000000003</v>
      </c>
      <c r="D92" s="501">
        <f>'[58]Sch C'!F85</f>
        <v>0</v>
      </c>
      <c r="E92" s="171">
        <f t="shared" si="11"/>
        <v>298.91000000000003</v>
      </c>
      <c r="F92" s="171"/>
      <c r="G92" s="171">
        <f t="shared" si="12"/>
        <v>298.91000000000003</v>
      </c>
      <c r="H92" s="172">
        <f t="shared" si="13"/>
        <v>5.9882362504215827E-5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152260.22</v>
      </c>
      <c r="D93" s="501">
        <f>SUM(D82:D92)</f>
        <v>0</v>
      </c>
      <c r="E93" s="171">
        <f t="shared" ref="E93:F93" si="14">SUM(E82:E92)</f>
        <v>152260.22</v>
      </c>
      <c r="F93" s="171">
        <f t="shared" si="14"/>
        <v>0</v>
      </c>
      <c r="G93" s="171">
        <f>SUM(G82:G92)</f>
        <v>152260.22</v>
      </c>
      <c r="H93" s="172">
        <f t="shared" si="13"/>
        <v>3.0503167137304381E-2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'[58]Sch C'!D89</f>
        <v>187684.64</v>
      </c>
      <c r="D96" s="501">
        <f>'[58]Sch C'!F89</f>
        <v>0</v>
      </c>
      <c r="E96" s="171">
        <f t="shared" ref="E96:E101" si="15">C96+D96</f>
        <v>187684.64</v>
      </c>
      <c r="F96" s="171"/>
      <c r="G96" s="171">
        <f t="shared" ref="G96:G101" si="16">E96+F96</f>
        <v>187684.64</v>
      </c>
      <c r="H96" s="172">
        <f t="shared" ref="H96:H102" si="17">IF($G$208=0,0,G96/$G$208)</f>
        <v>3.7599945297759348E-2</v>
      </c>
      <c r="I96" s="473"/>
      <c r="J96" s="183">
        <v>13013.88</v>
      </c>
      <c r="K96" s="183">
        <v>13886.31</v>
      </c>
    </row>
    <row r="97" spans="1:11" s="167" customFormat="1">
      <c r="A97" s="169" t="s">
        <v>86</v>
      </c>
      <c r="B97" s="170" t="s">
        <v>45</v>
      </c>
      <c r="C97" s="501">
        <f>'[58]Sch C'!D90</f>
        <v>33646.730000000003</v>
      </c>
      <c r="D97" s="501">
        <f>'[58]Sch C'!F90</f>
        <v>0</v>
      </c>
      <c r="E97" s="171">
        <f t="shared" si="15"/>
        <v>33646.730000000003</v>
      </c>
      <c r="F97" s="171"/>
      <c r="G97" s="171">
        <f t="shared" si="16"/>
        <v>33646.730000000003</v>
      </c>
      <c r="H97" s="172">
        <f t="shared" si="17"/>
        <v>6.7406432803903309E-3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'[58]Sch C'!D91</f>
        <v>10780.52</v>
      </c>
      <c r="D98" s="501">
        <f>'[58]Sch C'!F91</f>
        <v>0</v>
      </c>
      <c r="E98" s="171">
        <f t="shared" si="15"/>
        <v>10780.52</v>
      </c>
      <c r="F98" s="171"/>
      <c r="G98" s="171">
        <f t="shared" si="16"/>
        <v>10780.52</v>
      </c>
      <c r="H98" s="172">
        <f t="shared" si="17"/>
        <v>2.159723684801274E-3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'[58]Sch C'!D92</f>
        <v>134435.82</v>
      </c>
      <c r="D99" s="501">
        <f>'[58]Sch C'!F92</f>
        <v>0</v>
      </c>
      <c r="E99" s="171">
        <f t="shared" si="15"/>
        <v>134435.82</v>
      </c>
      <c r="F99" s="171"/>
      <c r="G99" s="171">
        <f t="shared" si="16"/>
        <v>134435.82</v>
      </c>
      <c r="H99" s="172">
        <f t="shared" si="17"/>
        <v>2.6932302387981361E-2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'[58]Sch C'!D93</f>
        <v>10225.469999999999</v>
      </c>
      <c r="D100" s="501">
        <f>'[58]Sch C'!F93</f>
        <v>0</v>
      </c>
      <c r="E100" s="171">
        <f t="shared" si="15"/>
        <v>10225.469999999999</v>
      </c>
      <c r="F100" s="171"/>
      <c r="G100" s="171">
        <f t="shared" si="16"/>
        <v>10225.469999999999</v>
      </c>
      <c r="H100" s="172">
        <f t="shared" si="17"/>
        <v>2.048527320317098E-3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'[58]Sch C'!D94</f>
        <v>503.7</v>
      </c>
      <c r="D101" s="501">
        <f>'[58]Sch C'!F94</f>
        <v>0</v>
      </c>
      <c r="E101" s="171">
        <f t="shared" si="15"/>
        <v>503.7</v>
      </c>
      <c r="F101" s="171"/>
      <c r="G101" s="171">
        <f t="shared" si="16"/>
        <v>503.7</v>
      </c>
      <c r="H101" s="172">
        <f t="shared" si="17"/>
        <v>1.0090912312526684E-4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377276.88</v>
      </c>
      <c r="D102" s="501">
        <f>SUM(D96:D101)</f>
        <v>0</v>
      </c>
      <c r="E102" s="171">
        <f t="shared" ref="E102:F102" si="18">SUM(E96:E101)</f>
        <v>377276.88</v>
      </c>
      <c r="F102" s="171">
        <f t="shared" si="18"/>
        <v>0</v>
      </c>
      <c r="G102" s="171">
        <f>SUM(G96:G101)</f>
        <v>377276.88</v>
      </c>
      <c r="H102" s="172">
        <f t="shared" si="17"/>
        <v>7.5582051094374672E-2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'[58]Sch C'!D98</f>
        <v>7.83</v>
      </c>
      <c r="D105" s="501">
        <f>'[58]Sch C'!F98</f>
        <v>0</v>
      </c>
      <c r="E105" s="171">
        <f t="shared" ref="E105:E110" si="19">C105+D105</f>
        <v>7.83</v>
      </c>
      <c r="F105" s="171"/>
      <c r="G105" s="171">
        <f t="shared" ref="G105:G110" si="20">E105+F105</f>
        <v>7.83</v>
      </c>
      <c r="H105" s="172">
        <f t="shared" ref="H105:H111" si="21">IF($G$208=0,0,G105/$G$208)</f>
        <v>1.5686290134422065E-6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'[58]Sch C'!D99</f>
        <v>642.16999999999996</v>
      </c>
      <c r="D106" s="501">
        <f>'[58]Sch C'!F99</f>
        <v>0</v>
      </c>
      <c r="E106" s="171">
        <f t="shared" si="19"/>
        <v>642.16999999999996</v>
      </c>
      <c r="F106" s="171"/>
      <c r="G106" s="171">
        <f t="shared" si="20"/>
        <v>642.16999999999996</v>
      </c>
      <c r="H106" s="172">
        <f t="shared" si="21"/>
        <v>1.2864961603603853E-4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'[58]Sch C'!D100</f>
        <v>266.54000000000002</v>
      </c>
      <c r="D107" s="501">
        <f>'[58]Sch C'!F100</f>
        <v>0</v>
      </c>
      <c r="E107" s="171">
        <f t="shared" si="19"/>
        <v>266.54000000000002</v>
      </c>
      <c r="F107" s="171"/>
      <c r="G107" s="171">
        <f t="shared" si="20"/>
        <v>266.54000000000002</v>
      </c>
      <c r="H107" s="172">
        <f t="shared" si="21"/>
        <v>5.3397493900751688E-5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'[58]Sch C'!D101</f>
        <v>0</v>
      </c>
      <c r="D108" s="501">
        <f>'[58]Sch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'[58]Sch C'!D102</f>
        <v>3046.94</v>
      </c>
      <c r="D109" s="501">
        <f>'[58]Sch C'!F102</f>
        <v>0</v>
      </c>
      <c r="E109" s="171">
        <f t="shared" si="19"/>
        <v>3046.94</v>
      </c>
      <c r="F109" s="171"/>
      <c r="G109" s="171">
        <f t="shared" si="20"/>
        <v>3046.94</v>
      </c>
      <c r="H109" s="172">
        <f t="shared" si="21"/>
        <v>6.104110454939459E-4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'[58]Sch C'!D103</f>
        <v>0</v>
      </c>
      <c r="D110" s="501">
        <f>'[58]Sch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3963.48</v>
      </c>
      <c r="D111" s="501">
        <f>SUM(D105:D110)</f>
        <v>0</v>
      </c>
      <c r="E111" s="171">
        <f t="shared" ref="E111:F111" si="22">SUM(E105:E110)</f>
        <v>3963.48</v>
      </c>
      <c r="F111" s="171">
        <f t="shared" si="22"/>
        <v>0</v>
      </c>
      <c r="G111" s="171">
        <f>SUM(G105:G110)</f>
        <v>3963.48</v>
      </c>
      <c r="H111" s="172">
        <f t="shared" si="21"/>
        <v>7.9402678444417832E-4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'[58]Sch C'!D115</f>
        <v>92365.11</v>
      </c>
      <c r="D114" s="501">
        <f>'[58]Sch C'!F115</f>
        <v>0</v>
      </c>
      <c r="E114" s="171">
        <f t="shared" ref="E114:E118" si="23">C114+D114</f>
        <v>92365.11</v>
      </c>
      <c r="F114" s="171"/>
      <c r="G114" s="171">
        <f>E114+F114</f>
        <v>92365.11</v>
      </c>
      <c r="H114" s="172">
        <f t="shared" ref="H114:H119" si="24">IF($G$208=0,0,G114/$G$208)</f>
        <v>1.850403465846499E-2</v>
      </c>
      <c r="I114" s="473"/>
      <c r="J114" s="183">
        <v>8507.2800000000007</v>
      </c>
      <c r="K114" s="183">
        <v>9039.18</v>
      </c>
    </row>
    <row r="115" spans="1:11" s="167" customFormat="1">
      <c r="A115" s="169" t="s">
        <v>86</v>
      </c>
      <c r="B115" s="170" t="s">
        <v>151</v>
      </c>
      <c r="C115" s="501">
        <f>'[58]Sch C'!D116</f>
        <v>10895.81</v>
      </c>
      <c r="D115" s="501">
        <f>'[58]Sch C'!F116</f>
        <v>0</v>
      </c>
      <c r="E115" s="171">
        <f t="shared" si="23"/>
        <v>10895.81</v>
      </c>
      <c r="F115" s="171"/>
      <c r="G115" s="171">
        <f>E115+F115</f>
        <v>10895.81</v>
      </c>
      <c r="H115" s="172">
        <f t="shared" si="24"/>
        <v>2.1828203947578196E-3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'[58]Sch C'!D117</f>
        <v>19375.45</v>
      </c>
      <c r="D116" s="501">
        <f>'[58]Sch C'!F117</f>
        <v>0</v>
      </c>
      <c r="E116" s="171">
        <f t="shared" si="23"/>
        <v>19375.45</v>
      </c>
      <c r="F116" s="171"/>
      <c r="G116" s="171">
        <f>E116+F116</f>
        <v>19375.45</v>
      </c>
      <c r="H116" s="172">
        <f t="shared" si="24"/>
        <v>3.8815955323753255E-3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'[58]Sch C'!D118</f>
        <v>0</v>
      </c>
      <c r="D117" s="501">
        <f>'[58]Sch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'[58]Sch C'!D119</f>
        <v>0</v>
      </c>
      <c r="D118" s="501">
        <f>'[58]Sch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122636.37</v>
      </c>
      <c r="D119" s="501">
        <f>SUM(D114:D118)</f>
        <v>0</v>
      </c>
      <c r="E119" s="171">
        <f t="shared" ref="E119:F119" si="25">SUM(E114:E118)</f>
        <v>122636.37</v>
      </c>
      <c r="F119" s="171">
        <f t="shared" si="25"/>
        <v>0</v>
      </c>
      <c r="G119" s="171">
        <f>SUM(G114:G118)</f>
        <v>122636.37</v>
      </c>
      <c r="H119" s="172">
        <f t="shared" si="24"/>
        <v>2.4568450585598135E-2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'[58]Sch C'!D124</f>
        <v>0</v>
      </c>
      <c r="D123" s="501">
        <f>'[58]Sch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'[58]Sch C'!D125</f>
        <v>224077.6</v>
      </c>
      <c r="D124" s="501">
        <f>'[58]Sch C'!F125</f>
        <v>0</v>
      </c>
      <c r="E124" s="171">
        <f t="shared" si="26"/>
        <v>224077.6</v>
      </c>
      <c r="F124" s="171"/>
      <c r="G124" s="171">
        <f>E124+F124</f>
        <v>224077.6</v>
      </c>
      <c r="H124" s="172">
        <f>IF($G$208=0,0,G124/$G$208)</f>
        <v>4.4890756656768498E-2</v>
      </c>
      <c r="I124" s="473"/>
      <c r="J124" s="183">
        <v>4176.5600000000004</v>
      </c>
      <c r="K124" s="183">
        <v>4545.29</v>
      </c>
    </row>
    <row r="125" spans="1:11" s="167" customFormat="1">
      <c r="A125" s="163" t="s">
        <v>198</v>
      </c>
      <c r="B125" s="163" t="s">
        <v>195</v>
      </c>
      <c r="C125" s="501">
        <f>'[58]Sch C'!D126</f>
        <v>0</v>
      </c>
      <c r="D125" s="501">
        <f>'[58]Sch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 t="s">
        <v>198</v>
      </c>
      <c r="K125" s="183" t="s">
        <v>198</v>
      </c>
    </row>
    <row r="126" spans="1:11" s="167" customFormat="1">
      <c r="A126" s="169"/>
      <c r="B126" s="163" t="s">
        <v>196</v>
      </c>
      <c r="C126" s="501">
        <f>'[58]Sch C'!D127</f>
        <v>28885.4</v>
      </c>
      <c r="D126" s="501">
        <f>'[58]Sch C'!F127</f>
        <v>0</v>
      </c>
      <c r="E126" s="171">
        <f t="shared" si="26"/>
        <v>28885.4</v>
      </c>
      <c r="F126" s="171"/>
      <c r="G126" s="171">
        <f>E126+F126</f>
        <v>28885.4</v>
      </c>
      <c r="H126" s="172">
        <f>IF($G$208=0,0,G126/$G$208)</f>
        <v>5.7867786085419558E-3</v>
      </c>
      <c r="I126" s="473"/>
      <c r="J126" s="183">
        <v>1530.5</v>
      </c>
      <c r="K126" s="183">
        <v>1710.5</v>
      </c>
    </row>
    <row r="127" spans="1:11" s="167" customFormat="1">
      <c r="A127" s="169"/>
      <c r="B127" s="163" t="s">
        <v>197</v>
      </c>
      <c r="C127" s="501">
        <f>'[58]Sch C'!D128</f>
        <v>35126.11</v>
      </c>
      <c r="D127" s="501">
        <f>'[58]Sch C'!F128</f>
        <v>0</v>
      </c>
      <c r="E127" s="171">
        <f t="shared" si="26"/>
        <v>35126.11</v>
      </c>
      <c r="F127" s="171"/>
      <c r="G127" s="171">
        <f>E127+F127</f>
        <v>35126.11</v>
      </c>
      <c r="H127" s="172">
        <f>IF($G$208=0,0,G127/$G$208)</f>
        <v>7.0370159994077169E-3</v>
      </c>
      <c r="I127" s="473"/>
      <c r="J127" s="183">
        <v>3563.47</v>
      </c>
      <c r="K127" s="183">
        <v>3745.47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'[58]Sch C'!D130</f>
        <v>0</v>
      </c>
      <c r="D129" s="501">
        <f>'[58]Sch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'[58]Sch C'!D131</f>
        <v>41737.949999999997</v>
      </c>
      <c r="D130" s="501">
        <f>'[58]Sch C'!F131</f>
        <v>0</v>
      </c>
      <c r="E130" s="171">
        <f t="shared" si="27"/>
        <v>41737.949999999997</v>
      </c>
      <c r="F130" s="171"/>
      <c r="G130" s="171">
        <f>E130+F130</f>
        <v>41737.949999999997</v>
      </c>
      <c r="H130" s="172">
        <f>IF($G$208=0,0,G130/$G$208)</f>
        <v>8.3616040014814989E-3</v>
      </c>
      <c r="I130" s="473"/>
      <c r="J130" s="204"/>
      <c r="K130" s="204"/>
    </row>
    <row r="131" spans="1:11" s="167" customFormat="1">
      <c r="B131" s="163" t="s">
        <v>195</v>
      </c>
      <c r="C131" s="501">
        <f>'[58]Sch C'!D132</f>
        <v>0</v>
      </c>
      <c r="D131" s="501">
        <f>'[58]Sch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'[58]Sch C'!D133</f>
        <v>5781.95</v>
      </c>
      <c r="D132" s="501">
        <f>'[58]Sch C'!F133</f>
        <v>0</v>
      </c>
      <c r="E132" s="171">
        <f t="shared" si="27"/>
        <v>5781.95</v>
      </c>
      <c r="F132" s="171"/>
      <c r="G132" s="171">
        <f>E132+F132</f>
        <v>5781.95</v>
      </c>
      <c r="H132" s="172">
        <f>IF($G$208=0,0,G132/$G$208)</f>
        <v>1.1583313568674541E-3</v>
      </c>
      <c r="I132" s="473"/>
      <c r="J132" s="168"/>
      <c r="K132" s="168"/>
    </row>
    <row r="133" spans="1:11" s="167" customFormat="1">
      <c r="B133" s="163" t="s">
        <v>197</v>
      </c>
      <c r="C133" s="501">
        <f>'[58]Sch C'!D134</f>
        <v>7078.92</v>
      </c>
      <c r="D133" s="501">
        <f>'[58]Sch C'!F134</f>
        <v>0</v>
      </c>
      <c r="E133" s="171">
        <f t="shared" si="27"/>
        <v>7078.92</v>
      </c>
      <c r="F133" s="171"/>
      <c r="G133" s="171">
        <f>E133+F133</f>
        <v>7078.92</v>
      </c>
      <c r="H133" s="172">
        <f>IF($G$208=0,0,G133/$G$208)</f>
        <v>1.4181608296087234E-3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'[58]Sch C'!D136</f>
        <v>377371.11</v>
      </c>
      <c r="D135" s="501">
        <f>'[58]Sch C'!F136</f>
        <v>0</v>
      </c>
      <c r="E135" s="171">
        <f t="shared" ref="E135:E138" si="28">C135+D135</f>
        <v>377371.11</v>
      </c>
      <c r="F135" s="171"/>
      <c r="G135" s="171">
        <f>E135+F135</f>
        <v>377371.11</v>
      </c>
      <c r="H135" s="172">
        <f>IF($G$208=0,0,G135/$G$208)</f>
        <v>7.5600928733191616E-2</v>
      </c>
      <c r="I135" s="473"/>
      <c r="J135" s="183">
        <v>10234.18</v>
      </c>
      <c r="K135" s="183">
        <v>10866.11</v>
      </c>
    </row>
    <row r="136" spans="1:11" s="167" customFormat="1">
      <c r="A136" s="169"/>
      <c r="B136" s="163" t="s">
        <v>195</v>
      </c>
      <c r="C136" s="501">
        <f>'[58]Sch C'!D137</f>
        <v>112942.72</v>
      </c>
      <c r="D136" s="501">
        <f>'[58]Sch C'!F137</f>
        <v>0</v>
      </c>
      <c r="E136" s="171">
        <f t="shared" si="28"/>
        <v>112942.72</v>
      </c>
      <c r="F136" s="171"/>
      <c r="G136" s="171">
        <f>E136+F136</f>
        <v>112942.72</v>
      </c>
      <c r="H136" s="172">
        <f>IF($G$208=0,0,G136/$G$208)</f>
        <v>2.2626465830022906E-2</v>
      </c>
      <c r="I136" s="473"/>
      <c r="J136" s="183">
        <v>3659.51</v>
      </c>
      <c r="K136" s="183">
        <v>3955.44</v>
      </c>
    </row>
    <row r="137" spans="1:11" s="167" customFormat="1">
      <c r="A137" s="169"/>
      <c r="B137" s="163" t="s">
        <v>196</v>
      </c>
      <c r="C137" s="501">
        <f>'[58]Sch C'!D138</f>
        <v>438874.56</v>
      </c>
      <c r="D137" s="501">
        <f>'[58]Sch C'!F138</f>
        <v>0</v>
      </c>
      <c r="E137" s="171">
        <f t="shared" si="28"/>
        <v>438874.56</v>
      </c>
      <c r="F137" s="171"/>
      <c r="G137" s="171">
        <f>E137+F137</f>
        <v>438874.56</v>
      </c>
      <c r="H137" s="172">
        <f>IF($G$208=0,0,G137/$G$208)</f>
        <v>8.7922269230866212E-2</v>
      </c>
      <c r="I137" s="473"/>
      <c r="J137" s="183">
        <v>31085.45</v>
      </c>
      <c r="K137" s="183">
        <v>33512.839999999997</v>
      </c>
    </row>
    <row r="138" spans="1:11" s="167" customFormat="1">
      <c r="A138" s="169"/>
      <c r="B138" s="163" t="s">
        <v>197</v>
      </c>
      <c r="C138" s="501">
        <f>'[58]Sch C'!D139</f>
        <v>38768.36</v>
      </c>
      <c r="D138" s="501">
        <f>'[58]Sch C'!F139</f>
        <v>0</v>
      </c>
      <c r="E138" s="171">
        <f t="shared" si="28"/>
        <v>38768.36</v>
      </c>
      <c r="F138" s="171"/>
      <c r="G138" s="171">
        <f>E138+F138</f>
        <v>38768.36</v>
      </c>
      <c r="H138" s="172">
        <f>IF($G$208=0,0,G138/$G$208)</f>
        <v>7.7666889271484412E-3</v>
      </c>
      <c r="I138" s="473"/>
      <c r="J138" s="183">
        <v>2336.73</v>
      </c>
      <c r="K138" s="183">
        <v>2465.36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'[58]Sch C'!D141</f>
        <v>82174.009999999995</v>
      </c>
      <c r="D140" s="501">
        <f>'[58]Sch C'!F141</f>
        <v>0</v>
      </c>
      <c r="E140" s="171">
        <f t="shared" ref="E140:E143" si="29">C140+D140</f>
        <v>82174.009999999995</v>
      </c>
      <c r="F140" s="171"/>
      <c r="G140" s="171">
        <f>E140+F140</f>
        <v>82174.009999999995</v>
      </c>
      <c r="H140" s="172">
        <f>IF($G$208=0,0,G140/$G$208)</f>
        <v>1.6462392878274584E-2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'[58]Sch C'!D142</f>
        <v>24050.93</v>
      </c>
      <c r="D141" s="501">
        <f>'[58]Sch C'!F142</f>
        <v>0</v>
      </c>
      <c r="E141" s="171">
        <f t="shared" si="29"/>
        <v>24050.93</v>
      </c>
      <c r="F141" s="171"/>
      <c r="G141" s="171">
        <f>E141+F141</f>
        <v>24050.93</v>
      </c>
      <c r="H141" s="172">
        <f>IF($G$208=0,0,G141/$G$208)</f>
        <v>4.818261379089089E-3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'[58]Sch C'!D143</f>
        <v>94199.448000000004</v>
      </c>
      <c r="D142" s="501">
        <f>'[58]Sch C'!F143</f>
        <v>0</v>
      </c>
      <c r="E142" s="171">
        <f t="shared" si="29"/>
        <v>94199.448000000004</v>
      </c>
      <c r="F142" s="171"/>
      <c r="G142" s="171">
        <f>E142+F142</f>
        <v>94199.448000000004</v>
      </c>
      <c r="H142" s="172">
        <f>IF($G$208=0,0,G142/$G$208)</f>
        <v>1.8871518158753566E-2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'[58]Sch C'!D144</f>
        <v>4046.93</v>
      </c>
      <c r="D143" s="501">
        <f>'[58]Sch C'!F144</f>
        <v>0</v>
      </c>
      <c r="E143" s="171">
        <f t="shared" si="29"/>
        <v>4046.93</v>
      </c>
      <c r="F143" s="171"/>
      <c r="G143" s="171">
        <f>E143+F143</f>
        <v>4046.93</v>
      </c>
      <c r="H143" s="172">
        <f>IF($G$208=0,0,G143/$G$208)</f>
        <v>8.107448037509155E-4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'[58]Sch C'!D146</f>
        <v>28800</v>
      </c>
      <c r="D145" s="501">
        <f>'[58]Sch C'!F146</f>
        <v>0</v>
      </c>
      <c r="E145" s="171">
        <f t="shared" ref="E145:E153" si="30">C145+D145</f>
        <v>28800</v>
      </c>
      <c r="F145" s="171"/>
      <c r="G145" s="171">
        <f t="shared" ref="G145:G153" si="31">E145+F145</f>
        <v>28800</v>
      </c>
      <c r="H145" s="172">
        <f t="shared" ref="H145:H153" si="32">IF($G$208=0,0,G145/$G$208)</f>
        <v>5.7696699345000692E-3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'[58]Sch C'!D147</f>
        <v>152478.78</v>
      </c>
      <c r="D146" s="501">
        <f>'[58]Sch C'!F147</f>
        <v>0</v>
      </c>
      <c r="E146" s="171">
        <f t="shared" si="30"/>
        <v>152478.78</v>
      </c>
      <c r="F146" s="171"/>
      <c r="G146" s="171">
        <f t="shared" si="31"/>
        <v>152478.78</v>
      </c>
      <c r="H146" s="172">
        <f t="shared" si="32"/>
        <v>3.0546952521362865E-2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'[58]Sch C'!D148</f>
        <v>48601.86</v>
      </c>
      <c r="D147" s="501">
        <f>'[58]Sch C'!F148</f>
        <v>0</v>
      </c>
      <c r="E147" s="171">
        <f t="shared" si="30"/>
        <v>48601.86</v>
      </c>
      <c r="F147" s="171"/>
      <c r="G147" s="171">
        <f t="shared" si="31"/>
        <v>48601.86</v>
      </c>
      <c r="H147" s="172">
        <f t="shared" si="32"/>
        <v>9.7366906389854697E-3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'[58]Sch C'!D149</f>
        <v>234644.97</v>
      </c>
      <c r="D148" s="501">
        <f>'[58]Sch C'!F149</f>
        <v>0</v>
      </c>
      <c r="E148" s="171">
        <f t="shared" si="30"/>
        <v>234644.97</v>
      </c>
      <c r="F148" s="171"/>
      <c r="G148" s="171">
        <f t="shared" si="31"/>
        <v>234644.97</v>
      </c>
      <c r="H148" s="172">
        <f t="shared" si="32"/>
        <v>4.7007778773981622E-2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'[58]Sch C'!D150</f>
        <v>5252.5</v>
      </c>
      <c r="D149" s="501">
        <f>'[58]Sch C'!F150</f>
        <v>0</v>
      </c>
      <c r="E149" s="171">
        <f t="shared" si="30"/>
        <v>5252.5</v>
      </c>
      <c r="F149" s="171"/>
      <c r="G149" s="171">
        <f t="shared" si="31"/>
        <v>5252.5</v>
      </c>
      <c r="H149" s="172">
        <f t="shared" si="32"/>
        <v>1.0522635878806117E-3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'[58]Sch C'!D151</f>
        <v>82204.149999999994</v>
      </c>
      <c r="D150" s="501">
        <f>'[58]Sch C'!F151</f>
        <v>0</v>
      </c>
      <c r="E150" s="171">
        <f t="shared" si="30"/>
        <v>82204.149999999994</v>
      </c>
      <c r="F150" s="171"/>
      <c r="G150" s="171">
        <f t="shared" si="31"/>
        <v>82204.149999999994</v>
      </c>
      <c r="H150" s="172">
        <f t="shared" si="32"/>
        <v>1.6468430998129648E-2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'[58]Sch C'!D152</f>
        <v>2520.39</v>
      </c>
      <c r="D151" s="501">
        <f>'[58]Sch C'!F152</f>
        <v>0</v>
      </c>
      <c r="E151" s="171">
        <f t="shared" si="30"/>
        <v>2520.39</v>
      </c>
      <c r="F151" s="171"/>
      <c r="G151" s="171">
        <f t="shared" si="31"/>
        <v>2520.39</v>
      </c>
      <c r="H151" s="172">
        <f t="shared" si="32"/>
        <v>5.0492425021578572E-4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'[58]Sch C'!D153</f>
        <v>12358.58</v>
      </c>
      <c r="D152" s="501">
        <f>'[58]Sch C'!F153</f>
        <v>0</v>
      </c>
      <c r="E152" s="171">
        <f t="shared" si="30"/>
        <v>12358.58</v>
      </c>
      <c r="F152" s="171"/>
      <c r="G152" s="171">
        <f t="shared" si="31"/>
        <v>12358.58</v>
      </c>
      <c r="H152" s="172">
        <f t="shared" si="32"/>
        <v>2.4758655367747872E-3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'[58]Sch C'!D154</f>
        <v>0</v>
      </c>
      <c r="D153" s="501">
        <f>'[58]Sch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'[58]Sch C'!D156</f>
        <v>0</v>
      </c>
      <c r="D155" s="501">
        <f>'[58]Sch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'[58]Sch C'!D157</f>
        <v>0</v>
      </c>
      <c r="D156" s="501">
        <f>'[58]Sch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'[58]Sch C'!D158</f>
        <v>0</v>
      </c>
      <c r="D157" s="501">
        <f>'[58]Sch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'[58]Sch C'!D159</f>
        <v>0</v>
      </c>
      <c r="D158" s="501">
        <f>'[58]Sch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'[58]Sch C'!D160</f>
        <v>3267.91</v>
      </c>
      <c r="D159" s="501">
        <f>'[58]Sch C'!F160</f>
        <v>0</v>
      </c>
      <c r="E159" s="171">
        <f t="shared" si="33"/>
        <v>3267.91</v>
      </c>
      <c r="F159" s="171"/>
      <c r="G159" s="171">
        <f t="shared" si="34"/>
        <v>3267.91</v>
      </c>
      <c r="H159" s="172">
        <f>IF($G$208=0,0,G159/$G$208)</f>
        <v>6.5467923873792084E-4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'[58]Sch C'!D161</f>
        <v>60535.13</v>
      </c>
      <c r="D160" s="501">
        <f>'[58]Sch C'!F161</f>
        <v>0</v>
      </c>
      <c r="E160" s="171">
        <f t="shared" si="33"/>
        <v>60535.13</v>
      </c>
      <c r="F160" s="171"/>
      <c r="G160" s="171">
        <f t="shared" si="34"/>
        <v>60535.13</v>
      </c>
      <c r="H160" s="172">
        <f t="shared" si="35"/>
        <v>1.2127351372987958E-2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2145780.2680000002</v>
      </c>
      <c r="D161" s="501">
        <f>SUM(D123:D160)</f>
        <v>0</v>
      </c>
      <c r="E161" s="171">
        <f t="shared" ref="E161:F161" si="36">SUM(E123:E160)</f>
        <v>2145780.2680000002</v>
      </c>
      <c r="F161" s="171">
        <f t="shared" si="36"/>
        <v>0</v>
      </c>
      <c r="G161" s="171">
        <f>SUM(G123:G160)</f>
        <v>2145780.2680000002</v>
      </c>
      <c r="H161" s="172">
        <f t="shared" si="35"/>
        <v>0.42987652424732997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'[58]Sch C'!D175</f>
        <v>0</v>
      </c>
      <c r="D164" s="501">
        <f>'[58]Sch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'[58]Sch C'!D176</f>
        <v>0</v>
      </c>
      <c r="D165" s="501">
        <f>'[58]Sch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'[58]Sch C'!D177</f>
        <v>0</v>
      </c>
      <c r="D166" s="501">
        <f>'[58]Sch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'[58]Sch C'!D178</f>
        <v>0</v>
      </c>
      <c r="D167" s="501">
        <f>'[58]Sch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'[58]Sch C'!D179</f>
        <v>0</v>
      </c>
      <c r="D168" s="501">
        <f>'[58]Sch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'[58]Sch C'!D180</f>
        <v>0</v>
      </c>
      <c r="D169" s="501">
        <f>'[58]Sch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'[58]Sch C'!D181</f>
        <v>0</v>
      </c>
      <c r="D170" s="501">
        <f>'[58]Sch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'[58]Sch C'!D182</f>
        <v>0</v>
      </c>
      <c r="D171" s="501">
        <f>'[58]Sch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'[58]Sch C'!D183</f>
        <v>0</v>
      </c>
      <c r="D172" s="501">
        <f>'[58]Sch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'[58]Sch C'!D184</f>
        <v>0</v>
      </c>
      <c r="D173" s="501">
        <f>'[58]Sch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'[58]Sch C'!D185</f>
        <v>0</v>
      </c>
      <c r="D174" s="501">
        <f>'[58]Sch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'[58]Sch C'!D186</f>
        <v>0</v>
      </c>
      <c r="D175" s="501">
        <f>'[58]Sch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'[58]Sch C'!D187</f>
        <v>0</v>
      </c>
      <c r="D176" s="501">
        <f>'[58]Sch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'[58]Sch C'!D188</f>
        <v>0</v>
      </c>
      <c r="D177" s="501">
        <f>'[58]Sch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'[58]Sch C'!D189</f>
        <v>0</v>
      </c>
      <c r="D178" s="501">
        <f>'[58]Sch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'[58]Sch C'!D190</f>
        <v>0</v>
      </c>
      <c r="D179" s="501">
        <f>'[58]Sch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'[58]Sch C'!D191</f>
        <v>0</v>
      </c>
      <c r="D180" s="501">
        <f>'[58]Sch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'[58]Sch C'!D192</f>
        <v>0</v>
      </c>
      <c r="D181" s="501">
        <f>'[58]Sch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'[58]Sch C'!D193</f>
        <v>0</v>
      </c>
      <c r="D182" s="501">
        <f>'[58]Sch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'[58]Sch C'!D194</f>
        <v>192295.05</v>
      </c>
      <c r="D183" s="501">
        <f>'[58]Sch C'!F194</f>
        <v>-1011.72</v>
      </c>
      <c r="E183" s="171">
        <f t="shared" si="37"/>
        <v>191283.33</v>
      </c>
      <c r="F183" s="216"/>
      <c r="G183" s="171">
        <f t="shared" si="38"/>
        <v>191283.33</v>
      </c>
      <c r="H183" s="172">
        <f t="shared" si="39"/>
        <v>3.8320891599724134E-2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'[58]Sch C'!D195</f>
        <v>26737.69</v>
      </c>
      <c r="D184" s="501">
        <f>'[58]Sch C'!F195</f>
        <v>-138.86000000000001</v>
      </c>
      <c r="E184" s="171">
        <f t="shared" si="37"/>
        <v>26598.829999999998</v>
      </c>
      <c r="F184" s="216"/>
      <c r="G184" s="171">
        <f t="shared" si="38"/>
        <v>26598.829999999998</v>
      </c>
      <c r="H184" s="172">
        <f t="shared" si="39"/>
        <v>5.328696866106891E-3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'[58]Sch C'!D196</f>
        <v>160207.01</v>
      </c>
      <c r="D185" s="501">
        <f>'[58]Sch C'!F196</f>
        <v>-833.18</v>
      </c>
      <c r="E185" s="171">
        <f t="shared" si="37"/>
        <v>159373.83000000002</v>
      </c>
      <c r="F185" s="216"/>
      <c r="G185" s="171">
        <f t="shared" si="38"/>
        <v>159373.83000000002</v>
      </c>
      <c r="H185" s="172">
        <f t="shared" si="39"/>
        <v>3.1928277614483518E-2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'[58]Sch C'!D197</f>
        <v>0</v>
      </c>
      <c r="D186" s="501">
        <f>'[58]Sch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'[58]Sch C'!D198</f>
        <v>16092.61</v>
      </c>
      <c r="D187" s="501">
        <f>'[58]Sch C'!F198</f>
        <v>0</v>
      </c>
      <c r="E187" s="171">
        <f t="shared" si="37"/>
        <v>16092.61</v>
      </c>
      <c r="F187" s="216"/>
      <c r="G187" s="171">
        <f t="shared" si="38"/>
        <v>16092.61</v>
      </c>
      <c r="H187" s="172">
        <f t="shared" si="39"/>
        <v>3.223925280716499E-3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'[58]Sch C'!D199</f>
        <v>0</v>
      </c>
      <c r="D188" s="501">
        <f>'[58]Sch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'[58]Sch C'!D200</f>
        <v>0</v>
      </c>
      <c r="D189" s="501">
        <f>'[58]Sch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'[58]Sch C'!D201</f>
        <v>0</v>
      </c>
      <c r="D190" s="501">
        <f>'[58]Sch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'[58]Sch C'!D202</f>
        <v>0</v>
      </c>
      <c r="D191" s="501">
        <f>'[58]Sch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'[58]Sch C'!D203</f>
        <v>0</v>
      </c>
      <c r="D192" s="501">
        <f>'[58]Sch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'[58]Sch C'!D204</f>
        <v>0</v>
      </c>
      <c r="D193" s="501">
        <f>'[58]Sch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'[58]Sch C'!D205</f>
        <v>198682.75</v>
      </c>
      <c r="D194" s="501">
        <f>'[58]Sch C'!F205</f>
        <v>-101590.27</v>
      </c>
      <c r="E194" s="171">
        <f t="shared" si="37"/>
        <v>97092.479999999996</v>
      </c>
      <c r="F194" s="216"/>
      <c r="G194" s="171">
        <f t="shared" si="38"/>
        <v>97092.479999999996</v>
      </c>
      <c r="H194" s="172">
        <f t="shared" si="39"/>
        <v>1.9451095927848935E-2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'[58]Sch C'!D206</f>
        <v>11797.83</v>
      </c>
      <c r="D195" s="501">
        <f>'[58]Sch C'!F206</f>
        <v>0</v>
      </c>
      <c r="E195" s="171">
        <f t="shared" si="37"/>
        <v>11797.83</v>
      </c>
      <c r="F195" s="216"/>
      <c r="G195" s="171">
        <f t="shared" si="38"/>
        <v>11797.83</v>
      </c>
      <c r="H195" s="172">
        <f t="shared" si="39"/>
        <v>2.363527258449408E-3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'[58]Sch C'!D207</f>
        <v>546.20000000000005</v>
      </c>
      <c r="D196" s="501">
        <f>'[58]Sch C'!F207</f>
        <v>0</v>
      </c>
      <c r="E196" s="171">
        <f t="shared" si="37"/>
        <v>546.20000000000005</v>
      </c>
      <c r="F196" s="216"/>
      <c r="G196" s="171">
        <f t="shared" si="38"/>
        <v>546.20000000000005</v>
      </c>
      <c r="H196" s="172">
        <f t="shared" si="39"/>
        <v>1.0942339299388674E-4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606359.1399999999</v>
      </c>
      <c r="D197" s="501">
        <f>SUM(D164:D196)</f>
        <v>-103574.03</v>
      </c>
      <c r="E197" s="171">
        <f t="shared" ref="E197:F197" si="40">SUM(E164:E196)</f>
        <v>502785.11</v>
      </c>
      <c r="F197" s="171">
        <f t="shared" si="40"/>
        <v>0</v>
      </c>
      <c r="G197" s="171">
        <f>SUM(G164:G196)</f>
        <v>502785.11</v>
      </c>
      <c r="H197" s="172">
        <f>IF($G$208=0,0,G197/$G$208)</f>
        <v>0.10072583794032326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'[58]Sch C'!D211</f>
        <v>100412.65</v>
      </c>
      <c r="D200" s="501">
        <f>'[58]Sch C'!F211</f>
        <v>0</v>
      </c>
      <c r="E200" s="171">
        <f t="shared" ref="E200:E205" si="41">C200+D200</f>
        <v>100412.65</v>
      </c>
      <c r="F200" s="171"/>
      <c r="G200" s="171">
        <f t="shared" ref="G200:G205" si="42">E200+F200</f>
        <v>100412.65</v>
      </c>
      <c r="H200" s="172">
        <f t="shared" ref="H200:H206" si="43">IF($G$208=0,0,G200/$G$208)</f>
        <v>2.0116244713488832E-2</v>
      </c>
      <c r="I200" s="473"/>
      <c r="J200" s="183">
        <v>5349.37</v>
      </c>
      <c r="K200" s="183">
        <v>5593.18</v>
      </c>
    </row>
    <row r="201" spans="1:14" s="167" customFormat="1">
      <c r="A201" s="169" t="s">
        <v>86</v>
      </c>
      <c r="B201" s="170" t="s">
        <v>45</v>
      </c>
      <c r="C201" s="501">
        <f>'[58]Sch C'!D212</f>
        <v>35511.64</v>
      </c>
      <c r="D201" s="501">
        <f>'[58]Sch C'!F212</f>
        <v>0</v>
      </c>
      <c r="E201" s="171">
        <f t="shared" si="41"/>
        <v>35511.64</v>
      </c>
      <c r="F201" s="171"/>
      <c r="G201" s="171">
        <f t="shared" si="42"/>
        <v>35511.64</v>
      </c>
      <c r="H201" s="172">
        <f t="shared" si="43"/>
        <v>7.1142514455829874E-3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'[58]Sch C'!D213</f>
        <v>9283.73</v>
      </c>
      <c r="D202" s="501">
        <f>'[58]Sch C'!F213</f>
        <v>0</v>
      </c>
      <c r="E202" s="171">
        <f t="shared" si="41"/>
        <v>9283.73</v>
      </c>
      <c r="F202" s="171"/>
      <c r="G202" s="171">
        <f t="shared" si="42"/>
        <v>9283.73</v>
      </c>
      <c r="H202" s="172">
        <f t="shared" si="43"/>
        <v>1.8598631201741781E-3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'[58]Sch C'!D214</f>
        <v>0</v>
      </c>
      <c r="D203" s="501">
        <f>'[58]Sch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'[58]Sch C'!D215</f>
        <v>0</v>
      </c>
      <c r="D204" s="501">
        <f>'[58]Sch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'[58]Sch C'!D216</f>
        <v>2842.57</v>
      </c>
      <c r="D205" s="501">
        <f>'[58]Sch C'!F216</f>
        <v>0</v>
      </c>
      <c r="E205" s="171">
        <f t="shared" si="41"/>
        <v>2842.57</v>
      </c>
      <c r="F205" s="171"/>
      <c r="G205" s="171">
        <f t="shared" si="42"/>
        <v>2842.57</v>
      </c>
      <c r="H205" s="172">
        <f t="shared" si="43"/>
        <v>5.6946842589277304E-4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148050.59</v>
      </c>
      <c r="D206" s="501">
        <f>SUM(D200:D205)</f>
        <v>0</v>
      </c>
      <c r="E206" s="171">
        <f t="shared" ref="E206:F206" si="44">SUM(E200:E205)</f>
        <v>148050.59</v>
      </c>
      <c r="F206" s="171">
        <f t="shared" si="44"/>
        <v>0</v>
      </c>
      <c r="G206" s="171">
        <f>SUM(G200:G205)</f>
        <v>148050.59</v>
      </c>
      <c r="H206" s="172">
        <f t="shared" si="43"/>
        <v>2.965982770513877E-2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5473496.5180000011</v>
      </c>
      <c r="D208" s="501">
        <f>SUM(D25:D206)/2</f>
        <v>-481876.49</v>
      </c>
      <c r="E208" s="171">
        <f t="shared" ref="E208:F208" si="45">SUM(E25:E206)/2</f>
        <v>4991620.0280000009</v>
      </c>
      <c r="F208" s="171">
        <f t="shared" si="45"/>
        <v>0</v>
      </c>
      <c r="G208" s="171">
        <f>SUM(G25:G206)/2</f>
        <v>4991620.0280000009</v>
      </c>
      <c r="H208" s="172">
        <f>IF($G$208=0,0,G208/$G$208)</f>
        <v>1</v>
      </c>
      <c r="I208" s="473"/>
      <c r="J208" s="183">
        <f>SUM(J25:J200)</f>
        <v>92499.859999999986</v>
      </c>
      <c r="K208" s="183">
        <f>SUM(K25:K200)</f>
        <v>99316.270000000019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'[58]Sch C'!D221</f>
        <v>5473496.5499999998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-3.1999998725950718E-2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-1138446.9480000017</v>
      </c>
      <c r="D215" s="501">
        <f>D21-D208</f>
        <v>1317611.8999999999</v>
      </c>
      <c r="E215" s="171">
        <f t="shared" ref="E215:F215" si="46">E21-E208</f>
        <v>179164.95199999865</v>
      </c>
      <c r="F215" s="171">
        <f t="shared" si="46"/>
        <v>1219190</v>
      </c>
      <c r="G215" s="171">
        <f>G21-G208</f>
        <v>1398354.9519999996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'[58]Sch D'!C9</f>
        <v>12706</v>
      </c>
      <c r="D219" s="530"/>
      <c r="E219" s="234">
        <f t="shared" ref="E219:G227" si="47">C219+D219</f>
        <v>12706</v>
      </c>
      <c r="F219" s="233"/>
      <c r="G219" s="234">
        <f t="shared" si="47"/>
        <v>12706</v>
      </c>
      <c r="H219" s="172">
        <f t="shared" ref="H219:H228" si="48">IF($G$228=0,0,G219/$G$228)</f>
        <v>0.68540295609019308</v>
      </c>
      <c r="I219" s="473"/>
      <c r="J219" s="168"/>
      <c r="K219" s="168"/>
    </row>
    <row r="220" spans="1:11">
      <c r="A220" s="163"/>
      <c r="B220" s="170" t="s">
        <v>217</v>
      </c>
      <c r="C220" s="530">
        <f>'[58]Sch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'[58]Sch D'!E9</f>
        <v>1627</v>
      </c>
      <c r="D221" s="530"/>
      <c r="E221" s="234">
        <f t="shared" si="49"/>
        <v>1627</v>
      </c>
      <c r="F221" s="233"/>
      <c r="G221" s="234">
        <f t="shared" si="47"/>
        <v>1627</v>
      </c>
      <c r="H221" s="172">
        <f t="shared" si="48"/>
        <v>8.7765670514618616E-2</v>
      </c>
      <c r="I221" s="473"/>
      <c r="J221" s="168"/>
      <c r="K221" s="168"/>
    </row>
    <row r="222" spans="1:11">
      <c r="A222" s="163"/>
      <c r="B222" s="202" t="s">
        <v>334</v>
      </c>
      <c r="C222" s="530">
        <f>'[58]Sch D'!F9</f>
        <v>1117</v>
      </c>
      <c r="D222" s="530"/>
      <c r="E222" s="234">
        <f>C222+D222</f>
        <v>1117</v>
      </c>
      <c r="F222" s="233"/>
      <c r="G222" s="234">
        <f>E222+F222</f>
        <v>1117</v>
      </c>
      <c r="H222" s="172">
        <f t="shared" si="48"/>
        <v>6.0254612148020283E-2</v>
      </c>
      <c r="I222" s="473"/>
      <c r="J222" s="168"/>
      <c r="K222" s="168"/>
    </row>
    <row r="223" spans="1:11">
      <c r="A223" s="163"/>
      <c r="B223" s="170" t="s">
        <v>73</v>
      </c>
      <c r="C223" s="530">
        <f>'[58]Sch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'[58]Sch D'!H9</f>
        <v>791</v>
      </c>
      <c r="D224" s="530"/>
      <c r="E224" s="234">
        <f t="shared" si="49"/>
        <v>791</v>
      </c>
      <c r="F224" s="233"/>
      <c r="G224" s="234">
        <f t="shared" si="47"/>
        <v>791</v>
      </c>
      <c r="H224" s="172">
        <f t="shared" si="48"/>
        <v>4.2669112094077033E-2</v>
      </c>
      <c r="I224" s="473"/>
      <c r="J224" s="168"/>
      <c r="K224" s="168"/>
    </row>
    <row r="225" spans="1:11">
      <c r="A225" s="163"/>
      <c r="B225" s="170" t="s">
        <v>236</v>
      </c>
      <c r="C225" s="530">
        <f>'[58]Sch D'!I9</f>
        <v>2187</v>
      </c>
      <c r="D225" s="530"/>
      <c r="E225" s="234">
        <f t="shared" si="49"/>
        <v>2187</v>
      </c>
      <c r="F225" s="233"/>
      <c r="G225" s="234">
        <f t="shared" si="47"/>
        <v>2187</v>
      </c>
      <c r="H225" s="172">
        <f t="shared" si="48"/>
        <v>0.11797389146617758</v>
      </c>
      <c r="I225" s="473"/>
      <c r="J225" s="168"/>
      <c r="K225" s="168"/>
    </row>
    <row r="226" spans="1:11">
      <c r="A226" s="163"/>
      <c r="B226" s="170" t="s">
        <v>235</v>
      </c>
      <c r="C226" s="530">
        <f>'[58]Sch D'!J9</f>
        <v>110</v>
      </c>
      <c r="D226" s="530"/>
      <c r="E226" s="234">
        <f>C226+D226</f>
        <v>110</v>
      </c>
      <c r="F226" s="233"/>
      <c r="G226" s="234">
        <f>E226+F226</f>
        <v>110</v>
      </c>
      <c r="H226" s="172">
        <f t="shared" si="48"/>
        <v>5.9337576869133669E-3</v>
      </c>
      <c r="I226" s="473"/>
      <c r="J226" s="168"/>
      <c r="K226" s="168"/>
    </row>
    <row r="227" spans="1:11">
      <c r="A227" s="163"/>
      <c r="B227" s="170" t="s">
        <v>179</v>
      </c>
      <c r="C227" s="530">
        <f>'[58]Sch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18538</v>
      </c>
      <c r="D228" s="530">
        <f>SUM(D219:D227)</f>
        <v>0</v>
      </c>
      <c r="E228" s="236">
        <f>SUM(E219:E227)</f>
        <v>18538</v>
      </c>
      <c r="F228" s="236">
        <f>SUM(F219:F227)</f>
        <v>0</v>
      </c>
      <c r="G228" s="236">
        <f>SUM(G219:G227)</f>
        <v>18538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315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'[58]Sch D'!N22</f>
        <v>61</v>
      </c>
      <c r="D231" s="502"/>
      <c r="E231" s="234">
        <f>C231+D231</f>
        <v>61</v>
      </c>
      <c r="F231" s="234"/>
      <c r="G231" s="234">
        <f>E231+F231</f>
        <v>61</v>
      </c>
      <c r="H231" s="457"/>
      <c r="I231" s="475"/>
      <c r="J231" s="168"/>
      <c r="K231" s="168"/>
    </row>
    <row r="232" spans="1:11">
      <c r="A232" s="163"/>
      <c r="B232" s="202" t="s">
        <v>290</v>
      </c>
      <c r="C232" s="531">
        <f>'[58]Sch D'!N24</f>
        <v>61</v>
      </c>
      <c r="D232" s="502"/>
      <c r="E232" s="234">
        <f>C232+D232</f>
        <v>61</v>
      </c>
      <c r="F232" s="234"/>
      <c r="G232" s="234">
        <f>E232+F232</f>
        <v>61</v>
      </c>
      <c r="H232" s="45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'[58]Sch D'!N28</f>
        <v>22265</v>
      </c>
      <c r="D235" s="438"/>
      <c r="E235" s="233">
        <f>E231*E233</f>
        <v>22265</v>
      </c>
      <c r="F235" s="238"/>
      <c r="G235" s="233">
        <f>G231*G233</f>
        <v>22265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'[58]Sch D'!N30</f>
        <v>0.83260723108017065</v>
      </c>
      <c r="D236" s="238"/>
      <c r="E236" s="242">
        <f>E228/E235</f>
        <v>0.83260723108017065</v>
      </c>
      <c r="F236" s="243"/>
      <c r="G236" s="242">
        <f>G228/G235</f>
        <v>0.83260723108017065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'[58]Sch D'!N32</f>
        <v>0.57067145744441949</v>
      </c>
      <c r="D237" s="238"/>
      <c r="E237" s="242">
        <f>(E219+E220)/E235</f>
        <v>0.57067145744441949</v>
      </c>
      <c r="F237" s="243"/>
      <c r="G237" s="242">
        <f>(G219+G220)/G235</f>
        <v>0.57067145744441949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'[58]Sch D'!N34</f>
        <v>0.68540295609019308</v>
      </c>
      <c r="D238" s="238"/>
      <c r="E238" s="242">
        <f>(E237/E236)</f>
        <v>0.68540295609019308</v>
      </c>
      <c r="F238" s="243"/>
      <c r="G238" s="242">
        <f>(G237/G236)</f>
        <v>0.68540295609019308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v>288.22723183390997</v>
      </c>
      <c r="I241" s="475"/>
    </row>
    <row r="242" spans="2:9">
      <c r="B242" s="421"/>
      <c r="F242" s="142" t="s">
        <v>341</v>
      </c>
      <c r="G242" s="501">
        <v>271.68077639751561</v>
      </c>
      <c r="I242" s="475"/>
    </row>
    <row r="243" spans="2:9">
      <c r="B243" s="421"/>
      <c r="F243" s="142" t="s">
        <v>342</v>
      </c>
      <c r="G243" s="501">
        <v>353.15680851063826</v>
      </c>
      <c r="I243" s="475"/>
    </row>
    <row r="244" spans="2:9">
      <c r="F244" s="142" t="s">
        <v>343</v>
      </c>
      <c r="G244" s="501">
        <v>248.70308270676688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8">
    <tabColor rgb="FFE28CAB"/>
  </sheetPr>
  <dimension ref="A1:O246"/>
  <sheetViews>
    <sheetView showGridLines="0" topLeftCell="A188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486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  <c r="F3" s="409"/>
    </row>
    <row r="4" spans="1:11">
      <c r="A4" s="145"/>
      <c r="B4" s="148" t="s">
        <v>80</v>
      </c>
      <c r="C4" s="441">
        <v>42916</v>
      </c>
      <c r="D4" s="144"/>
      <c r="E4" s="149"/>
      <c r="F4" s="409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'[6]Sch B'!E10</f>
        <v>3838813.55</v>
      </c>
      <c r="D11" s="501">
        <f>'[6]Sch B'!G10</f>
        <v>0</v>
      </c>
      <c r="E11" s="171">
        <f>C11+D11</f>
        <v>3838813.55</v>
      </c>
      <c r="F11" s="660">
        <v>1037337</v>
      </c>
      <c r="G11" s="171">
        <f t="shared" ref="G11:G20" si="0">E11+F11</f>
        <v>4876150.55</v>
      </c>
      <c r="H11" s="172">
        <f t="shared" ref="H11:H21" si="1">IF($G$21=0,0,G11/$G$21)</f>
        <v>0.54921590260557251</v>
      </c>
      <c r="I11" s="473"/>
      <c r="J11" s="336" t="s">
        <v>344</v>
      </c>
      <c r="K11" s="337">
        <f>G21</f>
        <v>8878385.5800000001</v>
      </c>
    </row>
    <row r="12" spans="1:11" s="167" customFormat="1">
      <c r="A12" s="169" t="s">
        <v>15</v>
      </c>
      <c r="B12" s="170" t="s">
        <v>212</v>
      </c>
      <c r="C12" s="501">
        <f>'[6]Sch B'!E15</f>
        <v>0</v>
      </c>
      <c r="D12" s="501">
        <f>'[6]Sch B'!G15</f>
        <v>0</v>
      </c>
      <c r="E12" s="171">
        <f t="shared" ref="E12:E20" si="2">C12+D12</f>
        <v>0</v>
      </c>
      <c r="F12" s="660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7206374.2928417493</v>
      </c>
    </row>
    <row r="13" spans="1:11" s="167" customFormat="1">
      <c r="A13" s="169" t="s">
        <v>16</v>
      </c>
      <c r="B13" s="170" t="s">
        <v>170</v>
      </c>
      <c r="C13" s="501">
        <f>'[6]Sch B'!E21</f>
        <v>2450529.8299999996</v>
      </c>
      <c r="D13" s="501">
        <f>'[6]Sch B'!G21</f>
        <v>0</v>
      </c>
      <c r="E13" s="171">
        <f t="shared" si="2"/>
        <v>2450529.8299999996</v>
      </c>
      <c r="F13" s="660"/>
      <c r="G13" s="171">
        <f t="shared" si="0"/>
        <v>2450529.8299999996</v>
      </c>
      <c r="H13" s="172">
        <f t="shared" si="1"/>
        <v>0.27601074631408379</v>
      </c>
      <c r="I13" s="473"/>
      <c r="J13" s="338" t="s">
        <v>346</v>
      </c>
      <c r="K13" s="339">
        <f>G228</f>
        <v>26724</v>
      </c>
    </row>
    <row r="14" spans="1:11" s="167" customFormat="1">
      <c r="A14" s="173" t="s">
        <v>18</v>
      </c>
      <c r="B14" s="174" t="s">
        <v>306</v>
      </c>
      <c r="C14" s="501">
        <f>'[6]Sch B'!E27</f>
        <v>0</v>
      </c>
      <c r="D14" s="501">
        <f>'[6]Sch B'!G27</f>
        <v>0</v>
      </c>
      <c r="E14" s="171">
        <f t="shared" si="2"/>
        <v>0</v>
      </c>
      <c r="F14" s="661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180</v>
      </c>
    </row>
    <row r="15" spans="1:11" s="167" customFormat="1">
      <c r="A15" s="169" t="s">
        <v>19</v>
      </c>
      <c r="B15" s="170" t="s">
        <v>171</v>
      </c>
      <c r="C15" s="501">
        <f>'[6]Sch B'!E32</f>
        <v>0</v>
      </c>
      <c r="D15" s="501">
        <f>'[6]Sch B'!G32</f>
        <v>0</v>
      </c>
      <c r="E15" s="171">
        <f t="shared" si="2"/>
        <v>0</v>
      </c>
      <c r="F15" s="660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65700</v>
      </c>
    </row>
    <row r="16" spans="1:11" s="167" customFormat="1">
      <c r="A16" s="169" t="s">
        <v>21</v>
      </c>
      <c r="B16" s="170" t="s">
        <v>172</v>
      </c>
      <c r="C16" s="501">
        <f>'[6]Sch B'!E37</f>
        <v>1404412.48</v>
      </c>
      <c r="D16" s="501">
        <f>'[6]Sch B'!G37</f>
        <v>0</v>
      </c>
      <c r="E16" s="171">
        <f t="shared" si="2"/>
        <v>1404412.48</v>
      </c>
      <c r="F16" s="660"/>
      <c r="G16" s="171">
        <f t="shared" si="0"/>
        <v>1404412.48</v>
      </c>
      <c r="H16" s="172">
        <f t="shared" si="1"/>
        <v>0.15818331692685958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'[6]Sch B'!E42</f>
        <v>0</v>
      </c>
      <c r="D17" s="501">
        <f>'[6]Sch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178446</v>
      </c>
    </row>
    <row r="18" spans="1:11" s="167" customFormat="1" ht="13.5" thickBot="1">
      <c r="A18" s="169" t="s">
        <v>216</v>
      </c>
      <c r="B18" s="170" t="s">
        <v>229</v>
      </c>
      <c r="C18" s="501">
        <f>'[6]Sch B'!E47</f>
        <v>0</v>
      </c>
      <c r="D18" s="501">
        <f>'[6]Sch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187153</v>
      </c>
    </row>
    <row r="19" spans="1:11" s="167" customFormat="1">
      <c r="A19" s="169" t="s">
        <v>227</v>
      </c>
      <c r="B19" s="177" t="s">
        <v>173</v>
      </c>
      <c r="C19" s="501">
        <f>'[6]Sch B'!E52</f>
        <v>0</v>
      </c>
      <c r="D19" s="501">
        <f>'[6]Sch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'[6]Sch B'!E67</f>
        <v>158978.19</v>
      </c>
      <c r="D20" s="501">
        <f>'[6]Sch B'!G67</f>
        <v>-11685.47</v>
      </c>
      <c r="E20" s="171">
        <f t="shared" si="2"/>
        <v>147292.72</v>
      </c>
      <c r="F20" s="171"/>
      <c r="G20" s="171">
        <f t="shared" si="0"/>
        <v>147292.72</v>
      </c>
      <c r="H20" s="172">
        <f t="shared" si="1"/>
        <v>1.6590034153484017E-2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7852734.0499999998</v>
      </c>
      <c r="D21" s="501">
        <f>SUM(D11:D20)</f>
        <v>-11685.47</v>
      </c>
      <c r="E21" s="171">
        <f>SUM(E11:E20)</f>
        <v>7841048.5799999991</v>
      </c>
      <c r="F21" s="171">
        <f>SUM(F11:F20)</f>
        <v>1037337</v>
      </c>
      <c r="G21" s="171">
        <f>SUM(G11:G20)</f>
        <v>8878385.5800000001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'[6]Sch C'!D10</f>
        <v>91100.63</v>
      </c>
      <c r="D25" s="501">
        <f>'[6]Sch C'!F10</f>
        <v>10674.308990853639</v>
      </c>
      <c r="E25" s="171">
        <f t="shared" ref="E25:E60" si="3">C25+D25</f>
        <v>101774.93899085364</v>
      </c>
      <c r="F25" s="655"/>
      <c r="G25" s="182">
        <f>E25+F25</f>
        <v>101774.93899085364</v>
      </c>
      <c r="H25" s="172">
        <f>IF($G$208=0,0,G25/$G$208)</f>
        <v>1.4122904924873099E-2</v>
      </c>
      <c r="I25" s="473"/>
      <c r="J25" s="183">
        <v>2475</v>
      </c>
      <c r="K25" s="183">
        <v>2500</v>
      </c>
    </row>
    <row r="26" spans="1:11" s="167" customFormat="1">
      <c r="A26" s="169" t="s">
        <v>84</v>
      </c>
      <c r="B26" s="170" t="s">
        <v>176</v>
      </c>
      <c r="C26" s="501">
        <f>'[6]Sch C'!D11</f>
        <v>0</v>
      </c>
      <c r="D26" s="501">
        <f>'[6]Sch C'!F11</f>
        <v>0</v>
      </c>
      <c r="E26" s="171">
        <f t="shared" si="3"/>
        <v>0</v>
      </c>
      <c r="F26" s="655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'[6]Sch C'!D12</f>
        <v>155266.41999999998</v>
      </c>
      <c r="D27" s="501">
        <f>'[6]Sch C'!F12</f>
        <v>148152.42360176938</v>
      </c>
      <c r="E27" s="171">
        <f t="shared" si="3"/>
        <v>303418.84360176936</v>
      </c>
      <c r="F27" s="655"/>
      <c r="G27" s="171">
        <f t="shared" si="4"/>
        <v>303418.84360176936</v>
      </c>
      <c r="H27" s="172">
        <f t="shared" si="5"/>
        <v>4.2104230403791541E-2</v>
      </c>
      <c r="I27" s="473"/>
      <c r="J27" s="183">
        <v>18410</v>
      </c>
      <c r="K27" s="183">
        <v>19003</v>
      </c>
    </row>
    <row r="28" spans="1:11" s="167" customFormat="1">
      <c r="A28" s="169" t="s">
        <v>86</v>
      </c>
      <c r="B28" s="170" t="s">
        <v>45</v>
      </c>
      <c r="C28" s="501">
        <f>'[6]Sch C'!D13</f>
        <v>587863.35</v>
      </c>
      <c r="D28" s="501">
        <f>'[6]Sch C'!F13</f>
        <v>-506425.68943557731</v>
      </c>
      <c r="E28" s="171">
        <f t="shared" si="3"/>
        <v>81437.660564422666</v>
      </c>
      <c r="F28" s="655"/>
      <c r="G28" s="171">
        <f t="shared" si="4"/>
        <v>81437.660564422666</v>
      </c>
      <c r="H28" s="172">
        <f t="shared" si="5"/>
        <v>1.1300781399228249E-2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'[6]Sch C'!D14</f>
        <v>0</v>
      </c>
      <c r="D29" s="501">
        <f>'[6]Sch C'!F14</f>
        <v>0</v>
      </c>
      <c r="E29" s="171">
        <f t="shared" si="3"/>
        <v>0</v>
      </c>
      <c r="F29" s="655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'[6]Sch C'!D15</f>
        <v>371035.55</v>
      </c>
      <c r="D30" s="501">
        <f>'[6]Sch C'!F15</f>
        <v>-363634.55</v>
      </c>
      <c r="E30" s="171">
        <f t="shared" si="3"/>
        <v>7401</v>
      </c>
      <c r="F30" s="655"/>
      <c r="G30" s="171">
        <f t="shared" si="4"/>
        <v>7401</v>
      </c>
      <c r="H30" s="172">
        <f t="shared" si="5"/>
        <v>1.0270074380332392E-3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'[6]Sch C'!D16</f>
        <v>0</v>
      </c>
      <c r="D31" s="501">
        <f>'[6]Sch C'!F16</f>
        <v>0</v>
      </c>
      <c r="E31" s="171">
        <f t="shared" si="3"/>
        <v>0</v>
      </c>
      <c r="F31" s="655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'[6]Sch C'!D17</f>
        <v>29854.92</v>
      </c>
      <c r="D32" s="501">
        <f>'[6]Sch C'!F17</f>
        <v>-29854.92</v>
      </c>
      <c r="E32" s="171">
        <f t="shared" si="3"/>
        <v>0</v>
      </c>
      <c r="F32" s="655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'[6]Sch C'!D18</f>
        <v>43434.52</v>
      </c>
      <c r="D33" s="501">
        <f>'[6]Sch C'!F18</f>
        <v>0</v>
      </c>
      <c r="E33" s="171">
        <f t="shared" si="3"/>
        <v>43434.52</v>
      </c>
      <c r="F33" s="655"/>
      <c r="G33" s="171">
        <f t="shared" si="4"/>
        <v>43434.52</v>
      </c>
      <c r="H33" s="172">
        <f t="shared" si="5"/>
        <v>6.0272361988114422E-3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'[6]Sch C'!D19</f>
        <v>26979.829999999998</v>
      </c>
      <c r="D34" s="501">
        <f>'[6]Sch C'!F19</f>
        <v>2052.425631158344</v>
      </c>
      <c r="E34" s="171">
        <f t="shared" si="3"/>
        <v>29032.255631158343</v>
      </c>
      <c r="F34" s="662"/>
      <c r="G34" s="171">
        <f t="shared" si="4"/>
        <v>29032.255631158343</v>
      </c>
      <c r="H34" s="172">
        <f t="shared" si="5"/>
        <v>4.0286910520310783E-3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'[6]Sch C'!D20</f>
        <v>94697.409999999989</v>
      </c>
      <c r="D35" s="501">
        <f>'[6]Sch C'!F20</f>
        <v>-45448.73</v>
      </c>
      <c r="E35" s="171">
        <f t="shared" si="3"/>
        <v>49248.679999999986</v>
      </c>
      <c r="F35" s="662"/>
      <c r="G35" s="171">
        <f t="shared" si="4"/>
        <v>49248.679999999986</v>
      </c>
      <c r="H35" s="172">
        <f t="shared" si="5"/>
        <v>6.8340441390783418E-3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'[6]Sch C'!D21</f>
        <v>35128.36</v>
      </c>
      <c r="D36" s="501">
        <f>'[6]Sch C'!F21</f>
        <v>0</v>
      </c>
      <c r="E36" s="171">
        <f t="shared" si="3"/>
        <v>35128.36</v>
      </c>
      <c r="F36" s="662">
        <v>-10056</v>
      </c>
      <c r="G36" s="171">
        <f t="shared" si="4"/>
        <v>25072.36</v>
      </c>
      <c r="H36" s="172">
        <f t="shared" si="5"/>
        <v>3.479192029326721E-3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'[6]Sch C'!D22</f>
        <v>0</v>
      </c>
      <c r="D37" s="501">
        <f>'[6]Sch C'!F22</f>
        <v>0</v>
      </c>
      <c r="E37" s="171">
        <f t="shared" si="3"/>
        <v>0</v>
      </c>
      <c r="F37" s="662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'[6]Sch C'!D23</f>
        <v>31380.359999999997</v>
      </c>
      <c r="D38" s="501">
        <f>'[6]Sch C'!F23</f>
        <v>1361.799398952309</v>
      </c>
      <c r="E38" s="171">
        <f t="shared" si="3"/>
        <v>32742.159398952306</v>
      </c>
      <c r="F38" s="662"/>
      <c r="G38" s="171">
        <f t="shared" si="4"/>
        <v>32742.159398952306</v>
      </c>
      <c r="H38" s="172">
        <f t="shared" si="5"/>
        <v>4.5434996946350425E-3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'[6]Sch C'!D24</f>
        <v>74317.960000000006</v>
      </c>
      <c r="D39" s="501">
        <f>'[6]Sch C'!F24</f>
        <v>0</v>
      </c>
      <c r="E39" s="171">
        <f t="shared" si="3"/>
        <v>74317.960000000006</v>
      </c>
      <c r="F39" s="662"/>
      <c r="G39" s="171">
        <f t="shared" si="4"/>
        <v>74317.960000000006</v>
      </c>
      <c r="H39" s="172">
        <f t="shared" si="5"/>
        <v>1.0312808769011856E-2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'[6]Sch C'!D25</f>
        <v>0</v>
      </c>
      <c r="D40" s="501">
        <f>'[6]Sch C'!F25</f>
        <v>0</v>
      </c>
      <c r="E40" s="171">
        <f t="shared" si="3"/>
        <v>0</v>
      </c>
      <c r="F40" s="660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'[6]Sch C'!D26</f>
        <v>402761.92</v>
      </c>
      <c r="D41" s="501">
        <f>'[6]Sch C'!F26</f>
        <v>0</v>
      </c>
      <c r="E41" s="171">
        <f t="shared" si="3"/>
        <v>402761.92</v>
      </c>
      <c r="F41" s="660"/>
      <c r="G41" s="171">
        <f t="shared" si="4"/>
        <v>402761.92</v>
      </c>
      <c r="H41" s="172">
        <f t="shared" si="5"/>
        <v>5.5889675394750489E-2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'[6]Sch C'!D27</f>
        <v>3661.26</v>
      </c>
      <c r="D42" s="501">
        <f>'[6]Sch C'!F27</f>
        <v>4634.6607646082693</v>
      </c>
      <c r="E42" s="171">
        <f t="shared" si="3"/>
        <v>8295.9207646082687</v>
      </c>
      <c r="F42" s="660"/>
      <c r="G42" s="171">
        <f t="shared" si="4"/>
        <v>8295.9207646082687</v>
      </c>
      <c r="H42" s="172">
        <f t="shared" si="5"/>
        <v>1.1511920457488295E-3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'[6]Sch C'!D28</f>
        <v>0</v>
      </c>
      <c r="D43" s="501">
        <f>'[6]Sch C'!F28</f>
        <v>0</v>
      </c>
      <c r="E43" s="171">
        <f t="shared" si="3"/>
        <v>0</v>
      </c>
      <c r="F43" s="660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'[6]Sch C'!D29</f>
        <v>104519</v>
      </c>
      <c r="D44" s="501">
        <f>'[6]Sch C'!F29</f>
        <v>-104519</v>
      </c>
      <c r="E44" s="171">
        <f t="shared" si="3"/>
        <v>0</v>
      </c>
      <c r="F44" s="660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'[6]Sch C'!D30</f>
        <v>390</v>
      </c>
      <c r="D45" s="501">
        <f>'[6]Sch C'!F30</f>
        <v>-390</v>
      </c>
      <c r="E45" s="171">
        <f t="shared" si="3"/>
        <v>0</v>
      </c>
      <c r="F45" s="660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'[6]Sch C'!D31</f>
        <v>70982</v>
      </c>
      <c r="D46" s="501">
        <f>'[6]Sch C'!F31</f>
        <v>0</v>
      </c>
      <c r="E46" s="171">
        <f t="shared" si="3"/>
        <v>70982</v>
      </c>
      <c r="F46" s="660"/>
      <c r="G46" s="171">
        <f t="shared" si="4"/>
        <v>70982</v>
      </c>
      <c r="H46" s="172">
        <f t="shared" si="5"/>
        <v>9.8498908210343707E-3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'[6]Sch C'!D32</f>
        <v>93495.55</v>
      </c>
      <c r="D47" s="501">
        <f>'[6]Sch C'!F32</f>
        <v>1529.7235601523646</v>
      </c>
      <c r="E47" s="171">
        <f t="shared" si="3"/>
        <v>95025.273560152375</v>
      </c>
      <c r="F47" s="660"/>
      <c r="G47" s="171">
        <f t="shared" si="4"/>
        <v>95025.273560152375</v>
      </c>
      <c r="H47" s="172">
        <f t="shared" si="5"/>
        <v>1.3186280603623805E-2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'[6]Sch C'!D33</f>
        <v>0</v>
      </c>
      <c r="D48" s="501">
        <f>'[6]Sch C'!F33</f>
        <v>0</v>
      </c>
      <c r="E48" s="171">
        <f t="shared" si="3"/>
        <v>0</v>
      </c>
      <c r="F48" s="660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'[6]Sch C'!D34</f>
        <v>0</v>
      </c>
      <c r="D49" s="501">
        <f>'[6]Sch C'!F34</f>
        <v>0</v>
      </c>
      <c r="E49" s="171">
        <f t="shared" si="3"/>
        <v>0</v>
      </c>
      <c r="F49" s="660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'[6]Sch C'!D35</f>
        <v>1855.32</v>
      </c>
      <c r="D50" s="501">
        <f>'[6]Sch C'!F35</f>
        <v>-1855.32</v>
      </c>
      <c r="E50" s="171">
        <f t="shared" si="3"/>
        <v>0</v>
      </c>
      <c r="F50" s="660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'[6]Sch C'!D36</f>
        <v>32871.299999999996</v>
      </c>
      <c r="D51" s="501">
        <f>'[6]Sch C'!F36</f>
        <v>99.46251126167175</v>
      </c>
      <c r="E51" s="171">
        <f t="shared" si="3"/>
        <v>32970.762511261666</v>
      </c>
      <c r="F51" s="660"/>
      <c r="G51" s="171">
        <f t="shared" si="4"/>
        <v>32970.762511261666</v>
      </c>
      <c r="H51" s="172">
        <f t="shared" si="5"/>
        <v>4.5752220425203634E-3</v>
      </c>
      <c r="I51" s="473"/>
      <c r="J51" s="183">
        <v>1936</v>
      </c>
      <c r="K51" s="183">
        <v>1986</v>
      </c>
    </row>
    <row r="52" spans="1:11" s="167" customFormat="1">
      <c r="A52" s="163">
        <v>290</v>
      </c>
      <c r="B52" s="170" t="s">
        <v>205</v>
      </c>
      <c r="C52" s="501">
        <f>'[6]Sch C'!D37</f>
        <v>0</v>
      </c>
      <c r="D52" s="501">
        <f>'[6]Sch C'!F37</f>
        <v>5847.0365069699092</v>
      </c>
      <c r="E52" s="171">
        <f t="shared" si="3"/>
        <v>5847.0365069699092</v>
      </c>
      <c r="F52" s="660"/>
      <c r="G52" s="171">
        <f t="shared" si="4"/>
        <v>5847.0365069699092</v>
      </c>
      <c r="H52" s="172">
        <f t="shared" si="5"/>
        <v>8.1137008284150596E-4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'[6]Sch C'!D38</f>
        <v>0</v>
      </c>
      <c r="D53" s="501">
        <f>'[6]Sch C'!F38</f>
        <v>0</v>
      </c>
      <c r="E53" s="171">
        <f t="shared" si="3"/>
        <v>0</v>
      </c>
      <c r="F53" s="660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'[6]Sch C'!D39</f>
        <v>8532.58</v>
      </c>
      <c r="D54" s="501">
        <f>'[6]Sch C'!F39</f>
        <v>-8532.58</v>
      </c>
      <c r="E54" s="171">
        <f t="shared" si="3"/>
        <v>0</v>
      </c>
      <c r="F54" s="660"/>
      <c r="G54" s="171">
        <f t="shared" si="4"/>
        <v>0</v>
      </c>
      <c r="H54" s="172">
        <f t="shared" si="5"/>
        <v>0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'[6]Sch C'!D40</f>
        <v>0</v>
      </c>
      <c r="D55" s="501">
        <f>'[6]Sch C'!F40</f>
        <v>0</v>
      </c>
      <c r="E55" s="171">
        <f t="shared" si="3"/>
        <v>0</v>
      </c>
      <c r="F55" s="660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'[6]Sch C'!D41</f>
        <v>49258.19</v>
      </c>
      <c r="D56" s="501">
        <f>'[6]Sch C'!F41</f>
        <v>48921.237823756375</v>
      </c>
      <c r="E56" s="171">
        <f t="shared" si="3"/>
        <v>98179.427823756385</v>
      </c>
      <c r="F56" s="662">
        <v>-2380</v>
      </c>
      <c r="G56" s="171">
        <f t="shared" si="4"/>
        <v>95799.427823756385</v>
      </c>
      <c r="H56" s="172">
        <f t="shared" si="5"/>
        <v>1.3293706922622111E-2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'[6]Sch C'!D42</f>
        <v>21626.35</v>
      </c>
      <c r="D57" s="501">
        <f>'[6]Sch C'!F42</f>
        <v>0</v>
      </c>
      <c r="E57" s="171">
        <f t="shared" si="3"/>
        <v>21626.35</v>
      </c>
      <c r="F57" s="660">
        <v>1508</v>
      </c>
      <c r="G57" s="171">
        <f t="shared" si="4"/>
        <v>23134.35</v>
      </c>
      <c r="H57" s="172">
        <f t="shared" si="5"/>
        <v>3.2102620624326799E-3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'[6]Sch C'!D43</f>
        <v>18509.77</v>
      </c>
      <c r="D58" s="501">
        <f>'[6]Sch C'!F43</f>
        <v>-18509.77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'[6]Sch C'!D44</f>
        <v>0</v>
      </c>
      <c r="D59" s="501">
        <f>'[6]Sch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'[6]Sch C'!D45</f>
        <v>54533.33</v>
      </c>
      <c r="D60" s="501">
        <f>'[6]Sch C'!F45</f>
        <v>-54533.33</v>
      </c>
      <c r="E60" s="171">
        <f t="shared" si="3"/>
        <v>0</v>
      </c>
      <c r="F60" s="171"/>
      <c r="G60" s="171">
        <f t="shared" si="4"/>
        <v>0</v>
      </c>
      <c r="H60" s="172">
        <f t="shared" si="5"/>
        <v>0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2404055.88</v>
      </c>
      <c r="D61" s="501">
        <f>SUM(D25:D60)</f>
        <v>-910430.81064609496</v>
      </c>
      <c r="E61" s="171">
        <f t="shared" ref="E61:F61" si="6">SUM(E25:E60)</f>
        <v>1493625.069353905</v>
      </c>
      <c r="F61" s="171">
        <f t="shared" si="6"/>
        <v>-10928</v>
      </c>
      <c r="G61" s="171">
        <f>SUM(G25:G60)</f>
        <v>1482697.069353905</v>
      </c>
      <c r="H61" s="186">
        <f t="shared" si="5"/>
        <v>0.20574799602439478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'[6]Sch C'!D57</f>
        <v>625852.18000000005</v>
      </c>
      <c r="D64" s="501">
        <f>'[6]Sch C'!F57</f>
        <v>-625852.09241123591</v>
      </c>
      <c r="E64" s="171">
        <f t="shared" ref="E64:E78" si="7">C64+D64</f>
        <v>8.7588764145039022E-2</v>
      </c>
      <c r="F64" s="171"/>
      <c r="G64" s="171">
        <f t="shared" ref="G64:G78" si="8">E64+F64</f>
        <v>8.7588764145039022E-2</v>
      </c>
      <c r="H64" s="172">
        <f t="shared" ref="H64:H79" si="9">IF($G$208=0,0,G64/$G$208)</f>
        <v>1.2154345664787752E-8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'[6]Sch C'!D58</f>
        <v>0</v>
      </c>
      <c r="D65" s="501">
        <f>'[6]Sch C'!F58</f>
        <v>1858</v>
      </c>
      <c r="E65" s="171">
        <f t="shared" si="7"/>
        <v>1858</v>
      </c>
      <c r="F65" s="171"/>
      <c r="G65" s="171">
        <f t="shared" si="8"/>
        <v>1858</v>
      </c>
      <c r="H65" s="172">
        <f t="shared" si="9"/>
        <v>2.5782729629317096E-4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'[6]Sch C'!D59</f>
        <v>0</v>
      </c>
      <c r="D66" s="501">
        <f>'[6]Sch C'!F59</f>
        <v>317365.45</v>
      </c>
      <c r="E66" s="171">
        <f t="shared" si="7"/>
        <v>317365.45</v>
      </c>
      <c r="F66" s="171"/>
      <c r="G66" s="171">
        <f t="shared" si="8"/>
        <v>317365.45</v>
      </c>
      <c r="H66" s="172">
        <f t="shared" si="9"/>
        <v>4.4039545699873811E-2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'[6]Sch C'!D60</f>
        <v>47000</v>
      </c>
      <c r="D67" s="501">
        <f>'[6]Sch C'!F60</f>
        <v>1794.2145422365797</v>
      </c>
      <c r="E67" s="171">
        <f t="shared" si="7"/>
        <v>48794.214542236579</v>
      </c>
      <c r="F67" s="171"/>
      <c r="G67" s="171">
        <f t="shared" si="8"/>
        <v>48794.214542236579</v>
      </c>
      <c r="H67" s="172">
        <f t="shared" si="9"/>
        <v>6.7709797686618849E-3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'[6]Sch C'!D61</f>
        <v>0</v>
      </c>
      <c r="D68" s="501">
        <f>'[6]Sch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'[6]Sch C'!D62</f>
        <v>0</v>
      </c>
      <c r="D69" s="501">
        <f>'[6]Sch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'[6]Sch C'!D63</f>
        <v>0</v>
      </c>
      <c r="D70" s="501">
        <f>'[6]Sch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'[6]Sch C'!D64</f>
        <v>0</v>
      </c>
      <c r="D71" s="501">
        <f>'[6]Sch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'[6]Sch C'!D65</f>
        <v>0</v>
      </c>
      <c r="D72" s="501">
        <f>'[6]Sch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'[6]Sch C'!D66</f>
        <v>13406.759999999998</v>
      </c>
      <c r="D73" s="501">
        <f>'[6]Sch C'!F66</f>
        <v>61.194496676256598</v>
      </c>
      <c r="E73" s="171">
        <f t="shared" si="7"/>
        <v>13467.954496676255</v>
      </c>
      <c r="F73" s="171"/>
      <c r="G73" s="171">
        <f t="shared" si="8"/>
        <v>13467.954496676255</v>
      </c>
      <c r="H73" s="172">
        <f t="shared" si="9"/>
        <v>1.8688946687177035E-3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'[6]Sch C'!D67</f>
        <v>0</v>
      </c>
      <c r="D74" s="501">
        <f>'[6]Sch C'!F67</f>
        <v>540</v>
      </c>
      <c r="E74" s="171">
        <f t="shared" si="7"/>
        <v>540</v>
      </c>
      <c r="F74" s="171"/>
      <c r="G74" s="171">
        <f t="shared" si="8"/>
        <v>540</v>
      </c>
      <c r="H74" s="172">
        <f t="shared" si="9"/>
        <v>7.4933659848391986E-5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'[6]Sch C'!D68</f>
        <v>0</v>
      </c>
      <c r="D75" s="501">
        <f>'[6]Sch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'[6]Sch C'!D69</f>
        <v>0</v>
      </c>
      <c r="D76" s="501">
        <f>'[6]Sch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'[6]Sch C'!D70</f>
        <v>0</v>
      </c>
      <c r="D77" s="501">
        <f>'[6]Sch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'[6]Sch C'!D71</f>
        <v>7910.72</v>
      </c>
      <c r="D78" s="501">
        <f>'[6]Sch C'!F71</f>
        <v>59.217293407499781</v>
      </c>
      <c r="E78" s="171">
        <f t="shared" si="7"/>
        <v>7969.9372934075</v>
      </c>
      <c r="F78" s="660">
        <f>-700-405</f>
        <v>-1105</v>
      </c>
      <c r="G78" s="171">
        <f t="shared" si="8"/>
        <v>6864.9372934075</v>
      </c>
      <c r="H78" s="172">
        <f t="shared" si="9"/>
        <v>9.526201407865525E-4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694169.66</v>
      </c>
      <c r="D79" s="501">
        <f>SUM(D64:D78)</f>
        <v>-304174.01607891556</v>
      </c>
      <c r="E79" s="171">
        <f t="shared" ref="E79:F79" si="10">SUM(E64:E78)</f>
        <v>389995.64392108453</v>
      </c>
      <c r="F79" s="171">
        <f t="shared" si="10"/>
        <v>-1105</v>
      </c>
      <c r="G79" s="171">
        <f>SUM(G64:G78)</f>
        <v>388890.64392108453</v>
      </c>
      <c r="H79" s="172">
        <f t="shared" si="9"/>
        <v>5.3964813388527183E-2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'[6]Sch C'!D75</f>
        <v>50377.760000000002</v>
      </c>
      <c r="D82" s="501">
        <f>'[6]Sch C'!F75</f>
        <v>1813.8766746889571</v>
      </c>
      <c r="E82" s="171">
        <f t="shared" ref="E82:E92" si="11">C82+D82</f>
        <v>52191.636674688962</v>
      </c>
      <c r="F82" s="171"/>
      <c r="G82" s="171">
        <f t="shared" ref="G82:G92" si="12">E82+F82</f>
        <v>52191.636674688962</v>
      </c>
      <c r="H82" s="172">
        <f t="shared" ref="H82:H93" si="13">IF($G$208=0,0,G82/$G$208)</f>
        <v>7.2424265731703763E-3</v>
      </c>
      <c r="I82" s="473"/>
      <c r="J82" s="183">
        <v>2194</v>
      </c>
      <c r="K82" s="183">
        <v>2334</v>
      </c>
    </row>
    <row r="83" spans="1:11" s="167" customFormat="1">
      <c r="A83" s="169" t="s">
        <v>86</v>
      </c>
      <c r="B83" s="199" t="s">
        <v>45</v>
      </c>
      <c r="C83" s="501">
        <f>'[6]Sch C'!D76</f>
        <v>0</v>
      </c>
      <c r="D83" s="501">
        <f>'[6]Sch C'!F76</f>
        <v>8961.0268489341288</v>
      </c>
      <c r="E83" s="171">
        <f t="shared" si="11"/>
        <v>8961.0268489341288</v>
      </c>
      <c r="F83" s="171"/>
      <c r="G83" s="171">
        <f t="shared" si="12"/>
        <v>8961.0268489341288</v>
      </c>
      <c r="H83" s="172">
        <f t="shared" si="13"/>
        <v>1.2434861810932184E-3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'[6]Sch C'!D77</f>
        <v>17252</v>
      </c>
      <c r="D84" s="501">
        <f>'[6]Sch C'!F77</f>
        <v>0</v>
      </c>
      <c r="E84" s="171">
        <f t="shared" si="11"/>
        <v>17252</v>
      </c>
      <c r="F84" s="171"/>
      <c r="G84" s="171">
        <f t="shared" si="12"/>
        <v>17252</v>
      </c>
      <c r="H84" s="172">
        <f t="shared" si="13"/>
        <v>2.3939916661193678E-3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'[6]Sch C'!D78</f>
        <v>0</v>
      </c>
      <c r="D85" s="501">
        <f>'[6]Sch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'[6]Sch C'!D79</f>
        <v>0</v>
      </c>
      <c r="D86" s="501">
        <f>'[6]Sch C'!F79</f>
        <v>0</v>
      </c>
      <c r="E86" s="171">
        <f t="shared" si="11"/>
        <v>0</v>
      </c>
      <c r="F86" s="660"/>
      <c r="G86" s="171">
        <f>E86+F86</f>
        <v>0</v>
      </c>
      <c r="H86" s="172">
        <f t="shared" si="13"/>
        <v>0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'[6]Sch C'!D80</f>
        <v>30960.77</v>
      </c>
      <c r="D87" s="501">
        <f>'[6]Sch C'!F80</f>
        <v>0</v>
      </c>
      <c r="E87" s="171">
        <f t="shared" si="11"/>
        <v>30960.77</v>
      </c>
      <c r="F87" s="660"/>
      <c r="G87" s="171">
        <f t="shared" si="12"/>
        <v>30960.77</v>
      </c>
      <c r="H87" s="172">
        <f t="shared" si="13"/>
        <v>4.2963033478227762E-3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'[6]Sch C'!D81</f>
        <v>25413.3</v>
      </c>
      <c r="D88" s="501">
        <f>'[6]Sch C'!F81</f>
        <v>7004.5361525928665</v>
      </c>
      <c r="E88" s="171">
        <f t="shared" si="11"/>
        <v>32417.836152592867</v>
      </c>
      <c r="F88" s="660">
        <v>700</v>
      </c>
      <c r="G88" s="171">
        <f t="shared" si="12"/>
        <v>33117.836152592863</v>
      </c>
      <c r="H88" s="172">
        <f t="shared" si="13"/>
        <v>4.5956308688392079E-3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'[6]Sch C'!D82</f>
        <v>10616.22</v>
      </c>
      <c r="D89" s="501">
        <f>'[6]Sch C'!F82</f>
        <v>0</v>
      </c>
      <c r="E89" s="171">
        <f t="shared" si="11"/>
        <v>10616.22</v>
      </c>
      <c r="F89" s="660"/>
      <c r="G89" s="171">
        <f t="shared" si="12"/>
        <v>10616.22</v>
      </c>
      <c r="H89" s="172">
        <f t="shared" si="13"/>
        <v>1.4731707747327703E-3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'[6]Sch C'!D83</f>
        <v>8218.7000000000007</v>
      </c>
      <c r="D90" s="501">
        <f>'[6]Sch C'!F83</f>
        <v>0</v>
      </c>
      <c r="E90" s="171">
        <f t="shared" si="11"/>
        <v>8218.7000000000007</v>
      </c>
      <c r="F90" s="660">
        <v>542</v>
      </c>
      <c r="G90" s="171">
        <f t="shared" si="12"/>
        <v>8760.7000000000007</v>
      </c>
      <c r="H90" s="172">
        <f t="shared" si="13"/>
        <v>1.2156876182107552E-3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'[6]Sch C'!D84</f>
        <v>118791.26</v>
      </c>
      <c r="D91" s="501">
        <f>'[6]Sch C'!F84</f>
        <v>2268.3430642060198</v>
      </c>
      <c r="E91" s="171">
        <f t="shared" si="11"/>
        <v>121059.60306420602</v>
      </c>
      <c r="F91" s="171"/>
      <c r="G91" s="171">
        <f t="shared" si="12"/>
        <v>121059.60306420602</v>
      </c>
      <c r="H91" s="172">
        <f t="shared" si="13"/>
        <v>1.6798961328508458E-2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'[6]Sch C'!D85</f>
        <v>0</v>
      </c>
      <c r="D92" s="501">
        <f>'[6]Sch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261630.01</v>
      </c>
      <c r="D93" s="501">
        <f>SUM(D82:D92)</f>
        <v>20047.782740421972</v>
      </c>
      <c r="E93" s="171">
        <f t="shared" ref="E93:F93" si="14">SUM(E82:E92)</f>
        <v>281677.79274042201</v>
      </c>
      <c r="F93" s="171">
        <f t="shared" si="14"/>
        <v>1242</v>
      </c>
      <c r="G93" s="171">
        <f>SUM(G82:G92)</f>
        <v>282919.79274042195</v>
      </c>
      <c r="H93" s="172">
        <f t="shared" si="13"/>
        <v>3.9259658358496922E-2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'[6]Sch C'!D89</f>
        <v>287656.41000000003</v>
      </c>
      <c r="D96" s="501">
        <f>'[6]Sch C'!F89</f>
        <v>870.3954184689095</v>
      </c>
      <c r="E96" s="171">
        <f t="shared" ref="E96:E101" si="15">C96+D96</f>
        <v>288526.80541846895</v>
      </c>
      <c r="F96" s="171"/>
      <c r="G96" s="171">
        <f t="shared" ref="G96:G101" si="16">E96+F96</f>
        <v>288526.80541846895</v>
      </c>
      <c r="H96" s="172">
        <f t="shared" ref="H96:H102" si="17">IF($G$208=0,0,G96/$G$208)</f>
        <v>4.0037721285871734E-2</v>
      </c>
      <c r="I96" s="473"/>
      <c r="J96" s="183">
        <v>20097</v>
      </c>
      <c r="K96" s="183">
        <v>21341</v>
      </c>
    </row>
    <row r="97" spans="1:11" s="167" customFormat="1">
      <c r="A97" s="169" t="s">
        <v>86</v>
      </c>
      <c r="B97" s="170" t="s">
        <v>45</v>
      </c>
      <c r="C97" s="501">
        <f>'[6]Sch C'!D90</f>
        <v>0</v>
      </c>
      <c r="D97" s="501">
        <f>'[6]Sch C'!F90</f>
        <v>51167.356652578506</v>
      </c>
      <c r="E97" s="171">
        <f t="shared" si="15"/>
        <v>51167.356652578506</v>
      </c>
      <c r="F97" s="660"/>
      <c r="G97" s="171">
        <f t="shared" si="16"/>
        <v>51167.356652578506</v>
      </c>
      <c r="H97" s="172">
        <f t="shared" si="17"/>
        <v>7.1002912939734713E-3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'[6]Sch C'!D91</f>
        <v>12800</v>
      </c>
      <c r="D98" s="501">
        <f>'[6]Sch C'!F91</f>
        <v>0</v>
      </c>
      <c r="E98" s="171">
        <f t="shared" si="15"/>
        <v>12800</v>
      </c>
      <c r="F98" s="660">
        <v>2380</v>
      </c>
      <c r="G98" s="171">
        <f t="shared" si="16"/>
        <v>15180</v>
      </c>
      <c r="H98" s="172">
        <f t="shared" si="17"/>
        <v>2.1064684379603527E-3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'[6]Sch C'!D92</f>
        <v>195258.87</v>
      </c>
      <c r="D99" s="501">
        <f>'[6]Sch C'!F92</f>
        <v>161</v>
      </c>
      <c r="E99" s="171">
        <f t="shared" si="15"/>
        <v>195419.87</v>
      </c>
      <c r="F99" s="660"/>
      <c r="G99" s="171">
        <f t="shared" si="16"/>
        <v>195419.87</v>
      </c>
      <c r="H99" s="172">
        <f t="shared" si="17"/>
        <v>2.7117640863327745E-2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'[6]Sch C'!D93</f>
        <v>18501.84</v>
      </c>
      <c r="D100" s="501">
        <f>'[6]Sch C'!F93</f>
        <v>0</v>
      </c>
      <c r="E100" s="171">
        <f t="shared" si="15"/>
        <v>18501.84</v>
      </c>
      <c r="F100" s="660"/>
      <c r="G100" s="171">
        <f t="shared" si="16"/>
        <v>18501.84</v>
      </c>
      <c r="H100" s="172">
        <f t="shared" si="17"/>
        <v>2.5674270094988385E-3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'[6]Sch C'!D94</f>
        <v>0</v>
      </c>
      <c r="D101" s="501">
        <f>'[6]Sch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514217.12000000005</v>
      </c>
      <c r="D102" s="501">
        <f>SUM(D96:D101)</f>
        <v>52198.752071047413</v>
      </c>
      <c r="E102" s="171">
        <f t="shared" ref="E102:F102" si="18">SUM(E96:E101)</f>
        <v>566415.87207104743</v>
      </c>
      <c r="F102" s="171">
        <f t="shared" si="18"/>
        <v>2380</v>
      </c>
      <c r="G102" s="171">
        <f>SUM(G96:G101)</f>
        <v>568795.87207104743</v>
      </c>
      <c r="H102" s="172">
        <f t="shared" si="17"/>
        <v>7.892954889063214E-2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'[6]Sch C'!D98</f>
        <v>57942.110000000008</v>
      </c>
      <c r="D105" s="501">
        <f>'[6]Sch C'!F98</f>
        <v>175.32217370167967</v>
      </c>
      <c r="E105" s="171">
        <f t="shared" ref="E105:E110" si="19">C105+D105</f>
        <v>58117.432173701687</v>
      </c>
      <c r="F105" s="171"/>
      <c r="G105" s="171">
        <f t="shared" ref="G105:G110" si="20">E105+F105</f>
        <v>58117.432173701687</v>
      </c>
      <c r="H105" s="172">
        <f t="shared" ref="H105:H111" si="21">IF($G$208=0,0,G105/$G$208)</f>
        <v>8.0647257291965833E-3</v>
      </c>
      <c r="I105" s="473"/>
      <c r="J105" s="183">
        <v>4796</v>
      </c>
      <c r="K105" s="183">
        <v>5074</v>
      </c>
    </row>
    <row r="106" spans="1:11" s="167" customFormat="1">
      <c r="A106" s="169" t="s">
        <v>86</v>
      </c>
      <c r="B106" s="170" t="s">
        <v>45</v>
      </c>
      <c r="C106" s="501">
        <f>'[6]Sch C'!D99</f>
        <v>0</v>
      </c>
      <c r="D106" s="501">
        <f>'[6]Sch C'!F99</f>
        <v>10306.548036155134</v>
      </c>
      <c r="E106" s="171">
        <f t="shared" si="19"/>
        <v>10306.548036155134</v>
      </c>
      <c r="F106" s="171"/>
      <c r="G106" s="171">
        <f t="shared" si="20"/>
        <v>10306.548036155134</v>
      </c>
      <c r="H106" s="172">
        <f t="shared" si="21"/>
        <v>1.4301988236154839E-3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'[6]Sch C'!D100</f>
        <v>9299.36</v>
      </c>
      <c r="D107" s="501">
        <f>'[6]Sch C'!F100</f>
        <v>0</v>
      </c>
      <c r="E107" s="171">
        <f t="shared" si="19"/>
        <v>9299.36</v>
      </c>
      <c r="F107" s="171"/>
      <c r="G107" s="171">
        <f t="shared" si="20"/>
        <v>9299.36</v>
      </c>
      <c r="H107" s="172">
        <f t="shared" si="21"/>
        <v>1.2904353315698937E-3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'[6]Sch C'!D101</f>
        <v>254.48</v>
      </c>
      <c r="D108" s="501">
        <f>'[6]Sch C'!F101</f>
        <v>0</v>
      </c>
      <c r="E108" s="171">
        <f t="shared" si="19"/>
        <v>254.48</v>
      </c>
      <c r="F108" s="171"/>
      <c r="G108" s="171">
        <f t="shared" si="20"/>
        <v>254.48</v>
      </c>
      <c r="H108" s="172">
        <f t="shared" si="21"/>
        <v>3.5313181033738502E-5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'[6]Sch C'!D102</f>
        <v>2192.06</v>
      </c>
      <c r="D109" s="501">
        <f>'[6]Sch C'!F102</f>
        <v>0</v>
      </c>
      <c r="E109" s="171">
        <f t="shared" si="19"/>
        <v>2192.06</v>
      </c>
      <c r="F109" s="171"/>
      <c r="G109" s="171">
        <f t="shared" si="20"/>
        <v>2192.06</v>
      </c>
      <c r="H109" s="172">
        <f t="shared" si="21"/>
        <v>3.0418347853197433E-4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'[6]Sch C'!D103</f>
        <v>0</v>
      </c>
      <c r="D110" s="501">
        <f>'[6]Sch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69688.009999999995</v>
      </c>
      <c r="D111" s="501">
        <f>SUM(D105:D110)</f>
        <v>10481.870209856814</v>
      </c>
      <c r="E111" s="171">
        <f t="shared" ref="E111:F111" si="22">SUM(E105:E110)</f>
        <v>80169.880209856812</v>
      </c>
      <c r="F111" s="171">
        <f t="shared" si="22"/>
        <v>0</v>
      </c>
      <c r="G111" s="171">
        <f>SUM(G105:G110)</f>
        <v>80169.880209856812</v>
      </c>
      <c r="H111" s="172">
        <f t="shared" si="21"/>
        <v>1.1124856543947672E-2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'[6]Sch C'!D115</f>
        <v>124375.11</v>
      </c>
      <c r="D114" s="501">
        <f>'[6]Sch C'!F115</f>
        <v>376.33621971283958</v>
      </c>
      <c r="E114" s="171">
        <f t="shared" ref="E114:E118" si="23">C114+D114</f>
        <v>124751.44621971285</v>
      </c>
      <c r="F114" s="171"/>
      <c r="G114" s="171">
        <f>E114+F114</f>
        <v>124751.44621971285</v>
      </c>
      <c r="H114" s="172">
        <f t="shared" ref="H114:H119" si="24">IF($G$208=0,0,G114/$G$208)</f>
        <v>1.7311263771523942E-2</v>
      </c>
      <c r="I114" s="473"/>
      <c r="J114" s="183">
        <v>9744</v>
      </c>
      <c r="K114" s="183">
        <v>10399</v>
      </c>
    </row>
    <row r="115" spans="1:11" s="167" customFormat="1">
      <c r="A115" s="169" t="s">
        <v>86</v>
      </c>
      <c r="B115" s="170" t="s">
        <v>151</v>
      </c>
      <c r="C115" s="501">
        <f>'[6]Sch C'!D116</f>
        <v>0</v>
      </c>
      <c r="D115" s="501">
        <f>'[6]Sch C'!F116</f>
        <v>22123.427084672592</v>
      </c>
      <c r="E115" s="171">
        <f t="shared" si="23"/>
        <v>22123.427084672592</v>
      </c>
      <c r="F115" s="171"/>
      <c r="G115" s="171">
        <f>E115+F115</f>
        <v>22123.427084672592</v>
      </c>
      <c r="H115" s="172">
        <f t="shared" si="24"/>
        <v>3.0699802960065898E-3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'[6]Sch C'!D117</f>
        <v>29128.29</v>
      </c>
      <c r="D116" s="501">
        <f>'[6]Sch C'!F117</f>
        <v>114.97346344373202</v>
      </c>
      <c r="E116" s="171">
        <f t="shared" si="23"/>
        <v>29243.263463443735</v>
      </c>
      <c r="F116" s="171"/>
      <c r="G116" s="171">
        <f>E116+F116</f>
        <v>29243.263463443735</v>
      </c>
      <c r="H116" s="172">
        <f t="shared" si="24"/>
        <v>4.0579717726418564E-3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'[6]Sch C'!D118</f>
        <v>456.74</v>
      </c>
      <c r="D117" s="501">
        <f>'[6]Sch C'!F118</f>
        <v>0</v>
      </c>
      <c r="E117" s="171">
        <f t="shared" si="23"/>
        <v>456.74</v>
      </c>
      <c r="F117" s="171"/>
      <c r="G117" s="171">
        <f>E117+F117</f>
        <v>456.74</v>
      </c>
      <c r="H117" s="172">
        <f t="shared" si="24"/>
        <v>6.337999962806399E-5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'[6]Sch C'!D119</f>
        <v>0</v>
      </c>
      <c r="D118" s="501">
        <f>'[6]Sch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153960.13999999998</v>
      </c>
      <c r="D119" s="501">
        <f>SUM(D114:D118)</f>
        <v>22614.736767829167</v>
      </c>
      <c r="E119" s="171">
        <f t="shared" ref="E119:F119" si="25">SUM(E114:E118)</f>
        <v>176574.87676782915</v>
      </c>
      <c r="F119" s="171">
        <f t="shared" si="25"/>
        <v>0</v>
      </c>
      <c r="G119" s="171">
        <f>SUM(G114:G118)</f>
        <v>176574.87676782915</v>
      </c>
      <c r="H119" s="172">
        <f t="shared" si="24"/>
        <v>2.450259583980045E-2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'[6]Sch C'!D124</f>
        <v>0</v>
      </c>
      <c r="D123" s="501">
        <f>'[6]Sch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'[6]Sch C'!D125</f>
        <v>262665.23</v>
      </c>
      <c r="D124" s="501">
        <f>'[6]Sch C'!F125</f>
        <v>794.7767017709856</v>
      </c>
      <c r="E124" s="171">
        <f t="shared" si="26"/>
        <v>263460.006701771</v>
      </c>
      <c r="F124" s="171"/>
      <c r="G124" s="171">
        <f>E124+F124</f>
        <v>263460.006701771</v>
      </c>
      <c r="H124" s="172">
        <f>IF($G$208=0,0,G124/$G$208)</f>
        <v>3.6559300973788116E-2</v>
      </c>
      <c r="I124" s="473"/>
      <c r="J124" s="183">
        <v>4783</v>
      </c>
      <c r="K124" s="183">
        <v>4917</v>
      </c>
    </row>
    <row r="125" spans="1:11" s="167" customFormat="1">
      <c r="A125" s="163" t="s">
        <v>198</v>
      </c>
      <c r="B125" s="163" t="s">
        <v>195</v>
      </c>
      <c r="C125" s="501">
        <f>'[6]Sch C'!D126</f>
        <v>0</v>
      </c>
      <c r="D125" s="501">
        <f>'[6]Sch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'[6]Sch C'!D127</f>
        <v>0</v>
      </c>
      <c r="D126" s="501">
        <f>'[6]Sch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'[6]Sch C'!D128</f>
        <v>52102.25</v>
      </c>
      <c r="D127" s="501">
        <f>'[6]Sch C'!F128</f>
        <v>157.65183084889972</v>
      </c>
      <c r="E127" s="171">
        <f t="shared" si="26"/>
        <v>52259.901830848903</v>
      </c>
      <c r="F127" s="171"/>
      <c r="G127" s="171">
        <f>E127+F127</f>
        <v>52259.901830848903</v>
      </c>
      <c r="H127" s="172">
        <f>IF($G$208=0,0,G127/$G$208)</f>
        <v>7.2518994583392398E-3</v>
      </c>
      <c r="I127" s="473"/>
      <c r="J127" s="183">
        <v>3579</v>
      </c>
      <c r="K127" s="183">
        <v>3727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'[6]Sch C'!D130</f>
        <v>0</v>
      </c>
      <c r="D129" s="501">
        <f>'[6]Sch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'[6]Sch C'!D131</f>
        <v>0</v>
      </c>
      <c r="D130" s="501">
        <f>'[6]Sch C'!F131</f>
        <v>46722.009440504269</v>
      </c>
      <c r="E130" s="171">
        <f t="shared" si="27"/>
        <v>46722.009440504269</v>
      </c>
      <c r="F130" s="171"/>
      <c r="G130" s="171">
        <f>E130+F130</f>
        <v>46722.009440504269</v>
      </c>
      <c r="H130" s="172">
        <f>IF($G$208=0,0,G130/$G$208)</f>
        <v>6.483428079348345E-3</v>
      </c>
      <c r="I130" s="473"/>
      <c r="J130" s="204"/>
      <c r="K130" s="204"/>
    </row>
    <row r="131" spans="1:11" s="167" customFormat="1">
      <c r="B131" s="163" t="s">
        <v>195</v>
      </c>
      <c r="C131" s="501">
        <f>'[6]Sch C'!D132</f>
        <v>0</v>
      </c>
      <c r="D131" s="501">
        <f>'[6]Sch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'[6]Sch C'!D133</f>
        <v>0</v>
      </c>
      <c r="D132" s="501">
        <f>'[6]Sch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'[6]Sch C'!D134</f>
        <v>0</v>
      </c>
      <c r="D133" s="501">
        <f>'[6]Sch C'!F134</f>
        <v>9267.7733416467545</v>
      </c>
      <c r="E133" s="171">
        <f t="shared" si="27"/>
        <v>9267.7733416467545</v>
      </c>
      <c r="F133" s="171"/>
      <c r="G133" s="171">
        <f>E133+F133</f>
        <v>9267.7733416467545</v>
      </c>
      <c r="H133" s="172">
        <f>IF($G$208=0,0,G133/$G$208)</f>
        <v>1.2860521761758391E-3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'[6]Sch C'!D136</f>
        <v>830108.9</v>
      </c>
      <c r="D135" s="501">
        <f>'[6]Sch C'!F136</f>
        <v>2511.7569373485062</v>
      </c>
      <c r="E135" s="171">
        <f t="shared" ref="E135:E138" si="28">C135+D135</f>
        <v>832620.65693734854</v>
      </c>
      <c r="F135" s="171"/>
      <c r="G135" s="171">
        <f>E135+F135</f>
        <v>832620.65693734854</v>
      </c>
      <c r="H135" s="172">
        <f>IF($G$208=0,0,G135/$G$208)</f>
        <v>0.11553946868460732</v>
      </c>
      <c r="I135" s="473"/>
      <c r="J135" s="183">
        <v>28610</v>
      </c>
      <c r="K135" s="183">
        <v>30171</v>
      </c>
    </row>
    <row r="136" spans="1:11" s="167" customFormat="1">
      <c r="A136" s="169"/>
      <c r="B136" s="163" t="s">
        <v>195</v>
      </c>
      <c r="C136" s="501">
        <f>'[6]Sch C'!D137</f>
        <v>416531.91000000003</v>
      </c>
      <c r="D136" s="501">
        <f>'[6]Sch C'!F137</f>
        <v>1260.3489910414448</v>
      </c>
      <c r="E136" s="171">
        <f t="shared" si="28"/>
        <v>417792.25899104145</v>
      </c>
      <c r="F136" s="171"/>
      <c r="G136" s="171">
        <f>E136+F136</f>
        <v>417792.25899104145</v>
      </c>
      <c r="H136" s="172">
        <f>IF($G$208=0,0,G136/$G$208)</f>
        <v>5.797537596764072E-2</v>
      </c>
      <c r="I136" s="473"/>
      <c r="J136" s="183">
        <v>14876</v>
      </c>
      <c r="K136" s="183">
        <v>15559</v>
      </c>
    </row>
    <row r="137" spans="1:11" s="167" customFormat="1">
      <c r="A137" s="169"/>
      <c r="B137" s="163" t="s">
        <v>196</v>
      </c>
      <c r="C137" s="501">
        <f>'[6]Sch C'!D138</f>
        <v>746629.37</v>
      </c>
      <c r="D137" s="501">
        <f>'[6]Sch C'!F138</f>
        <v>2259.1632251209985</v>
      </c>
      <c r="E137" s="171">
        <f t="shared" si="28"/>
        <v>748888.53322512098</v>
      </c>
      <c r="F137" s="171"/>
      <c r="G137" s="171">
        <f>E137+F137</f>
        <v>748888.53322512098</v>
      </c>
      <c r="H137" s="172">
        <f>IF($G$208=0,0,G137/$G$208)</f>
        <v>0.10392029372787485</v>
      </c>
      <c r="I137" s="473"/>
      <c r="J137" s="183">
        <v>52839</v>
      </c>
      <c r="K137" s="183">
        <v>55237</v>
      </c>
    </row>
    <row r="138" spans="1:11" s="167" customFormat="1">
      <c r="A138" s="169"/>
      <c r="B138" s="163" t="s">
        <v>197</v>
      </c>
      <c r="C138" s="501">
        <f>'[6]Sch C'!D139</f>
        <v>0</v>
      </c>
      <c r="D138" s="501">
        <f>'[6]Sch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'[6]Sch C'!D141</f>
        <v>0</v>
      </c>
      <c r="D140" s="501">
        <f>'[6]Sch C'!F141</f>
        <v>147656.98475754331</v>
      </c>
      <c r="E140" s="171">
        <f t="shared" ref="E140:E143" si="29">C140+D140</f>
        <v>147656.98475754331</v>
      </c>
      <c r="F140" s="171"/>
      <c r="G140" s="171">
        <f>E140+F140</f>
        <v>147656.98475754331</v>
      </c>
      <c r="H140" s="172">
        <f>IF($G$208=0,0,G140/$G$208)</f>
        <v>2.0489774574186947E-2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'[6]Sch C'!D142</f>
        <v>0</v>
      </c>
      <c r="D141" s="501">
        <f>'[6]Sch C'!F142</f>
        <v>74091.298004274373</v>
      </c>
      <c r="E141" s="171">
        <f t="shared" si="29"/>
        <v>74091.298004274373</v>
      </c>
      <c r="F141" s="171"/>
      <c r="G141" s="171">
        <f>E141+F141</f>
        <v>74091.298004274373</v>
      </c>
      <c r="H141" s="172">
        <f>IF($G$208=0,0,G141/$G$208)</f>
        <v>1.028135578218174E-2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'[6]Sch C'!D143</f>
        <v>0</v>
      </c>
      <c r="D142" s="501">
        <f>'[6]Sch C'!F143</f>
        <v>132807.92617164346</v>
      </c>
      <c r="E142" s="171">
        <f t="shared" si="29"/>
        <v>132807.92617164346</v>
      </c>
      <c r="F142" s="171"/>
      <c r="G142" s="171">
        <f>E142+F142</f>
        <v>132807.92617164346</v>
      </c>
      <c r="H142" s="172">
        <f>IF($G$208=0,0,G142/$G$208)</f>
        <v>1.842922956465979E-2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'[6]Sch C'!D144</f>
        <v>0</v>
      </c>
      <c r="D143" s="501">
        <f>'[6]Sch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'[6]Sch C'!D146</f>
        <v>51748.36</v>
      </c>
      <c r="D145" s="501">
        <f>'[6]Sch C'!F146</f>
        <v>0</v>
      </c>
      <c r="E145" s="171">
        <f t="shared" ref="E145:E153" si="30">C145+D145</f>
        <v>51748.36</v>
      </c>
      <c r="F145" s="660">
        <v>-1261</v>
      </c>
      <c r="G145" s="171">
        <f t="shared" ref="G145:G153" si="31">E145+F145</f>
        <v>50487.360000000001</v>
      </c>
      <c r="H145" s="172">
        <f t="shared" ref="H145:H153" si="32">IF($G$208=0,0,G145/$G$208)</f>
        <v>7.0059308534876144E-3</v>
      </c>
      <c r="I145" s="473"/>
      <c r="J145" s="183" t="s">
        <v>599</v>
      </c>
      <c r="K145" s="183">
        <v>0</v>
      </c>
    </row>
    <row r="146" spans="1:11" s="167" customFormat="1">
      <c r="A146" s="169"/>
      <c r="B146" s="163" t="s">
        <v>194</v>
      </c>
      <c r="C146" s="501">
        <f>'[6]Sch C'!D147</f>
        <v>25107.63</v>
      </c>
      <c r="D146" s="501">
        <f>'[6]Sch C'!F147</f>
        <v>0</v>
      </c>
      <c r="E146" s="171">
        <f t="shared" si="30"/>
        <v>25107.63</v>
      </c>
      <c r="F146" s="660"/>
      <c r="G146" s="171">
        <f t="shared" si="31"/>
        <v>25107.63</v>
      </c>
      <c r="H146" s="172">
        <f t="shared" si="32"/>
        <v>3.4840863074431152E-3</v>
      </c>
      <c r="I146" s="473"/>
      <c r="J146" s="183" t="s">
        <v>599</v>
      </c>
      <c r="K146" s="183">
        <v>0</v>
      </c>
    </row>
    <row r="147" spans="1:11" s="167" customFormat="1">
      <c r="A147" s="169"/>
      <c r="B147" s="163" t="s">
        <v>195</v>
      </c>
      <c r="C147" s="501">
        <f>'[6]Sch C'!D148</f>
        <v>0</v>
      </c>
      <c r="D147" s="501">
        <f>'[6]Sch C'!F148</f>
        <v>0</v>
      </c>
      <c r="E147" s="171">
        <f t="shared" si="30"/>
        <v>0</v>
      </c>
      <c r="F147" s="660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'[6]Sch C'!D149</f>
        <v>80</v>
      </c>
      <c r="D148" s="501">
        <f>'[6]Sch C'!F149</f>
        <v>0</v>
      </c>
      <c r="E148" s="171">
        <f t="shared" si="30"/>
        <v>80</v>
      </c>
      <c r="F148" s="660"/>
      <c r="G148" s="171">
        <f t="shared" si="31"/>
        <v>80</v>
      </c>
      <c r="H148" s="172">
        <f t="shared" si="32"/>
        <v>1.1101282940502517E-5</v>
      </c>
      <c r="I148" s="473"/>
      <c r="J148" s="183" t="s">
        <v>599</v>
      </c>
      <c r="K148" s="183">
        <v>0</v>
      </c>
    </row>
    <row r="149" spans="1:11" s="167" customFormat="1">
      <c r="A149" s="169"/>
      <c r="B149" s="163" t="s">
        <v>197</v>
      </c>
      <c r="C149" s="501">
        <f>'[6]Sch C'!D150</f>
        <v>162.93</v>
      </c>
      <c r="D149" s="501">
        <f>'[6]Sch C'!F150</f>
        <v>0</v>
      </c>
      <c r="E149" s="171">
        <f t="shared" si="30"/>
        <v>162.93</v>
      </c>
      <c r="F149" s="660"/>
      <c r="G149" s="171">
        <f t="shared" si="31"/>
        <v>162.93</v>
      </c>
      <c r="H149" s="172">
        <f t="shared" si="32"/>
        <v>2.260915036870094E-5</v>
      </c>
      <c r="I149" s="473"/>
      <c r="J149" s="183" t="s">
        <v>599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'[6]Sch C'!D151</f>
        <v>146806.94999999998</v>
      </c>
      <c r="D150" s="501">
        <f>'[6]Sch C'!F151</f>
        <v>0</v>
      </c>
      <c r="E150" s="171">
        <f t="shared" si="30"/>
        <v>146806.94999999998</v>
      </c>
      <c r="F150" s="660"/>
      <c r="G150" s="171">
        <f t="shared" si="31"/>
        <v>146806.94999999998</v>
      </c>
      <c r="H150" s="172">
        <f t="shared" si="32"/>
        <v>2.0371818619777573E-2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'[6]Sch C'!D152</f>
        <v>0</v>
      </c>
      <c r="D151" s="501">
        <f>'[6]Sch C'!F152</f>
        <v>0</v>
      </c>
      <c r="E151" s="171">
        <f t="shared" si="30"/>
        <v>0</v>
      </c>
      <c r="F151" s="660"/>
      <c r="G151" s="171">
        <f t="shared" si="31"/>
        <v>0</v>
      </c>
      <c r="H151" s="172">
        <f t="shared" si="32"/>
        <v>0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'[6]Sch C'!D153</f>
        <v>18129.34</v>
      </c>
      <c r="D152" s="501">
        <f>'[6]Sch C'!F153</f>
        <v>0</v>
      </c>
      <c r="E152" s="171">
        <f t="shared" si="30"/>
        <v>18129.34</v>
      </c>
      <c r="F152" s="660">
        <v>-1300</v>
      </c>
      <c r="G152" s="171">
        <f t="shared" si="31"/>
        <v>16829.34</v>
      </c>
      <c r="H152" s="172">
        <f t="shared" si="32"/>
        <v>2.335340813023958E-3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'[6]Sch C'!D154</f>
        <v>197002.64999999997</v>
      </c>
      <c r="D153" s="501">
        <f>'[6]Sch C'!F154</f>
        <v>13259.058758568086</v>
      </c>
      <c r="E153" s="171">
        <f t="shared" si="30"/>
        <v>210261.70875856804</v>
      </c>
      <c r="F153" s="171"/>
      <c r="G153" s="171">
        <f t="shared" si="31"/>
        <v>210261.70875856804</v>
      </c>
      <c r="H153" s="172">
        <f t="shared" si="32"/>
        <v>2.9177184006030001E-2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'[6]Sch C'!D156</f>
        <v>0</v>
      </c>
      <c r="D155" s="501">
        <f>'[6]Sch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'[6]Sch C'!D157</f>
        <v>0</v>
      </c>
      <c r="D156" s="501">
        <f>'[6]Sch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'[6]Sch C'!D158</f>
        <v>0</v>
      </c>
      <c r="D157" s="501">
        <f>'[6]Sch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'[6]Sch C'!D159</f>
        <v>0</v>
      </c>
      <c r="D158" s="501">
        <f>'[6]Sch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'[6]Sch C'!D160</f>
        <v>0</v>
      </c>
      <c r="D159" s="501">
        <f>'[6]Sch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'[6]Sch C'!D161</f>
        <v>5339.3099999999995</v>
      </c>
      <c r="D160" s="501">
        <f>'[6]Sch C'!F161</f>
        <v>-2851.44</v>
      </c>
      <c r="E160" s="171">
        <f t="shared" si="33"/>
        <v>2487.8699999999994</v>
      </c>
      <c r="F160" s="660">
        <f>-542-886</f>
        <v>-1428</v>
      </c>
      <c r="G160" s="171">
        <f t="shared" si="34"/>
        <v>1059.8699999999994</v>
      </c>
      <c r="H160" s="172">
        <f t="shared" si="35"/>
        <v>1.4707395937687995E-4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2752414.83</v>
      </c>
      <c r="D161" s="501">
        <f>SUM(D123:D160)</f>
        <v>427937.30816031108</v>
      </c>
      <c r="E161" s="171">
        <f t="shared" ref="E161:F161" si="36">SUM(E123:E160)</f>
        <v>3180352.1381603112</v>
      </c>
      <c r="F161" s="171">
        <f t="shared" si="36"/>
        <v>-3989</v>
      </c>
      <c r="G161" s="171">
        <f>SUM(G123:G160)</f>
        <v>3176363.1381603112</v>
      </c>
      <c r="H161" s="172">
        <f t="shared" si="35"/>
        <v>0.44077132398125124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'[6]Sch C'!D175</f>
        <v>0</v>
      </c>
      <c r="D164" s="501">
        <f>'[6]Sch C'!F175</f>
        <v>0</v>
      </c>
      <c r="E164" s="171">
        <f t="shared" ref="E164:E196" si="37">C164+D164</f>
        <v>0</v>
      </c>
      <c r="F164" s="655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'[6]Sch C'!D176</f>
        <v>0</v>
      </c>
      <c r="D165" s="501">
        <f>'[6]Sch C'!F176</f>
        <v>0</v>
      </c>
      <c r="E165" s="171">
        <f t="shared" si="37"/>
        <v>0</v>
      </c>
      <c r="F165" s="655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'[6]Sch C'!D177</f>
        <v>47132.169999999991</v>
      </c>
      <c r="D166" s="501">
        <f>'[6]Sch C'!F177</f>
        <v>-11242</v>
      </c>
      <c r="E166" s="171">
        <f t="shared" si="37"/>
        <v>35890.169999999991</v>
      </c>
      <c r="F166" s="655"/>
      <c r="G166" s="171">
        <f t="shared" si="38"/>
        <v>35890.169999999991</v>
      </c>
      <c r="H166" s="172">
        <f t="shared" si="39"/>
        <v>4.9803366494091889E-3</v>
      </c>
      <c r="I166" s="483"/>
      <c r="J166" s="183">
        <v>877</v>
      </c>
      <c r="K166" s="183">
        <v>953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'[6]Sch C'!D178</f>
        <v>5698.33</v>
      </c>
      <c r="D167" s="501">
        <f>'[6]Sch C'!F178</f>
        <v>-4690</v>
      </c>
      <c r="E167" s="171">
        <f t="shared" si="37"/>
        <v>1008.3299999999999</v>
      </c>
      <c r="F167" s="655"/>
      <c r="G167" s="171">
        <f t="shared" si="38"/>
        <v>1008.3299999999999</v>
      </c>
      <c r="H167" s="172">
        <f t="shared" si="39"/>
        <v>1.3992195784246129E-4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'[6]Sch C'!D179</f>
        <v>2756.5</v>
      </c>
      <c r="D168" s="501">
        <f>'[6]Sch C'!F179</f>
        <v>199.14891070679732</v>
      </c>
      <c r="E168" s="171">
        <f t="shared" si="37"/>
        <v>2955.6489107067973</v>
      </c>
      <c r="F168" s="655"/>
      <c r="G168" s="171">
        <f t="shared" si="38"/>
        <v>2955.6489107067973</v>
      </c>
      <c r="H168" s="172">
        <f t="shared" si="39"/>
        <v>4.1014368538180271E-4</v>
      </c>
      <c r="I168" s="483"/>
      <c r="J168" s="183">
        <v>68</v>
      </c>
      <c r="K168" s="183">
        <v>74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'[6]Sch C'!D180</f>
        <v>0</v>
      </c>
      <c r="D169" s="501">
        <f>'[6]Sch C'!F180</f>
        <v>83.073850510775685</v>
      </c>
      <c r="E169" s="171">
        <f t="shared" si="37"/>
        <v>83.073850510775685</v>
      </c>
      <c r="F169" s="655"/>
      <c r="G169" s="171">
        <f t="shared" si="38"/>
        <v>83.073850510775685</v>
      </c>
      <c r="H169" s="172">
        <f t="shared" si="39"/>
        <v>1.152782899346413E-5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'[6]Sch C'!D181</f>
        <v>0</v>
      </c>
      <c r="D170" s="501">
        <f>'[6]Sch C'!F181</f>
        <v>0</v>
      </c>
      <c r="E170" s="171">
        <f t="shared" si="37"/>
        <v>0</v>
      </c>
      <c r="F170" s="655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'[6]Sch C'!D182</f>
        <v>0</v>
      </c>
      <c r="D171" s="501">
        <f>'[6]Sch C'!F182</f>
        <v>0</v>
      </c>
      <c r="E171" s="171">
        <f t="shared" si="37"/>
        <v>0</v>
      </c>
      <c r="F171" s="655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'[6]Sch C'!D183</f>
        <v>23347.120000000003</v>
      </c>
      <c r="D172" s="501">
        <f>'[6]Sch C'!F183</f>
        <v>1686.7598462328615</v>
      </c>
      <c r="E172" s="171">
        <f t="shared" si="37"/>
        <v>25033.879846232863</v>
      </c>
      <c r="F172" s="655"/>
      <c r="G172" s="171">
        <f t="shared" si="38"/>
        <v>25033.879846232863</v>
      </c>
      <c r="H172" s="172">
        <f t="shared" si="39"/>
        <v>3.4738522908946833E-3</v>
      </c>
      <c r="I172" s="483"/>
      <c r="J172" s="183">
        <v>631</v>
      </c>
      <c r="K172" s="183">
        <v>686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'[6]Sch C'!D184</f>
        <v>0</v>
      </c>
      <c r="D173" s="501">
        <f>'[6]Sch C'!F184</f>
        <v>703.62240404031979</v>
      </c>
      <c r="E173" s="171">
        <f t="shared" si="37"/>
        <v>703.62240404031979</v>
      </c>
      <c r="F173" s="655"/>
      <c r="G173" s="171">
        <f t="shared" si="38"/>
        <v>703.62240404031979</v>
      </c>
      <c r="H173" s="172">
        <f t="shared" si="39"/>
        <v>9.7638892381602142E-5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'[6]Sch C'!D185</f>
        <v>0</v>
      </c>
      <c r="D174" s="501">
        <f>'[6]Sch C'!F185</f>
        <v>0</v>
      </c>
      <c r="E174" s="171">
        <f t="shared" si="37"/>
        <v>0</v>
      </c>
      <c r="F174" s="655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'[6]Sch C'!D186</f>
        <v>0</v>
      </c>
      <c r="D175" s="501">
        <f>'[6]Sch C'!F186</f>
        <v>0</v>
      </c>
      <c r="E175" s="171">
        <f t="shared" si="37"/>
        <v>0</v>
      </c>
      <c r="F175" s="655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'[6]Sch C'!D187</f>
        <v>0</v>
      </c>
      <c r="D176" s="501">
        <f>'[6]Sch C'!F187</f>
        <v>0</v>
      </c>
      <c r="E176" s="171">
        <f t="shared" si="37"/>
        <v>0</v>
      </c>
      <c r="F176" s="655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'[6]Sch C'!D188</f>
        <v>317451.62</v>
      </c>
      <c r="D177" s="501">
        <f>'[6]Sch C'!F188</f>
        <v>0</v>
      </c>
      <c r="E177" s="171">
        <f t="shared" si="37"/>
        <v>317451.62</v>
      </c>
      <c r="F177" s="655"/>
      <c r="G177" s="171">
        <f t="shared" si="38"/>
        <v>317451.62</v>
      </c>
      <c r="H177" s="172">
        <f t="shared" si="39"/>
        <v>4.4051503169261097E-2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'[6]Sch C'!D189</f>
        <v>23329.98</v>
      </c>
      <c r="D178" s="501">
        <f>'[6]Sch C'!F189</f>
        <v>0</v>
      </c>
      <c r="E178" s="171">
        <f t="shared" si="37"/>
        <v>23329.98</v>
      </c>
      <c r="F178" s="655"/>
      <c r="G178" s="171">
        <f t="shared" si="38"/>
        <v>23329.98</v>
      </c>
      <c r="H178" s="172">
        <f t="shared" si="39"/>
        <v>3.2374088622033111E-3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'[6]Sch C'!D190</f>
        <v>0</v>
      </c>
      <c r="D179" s="501">
        <f>'[6]Sch C'!F190</f>
        <v>0</v>
      </c>
      <c r="E179" s="171">
        <f t="shared" si="37"/>
        <v>0</v>
      </c>
      <c r="F179" s="655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'[6]Sch C'!D191</f>
        <v>166855.32</v>
      </c>
      <c r="D180" s="501">
        <f>'[6]Sch C'!F191</f>
        <v>0</v>
      </c>
      <c r="E180" s="171">
        <f t="shared" si="37"/>
        <v>166855.32</v>
      </c>
      <c r="F180" s="655"/>
      <c r="G180" s="171">
        <f t="shared" si="38"/>
        <v>166855.32</v>
      </c>
      <c r="H180" s="172">
        <f t="shared" si="39"/>
        <v>2.3153851468101106E-2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'[6]Sch C'!D192</f>
        <v>18650.490000000002</v>
      </c>
      <c r="D181" s="501">
        <f>'[6]Sch C'!F192</f>
        <v>0</v>
      </c>
      <c r="E181" s="171">
        <f t="shared" si="37"/>
        <v>18650.490000000002</v>
      </c>
      <c r="F181" s="655"/>
      <c r="G181" s="171">
        <f t="shared" si="38"/>
        <v>18650.490000000002</v>
      </c>
      <c r="H181" s="172">
        <f t="shared" si="39"/>
        <v>2.5880545808626598E-3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'[6]Sch C'!D193</f>
        <v>1585.25</v>
      </c>
      <c r="D182" s="501">
        <f>'[6]Sch C'!F193</f>
        <v>0</v>
      </c>
      <c r="E182" s="171">
        <f t="shared" si="37"/>
        <v>1585.25</v>
      </c>
      <c r="F182" s="655"/>
      <c r="G182" s="171">
        <f t="shared" si="38"/>
        <v>1585.25</v>
      </c>
      <c r="H182" s="172">
        <f t="shared" si="39"/>
        <v>2.1997885976789518E-4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'[6]Sch C'!D194</f>
        <v>0</v>
      </c>
      <c r="D183" s="501">
        <f>'[6]Sch C'!F194</f>
        <v>0</v>
      </c>
      <c r="E183" s="171">
        <f t="shared" si="37"/>
        <v>0</v>
      </c>
      <c r="F183" s="655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'[6]Sch C'!D195</f>
        <v>0</v>
      </c>
      <c r="D184" s="501">
        <f>'[6]Sch C'!F195</f>
        <v>0</v>
      </c>
      <c r="E184" s="171">
        <f t="shared" si="37"/>
        <v>0</v>
      </c>
      <c r="F184" s="655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'[6]Sch C'!D196</f>
        <v>0</v>
      </c>
      <c r="D185" s="501">
        <f>'[6]Sch C'!F196</f>
        <v>0</v>
      </c>
      <c r="E185" s="171">
        <f t="shared" si="37"/>
        <v>0</v>
      </c>
      <c r="F185" s="655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'[6]Sch C'!D197</f>
        <v>0</v>
      </c>
      <c r="D186" s="501">
        <f>'[6]Sch C'!F197</f>
        <v>0</v>
      </c>
      <c r="E186" s="171">
        <f t="shared" si="37"/>
        <v>0</v>
      </c>
      <c r="F186" s="655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'[6]Sch C'!D198</f>
        <v>0</v>
      </c>
      <c r="D187" s="501">
        <f>'[6]Sch C'!F198</f>
        <v>0</v>
      </c>
      <c r="E187" s="171">
        <f t="shared" si="37"/>
        <v>0</v>
      </c>
      <c r="F187" s="655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'[6]Sch C'!D199</f>
        <v>0</v>
      </c>
      <c r="D188" s="501">
        <f>'[6]Sch C'!F199</f>
        <v>0</v>
      </c>
      <c r="E188" s="171">
        <f t="shared" si="37"/>
        <v>0</v>
      </c>
      <c r="F188" s="655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'[6]Sch C'!D200</f>
        <v>0</v>
      </c>
      <c r="D189" s="501">
        <f>'[6]Sch C'!F200</f>
        <v>0</v>
      </c>
      <c r="E189" s="171">
        <f t="shared" si="37"/>
        <v>0</v>
      </c>
      <c r="F189" s="655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'[6]Sch C'!D201</f>
        <v>0</v>
      </c>
      <c r="D190" s="501">
        <f>'[6]Sch C'!F201</f>
        <v>0</v>
      </c>
      <c r="E190" s="171">
        <f t="shared" si="37"/>
        <v>0</v>
      </c>
      <c r="F190" s="655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'[6]Sch C'!D202</f>
        <v>0</v>
      </c>
      <c r="D191" s="501">
        <f>'[6]Sch C'!F202</f>
        <v>0</v>
      </c>
      <c r="E191" s="171">
        <f t="shared" si="37"/>
        <v>0</v>
      </c>
      <c r="F191" s="655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'[6]Sch C'!D203</f>
        <v>0</v>
      </c>
      <c r="D192" s="501">
        <f>'[6]Sch C'!F203</f>
        <v>0</v>
      </c>
      <c r="E192" s="171">
        <f t="shared" si="37"/>
        <v>0</v>
      </c>
      <c r="F192" s="655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'[6]Sch C'!D204</f>
        <v>0</v>
      </c>
      <c r="D193" s="501">
        <f>'[6]Sch C'!F204</f>
        <v>0</v>
      </c>
      <c r="E193" s="171">
        <f t="shared" si="37"/>
        <v>0</v>
      </c>
      <c r="F193" s="655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'[6]Sch C'!D205</f>
        <v>199517.69</v>
      </c>
      <c r="D194" s="501">
        <f>'[6]Sch C'!F205</f>
        <v>0</v>
      </c>
      <c r="E194" s="171">
        <f t="shared" si="37"/>
        <v>199517.69</v>
      </c>
      <c r="F194" s="655"/>
      <c r="G194" s="171">
        <f t="shared" si="38"/>
        <v>199517.69</v>
      </c>
      <c r="H194" s="172">
        <f t="shared" si="39"/>
        <v>2.768627910406837E-2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'[6]Sch C'!D206</f>
        <v>0</v>
      </c>
      <c r="D195" s="501">
        <f>'[6]Sch C'!F206</f>
        <v>0</v>
      </c>
      <c r="E195" s="171">
        <f t="shared" si="37"/>
        <v>0</v>
      </c>
      <c r="F195" s="655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'[6]Sch C'!D207</f>
        <v>0</v>
      </c>
      <c r="D196" s="501">
        <f>'[6]Sch C'!F207</f>
        <v>0</v>
      </c>
      <c r="E196" s="171">
        <f t="shared" si="37"/>
        <v>0</v>
      </c>
      <c r="F196" s="655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806324.47</v>
      </c>
      <c r="D197" s="501">
        <f>SUM(D164:D196)</f>
        <v>-13259.394988509246</v>
      </c>
      <c r="E197" s="171">
        <f t="shared" ref="E197:F197" si="40">SUM(E164:E196)</f>
        <v>793065.07501149061</v>
      </c>
      <c r="F197" s="171">
        <f t="shared" si="40"/>
        <v>0</v>
      </c>
      <c r="G197" s="171">
        <f>SUM(G164:G196)</f>
        <v>793065.07501149061</v>
      </c>
      <c r="H197" s="172">
        <f>IF($G$208=0,0,G197/$G$208)</f>
        <v>0.11005049734916762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'[6]Sch C'!D211</f>
        <v>207266.03</v>
      </c>
      <c r="D200" s="501">
        <f>'[6]Sch C'!F211</f>
        <v>627.14890628107173</v>
      </c>
      <c r="E200" s="171">
        <f t="shared" ref="E200:E205" si="41">C200+D200</f>
        <v>207893.17890628107</v>
      </c>
      <c r="F200" s="171"/>
      <c r="G200" s="171">
        <f t="shared" ref="G200:G205" si="42">E200+F200</f>
        <v>207893.17890628107</v>
      </c>
      <c r="H200" s="172">
        <f t="shared" ref="H200:H206" si="43">IF($G$208=0,0,G200/$G$208)</f>
        <v>2.8848512505489195E-2</v>
      </c>
      <c r="I200" s="473"/>
      <c r="J200" s="183">
        <v>12531</v>
      </c>
      <c r="K200" s="183">
        <v>13192</v>
      </c>
    </row>
    <row r="201" spans="1:14" s="167" customFormat="1">
      <c r="A201" s="169" t="s">
        <v>86</v>
      </c>
      <c r="B201" s="170" t="s">
        <v>45</v>
      </c>
      <c r="C201" s="501">
        <f>'[6]Sch C'!D212</f>
        <v>0</v>
      </c>
      <c r="D201" s="501">
        <f>'[6]Sch C'!F212</f>
        <v>36867.78569952269</v>
      </c>
      <c r="E201" s="171">
        <f t="shared" si="41"/>
        <v>36867.78569952269</v>
      </c>
      <c r="F201" s="171"/>
      <c r="G201" s="171">
        <f t="shared" si="42"/>
        <v>36867.78569952269</v>
      </c>
      <c r="H201" s="172">
        <f t="shared" si="43"/>
        <v>5.1159965055026738E-3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'[6]Sch C'!D213</f>
        <v>5087.16</v>
      </c>
      <c r="D202" s="501">
        <f>'[6]Sch C'!F213</f>
        <v>0</v>
      </c>
      <c r="E202" s="171">
        <f t="shared" si="41"/>
        <v>5087.16</v>
      </c>
      <c r="F202" s="655"/>
      <c r="G202" s="171">
        <f t="shared" si="42"/>
        <v>5087.16</v>
      </c>
      <c r="H202" s="172">
        <f t="shared" si="43"/>
        <v>7.0592503154508473E-4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'[6]Sch C'!D214</f>
        <v>0</v>
      </c>
      <c r="D203" s="501">
        <f>'[6]Sch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'[6]Sch C'!D215</f>
        <v>0</v>
      </c>
      <c r="D204" s="501">
        <f>'[6]Sch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'[6]Sch C'!D216</f>
        <v>8681.82</v>
      </c>
      <c r="D205" s="501">
        <f>'[6]Sch C'!F216</f>
        <v>0</v>
      </c>
      <c r="E205" s="171">
        <f t="shared" si="41"/>
        <v>8681.82</v>
      </c>
      <c r="F205" s="660">
        <f>-1508-124</f>
        <v>-1632</v>
      </c>
      <c r="G205" s="171">
        <f t="shared" si="42"/>
        <v>7049.82</v>
      </c>
      <c r="H205" s="172">
        <f t="shared" si="43"/>
        <v>9.7827558124516812E-4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221035.01</v>
      </c>
      <c r="D206" s="501">
        <f>SUM(D200:D205)</f>
        <v>37494.934605803763</v>
      </c>
      <c r="E206" s="171">
        <f t="shared" ref="E206:F206" si="44">SUM(E200:E205)</f>
        <v>258529.94460580379</v>
      </c>
      <c r="F206" s="171">
        <f t="shared" si="44"/>
        <v>-1632</v>
      </c>
      <c r="G206" s="171">
        <f>SUM(G200:G205)</f>
        <v>256897.94460580379</v>
      </c>
      <c r="H206" s="172">
        <f t="shared" si="43"/>
        <v>3.5648709623782124E-2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7877495.129999999</v>
      </c>
      <c r="D208" s="501">
        <f>SUM(D25:D206)/2</f>
        <v>-657088.83715824934</v>
      </c>
      <c r="E208" s="171">
        <f t="shared" ref="E208:F208" si="45">SUM(E25:E206)/2</f>
        <v>7220406.2928417493</v>
      </c>
      <c r="F208" s="171">
        <f t="shared" si="45"/>
        <v>-14032</v>
      </c>
      <c r="G208" s="171">
        <f>SUM(G25:G206)/2</f>
        <v>7206374.2928417493</v>
      </c>
      <c r="H208" s="172">
        <f>IF($G$208=0,0,G208/$G$208)</f>
        <v>1</v>
      </c>
      <c r="I208" s="473"/>
      <c r="J208" s="183">
        <f>SUM(J25:J200)</f>
        <v>178446</v>
      </c>
      <c r="K208" s="183">
        <f>SUM(K25:K200)</f>
        <v>187153</v>
      </c>
    </row>
    <row r="209" spans="1:11" s="167" customFormat="1" ht="15.5">
      <c r="A209" s="163"/>
      <c r="B209" s="170"/>
      <c r="C209" s="165"/>
      <c r="D209" s="165"/>
      <c r="E209" s="165"/>
      <c r="F209" s="656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 s="656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'[6]Sch C'!D221</f>
        <v>7877495.1300000018</v>
      </c>
      <c r="D211" s="196"/>
      <c r="E211" s="165"/>
      <c r="F211" s="657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657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658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-24761.079999999143</v>
      </c>
      <c r="D215" s="501">
        <f>D21-D208</f>
        <v>645403.36715824937</v>
      </c>
      <c r="E215" s="171">
        <f t="shared" ref="E215:F215" si="46">E21-E208</f>
        <v>620642.28715824988</v>
      </c>
      <c r="F215" s="171">
        <f t="shared" si="46"/>
        <v>1051369</v>
      </c>
      <c r="G215" s="171">
        <f>G21-G208</f>
        <v>1672011.2871582508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'[6]Sch D'!C9</f>
        <v>16718</v>
      </c>
      <c r="D219" s="530"/>
      <c r="E219" s="234">
        <f t="shared" ref="E219:G227" si="47">C219+D219</f>
        <v>16718</v>
      </c>
      <c r="F219" s="233"/>
      <c r="G219" s="234">
        <f t="shared" si="47"/>
        <v>16718</v>
      </c>
      <c r="H219" s="172">
        <f t="shared" ref="H219:H228" si="48">IF($G$228=0,0,G219/$G$228)</f>
        <v>0.62558000299356387</v>
      </c>
      <c r="I219" s="473"/>
      <c r="J219" s="168"/>
      <c r="K219" s="168"/>
    </row>
    <row r="220" spans="1:11">
      <c r="A220" s="163"/>
      <c r="B220" s="170" t="s">
        <v>217</v>
      </c>
      <c r="C220" s="530">
        <f>'[6]Sch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'[6]Sch D'!E9</f>
        <v>4174</v>
      </c>
      <c r="D221" s="530"/>
      <c r="E221" s="234">
        <f t="shared" si="49"/>
        <v>4174</v>
      </c>
      <c r="F221" s="233"/>
      <c r="G221" s="234">
        <f t="shared" si="47"/>
        <v>4174</v>
      </c>
      <c r="H221" s="172">
        <f t="shared" si="48"/>
        <v>0.15618919323454572</v>
      </c>
      <c r="I221" s="473"/>
      <c r="J221" s="168"/>
      <c r="K221" s="168"/>
    </row>
    <row r="222" spans="1:11">
      <c r="A222" s="163"/>
      <c r="B222" s="202" t="s">
        <v>334</v>
      </c>
      <c r="C222" s="530">
        <f>'[6]Sch D'!F9</f>
        <v>0</v>
      </c>
      <c r="D222" s="530"/>
      <c r="E222" s="234">
        <f>C222+D222</f>
        <v>0</v>
      </c>
      <c r="F222" s="233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'[6]Sch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'[6]Sch D'!H9</f>
        <v>5832</v>
      </c>
      <c r="D224" s="530"/>
      <c r="E224" s="234">
        <f t="shared" si="49"/>
        <v>5832</v>
      </c>
      <c r="F224" s="233"/>
      <c r="G224" s="234">
        <f t="shared" si="47"/>
        <v>5832</v>
      </c>
      <c r="H224" s="172">
        <f t="shared" si="48"/>
        <v>0.21823080377189044</v>
      </c>
      <c r="I224" s="473"/>
      <c r="J224" s="168"/>
      <c r="K224" s="168"/>
    </row>
    <row r="225" spans="1:11">
      <c r="A225" s="163"/>
      <c r="B225" s="170" t="s">
        <v>236</v>
      </c>
      <c r="C225" s="530">
        <f>'[6]Sch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'[6]Sch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'[6]Sch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26724</v>
      </c>
      <c r="D228" s="530">
        <f>SUM(D219:D227)</f>
        <v>0</v>
      </c>
      <c r="E228" s="236">
        <f>SUM(E219:E227)</f>
        <v>26724</v>
      </c>
      <c r="F228" s="236">
        <f>SUM(F219:F227)</f>
        <v>0</v>
      </c>
      <c r="G228" s="236">
        <f>SUM(G219:G227)</f>
        <v>26724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455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'[6]Sch D'!N22</f>
        <v>156</v>
      </c>
      <c r="D231" s="502"/>
      <c r="E231" s="234">
        <f>C231+D231</f>
        <v>156</v>
      </c>
      <c r="F231" s="456">
        <v>24</v>
      </c>
      <c r="G231" s="234">
        <f>E231+F231</f>
        <v>180</v>
      </c>
      <c r="H231" s="272" t="s">
        <v>615</v>
      </c>
      <c r="I231" s="475"/>
      <c r="J231" s="168"/>
      <c r="K231" s="168"/>
    </row>
    <row r="232" spans="1:11">
      <c r="A232" s="163"/>
      <c r="B232" s="202" t="s">
        <v>290</v>
      </c>
      <c r="C232" s="531">
        <f>'[6]Sch D'!N24</f>
        <v>156</v>
      </c>
      <c r="D232" s="502"/>
      <c r="E232" s="234">
        <f>C232+D232</f>
        <v>156</v>
      </c>
      <c r="F232" s="234"/>
      <c r="G232" s="234">
        <f>E232+F232</f>
        <v>156</v>
      </c>
      <c r="H232" s="167"/>
      <c r="I232" s="475" t="s">
        <v>616</v>
      </c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540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540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'[6]Sch D'!N28</f>
        <v>56940</v>
      </c>
      <c r="D235" s="438"/>
      <c r="E235" s="233">
        <f>E231*E233</f>
        <v>56940</v>
      </c>
      <c r="F235" s="238"/>
      <c r="G235" s="233">
        <f>G231*G233</f>
        <v>65700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'[6]Sch D'!N30</f>
        <v>0.46933614330874607</v>
      </c>
      <c r="D236" s="238"/>
      <c r="E236" s="242">
        <f>E228/E235</f>
        <v>0.46933614330874607</v>
      </c>
      <c r="F236" s="243"/>
      <c r="G236" s="242">
        <f>G228/G235</f>
        <v>0.40675799086757991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'[6]Sch D'!N32</f>
        <v>0.29360730593607304</v>
      </c>
      <c r="D237" s="238"/>
      <c r="E237" s="242">
        <f>(E219+E220)/E235</f>
        <v>0.29360730593607304</v>
      </c>
      <c r="F237" s="243"/>
      <c r="G237" s="242">
        <f>(G219+G220)/G235</f>
        <v>0.25445966514459667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'[6]Sch D'!N34</f>
        <v>0.62558000299356376</v>
      </c>
      <c r="D238" s="238"/>
      <c r="E238" s="242">
        <f>(E237/E236)</f>
        <v>0.62558000299356376</v>
      </c>
      <c r="F238" s="243"/>
      <c r="G238" s="242">
        <f>(G237/G236)</f>
        <v>0.62558000299356387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'[6]Sch B'!C85</f>
        <v>243.84824902723736</v>
      </c>
      <c r="I241" s="475"/>
    </row>
    <row r="242" spans="2:9">
      <c r="F242" s="142" t="s">
        <v>341</v>
      </c>
      <c r="G242" s="501">
        <f>'[6]Sch B'!E85</f>
        <v>228.38941954445261</v>
      </c>
      <c r="I242" s="475"/>
    </row>
    <row r="243" spans="2:9">
      <c r="F243" s="142" t="s">
        <v>342</v>
      </c>
      <c r="G243" s="501">
        <f>'[6]Sch B'!G85</f>
        <v>243.92715700141443</v>
      </c>
      <c r="I243" s="475"/>
    </row>
    <row r="244" spans="2:9">
      <c r="F244" s="142" t="s">
        <v>343</v>
      </c>
      <c r="G244" s="501">
        <f>'[6]Sch B'!I85</f>
        <v>245.97161716171618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Ruler="0">
      <pageMargins left="0.75" right="0.75" top="1" bottom="1" header="0.5" footer="0.5"/>
      <headerFooter alignWithMargins="0"/>
    </customSheetView>
    <customSheetView guid="{00D6F160-3E2B-11D5-8BE5-C1A1C12816BD}" showPageBreaks="1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2"/>
  <headerFooter alignWithMargins="0">
    <oddFooter>&amp;R&amp;D
&amp;T
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2">
    <tabColor rgb="FFE28CAB"/>
  </sheetPr>
  <dimension ref="A1:O246"/>
  <sheetViews>
    <sheetView showGridLines="0" topLeftCell="A88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507</v>
      </c>
      <c r="D2" s="244"/>
      <c r="E2" s="144"/>
      <c r="F2" s="253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F4" s="533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'[59]Sch B'!E10</f>
        <v>6175939.9900000002</v>
      </c>
      <c r="D11" s="501">
        <f>'[59]Sch B'!G10</f>
        <v>908808.60000000009</v>
      </c>
      <c r="E11" s="171">
        <f>C11+D11</f>
        <v>7084748.5899999999</v>
      </c>
      <c r="F11" s="171">
        <v>2237243</v>
      </c>
      <c r="G11" s="171">
        <f t="shared" ref="G11:G20" si="0">E11+F11</f>
        <v>9321991.5899999999</v>
      </c>
      <c r="H11" s="172">
        <f t="shared" ref="H11:H21" si="1">IF($G$21=0,0,G11/$G$21)</f>
        <v>0.54700200630858409</v>
      </c>
      <c r="I11" s="473"/>
      <c r="J11" s="336" t="s">
        <v>344</v>
      </c>
      <c r="K11" s="337">
        <f>G21</f>
        <v>17041969.650000002</v>
      </c>
    </row>
    <row r="12" spans="1:11" s="167" customFormat="1">
      <c r="A12" s="169" t="s">
        <v>15</v>
      </c>
      <c r="B12" s="170" t="s">
        <v>212</v>
      </c>
      <c r="C12" s="501">
        <f>'[59]Sch B'!E15</f>
        <v>0</v>
      </c>
      <c r="D12" s="501">
        <f>'[59]Sch B'!G15</f>
        <v>38004</v>
      </c>
      <c r="E12" s="171">
        <f t="shared" ref="E12:E20" si="2">C12+D12</f>
        <v>38004</v>
      </c>
      <c r="F12" s="171"/>
      <c r="G12" s="171">
        <f>E12+F12</f>
        <v>38004</v>
      </c>
      <c r="H12" s="172">
        <f t="shared" si="1"/>
        <v>2.2300239221468158E-3</v>
      </c>
      <c r="I12" s="473"/>
      <c r="J12" s="338" t="s">
        <v>345</v>
      </c>
      <c r="K12" s="339">
        <f>G208</f>
        <v>12513056.279999997</v>
      </c>
    </row>
    <row r="13" spans="1:11" s="167" customFormat="1">
      <c r="A13" s="169" t="s">
        <v>16</v>
      </c>
      <c r="B13" s="170" t="s">
        <v>170</v>
      </c>
      <c r="C13" s="501">
        <f>'[59]Sch B'!E21</f>
        <v>4963369.71</v>
      </c>
      <c r="D13" s="501">
        <f>'[59]Sch B'!G21</f>
        <v>225044</v>
      </c>
      <c r="E13" s="171">
        <f t="shared" si="2"/>
        <v>5188413.71</v>
      </c>
      <c r="F13" s="171"/>
      <c r="G13" s="171">
        <f t="shared" si="0"/>
        <v>5188413.71</v>
      </c>
      <c r="H13" s="172">
        <f t="shared" si="1"/>
        <v>0.30444918143602018</v>
      </c>
      <c r="I13" s="473"/>
      <c r="J13" s="338" t="s">
        <v>346</v>
      </c>
      <c r="K13" s="339">
        <f>G228</f>
        <v>37482</v>
      </c>
    </row>
    <row r="14" spans="1:11" s="167" customFormat="1">
      <c r="A14" s="173" t="s">
        <v>18</v>
      </c>
      <c r="B14" s="174" t="s">
        <v>306</v>
      </c>
      <c r="C14" s="501">
        <f>'[59]Sch B'!E27</f>
        <v>1007003.0600000002</v>
      </c>
      <c r="D14" s="501">
        <f>'[59]Sch B'!G27</f>
        <v>0</v>
      </c>
      <c r="E14" s="171">
        <f t="shared" si="2"/>
        <v>1007003.0600000002</v>
      </c>
      <c r="F14" s="175"/>
      <c r="G14" s="175">
        <f>E14+F14</f>
        <v>1007003.0600000002</v>
      </c>
      <c r="H14" s="176">
        <f t="shared" si="1"/>
        <v>5.9089593555284849E-2</v>
      </c>
      <c r="I14" s="479"/>
      <c r="J14" s="338" t="s">
        <v>347</v>
      </c>
      <c r="K14" s="339">
        <f>G231</f>
        <v>124</v>
      </c>
    </row>
    <row r="15" spans="1:11" s="167" customFormat="1">
      <c r="A15" s="169" t="s">
        <v>19</v>
      </c>
      <c r="B15" s="170" t="s">
        <v>171</v>
      </c>
      <c r="C15" s="501">
        <f>'[59]Sch B'!E32</f>
        <v>0</v>
      </c>
      <c r="D15" s="501">
        <f>'[59]Sch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45260</v>
      </c>
    </row>
    <row r="16" spans="1:11" s="167" customFormat="1">
      <c r="A16" s="169" t="s">
        <v>21</v>
      </c>
      <c r="B16" s="170" t="s">
        <v>172</v>
      </c>
      <c r="C16" s="501">
        <f>'[59]Sch B'!E37</f>
        <v>816225.95</v>
      </c>
      <c r="D16" s="501">
        <f>'[59]Sch B'!G37</f>
        <v>227250</v>
      </c>
      <c r="E16" s="171">
        <f t="shared" si="2"/>
        <v>1043475.95</v>
      </c>
      <c r="F16" s="171"/>
      <c r="G16" s="171">
        <f t="shared" si="0"/>
        <v>1043475.95</v>
      </c>
      <c r="H16" s="172">
        <f t="shared" si="1"/>
        <v>6.1229773989182043E-2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'[59]Sch B'!E42</f>
        <v>0</v>
      </c>
      <c r="D17" s="501">
        <f>'[59]Sch B'!G42</f>
        <v>326118</v>
      </c>
      <c r="E17" s="171">
        <f t="shared" si="2"/>
        <v>326118</v>
      </c>
      <c r="F17" s="171"/>
      <c r="G17" s="171">
        <f>E17+F17</f>
        <v>326118</v>
      </c>
      <c r="H17" s="172">
        <f t="shared" si="1"/>
        <v>1.9136168336035028E-2</v>
      </c>
      <c r="I17" s="473"/>
      <c r="J17" s="338" t="s">
        <v>156</v>
      </c>
      <c r="K17" s="339">
        <f>J208</f>
        <v>232358.57</v>
      </c>
    </row>
    <row r="18" spans="1:11" s="167" customFormat="1" ht="13.5" thickBot="1">
      <c r="A18" s="169" t="s">
        <v>216</v>
      </c>
      <c r="B18" s="170" t="s">
        <v>229</v>
      </c>
      <c r="C18" s="501">
        <f>'[59]Sch B'!E47</f>
        <v>406453.59000000008</v>
      </c>
      <c r="D18" s="501">
        <f>'[59]Sch B'!G47</f>
        <v>-326118</v>
      </c>
      <c r="E18" s="171">
        <f t="shared" si="2"/>
        <v>80335.590000000084</v>
      </c>
      <c r="F18" s="171"/>
      <c r="G18" s="171">
        <f>E18+F18</f>
        <v>80335.590000000084</v>
      </c>
      <c r="H18" s="172">
        <f t="shared" si="1"/>
        <v>4.7139850410424875E-3</v>
      </c>
      <c r="I18" s="473"/>
      <c r="J18" s="341" t="s">
        <v>252</v>
      </c>
      <c r="K18" s="342">
        <f>K208</f>
        <v>249365.94</v>
      </c>
    </row>
    <row r="19" spans="1:11" s="167" customFormat="1">
      <c r="A19" s="169" t="s">
        <v>227</v>
      </c>
      <c r="B19" s="177" t="s">
        <v>173</v>
      </c>
      <c r="C19" s="501">
        <f>'[59]Sch B'!E52</f>
        <v>0</v>
      </c>
      <c r="D19" s="501">
        <f>'[59]Sch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'[59]Sch B'!E67</f>
        <v>-995119.45</v>
      </c>
      <c r="D20" s="501">
        <f>'[59]Sch B'!G67</f>
        <v>1037356.2</v>
      </c>
      <c r="E20" s="171">
        <f t="shared" si="2"/>
        <v>42236.75</v>
      </c>
      <c r="F20" s="171">
        <v>-5609</v>
      </c>
      <c r="G20" s="171">
        <f t="shared" si="0"/>
        <v>36627.75</v>
      </c>
      <c r="H20" s="172">
        <f t="shared" si="1"/>
        <v>2.149267411704374E-3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12373872.85</v>
      </c>
      <c r="D21" s="501">
        <f>SUM(D11:D20)</f>
        <v>2436462.7999999998</v>
      </c>
      <c r="E21" s="171">
        <f>SUM(E11:E20)</f>
        <v>14810335.65</v>
      </c>
      <c r="F21" s="171">
        <f>SUM(F11:F20)</f>
        <v>2231634</v>
      </c>
      <c r="G21" s="171">
        <f>SUM(G11:G20)</f>
        <v>17041969.650000002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'[59]Sch C'!D10</f>
        <v>0</v>
      </c>
      <c r="D25" s="501">
        <f>'[59]Sch C'!F10</f>
        <v>119647.90000000001</v>
      </c>
      <c r="E25" s="171">
        <f t="shared" ref="E25:E60" si="3">C25+D25</f>
        <v>119647.90000000001</v>
      </c>
      <c r="F25" s="171"/>
      <c r="G25" s="182">
        <f>E25+F25</f>
        <v>119647.90000000001</v>
      </c>
      <c r="H25" s="172">
        <f>IF($G$208=0,0,G25/$G$208)</f>
        <v>9.5618446303351902E-3</v>
      </c>
      <c r="I25" s="473"/>
      <c r="J25" s="183">
        <v>1924.0800000000002</v>
      </c>
      <c r="K25" s="183">
        <v>2080.08</v>
      </c>
    </row>
    <row r="26" spans="1:11" s="167" customFormat="1">
      <c r="A26" s="169" t="s">
        <v>84</v>
      </c>
      <c r="B26" s="170" t="s">
        <v>176</v>
      </c>
      <c r="C26" s="501">
        <f>'[59]Sch C'!D11</f>
        <v>0</v>
      </c>
      <c r="D26" s="501">
        <f>'[59]Sch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'[59]Sch C'!D12</f>
        <v>218381.34</v>
      </c>
      <c r="D27" s="501">
        <f>'[59]Sch C'!F12</f>
        <v>-80194.28</v>
      </c>
      <c r="E27" s="171">
        <f t="shared" si="3"/>
        <v>138187.06</v>
      </c>
      <c r="F27" s="171"/>
      <c r="G27" s="171">
        <f t="shared" si="4"/>
        <v>138187.06</v>
      </c>
      <c r="H27" s="172">
        <f t="shared" si="5"/>
        <v>1.104342991095378E-2</v>
      </c>
      <c r="I27" s="473"/>
      <c r="J27" s="183">
        <v>10034.219999999999</v>
      </c>
      <c r="K27" s="183">
        <v>10777.92</v>
      </c>
    </row>
    <row r="28" spans="1:11" s="167" customFormat="1">
      <c r="A28" s="169" t="s">
        <v>86</v>
      </c>
      <c r="B28" s="170" t="s">
        <v>45</v>
      </c>
      <c r="C28" s="501">
        <f>'[59]Sch C'!D13</f>
        <v>42310.34</v>
      </c>
      <c r="D28" s="501">
        <f>'[59]Sch C'!F13</f>
        <v>-676.48999999999978</v>
      </c>
      <c r="E28" s="171">
        <f t="shared" si="3"/>
        <v>41633.85</v>
      </c>
      <c r="F28" s="171"/>
      <c r="G28" s="171">
        <f t="shared" si="4"/>
        <v>41633.85</v>
      </c>
      <c r="H28" s="172">
        <f t="shared" si="5"/>
        <v>3.327232697462143E-3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'[59]Sch C'!D14</f>
        <v>0</v>
      </c>
      <c r="D29" s="501">
        <f>'[59]Sch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'[59]Sch C'!D15</f>
        <v>0</v>
      </c>
      <c r="D30" s="501">
        <f>'[59]Sch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'[59]Sch C'!D16</f>
        <v>644025.54</v>
      </c>
      <c r="D31" s="501">
        <f>'[59]Sch C'!F16</f>
        <v>95707</v>
      </c>
      <c r="E31" s="171">
        <f t="shared" si="3"/>
        <v>739732.54</v>
      </c>
      <c r="F31" s="171"/>
      <c r="G31" s="171">
        <f t="shared" si="4"/>
        <v>739732.54</v>
      </c>
      <c r="H31" s="172">
        <f t="shared" si="5"/>
        <v>5.9116855502547153E-2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'[59]Sch C'!D17</f>
        <v>13604.71</v>
      </c>
      <c r="D32" s="501">
        <f>'[59]Sch C'!F17</f>
        <v>-13605</v>
      </c>
      <c r="E32" s="171">
        <f t="shared" si="3"/>
        <v>-0.29000000000087311</v>
      </c>
      <c r="F32" s="171"/>
      <c r="G32" s="171">
        <f t="shared" si="4"/>
        <v>-0.29000000000087311</v>
      </c>
      <c r="H32" s="172">
        <f t="shared" si="5"/>
        <v>-2.3175792828838228E-8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'[59]Sch C'!D18</f>
        <v>4932.62</v>
      </c>
      <c r="D33" s="501">
        <f>'[59]Sch C'!F18</f>
        <v>0</v>
      </c>
      <c r="E33" s="171">
        <f t="shared" si="3"/>
        <v>4932.62</v>
      </c>
      <c r="F33" s="171"/>
      <c r="G33" s="171">
        <f t="shared" si="4"/>
        <v>4932.62</v>
      </c>
      <c r="H33" s="172">
        <f t="shared" si="5"/>
        <v>3.9419785938979256E-4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'[59]Sch C'!D19</f>
        <v>36865.96</v>
      </c>
      <c r="D34" s="501">
        <f>'[59]Sch C'!F19</f>
        <v>0</v>
      </c>
      <c r="E34" s="171">
        <f t="shared" si="3"/>
        <v>36865.96</v>
      </c>
      <c r="F34" s="171"/>
      <c r="G34" s="171">
        <f t="shared" si="4"/>
        <v>36865.96</v>
      </c>
      <c r="H34" s="172">
        <f t="shared" si="5"/>
        <v>2.9461994875643609E-3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'[59]Sch C'!D20</f>
        <v>22689.05</v>
      </c>
      <c r="D35" s="501">
        <f>'[59]Sch C'!F20</f>
        <v>0</v>
      </c>
      <c r="E35" s="171">
        <f t="shared" si="3"/>
        <v>22689.05</v>
      </c>
      <c r="F35" s="171"/>
      <c r="G35" s="171">
        <f t="shared" si="4"/>
        <v>22689.05</v>
      </c>
      <c r="H35" s="172">
        <f t="shared" si="5"/>
        <v>1.813230076832996E-3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'[59]Sch C'!D21</f>
        <v>104641.39</v>
      </c>
      <c r="D36" s="501">
        <f>'[59]Sch C'!F21</f>
        <v>0</v>
      </c>
      <c r="E36" s="171">
        <f t="shared" si="3"/>
        <v>104641.39</v>
      </c>
      <c r="F36" s="171"/>
      <c r="G36" s="171">
        <f t="shared" si="4"/>
        <v>104641.39</v>
      </c>
      <c r="H36" s="172">
        <f t="shared" si="5"/>
        <v>8.3625764688081486E-3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'[59]Sch C'!D22</f>
        <v>0</v>
      </c>
      <c r="D37" s="501">
        <f>'[59]Sch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'[59]Sch C'!D23</f>
        <v>28016.04</v>
      </c>
      <c r="D38" s="501">
        <f>'[59]Sch C'!F23</f>
        <v>0</v>
      </c>
      <c r="E38" s="171">
        <f t="shared" si="3"/>
        <v>28016.04</v>
      </c>
      <c r="F38" s="171"/>
      <c r="G38" s="171">
        <f t="shared" si="4"/>
        <v>28016.04</v>
      </c>
      <c r="H38" s="172">
        <f t="shared" si="5"/>
        <v>2.2389446169741038E-3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'[59]Sch C'!D24</f>
        <v>116450.07</v>
      </c>
      <c r="D39" s="501">
        <f>'[59]Sch C'!F24</f>
        <v>-13709.04</v>
      </c>
      <c r="E39" s="171">
        <f t="shared" si="3"/>
        <v>102741.03</v>
      </c>
      <c r="F39" s="171"/>
      <c r="G39" s="171">
        <f t="shared" si="4"/>
        <v>102741.03</v>
      </c>
      <c r="H39" s="172">
        <f t="shared" si="5"/>
        <v>8.2107062975664974E-3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'[59]Sch C'!D25</f>
        <v>0</v>
      </c>
      <c r="D40" s="501">
        <f>'[59]Sch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'[59]Sch C'!D26</f>
        <v>490013.52</v>
      </c>
      <c r="D41" s="501">
        <f>'[59]Sch C'!F26</f>
        <v>0</v>
      </c>
      <c r="E41" s="171">
        <f t="shared" si="3"/>
        <v>490013.52</v>
      </c>
      <c r="F41" s="171"/>
      <c r="G41" s="171">
        <f t="shared" si="4"/>
        <v>490013.52</v>
      </c>
      <c r="H41" s="172">
        <f t="shared" si="5"/>
        <v>3.9160178699364091E-2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'[59]Sch C'!D27</f>
        <v>4562.46</v>
      </c>
      <c r="D42" s="501">
        <f>'[59]Sch C'!F27</f>
        <v>37356.199999999997</v>
      </c>
      <c r="E42" s="171">
        <f t="shared" si="3"/>
        <v>41918.659999999996</v>
      </c>
      <c r="F42" s="171"/>
      <c r="G42" s="171">
        <f t="shared" si="4"/>
        <v>41918.659999999996</v>
      </c>
      <c r="H42" s="172">
        <f t="shared" si="5"/>
        <v>3.3499937235158032E-3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'[59]Sch C'!D28</f>
        <v>0</v>
      </c>
      <c r="D43" s="501">
        <f>'[59]Sch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'[59]Sch C'!D29</f>
        <v>391012.03</v>
      </c>
      <c r="D44" s="501">
        <f>'[59]Sch C'!F29</f>
        <v>-391012.03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'[59]Sch C'!D30</f>
        <v>1000000</v>
      </c>
      <c r="D45" s="501">
        <f>'[59]Sch C'!F30</f>
        <v>-1000000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'[59]Sch C'!D31</f>
        <v>19752.36</v>
      </c>
      <c r="D46" s="501">
        <f>'[59]Sch C'!F31</f>
        <v>0</v>
      </c>
      <c r="E46" s="171">
        <f t="shared" si="3"/>
        <v>19752.36</v>
      </c>
      <c r="F46" s="171"/>
      <c r="G46" s="171">
        <f t="shared" si="4"/>
        <v>19752.36</v>
      </c>
      <c r="H46" s="172">
        <f t="shared" si="5"/>
        <v>1.5785400111698374E-3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'[59]Sch C'!D32</f>
        <v>0</v>
      </c>
      <c r="D47" s="501">
        <f>'[59]Sch C'!F32</f>
        <v>29636.05</v>
      </c>
      <c r="E47" s="171">
        <f t="shared" si="3"/>
        <v>29636.05</v>
      </c>
      <c r="F47" s="171"/>
      <c r="G47" s="171">
        <f t="shared" si="4"/>
        <v>29636.05</v>
      </c>
      <c r="H47" s="172">
        <f t="shared" si="5"/>
        <v>2.3684101898724941E-3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'[59]Sch C'!D33</f>
        <v>-2.11</v>
      </c>
      <c r="D48" s="501">
        <f>'[59]Sch C'!F33</f>
        <v>2.11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'[59]Sch C'!D34</f>
        <v>0</v>
      </c>
      <c r="D49" s="501">
        <f>'[59]Sch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'[59]Sch C'!D35</f>
        <v>14984.13</v>
      </c>
      <c r="D50" s="501">
        <f>'[59]Sch C'!F35</f>
        <v>-14984.13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'[59]Sch C'!D36</f>
        <v>0</v>
      </c>
      <c r="D51" s="501">
        <f>'[59]Sch C'!F36</f>
        <v>80194.28</v>
      </c>
      <c r="E51" s="171">
        <f t="shared" si="3"/>
        <v>80194.28</v>
      </c>
      <c r="F51" s="171"/>
      <c r="G51" s="171">
        <f t="shared" si="4"/>
        <v>80194.28</v>
      </c>
      <c r="H51" s="172">
        <f t="shared" si="5"/>
        <v>6.4088483425249979E-3</v>
      </c>
      <c r="I51" s="473"/>
      <c r="J51" s="183">
        <v>5275.72</v>
      </c>
      <c r="K51" s="183">
        <v>5559.99</v>
      </c>
    </row>
    <row r="52" spans="1:11" s="167" customFormat="1">
      <c r="A52" s="163">
        <v>290</v>
      </c>
      <c r="B52" s="170" t="s">
        <v>205</v>
      </c>
      <c r="C52" s="501">
        <f>'[59]Sch C'!D37</f>
        <v>0</v>
      </c>
      <c r="D52" s="501">
        <f>'[59]Sch C'!F37</f>
        <v>7217.49</v>
      </c>
      <c r="E52" s="171">
        <f t="shared" si="3"/>
        <v>7217.49</v>
      </c>
      <c r="F52" s="171"/>
      <c r="G52" s="171">
        <f t="shared" si="4"/>
        <v>7217.49</v>
      </c>
      <c r="H52" s="172">
        <f t="shared" si="5"/>
        <v>5.7679673442657942E-4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'[59]Sch C'!D38</f>
        <v>290.35000000000002</v>
      </c>
      <c r="D53" s="501">
        <f>'[59]Sch C'!F38</f>
        <v>0</v>
      </c>
      <c r="E53" s="171">
        <f t="shared" si="3"/>
        <v>290.35000000000002</v>
      </c>
      <c r="F53" s="171"/>
      <c r="G53" s="171">
        <f t="shared" si="4"/>
        <v>290.35000000000002</v>
      </c>
      <c r="H53" s="172">
        <f t="shared" si="5"/>
        <v>2.3203763613216968E-5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'[59]Sch C'!D39</f>
        <v>1943.96</v>
      </c>
      <c r="D54" s="501">
        <f>'[59]Sch C'!F39</f>
        <v>0</v>
      </c>
      <c r="E54" s="171">
        <f t="shared" si="3"/>
        <v>1943.96</v>
      </c>
      <c r="F54" s="171"/>
      <c r="G54" s="171">
        <f t="shared" si="4"/>
        <v>1943.96</v>
      </c>
      <c r="H54" s="172">
        <f t="shared" si="5"/>
        <v>1.5535453181866456E-4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'[59]Sch C'!D40</f>
        <v>29620.55</v>
      </c>
      <c r="D55" s="501">
        <f>'[59]Sch C'!F40</f>
        <v>0</v>
      </c>
      <c r="E55" s="171">
        <f t="shared" si="3"/>
        <v>29620.55</v>
      </c>
      <c r="F55" s="171">
        <f>-1392-368</f>
        <v>-1760</v>
      </c>
      <c r="G55" s="171">
        <f t="shared" si="4"/>
        <v>27860.55</v>
      </c>
      <c r="H55" s="172">
        <f t="shared" si="5"/>
        <v>2.2265183961915343E-3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'[59]Sch C'!D41</f>
        <v>99192.7</v>
      </c>
      <c r="D56" s="501">
        <f>'[59]Sch C'!F41</f>
        <v>-18165.12</v>
      </c>
      <c r="E56" s="171">
        <f t="shared" si="3"/>
        <v>81027.58</v>
      </c>
      <c r="F56" s="171"/>
      <c r="G56" s="171">
        <f t="shared" si="4"/>
        <v>81027.58</v>
      </c>
      <c r="H56" s="172">
        <f t="shared" si="5"/>
        <v>6.4754427844705593E-3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'[59]Sch C'!D42</f>
        <v>698.84</v>
      </c>
      <c r="D57" s="501">
        <f>'[59]Sch C'!F42</f>
        <v>0</v>
      </c>
      <c r="E57" s="171">
        <f t="shared" si="3"/>
        <v>698.84</v>
      </c>
      <c r="F57" s="171"/>
      <c r="G57" s="171">
        <f t="shared" si="4"/>
        <v>698.84</v>
      </c>
      <c r="H57" s="172">
        <f t="shared" si="5"/>
        <v>5.5848865725712233E-5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'[59]Sch C'!D43</f>
        <v>0</v>
      </c>
      <c r="D58" s="501">
        <f>'[59]Sch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'[59]Sch C'!D44</f>
        <v>0</v>
      </c>
      <c r="D59" s="501">
        <f>'[59]Sch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'[59]Sch C'!D45</f>
        <v>199523.84</v>
      </c>
      <c r="D60" s="501">
        <f>'[59]Sch C'!F45</f>
        <v>-126189</v>
      </c>
      <c r="E60" s="171">
        <f t="shared" si="3"/>
        <v>73334.84</v>
      </c>
      <c r="F60" s="171">
        <v>-763</v>
      </c>
      <c r="G60" s="171">
        <f t="shared" si="4"/>
        <v>72571.839999999997</v>
      </c>
      <c r="H60" s="172">
        <f t="shared" si="5"/>
        <v>5.7996894104914883E-3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3483509.69</v>
      </c>
      <c r="D61" s="501">
        <f>SUM(D25:D60)</f>
        <v>-1288774.0599999998</v>
      </c>
      <c r="E61" s="171">
        <f t="shared" ref="E61:F61" si="6">SUM(E25:E60)</f>
        <v>2194735.63</v>
      </c>
      <c r="F61" s="171">
        <f t="shared" si="6"/>
        <v>-2523</v>
      </c>
      <c r="G61" s="171">
        <f>SUM(G25:G60)</f>
        <v>2192212.63</v>
      </c>
      <c r="H61" s="186">
        <f t="shared" si="5"/>
        <v>0.1751940198258263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'[59]Sch C'!D57</f>
        <v>900000</v>
      </c>
      <c r="D64" s="501">
        <f>'[59]Sch C'!F57</f>
        <v>-900000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'[59]Sch C'!D58</f>
        <v>30037.17</v>
      </c>
      <c r="D65" s="501">
        <f>'[59]Sch C'!F58</f>
        <v>360275.27</v>
      </c>
      <c r="E65" s="171">
        <f t="shared" si="7"/>
        <v>390312.44</v>
      </c>
      <c r="F65" s="171"/>
      <c r="G65" s="171">
        <f t="shared" si="8"/>
        <v>390312.44</v>
      </c>
      <c r="H65" s="172">
        <f t="shared" si="9"/>
        <v>3.1192414648038336E-2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'[59]Sch C'!D59</f>
        <v>0</v>
      </c>
      <c r="D66" s="501">
        <f>'[59]Sch C'!F59</f>
        <v>488968.9</v>
      </c>
      <c r="E66" s="171">
        <f t="shared" si="7"/>
        <v>488968.9</v>
      </c>
      <c r="F66" s="171"/>
      <c r="G66" s="171">
        <f t="shared" si="8"/>
        <v>488968.9</v>
      </c>
      <c r="H66" s="172">
        <f t="shared" si="9"/>
        <v>3.9076696296933791E-2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'[59]Sch C'!D60</f>
        <v>0</v>
      </c>
      <c r="D67" s="501">
        <f>'[59]Sch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'[59]Sch C'!D61</f>
        <v>22999.21</v>
      </c>
      <c r="D68" s="501">
        <f>'[59]Sch C'!F61</f>
        <v>-14638.05</v>
      </c>
      <c r="E68" s="171">
        <f t="shared" si="7"/>
        <v>8361.16</v>
      </c>
      <c r="F68" s="171"/>
      <c r="G68" s="171">
        <f t="shared" si="8"/>
        <v>8361.16</v>
      </c>
      <c r="H68" s="172">
        <f t="shared" si="9"/>
        <v>6.6819486885581259E-4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'[59]Sch C'!D62</f>
        <v>20370</v>
      </c>
      <c r="D69" s="501">
        <f>'[59]Sch C'!F62</f>
        <v>0</v>
      </c>
      <c r="E69" s="171">
        <f t="shared" si="7"/>
        <v>20370</v>
      </c>
      <c r="F69" s="171"/>
      <c r="G69" s="171">
        <f t="shared" si="8"/>
        <v>20370</v>
      </c>
      <c r="H69" s="172">
        <f t="shared" si="9"/>
        <v>1.6278996549034944E-3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'[59]Sch C'!D63</f>
        <v>0</v>
      </c>
      <c r="D70" s="501">
        <f>'[59]Sch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'[59]Sch C'!D64</f>
        <v>0</v>
      </c>
      <c r="D71" s="501">
        <f>'[59]Sch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'[59]Sch C'!D65</f>
        <v>2228</v>
      </c>
      <c r="D72" s="501">
        <f>'[59]Sch C'!F65</f>
        <v>0</v>
      </c>
      <c r="E72" s="171">
        <f t="shared" si="7"/>
        <v>2228</v>
      </c>
      <c r="F72" s="171"/>
      <c r="G72" s="171">
        <f t="shared" si="8"/>
        <v>2228</v>
      </c>
      <c r="H72" s="172">
        <f t="shared" si="9"/>
        <v>1.7805402214653832E-4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'[59]Sch C'!D66</f>
        <v>5523.67</v>
      </c>
      <c r="D73" s="501">
        <f>'[59]Sch C'!F66</f>
        <v>0</v>
      </c>
      <c r="E73" s="171">
        <f t="shared" si="7"/>
        <v>5523.67</v>
      </c>
      <c r="F73" s="171"/>
      <c r="G73" s="171">
        <f t="shared" si="8"/>
        <v>5523.67</v>
      </c>
      <c r="H73" s="172">
        <f t="shared" si="9"/>
        <v>4.4143252267063259E-4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'[59]Sch C'!D67</f>
        <v>110127.16</v>
      </c>
      <c r="D74" s="501">
        <f>'[59]Sch C'!F67</f>
        <v>0</v>
      </c>
      <c r="E74" s="171">
        <f t="shared" si="7"/>
        <v>110127.16</v>
      </c>
      <c r="F74" s="171">
        <v>65</v>
      </c>
      <c r="G74" s="171">
        <f t="shared" si="8"/>
        <v>110192.16</v>
      </c>
      <c r="H74" s="172">
        <f t="shared" si="9"/>
        <v>8.8061747293603655E-3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'[59]Sch C'!D68</f>
        <v>0</v>
      </c>
      <c r="D75" s="501">
        <f>'[59]Sch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'[59]Sch C'!D69</f>
        <v>2473.08</v>
      </c>
      <c r="D76" s="501">
        <f>'[59]Sch C'!F69</f>
        <v>0</v>
      </c>
      <c r="E76" s="171">
        <f t="shared" si="7"/>
        <v>2473.08</v>
      </c>
      <c r="F76" s="171"/>
      <c r="G76" s="171">
        <f t="shared" si="8"/>
        <v>2473.08</v>
      </c>
      <c r="H76" s="172">
        <f t="shared" si="9"/>
        <v>1.9763996458265753E-4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'[59]Sch C'!D70</f>
        <v>0</v>
      </c>
      <c r="D77" s="501">
        <f>'[59]Sch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'[59]Sch C'!D71</f>
        <v>0</v>
      </c>
      <c r="D78" s="501">
        <f>'[59]Sch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1093758.29</v>
      </c>
      <c r="D79" s="501">
        <f>SUM(D64:D78)</f>
        <v>-65393.879999999961</v>
      </c>
      <c r="E79" s="171">
        <f t="shared" ref="E79:F79" si="10">SUM(E64:E78)</f>
        <v>1028364.4100000001</v>
      </c>
      <c r="F79" s="171">
        <f t="shared" si="10"/>
        <v>65</v>
      </c>
      <c r="G79" s="171">
        <f>SUM(G64:G78)</f>
        <v>1028429.4100000001</v>
      </c>
      <c r="H79" s="172">
        <f t="shared" si="9"/>
        <v>8.2188506707491643E-2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'[59]Sch C'!D75</f>
        <v>39927.629999999997</v>
      </c>
      <c r="D82" s="501">
        <f>'[59]Sch C'!F75</f>
        <v>0</v>
      </c>
      <c r="E82" s="171">
        <f t="shared" ref="E82:E92" si="11">C82+D82</f>
        <v>39927.629999999997</v>
      </c>
      <c r="F82" s="171"/>
      <c r="G82" s="171">
        <f t="shared" ref="G82:G92" si="12">E82+F82</f>
        <v>39927.629999999997</v>
      </c>
      <c r="H82" s="172">
        <f t="shared" ref="H82:H93" si="13">IF($G$208=0,0,G82/$G$208)</f>
        <v>3.1908775207714485E-3</v>
      </c>
      <c r="I82" s="473"/>
      <c r="J82" s="183">
        <v>2142.2800000000002</v>
      </c>
      <c r="K82" s="183">
        <v>2283.1</v>
      </c>
    </row>
    <row r="83" spans="1:11" s="167" customFormat="1">
      <c r="A83" s="169" t="s">
        <v>86</v>
      </c>
      <c r="B83" s="199" t="s">
        <v>45</v>
      </c>
      <c r="C83" s="501">
        <f>'[59]Sch C'!D76</f>
        <v>10112.67</v>
      </c>
      <c r="D83" s="501">
        <f>'[59]Sch C'!F76</f>
        <v>0</v>
      </c>
      <c r="E83" s="171">
        <f t="shared" si="11"/>
        <v>10112.67</v>
      </c>
      <c r="F83" s="171"/>
      <c r="G83" s="171">
        <f t="shared" si="12"/>
        <v>10112.67</v>
      </c>
      <c r="H83" s="172">
        <f t="shared" si="13"/>
        <v>8.0816946505414436E-4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'[59]Sch C'!D77</f>
        <v>10381.15</v>
      </c>
      <c r="D84" s="501">
        <f>'[59]Sch C'!F77</f>
        <v>0</v>
      </c>
      <c r="E84" s="171">
        <f t="shared" si="11"/>
        <v>10381.15</v>
      </c>
      <c r="F84" s="171"/>
      <c r="G84" s="171">
        <f t="shared" si="12"/>
        <v>10381.15</v>
      </c>
      <c r="H84" s="172">
        <f t="shared" si="13"/>
        <v>8.2962545422196425E-4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'[59]Sch C'!D78</f>
        <v>0</v>
      </c>
      <c r="D85" s="501">
        <f>'[59]Sch C'!F78</f>
        <v>0</v>
      </c>
      <c r="E85" s="171">
        <f t="shared" si="11"/>
        <v>0</v>
      </c>
      <c r="F85" s="171">
        <v>6167</v>
      </c>
      <c r="G85" s="171">
        <f t="shared" si="12"/>
        <v>6167</v>
      </c>
      <c r="H85" s="172">
        <f t="shared" si="13"/>
        <v>4.928452219828105E-4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'[59]Sch C'!D79</f>
        <v>18790.27</v>
      </c>
      <c r="D86" s="501">
        <f>'[59]Sch C'!F79</f>
        <v>0</v>
      </c>
      <c r="E86" s="171">
        <f t="shared" si="11"/>
        <v>18790.27</v>
      </c>
      <c r="F86" s="171"/>
      <c r="G86" s="171">
        <f>E86+F86</f>
        <v>18790.27</v>
      </c>
      <c r="H86" s="172">
        <f t="shared" si="13"/>
        <v>1.5016531197124931E-3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'[59]Sch C'!D80</f>
        <v>20031.240000000002</v>
      </c>
      <c r="D87" s="501">
        <f>'[59]Sch C'!F80</f>
        <v>0</v>
      </c>
      <c r="E87" s="171">
        <f t="shared" si="11"/>
        <v>20031.240000000002</v>
      </c>
      <c r="F87" s="171"/>
      <c r="G87" s="171">
        <f t="shared" si="12"/>
        <v>20031.240000000002</v>
      </c>
      <c r="H87" s="172">
        <f t="shared" si="13"/>
        <v>1.6008271322184133E-3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'[59]Sch C'!D81</f>
        <v>1810</v>
      </c>
      <c r="D88" s="501">
        <f>'[59]Sch C'!F81</f>
        <v>0</v>
      </c>
      <c r="E88" s="171">
        <f t="shared" si="11"/>
        <v>1810</v>
      </c>
      <c r="F88" s="171"/>
      <c r="G88" s="171">
        <f t="shared" si="12"/>
        <v>1810</v>
      </c>
      <c r="H88" s="172">
        <f t="shared" si="13"/>
        <v>1.4464891386231345E-4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'[59]Sch C'!D82</f>
        <v>22104.6</v>
      </c>
      <c r="D89" s="501">
        <f>'[59]Sch C'!F82</f>
        <v>0</v>
      </c>
      <c r="E89" s="171">
        <f t="shared" si="11"/>
        <v>22104.6</v>
      </c>
      <c r="F89" s="171">
        <f>-1037-4459</f>
        <v>-5496</v>
      </c>
      <c r="G89" s="171">
        <f t="shared" si="12"/>
        <v>16608.599999999999</v>
      </c>
      <c r="H89" s="172">
        <f t="shared" si="13"/>
        <v>1.3273016302616679E-3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'[59]Sch C'!D83</f>
        <v>0</v>
      </c>
      <c r="D90" s="501">
        <f>'[59]Sch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'[59]Sch C'!D84</f>
        <v>125807.12</v>
      </c>
      <c r="D91" s="501">
        <f>'[59]Sch C'!F84</f>
        <v>0</v>
      </c>
      <c r="E91" s="171">
        <f t="shared" si="11"/>
        <v>125807.12</v>
      </c>
      <c r="F91" s="171"/>
      <c r="G91" s="171">
        <f t="shared" si="12"/>
        <v>125807.12</v>
      </c>
      <c r="H91" s="172">
        <f t="shared" si="13"/>
        <v>1.0054068101737973E-2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'[59]Sch C'!D85</f>
        <v>0</v>
      </c>
      <c r="D92" s="501">
        <f>'[59]Sch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248964.68</v>
      </c>
      <c r="D93" s="501">
        <f>SUM(D82:D92)</f>
        <v>0</v>
      </c>
      <c r="E93" s="171">
        <f t="shared" ref="E93:F93" si="14">SUM(E82:E92)</f>
        <v>248964.68</v>
      </c>
      <c r="F93" s="171">
        <f t="shared" si="14"/>
        <v>671</v>
      </c>
      <c r="G93" s="171">
        <f>SUM(G82:G92)</f>
        <v>249635.68</v>
      </c>
      <c r="H93" s="172">
        <f t="shared" si="13"/>
        <v>1.9950016559823227E-2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'[59]Sch C'!D89</f>
        <v>302274.82</v>
      </c>
      <c r="D96" s="501">
        <f>'[59]Sch C'!F89</f>
        <v>0</v>
      </c>
      <c r="E96" s="171">
        <f t="shared" ref="E96:E101" si="15">C96+D96</f>
        <v>302274.82</v>
      </c>
      <c r="F96" s="171"/>
      <c r="G96" s="171">
        <f t="shared" ref="G96:G101" si="16">E96+F96</f>
        <v>302274.82</v>
      </c>
      <c r="H96" s="172">
        <f t="shared" ref="H96:H102" si="17">IF($G$208=0,0,G96/$G$208)</f>
        <v>2.4156753812666465E-2</v>
      </c>
      <c r="I96" s="473"/>
      <c r="J96" s="183">
        <v>19054.310000000001</v>
      </c>
      <c r="K96" s="183">
        <v>20512.75</v>
      </c>
    </row>
    <row r="97" spans="1:11" s="167" customFormat="1">
      <c r="A97" s="169" t="s">
        <v>86</v>
      </c>
      <c r="B97" s="170" t="s">
        <v>45</v>
      </c>
      <c r="C97" s="501">
        <f>'[59]Sch C'!D90</f>
        <v>85230.77</v>
      </c>
      <c r="D97" s="501">
        <f>'[59]Sch C'!F90</f>
        <v>0</v>
      </c>
      <c r="E97" s="171">
        <f t="shared" si="15"/>
        <v>85230.77</v>
      </c>
      <c r="F97" s="171"/>
      <c r="G97" s="171">
        <f t="shared" si="16"/>
        <v>85230.77</v>
      </c>
      <c r="H97" s="172">
        <f t="shared" si="17"/>
        <v>6.8113471315738401E-3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'[59]Sch C'!D91</f>
        <v>29572.400000000001</v>
      </c>
      <c r="D98" s="501">
        <f>'[59]Sch C'!F91</f>
        <v>0</v>
      </c>
      <c r="E98" s="171">
        <f t="shared" si="15"/>
        <v>29572.400000000001</v>
      </c>
      <c r="F98" s="171"/>
      <c r="G98" s="171">
        <f t="shared" si="16"/>
        <v>29572.400000000001</v>
      </c>
      <c r="H98" s="172">
        <f t="shared" si="17"/>
        <v>2.3633235029292148E-3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'[59]Sch C'!D92</f>
        <v>323092.96000000002</v>
      </c>
      <c r="D99" s="501">
        <f>'[59]Sch C'!F92</f>
        <v>0</v>
      </c>
      <c r="E99" s="171">
        <f t="shared" si="15"/>
        <v>323092.96000000002</v>
      </c>
      <c r="F99" s="171">
        <f>-4217-5609</f>
        <v>-9826</v>
      </c>
      <c r="G99" s="171">
        <f t="shared" si="16"/>
        <v>313266.96000000002</v>
      </c>
      <c r="H99" s="172">
        <f t="shared" si="17"/>
        <v>2.5035207465717566E-2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'[59]Sch C'!D93</f>
        <v>34834.839999999997</v>
      </c>
      <c r="D100" s="501">
        <f>'[59]Sch C'!F93</f>
        <v>0</v>
      </c>
      <c r="E100" s="171">
        <f t="shared" si="15"/>
        <v>34834.839999999997</v>
      </c>
      <c r="F100" s="171"/>
      <c r="G100" s="171">
        <f t="shared" si="16"/>
        <v>34834.839999999997</v>
      </c>
      <c r="H100" s="172">
        <f t="shared" si="17"/>
        <v>2.7838794312527461E-3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'[59]Sch C'!D94</f>
        <v>0</v>
      </c>
      <c r="D101" s="501">
        <f>'[59]Sch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775005.79</v>
      </c>
      <c r="D102" s="501">
        <f>SUM(D96:D101)</f>
        <v>0</v>
      </c>
      <c r="E102" s="171">
        <f t="shared" ref="E102:F102" si="18">SUM(E96:E101)</f>
        <v>775005.79</v>
      </c>
      <c r="F102" s="171">
        <f t="shared" si="18"/>
        <v>-9826</v>
      </c>
      <c r="G102" s="171">
        <f>SUM(G96:G101)</f>
        <v>765179.79</v>
      </c>
      <c r="H102" s="172">
        <f t="shared" si="17"/>
        <v>6.1150511344139832E-2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'[59]Sch C'!D98</f>
        <v>49858.1</v>
      </c>
      <c r="D105" s="501">
        <f>'[59]Sch C'!F98</f>
        <v>0</v>
      </c>
      <c r="E105" s="171">
        <f t="shared" ref="E105:E110" si="19">C105+D105</f>
        <v>49858.1</v>
      </c>
      <c r="F105" s="171"/>
      <c r="G105" s="171">
        <f t="shared" ref="G105:G110" si="20">E105+F105</f>
        <v>49858.1</v>
      </c>
      <c r="H105" s="172">
        <f t="shared" ref="H105:H111" si="21">IF($G$208=0,0,G105/$G$208)</f>
        <v>3.9844861946069666E-3</v>
      </c>
      <c r="I105" s="473"/>
      <c r="J105" s="183">
        <v>5020.82</v>
      </c>
      <c r="K105" s="183">
        <v>5432.26</v>
      </c>
    </row>
    <row r="106" spans="1:11" s="167" customFormat="1">
      <c r="A106" s="169" t="s">
        <v>86</v>
      </c>
      <c r="B106" s="170" t="s">
        <v>45</v>
      </c>
      <c r="C106" s="501">
        <f>'[59]Sch C'!D99</f>
        <v>16235.46</v>
      </c>
      <c r="D106" s="501">
        <f>'[59]Sch C'!F99</f>
        <v>0</v>
      </c>
      <c r="E106" s="171">
        <f t="shared" si="19"/>
        <v>16235.46</v>
      </c>
      <c r="F106" s="171"/>
      <c r="G106" s="171">
        <f t="shared" si="20"/>
        <v>16235.46</v>
      </c>
      <c r="H106" s="172">
        <f t="shared" si="21"/>
        <v>1.2974815773784726E-3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'[59]Sch C'!D100</f>
        <v>14055.97</v>
      </c>
      <c r="D107" s="501">
        <f>'[59]Sch C'!F100</f>
        <v>0</v>
      </c>
      <c r="E107" s="171">
        <f t="shared" si="19"/>
        <v>14055.97</v>
      </c>
      <c r="F107" s="171"/>
      <c r="G107" s="171">
        <f t="shared" si="20"/>
        <v>14055.97</v>
      </c>
      <c r="H107" s="172">
        <f t="shared" si="21"/>
        <v>1.1233043059564983E-3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'[59]Sch C'!D101</f>
        <v>0</v>
      </c>
      <c r="D108" s="501">
        <f>'[59]Sch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'[59]Sch C'!D102</f>
        <v>6331.54</v>
      </c>
      <c r="D109" s="501">
        <f>'[59]Sch C'!F102</f>
        <v>0</v>
      </c>
      <c r="E109" s="171">
        <f t="shared" si="19"/>
        <v>6331.54</v>
      </c>
      <c r="F109" s="171"/>
      <c r="G109" s="171">
        <f t="shared" si="20"/>
        <v>6331.54</v>
      </c>
      <c r="H109" s="172">
        <f t="shared" si="21"/>
        <v>5.0599468733469172E-4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'[59]Sch C'!D103</f>
        <v>282</v>
      </c>
      <c r="D110" s="501">
        <f>'[59]Sch C'!F103</f>
        <v>0</v>
      </c>
      <c r="E110" s="171">
        <f t="shared" si="19"/>
        <v>282</v>
      </c>
      <c r="F110" s="171"/>
      <c r="G110" s="171">
        <f t="shared" si="20"/>
        <v>282</v>
      </c>
      <c r="H110" s="172">
        <f t="shared" si="21"/>
        <v>2.2536460612802426E-5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86763.069999999992</v>
      </c>
      <c r="D111" s="501">
        <f>SUM(D105:D110)</f>
        <v>0</v>
      </c>
      <c r="E111" s="171">
        <f t="shared" ref="E111:F111" si="22">SUM(E105:E110)</f>
        <v>86763.069999999992</v>
      </c>
      <c r="F111" s="171">
        <f t="shared" si="22"/>
        <v>0</v>
      </c>
      <c r="G111" s="171">
        <f>SUM(G105:G110)</f>
        <v>86763.069999999992</v>
      </c>
      <c r="H111" s="172">
        <f t="shared" si="21"/>
        <v>6.9338032258894318E-3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'[59]Sch C'!D115</f>
        <v>137269.99</v>
      </c>
      <c r="D114" s="501">
        <f>'[59]Sch C'!F115</f>
        <v>0</v>
      </c>
      <c r="E114" s="171">
        <f t="shared" ref="E114:E118" si="23">C114+D114</f>
        <v>137269.99</v>
      </c>
      <c r="F114" s="171"/>
      <c r="G114" s="171">
        <f>E114+F114</f>
        <v>137269.99</v>
      </c>
      <c r="H114" s="172">
        <f t="shared" ref="H114:H119" si="24">IF($G$208=0,0,G114/$G$208)</f>
        <v>1.0970140861541784E-2</v>
      </c>
      <c r="I114" s="473"/>
      <c r="J114" s="183">
        <v>12597.39</v>
      </c>
      <c r="K114" s="183">
        <v>13671.62</v>
      </c>
    </row>
    <row r="115" spans="1:11" s="167" customFormat="1">
      <c r="A115" s="169" t="s">
        <v>86</v>
      </c>
      <c r="B115" s="170" t="s">
        <v>151</v>
      </c>
      <c r="C115" s="501">
        <f>'[59]Sch C'!D116</f>
        <v>20195.32</v>
      </c>
      <c r="D115" s="501">
        <f>'[59]Sch C'!F116</f>
        <v>0</v>
      </c>
      <c r="E115" s="171">
        <f t="shared" si="23"/>
        <v>20195.32</v>
      </c>
      <c r="F115" s="171"/>
      <c r="G115" s="171">
        <f>E115+F115</f>
        <v>20195.32</v>
      </c>
      <c r="H115" s="172">
        <f t="shared" si="24"/>
        <v>1.6139398359678763E-3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'[59]Sch C'!D117</f>
        <v>36746.879999999997</v>
      </c>
      <c r="D116" s="501">
        <f>'[59]Sch C'!F117</f>
        <v>0</v>
      </c>
      <c r="E116" s="171">
        <f t="shared" si="23"/>
        <v>36746.879999999997</v>
      </c>
      <c r="F116" s="171"/>
      <c r="G116" s="171">
        <f>E116+F116</f>
        <v>36746.879999999997</v>
      </c>
      <c r="H116" s="172">
        <f t="shared" si="24"/>
        <v>2.9366830275297062E-3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'[59]Sch C'!D118</f>
        <v>5630.78</v>
      </c>
      <c r="D117" s="501">
        <f>'[59]Sch C'!F118</f>
        <v>0</v>
      </c>
      <c r="E117" s="171">
        <f t="shared" si="23"/>
        <v>5630.78</v>
      </c>
      <c r="F117" s="171"/>
      <c r="G117" s="171">
        <f>E117+F117</f>
        <v>5630.78</v>
      </c>
      <c r="H117" s="172">
        <f t="shared" si="24"/>
        <v>4.4999238187714766E-4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'[59]Sch C'!D119</f>
        <v>728.16</v>
      </c>
      <c r="D118" s="501">
        <f>'[59]Sch C'!F119</f>
        <v>0</v>
      </c>
      <c r="E118" s="171">
        <f t="shared" si="23"/>
        <v>728.16</v>
      </c>
      <c r="F118" s="171"/>
      <c r="G118" s="171">
        <f>E118+F118</f>
        <v>728.16</v>
      </c>
      <c r="H118" s="172">
        <f t="shared" si="24"/>
        <v>5.8192018297227714E-5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200571.13</v>
      </c>
      <c r="D119" s="501">
        <f>SUM(D114:D118)</f>
        <v>0</v>
      </c>
      <c r="E119" s="171">
        <f t="shared" ref="E119:F119" si="25">SUM(E114:E118)</f>
        <v>200571.13</v>
      </c>
      <c r="F119" s="171">
        <f t="shared" si="25"/>
        <v>0</v>
      </c>
      <c r="G119" s="171">
        <f>SUM(G114:G118)</f>
        <v>200571.13</v>
      </c>
      <c r="H119" s="172">
        <f t="shared" si="24"/>
        <v>1.6028948125213743E-2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'[59]Sch C'!D124</f>
        <v>0</v>
      </c>
      <c r="D123" s="501">
        <f>'[59]Sch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'[59]Sch C'!D125</f>
        <v>537089.51</v>
      </c>
      <c r="D124" s="501">
        <f>'[59]Sch C'!F125</f>
        <v>0</v>
      </c>
      <c r="E124" s="171">
        <f t="shared" si="26"/>
        <v>537089.51</v>
      </c>
      <c r="F124" s="171"/>
      <c r="G124" s="171">
        <f>E124+F124</f>
        <v>537089.51</v>
      </c>
      <c r="H124" s="172">
        <f>IF($G$208=0,0,G124/$G$208)</f>
        <v>4.2922328325050906E-2</v>
      </c>
      <c r="I124" s="473"/>
      <c r="J124" s="183">
        <v>7155.09</v>
      </c>
      <c r="K124" s="183">
        <v>7663.28</v>
      </c>
    </row>
    <row r="125" spans="1:11" s="167" customFormat="1">
      <c r="A125" s="163" t="s">
        <v>198</v>
      </c>
      <c r="B125" s="163" t="s">
        <v>195</v>
      </c>
      <c r="C125" s="501">
        <f>'[59]Sch C'!D126</f>
        <v>0</v>
      </c>
      <c r="D125" s="501">
        <f>'[59]Sch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'[59]Sch C'!D127</f>
        <v>36133.33</v>
      </c>
      <c r="D126" s="501">
        <f>'[59]Sch C'!F127</f>
        <v>0</v>
      </c>
      <c r="E126" s="171">
        <f t="shared" si="26"/>
        <v>36133.33</v>
      </c>
      <c r="F126" s="171"/>
      <c r="G126" s="171">
        <f>E126+F126</f>
        <v>36133.33</v>
      </c>
      <c r="H126" s="172">
        <f>IF($G$208=0,0,G126/$G$208)</f>
        <v>2.8876502423914622E-3</v>
      </c>
      <c r="I126" s="473"/>
      <c r="J126" s="183">
        <v>2656.78</v>
      </c>
      <c r="K126" s="183">
        <v>2891.94</v>
      </c>
    </row>
    <row r="127" spans="1:11" s="167" customFormat="1">
      <c r="A127" s="169"/>
      <c r="B127" s="163" t="s">
        <v>197</v>
      </c>
      <c r="C127" s="501">
        <f>'[59]Sch C'!D128</f>
        <v>43967.99</v>
      </c>
      <c r="D127" s="501">
        <f>'[59]Sch C'!F128</f>
        <v>0</v>
      </c>
      <c r="E127" s="171">
        <f t="shared" si="26"/>
        <v>43967.99</v>
      </c>
      <c r="F127" s="171"/>
      <c r="G127" s="171">
        <f>E127+F127</f>
        <v>43967.99</v>
      </c>
      <c r="H127" s="172">
        <f>IF($G$208=0,0,G127/$G$208)</f>
        <v>3.5137690597840106E-3</v>
      </c>
      <c r="I127" s="473"/>
      <c r="J127" s="183">
        <v>1888.05</v>
      </c>
      <c r="K127" s="183">
        <v>2075.5500000000002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'[59]Sch C'!D130</f>
        <v>0</v>
      </c>
      <c r="D129" s="501">
        <f>'[59]Sch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'[59]Sch C'!D131</f>
        <v>49564.43</v>
      </c>
      <c r="D130" s="501">
        <f>'[59]Sch C'!F131</f>
        <v>0</v>
      </c>
      <c r="E130" s="171">
        <f t="shared" si="27"/>
        <v>49564.43</v>
      </c>
      <c r="F130" s="171"/>
      <c r="G130" s="171">
        <f>E130+F130</f>
        <v>49564.43</v>
      </c>
      <c r="H130" s="172">
        <f>IF($G$208=0,0,G130/$G$208)</f>
        <v>3.9610171081241241E-3</v>
      </c>
      <c r="I130" s="473"/>
      <c r="J130" s="204"/>
      <c r="K130" s="204"/>
    </row>
    <row r="131" spans="1:11" s="167" customFormat="1">
      <c r="B131" s="163" t="s">
        <v>195</v>
      </c>
      <c r="C131" s="501">
        <f>'[59]Sch C'!D132</f>
        <v>0</v>
      </c>
      <c r="D131" s="501">
        <f>'[59]Sch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'[59]Sch C'!D133</f>
        <v>19370.11</v>
      </c>
      <c r="D132" s="501">
        <f>'[59]Sch C'!F133</f>
        <v>0</v>
      </c>
      <c r="E132" s="171">
        <f t="shared" si="27"/>
        <v>19370.11</v>
      </c>
      <c r="F132" s="171"/>
      <c r="G132" s="171">
        <f>E132+F132</f>
        <v>19370.11</v>
      </c>
      <c r="H132" s="172">
        <f>IF($G$208=0,0,G132/$G$208)</f>
        <v>1.5479919187257108E-3</v>
      </c>
      <c r="I132" s="473"/>
      <c r="J132" s="168"/>
      <c r="K132" s="168"/>
    </row>
    <row r="133" spans="1:11" s="167" customFormat="1">
      <c r="B133" s="163" t="s">
        <v>197</v>
      </c>
      <c r="C133" s="501">
        <f>'[59]Sch C'!D134</f>
        <v>10392.17</v>
      </c>
      <c r="D133" s="501">
        <f>'[59]Sch C'!F134</f>
        <v>0</v>
      </c>
      <c r="E133" s="171">
        <f t="shared" si="27"/>
        <v>10392.17</v>
      </c>
      <c r="F133" s="171"/>
      <c r="G133" s="171">
        <f>E133+F133</f>
        <v>10392.17</v>
      </c>
      <c r="H133" s="172">
        <f>IF($G$208=0,0,G133/$G$208)</f>
        <v>8.305061343494574E-4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'[59]Sch C'!D136</f>
        <v>1234428.92</v>
      </c>
      <c r="D135" s="501">
        <f>'[59]Sch C'!F136</f>
        <v>0</v>
      </c>
      <c r="E135" s="171">
        <f t="shared" ref="E135:E138" si="28">C135+D135</f>
        <v>1234428.92</v>
      </c>
      <c r="F135" s="171"/>
      <c r="G135" s="171">
        <f>E135+F135</f>
        <v>1234428.92</v>
      </c>
      <c r="H135" s="172">
        <f>IF($G$208=0,0,G135/$G$208)</f>
        <v>9.8651272109518573E-2</v>
      </c>
      <c r="I135" s="473"/>
      <c r="J135" s="183">
        <v>37870.370000000003</v>
      </c>
      <c r="K135" s="183">
        <v>40683.33</v>
      </c>
    </row>
    <row r="136" spans="1:11" s="167" customFormat="1">
      <c r="A136" s="169"/>
      <c r="B136" s="163" t="s">
        <v>195</v>
      </c>
      <c r="C136" s="501">
        <f>'[59]Sch C'!D137</f>
        <v>247773.17</v>
      </c>
      <c r="D136" s="501">
        <f>'[59]Sch C'!F137</f>
        <v>0</v>
      </c>
      <c r="E136" s="171">
        <f t="shared" si="28"/>
        <v>247773.17</v>
      </c>
      <c r="F136" s="171"/>
      <c r="G136" s="171">
        <f>E136+F136</f>
        <v>247773.17</v>
      </c>
      <c r="H136" s="172">
        <f>IF($G$208=0,0,G136/$G$208)</f>
        <v>1.9801171229128368E-2</v>
      </c>
      <c r="I136" s="473"/>
      <c r="J136" s="183">
        <v>8212.75</v>
      </c>
      <c r="K136" s="183">
        <v>8948.5300000000007</v>
      </c>
    </row>
    <row r="137" spans="1:11" s="167" customFormat="1">
      <c r="A137" s="169"/>
      <c r="B137" s="163" t="s">
        <v>196</v>
      </c>
      <c r="C137" s="501">
        <f>'[59]Sch C'!D138</f>
        <v>1372097.06</v>
      </c>
      <c r="D137" s="501">
        <f>'[59]Sch C'!F138</f>
        <v>0</v>
      </c>
      <c r="E137" s="171">
        <f t="shared" si="28"/>
        <v>1372097.06</v>
      </c>
      <c r="F137" s="171">
        <v>763</v>
      </c>
      <c r="G137" s="171">
        <f>E137+F137</f>
        <v>1372860.06</v>
      </c>
      <c r="H137" s="172">
        <f>IF($G$208=0,0,G137/$G$208)</f>
        <v>0.10971420804638148</v>
      </c>
      <c r="I137" s="473"/>
      <c r="J137" s="183">
        <v>103347</v>
      </c>
      <c r="K137" s="183">
        <v>110222.1</v>
      </c>
    </row>
    <row r="138" spans="1:11" s="167" customFormat="1">
      <c r="A138" s="169"/>
      <c r="B138" s="163" t="s">
        <v>197</v>
      </c>
      <c r="C138" s="501">
        <f>'[59]Sch C'!D139</f>
        <v>605171.26</v>
      </c>
      <c r="D138" s="501">
        <f>'[59]Sch C'!F139</f>
        <v>0</v>
      </c>
      <c r="E138" s="171">
        <f t="shared" si="28"/>
        <v>605171.26</v>
      </c>
      <c r="F138" s="171"/>
      <c r="G138" s="171">
        <f>E138+F138</f>
        <v>605171.26</v>
      </c>
      <c r="H138" s="172">
        <f>IF($G$208=0,0,G138/$G$208)</f>
        <v>4.8363185336844035E-2</v>
      </c>
      <c r="I138" s="473"/>
      <c r="J138" s="183">
        <v>15179.710000000001</v>
      </c>
      <c r="K138" s="183">
        <v>16563.489999999998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208"/>
      <c r="K139" s="208"/>
    </row>
    <row r="140" spans="1:11" s="167" customFormat="1">
      <c r="A140" s="169"/>
      <c r="B140" s="163" t="s">
        <v>194</v>
      </c>
      <c r="C140" s="501">
        <f>'[59]Sch C'!D141</f>
        <v>185117.26</v>
      </c>
      <c r="D140" s="501">
        <f>'[59]Sch C'!F141</f>
        <v>0</v>
      </c>
      <c r="E140" s="171">
        <f t="shared" ref="E140:E143" si="29">C140+D140</f>
        <v>185117.26</v>
      </c>
      <c r="F140" s="171"/>
      <c r="G140" s="171">
        <f>E140+F140</f>
        <v>185117.26</v>
      </c>
      <c r="H140" s="172">
        <f>IF($G$208=0,0,G140/$G$208)</f>
        <v>1.4793928506169882E-2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'[59]Sch C'!D142</f>
        <v>37156.5</v>
      </c>
      <c r="D141" s="501">
        <f>'[59]Sch C'!F142</f>
        <v>0</v>
      </c>
      <c r="E141" s="171">
        <f t="shared" si="29"/>
        <v>37156.5</v>
      </c>
      <c r="F141" s="171"/>
      <c r="G141" s="171">
        <f>E141+F141</f>
        <v>37156.5</v>
      </c>
      <c r="H141" s="172">
        <f>IF($G$208=0,0,G141/$G$208)</f>
        <v>2.9694184353177069E-3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'[59]Sch C'!D143</f>
        <v>205762.21</v>
      </c>
      <c r="D142" s="501">
        <f>'[59]Sch C'!F143</f>
        <v>0</v>
      </c>
      <c r="E142" s="171">
        <f t="shared" si="29"/>
        <v>205762.21</v>
      </c>
      <c r="F142" s="171"/>
      <c r="G142" s="171">
        <f>E142+F142</f>
        <v>205762.21</v>
      </c>
      <c r="H142" s="172">
        <f>IF($G$208=0,0,G142/$G$208)</f>
        <v>1.6443801210170857E-2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'[59]Sch C'!D144</f>
        <v>124722.29999999999</v>
      </c>
      <c r="D143" s="501">
        <f>'[59]Sch C'!F144</f>
        <v>0</v>
      </c>
      <c r="E143" s="171">
        <f t="shared" si="29"/>
        <v>124722.29999999999</v>
      </c>
      <c r="F143" s="171"/>
      <c r="G143" s="171">
        <f>E143+F143</f>
        <v>124722.29999999999</v>
      </c>
      <c r="H143" s="172">
        <f>IF($G$208=0,0,G143/$G$208)</f>
        <v>9.9673730549224397E-3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'[59]Sch C'!D146</f>
        <v>66000</v>
      </c>
      <c r="D145" s="501">
        <f>'[59]Sch C'!F146</f>
        <v>0</v>
      </c>
      <c r="E145" s="171">
        <f t="shared" ref="E145:E153" si="30">C145+D145</f>
        <v>66000</v>
      </c>
      <c r="F145" s="171"/>
      <c r="G145" s="171">
        <f t="shared" ref="G145:G153" si="31">E145+F145</f>
        <v>66000</v>
      </c>
      <c r="H145" s="172">
        <f t="shared" ref="H145:H153" si="32">IF($G$208=0,0,G145/$G$208)</f>
        <v>5.2744907817197173E-3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'[59]Sch C'!D147</f>
        <v>178.2</v>
      </c>
      <c r="D146" s="501">
        <f>'[59]Sch C'!F147</f>
        <v>0</v>
      </c>
      <c r="E146" s="171">
        <f t="shared" si="30"/>
        <v>178.2</v>
      </c>
      <c r="F146" s="171"/>
      <c r="G146" s="171">
        <f t="shared" si="31"/>
        <v>178.2</v>
      </c>
      <c r="H146" s="172">
        <f t="shared" si="32"/>
        <v>1.4241125110643235E-5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'[59]Sch C'!D148</f>
        <v>0</v>
      </c>
      <c r="D147" s="501">
        <f>'[59]Sch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'[59]Sch C'!D149</f>
        <v>0</v>
      </c>
      <c r="D148" s="501">
        <f>'[59]Sch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'[59]Sch C'!D150</f>
        <v>202278.15</v>
      </c>
      <c r="D149" s="501">
        <f>'[59]Sch C'!F150</f>
        <v>0</v>
      </c>
      <c r="E149" s="171">
        <f t="shared" si="30"/>
        <v>202278.15</v>
      </c>
      <c r="F149" s="171"/>
      <c r="G149" s="171">
        <f t="shared" si="31"/>
        <v>202278.15</v>
      </c>
      <c r="H149" s="172">
        <f t="shared" si="32"/>
        <v>1.6165367235126033E-2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'[59]Sch C'!D151</f>
        <v>367091.89</v>
      </c>
      <c r="D150" s="501">
        <f>'[59]Sch C'!F151</f>
        <v>0</v>
      </c>
      <c r="E150" s="171">
        <f t="shared" si="30"/>
        <v>367091.89</v>
      </c>
      <c r="F150" s="171">
        <f>-6167-20373</f>
        <v>-26540</v>
      </c>
      <c r="G150" s="171">
        <f t="shared" si="31"/>
        <v>340551.89</v>
      </c>
      <c r="H150" s="172">
        <f t="shared" si="32"/>
        <v>2.7215724310639806E-2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'[59]Sch C'!D152</f>
        <v>1606.69</v>
      </c>
      <c r="D151" s="501">
        <f>'[59]Sch C'!F152</f>
        <v>0</v>
      </c>
      <c r="E151" s="171">
        <f t="shared" si="30"/>
        <v>1606.69</v>
      </c>
      <c r="F151" s="171"/>
      <c r="G151" s="171">
        <f t="shared" si="31"/>
        <v>1606.69</v>
      </c>
      <c r="H151" s="172">
        <f t="shared" si="32"/>
        <v>1.2840108475880685E-4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'[59]Sch C'!D153</f>
        <v>5990.36</v>
      </c>
      <c r="D152" s="501">
        <f>'[59]Sch C'!F153</f>
        <v>0</v>
      </c>
      <c r="E152" s="171">
        <f t="shared" si="30"/>
        <v>5990.36</v>
      </c>
      <c r="F152" s="171"/>
      <c r="G152" s="171">
        <f t="shared" si="31"/>
        <v>5990.36</v>
      </c>
      <c r="H152" s="172">
        <f t="shared" si="32"/>
        <v>4.7872876665428063E-4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'[59]Sch C'!D154</f>
        <v>0</v>
      </c>
      <c r="D153" s="501">
        <f>'[59]Sch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'[59]Sch C'!D156</f>
        <v>0</v>
      </c>
      <c r="D155" s="501">
        <f>'[59]Sch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'[59]Sch C'!D157</f>
        <v>0</v>
      </c>
      <c r="D156" s="501">
        <f>'[59]Sch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'[59]Sch C'!D158</f>
        <v>0</v>
      </c>
      <c r="D157" s="501">
        <f>'[59]Sch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'[59]Sch C'!D159</f>
        <v>0</v>
      </c>
      <c r="D158" s="501">
        <f>'[59]Sch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'[59]Sch C'!D160</f>
        <v>3713.44</v>
      </c>
      <c r="D159" s="501">
        <f>'[59]Sch C'!F160</f>
        <v>0</v>
      </c>
      <c r="E159" s="171">
        <f t="shared" si="33"/>
        <v>3713.44</v>
      </c>
      <c r="F159" s="171"/>
      <c r="G159" s="171">
        <f t="shared" si="34"/>
        <v>3713.44</v>
      </c>
      <c r="H159" s="172">
        <f>IF($G$208=0,0,G159/$G$208)</f>
        <v>2.967652280071101E-4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'[59]Sch C'!D161</f>
        <v>84056.16</v>
      </c>
      <c r="D160" s="501">
        <f>'[59]Sch C'!F161</f>
        <v>0</v>
      </c>
      <c r="E160" s="171">
        <f t="shared" si="33"/>
        <v>84056.16</v>
      </c>
      <c r="F160" s="171">
        <f>-760-2224</f>
        <v>-2984</v>
      </c>
      <c r="G160" s="171">
        <f t="shared" si="34"/>
        <v>81072.160000000003</v>
      </c>
      <c r="H160" s="172">
        <f t="shared" si="35"/>
        <v>6.4790054632440303E-3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5439661.1100000013</v>
      </c>
      <c r="D161" s="501">
        <f>SUM(D123:D160)</f>
        <v>0</v>
      </c>
      <c r="E161" s="171">
        <f t="shared" ref="E161:F161" si="36">SUM(E123:E160)</f>
        <v>5439661.1100000013</v>
      </c>
      <c r="F161" s="171">
        <f t="shared" si="36"/>
        <v>-28761</v>
      </c>
      <c r="G161" s="171">
        <f>SUM(G123:G160)</f>
        <v>5410900.1100000013</v>
      </c>
      <c r="H161" s="172">
        <f t="shared" si="35"/>
        <v>0.43242034471213953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'[59]Sch C'!D175</f>
        <v>0</v>
      </c>
      <c r="D164" s="501">
        <f>'[59]Sch C'!F175</f>
        <v>0</v>
      </c>
      <c r="E164" s="171">
        <f t="shared" ref="E164:E196" si="37">C164+D164</f>
        <v>0</v>
      </c>
      <c r="F164" s="668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'[59]Sch C'!D176</f>
        <v>0</v>
      </c>
      <c r="D165" s="501">
        <f>'[59]Sch C'!F176</f>
        <v>0</v>
      </c>
      <c r="E165" s="171">
        <f t="shared" si="37"/>
        <v>0</v>
      </c>
      <c r="F165" s="668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'[59]Sch C'!D177</f>
        <v>0</v>
      </c>
      <c r="D166" s="501">
        <f>'[59]Sch C'!F177</f>
        <v>0</v>
      </c>
      <c r="E166" s="171">
        <f t="shared" si="37"/>
        <v>0</v>
      </c>
      <c r="F166" s="668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'[59]Sch C'!D178</f>
        <v>0</v>
      </c>
      <c r="D167" s="501">
        <f>'[59]Sch C'!F178</f>
        <v>0</v>
      </c>
      <c r="E167" s="171">
        <f t="shared" si="37"/>
        <v>0</v>
      </c>
      <c r="F167" s="668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'[59]Sch C'!D179</f>
        <v>0</v>
      </c>
      <c r="D168" s="501">
        <f>'[59]Sch C'!F179</f>
        <v>0</v>
      </c>
      <c r="E168" s="171">
        <f t="shared" si="37"/>
        <v>0</v>
      </c>
      <c r="F168" s="668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'[59]Sch C'!D180</f>
        <v>0</v>
      </c>
      <c r="D169" s="501">
        <f>'[59]Sch C'!F180</f>
        <v>0</v>
      </c>
      <c r="E169" s="171">
        <f t="shared" si="37"/>
        <v>0</v>
      </c>
      <c r="F169" s="668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'[59]Sch C'!D181</f>
        <v>0</v>
      </c>
      <c r="D170" s="501">
        <f>'[59]Sch C'!F181</f>
        <v>0</v>
      </c>
      <c r="E170" s="171">
        <f t="shared" si="37"/>
        <v>0</v>
      </c>
      <c r="F170" s="668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'[59]Sch C'!D182</f>
        <v>0</v>
      </c>
      <c r="D171" s="501">
        <f>'[59]Sch C'!F182</f>
        <v>0</v>
      </c>
      <c r="E171" s="171">
        <f t="shared" si="37"/>
        <v>0</v>
      </c>
      <c r="F171" s="668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'[59]Sch C'!D183</f>
        <v>0</v>
      </c>
      <c r="D172" s="501">
        <f>'[59]Sch C'!F183</f>
        <v>0</v>
      </c>
      <c r="E172" s="171">
        <f t="shared" si="37"/>
        <v>0</v>
      </c>
      <c r="F172" s="668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'[59]Sch C'!D184</f>
        <v>0</v>
      </c>
      <c r="D173" s="501">
        <f>'[59]Sch C'!F184</f>
        <v>0</v>
      </c>
      <c r="E173" s="171">
        <f t="shared" si="37"/>
        <v>0</v>
      </c>
      <c r="F173" s="668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'[59]Sch C'!D185</f>
        <v>0</v>
      </c>
      <c r="D174" s="501">
        <f>'[59]Sch C'!F185</f>
        <v>0</v>
      </c>
      <c r="E174" s="171">
        <f t="shared" si="37"/>
        <v>0</v>
      </c>
      <c r="F174" s="668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'[59]Sch C'!D186</f>
        <v>0</v>
      </c>
      <c r="D175" s="501">
        <f>'[59]Sch C'!F186</f>
        <v>0</v>
      </c>
      <c r="E175" s="171">
        <f t="shared" si="37"/>
        <v>0</v>
      </c>
      <c r="F175" s="668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'[59]Sch C'!D187</f>
        <v>0</v>
      </c>
      <c r="D176" s="501">
        <f>'[59]Sch C'!F187</f>
        <v>0</v>
      </c>
      <c r="E176" s="171">
        <f t="shared" si="37"/>
        <v>0</v>
      </c>
      <c r="F176" s="668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'[59]Sch C'!D188</f>
        <v>0</v>
      </c>
      <c r="D177" s="501">
        <f>'[59]Sch C'!F188</f>
        <v>0</v>
      </c>
      <c r="E177" s="171">
        <f t="shared" si="37"/>
        <v>0</v>
      </c>
      <c r="F177" s="668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'[59]Sch C'!D189</f>
        <v>0</v>
      </c>
      <c r="D178" s="501">
        <f>'[59]Sch C'!F189</f>
        <v>0</v>
      </c>
      <c r="E178" s="171">
        <f t="shared" si="37"/>
        <v>0</v>
      </c>
      <c r="F178" s="668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'[59]Sch C'!D190</f>
        <v>0</v>
      </c>
      <c r="D179" s="501">
        <f>'[59]Sch C'!F190</f>
        <v>0</v>
      </c>
      <c r="E179" s="171">
        <f t="shared" si="37"/>
        <v>0</v>
      </c>
      <c r="F179" s="668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'[59]Sch C'!D191</f>
        <v>0</v>
      </c>
      <c r="D180" s="501">
        <f>'[59]Sch C'!F191</f>
        <v>0</v>
      </c>
      <c r="E180" s="171">
        <f t="shared" si="37"/>
        <v>0</v>
      </c>
      <c r="F180" s="668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'[59]Sch C'!D192</f>
        <v>0</v>
      </c>
      <c r="D181" s="501">
        <f>'[59]Sch C'!F192</f>
        <v>0</v>
      </c>
      <c r="E181" s="171">
        <f t="shared" si="37"/>
        <v>0</v>
      </c>
      <c r="F181" s="668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'[59]Sch C'!D193</f>
        <v>0</v>
      </c>
      <c r="D182" s="501">
        <f>'[59]Sch C'!F193</f>
        <v>0</v>
      </c>
      <c r="E182" s="171">
        <f t="shared" si="37"/>
        <v>0</v>
      </c>
      <c r="F182" s="171">
        <v>1392</v>
      </c>
      <c r="G182" s="171">
        <f t="shared" si="38"/>
        <v>1392</v>
      </c>
      <c r="H182" s="172">
        <f t="shared" si="39"/>
        <v>1.1124380557808858E-4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'[59]Sch C'!D194</f>
        <v>724986.74</v>
      </c>
      <c r="D183" s="501">
        <f>'[59]Sch C'!F194</f>
        <v>-4240.46</v>
      </c>
      <c r="E183" s="171">
        <f t="shared" si="37"/>
        <v>720746.28</v>
      </c>
      <c r="F183" s="668"/>
      <c r="G183" s="171">
        <f t="shared" si="38"/>
        <v>720746.28</v>
      </c>
      <c r="H183" s="172">
        <f t="shared" si="39"/>
        <v>5.7599539542708758E-2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'[59]Sch C'!D195</f>
        <v>199060.53</v>
      </c>
      <c r="D184" s="501">
        <f>'[59]Sch C'!F195</f>
        <v>-1164.31</v>
      </c>
      <c r="E184" s="171">
        <f t="shared" si="37"/>
        <v>197896.22</v>
      </c>
      <c r="F184" s="668"/>
      <c r="G184" s="171">
        <f t="shared" si="38"/>
        <v>197896.22</v>
      </c>
      <c r="H184" s="172">
        <f t="shared" si="39"/>
        <v>1.5815178607987531E-2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'[59]Sch C'!D196</f>
        <v>0</v>
      </c>
      <c r="D185" s="501">
        <f>'[59]Sch C'!F196</f>
        <v>0</v>
      </c>
      <c r="E185" s="171">
        <f t="shared" si="37"/>
        <v>0</v>
      </c>
      <c r="F185" s="668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'[59]Sch C'!D197</f>
        <v>743680.25</v>
      </c>
      <c r="D186" s="501">
        <f>'[59]Sch C'!F197</f>
        <v>-4349.79</v>
      </c>
      <c r="E186" s="171">
        <f t="shared" si="37"/>
        <v>739330.46</v>
      </c>
      <c r="F186" s="668"/>
      <c r="G186" s="171">
        <f t="shared" si="38"/>
        <v>739330.46</v>
      </c>
      <c r="H186" s="172">
        <f t="shared" si="39"/>
        <v>5.9084722665372694E-2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'[59]Sch C'!D198</f>
        <v>111532.46</v>
      </c>
      <c r="D187" s="501">
        <f>'[59]Sch C'!F198</f>
        <v>0</v>
      </c>
      <c r="E187" s="171">
        <f t="shared" si="37"/>
        <v>111532.46</v>
      </c>
      <c r="F187" s="668"/>
      <c r="G187" s="171">
        <f t="shared" si="38"/>
        <v>111532.46</v>
      </c>
      <c r="H187" s="172">
        <f t="shared" si="39"/>
        <v>8.9132868504927746E-3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'[59]Sch C'!D199</f>
        <v>0</v>
      </c>
      <c r="D188" s="501">
        <f>'[59]Sch C'!F199</f>
        <v>0</v>
      </c>
      <c r="E188" s="171">
        <f t="shared" si="37"/>
        <v>0</v>
      </c>
      <c r="F188" s="668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'[59]Sch C'!D200</f>
        <v>0</v>
      </c>
      <c r="D189" s="501">
        <f>'[59]Sch C'!F200</f>
        <v>0</v>
      </c>
      <c r="E189" s="171">
        <f t="shared" si="37"/>
        <v>0</v>
      </c>
      <c r="F189" s="668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'[59]Sch C'!D201</f>
        <v>0</v>
      </c>
      <c r="D190" s="501">
        <f>'[59]Sch C'!F201</f>
        <v>0</v>
      </c>
      <c r="E190" s="171">
        <f t="shared" si="37"/>
        <v>0</v>
      </c>
      <c r="F190" s="668">
        <v>760</v>
      </c>
      <c r="G190" s="171">
        <f t="shared" si="38"/>
        <v>760</v>
      </c>
      <c r="H190" s="172">
        <f t="shared" si="39"/>
        <v>6.0736560516772498E-5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'[59]Sch C'!D202</f>
        <v>0</v>
      </c>
      <c r="D191" s="501">
        <f>'[59]Sch C'!F202</f>
        <v>0</v>
      </c>
      <c r="E191" s="171">
        <f t="shared" si="37"/>
        <v>0</v>
      </c>
      <c r="F191" s="668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'[59]Sch C'!D203</f>
        <v>0</v>
      </c>
      <c r="D192" s="501">
        <f>'[59]Sch C'!F203</f>
        <v>0</v>
      </c>
      <c r="E192" s="171">
        <f t="shared" si="37"/>
        <v>0</v>
      </c>
      <c r="F192" s="668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'[59]Sch C'!D204</f>
        <v>0</v>
      </c>
      <c r="D193" s="501">
        <f>'[59]Sch C'!F204</f>
        <v>0</v>
      </c>
      <c r="E193" s="171">
        <f t="shared" si="37"/>
        <v>0</v>
      </c>
      <c r="F193" s="668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'[59]Sch C'!D205</f>
        <v>925302.3</v>
      </c>
      <c r="D194" s="501">
        <f>'[59]Sch C'!F205</f>
        <v>-495855.07</v>
      </c>
      <c r="E194" s="171">
        <f t="shared" si="37"/>
        <v>429447.23000000004</v>
      </c>
      <c r="F194" s="668"/>
      <c r="G194" s="171">
        <f t="shared" si="38"/>
        <v>429447.23000000004</v>
      </c>
      <c r="H194" s="172">
        <f t="shared" si="39"/>
        <v>3.4319931149546477E-2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'[59]Sch C'!D206</f>
        <v>81054.990000000005</v>
      </c>
      <c r="D195" s="501">
        <f>'[59]Sch C'!F206</f>
        <v>0</v>
      </c>
      <c r="E195" s="171">
        <f t="shared" si="37"/>
        <v>81054.990000000005</v>
      </c>
      <c r="F195" s="668"/>
      <c r="G195" s="171">
        <f t="shared" si="38"/>
        <v>81054.990000000005</v>
      </c>
      <c r="H195" s="172">
        <f t="shared" si="39"/>
        <v>6.4776332964755134E-3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'[59]Sch C'!D207</f>
        <v>-12428.67</v>
      </c>
      <c r="D196" s="501">
        <f>'[59]Sch C'!F207</f>
        <v>0</v>
      </c>
      <c r="E196" s="171">
        <f t="shared" si="37"/>
        <v>-12428.67</v>
      </c>
      <c r="F196" s="668"/>
      <c r="G196" s="171">
        <f t="shared" si="38"/>
        <v>-12428.67</v>
      </c>
      <c r="H196" s="172">
        <f t="shared" si="39"/>
        <v>-9.9325614157630892E-4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2773188.6000000006</v>
      </c>
      <c r="D197" s="501">
        <f>SUM(D164:D196)</f>
        <v>-505609.63</v>
      </c>
      <c r="E197" s="171">
        <f t="shared" ref="E197:F197" si="40">SUM(E164:E196)</f>
        <v>2267578.9700000002</v>
      </c>
      <c r="F197" s="171">
        <f t="shared" si="40"/>
        <v>2152</v>
      </c>
      <c r="G197" s="171">
        <f>SUM(G164:G196)</f>
        <v>2269730.9700000002</v>
      </c>
      <c r="H197" s="172">
        <f>IF($G$208=0,0,G197/$G$208)</f>
        <v>0.1813890163371023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'[59]Sch C'!D211</f>
        <v>222597.66</v>
      </c>
      <c r="D200" s="501">
        <f>'[59]Sch C'!F211</f>
        <v>0</v>
      </c>
      <c r="E200" s="171">
        <f t="shared" ref="E200:E205" si="41">C200+D200</f>
        <v>222597.66</v>
      </c>
      <c r="F200" s="171"/>
      <c r="G200" s="171">
        <f t="shared" ref="G200:G205" si="42">E200+F200</f>
        <v>222597.66</v>
      </c>
      <c r="H200" s="172">
        <f t="shared" ref="H200:H206" si="43">IF($G$208=0,0,G200/$G$208)</f>
        <v>1.7789231904581513E-2</v>
      </c>
      <c r="I200" s="473"/>
      <c r="J200" s="183">
        <v>0</v>
      </c>
      <c r="K200" s="183">
        <v>0</v>
      </c>
    </row>
    <row r="201" spans="1:14" s="167" customFormat="1">
      <c r="A201" s="169" t="s">
        <v>86</v>
      </c>
      <c r="B201" s="170" t="s">
        <v>45</v>
      </c>
      <c r="C201" s="501">
        <f>'[59]Sch C'!D212</f>
        <v>56724.07</v>
      </c>
      <c r="D201" s="501">
        <f>'[59]Sch C'!F212</f>
        <v>0</v>
      </c>
      <c r="E201" s="171">
        <f t="shared" si="41"/>
        <v>56724.07</v>
      </c>
      <c r="F201" s="171"/>
      <c r="G201" s="171">
        <f t="shared" si="42"/>
        <v>56724.07</v>
      </c>
      <c r="H201" s="172">
        <f t="shared" si="43"/>
        <v>4.5331906714639993E-3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'[59]Sch C'!D213</f>
        <v>6719.86</v>
      </c>
      <c r="D202" s="501">
        <f>'[59]Sch C'!F213</f>
        <v>0</v>
      </c>
      <c r="E202" s="171">
        <f t="shared" si="41"/>
        <v>6719.86</v>
      </c>
      <c r="F202" s="171"/>
      <c r="G202" s="171">
        <f t="shared" si="42"/>
        <v>6719.86</v>
      </c>
      <c r="H202" s="172">
        <f t="shared" si="43"/>
        <v>5.3702787309768262E-4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'[59]Sch C'!D214</f>
        <v>8387.5</v>
      </c>
      <c r="D203" s="501">
        <f>'[59]Sch C'!F214</f>
        <v>0</v>
      </c>
      <c r="E203" s="171">
        <f t="shared" si="41"/>
        <v>8387.5</v>
      </c>
      <c r="F203" s="171"/>
      <c r="G203" s="171">
        <f t="shared" si="42"/>
        <v>8387.5</v>
      </c>
      <c r="H203" s="172">
        <f t="shared" si="43"/>
        <v>6.7029987017688071E-4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'[59]Sch C'!D215</f>
        <v>0</v>
      </c>
      <c r="D204" s="501">
        <f>'[59]Sch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'[59]Sch C'!D216</f>
        <v>15204.4</v>
      </c>
      <c r="D205" s="501">
        <f>'[59]Sch C'!F216</f>
        <v>0</v>
      </c>
      <c r="E205" s="171">
        <f t="shared" si="41"/>
        <v>15204.4</v>
      </c>
      <c r="F205" s="171"/>
      <c r="G205" s="171">
        <f t="shared" si="42"/>
        <v>15204.4</v>
      </c>
      <c r="H205" s="172">
        <f t="shared" si="43"/>
        <v>1.2150828430542312E-3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309633.49</v>
      </c>
      <c r="D206" s="501">
        <f>SUM(D200:D205)</f>
        <v>0</v>
      </c>
      <c r="E206" s="171">
        <f t="shared" ref="E206:F206" si="44">SUM(E200:E205)</f>
        <v>309633.49</v>
      </c>
      <c r="F206" s="171">
        <f t="shared" si="44"/>
        <v>0</v>
      </c>
      <c r="G206" s="171">
        <f>SUM(G200:G205)</f>
        <v>309633.49</v>
      </c>
      <c r="H206" s="172">
        <f t="shared" si="43"/>
        <v>2.4744833162374306E-2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14411055.850000003</v>
      </c>
      <c r="D208" s="501">
        <f>SUM(D25:D206)/2</f>
        <v>-1859777.5699999996</v>
      </c>
      <c r="E208" s="171">
        <f t="shared" ref="E208:F208" si="45">SUM(E25:E206)/2</f>
        <v>12551278.279999997</v>
      </c>
      <c r="F208" s="171">
        <f t="shared" si="45"/>
        <v>-38222</v>
      </c>
      <c r="G208" s="171">
        <f>SUM(G25:G206)/2</f>
        <v>12513056.279999997</v>
      </c>
      <c r="H208" s="172">
        <f>IF($G$208=0,0,G208/$G$208)</f>
        <v>1</v>
      </c>
      <c r="I208" s="473"/>
      <c r="J208" s="183">
        <f>SUM(J25:J200)</f>
        <v>232358.57</v>
      </c>
      <c r="K208" s="183">
        <f>SUM(K25:K200)</f>
        <v>249365.94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/>
      <c r="K210"/>
    </row>
    <row r="211" spans="1:11" s="167" customFormat="1" ht="15.5">
      <c r="A211" s="163"/>
      <c r="B211" s="228" t="s">
        <v>181</v>
      </c>
      <c r="C211" s="501">
        <f>'[59]Sch C'!D221</f>
        <v>14411056</v>
      </c>
      <c r="D211" s="196"/>
      <c r="E211" s="165"/>
      <c r="F211" s="533"/>
      <c r="G211"/>
      <c r="I211" s="475"/>
      <c r="J211"/>
      <c r="K211"/>
    </row>
    <row r="212" spans="1:11" s="167" customFormat="1" ht="15.5">
      <c r="A212" s="163"/>
      <c r="B212" s="170" t="s">
        <v>147</v>
      </c>
      <c r="C212" s="501">
        <f>C208-C211</f>
        <v>-0.14999999664723873</v>
      </c>
      <c r="D212" s="229"/>
      <c r="E212" s="165"/>
      <c r="F212" s="421"/>
      <c r="G212"/>
      <c r="I212" s="475"/>
      <c r="J212"/>
      <c r="K212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-2037183.0000000037</v>
      </c>
      <c r="D215" s="501">
        <f>D21-D208</f>
        <v>4296240.3699999992</v>
      </c>
      <c r="E215" s="171">
        <f t="shared" ref="E215:F215" si="46">E21-E208</f>
        <v>2259057.3700000029</v>
      </c>
      <c r="F215" s="171">
        <f t="shared" si="46"/>
        <v>2269856</v>
      </c>
      <c r="G215" s="171">
        <f>G21-G208</f>
        <v>4528913.3700000048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 ht="14" customHeight="1">
      <c r="A218" s="163"/>
      <c r="B218" s="232" t="s">
        <v>159</v>
      </c>
      <c r="C218" s="165"/>
      <c r="D218" s="165"/>
      <c r="E218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'[59]Sch D'!C9</f>
        <v>20619</v>
      </c>
      <c r="D219" s="530"/>
      <c r="E219" s="234">
        <f t="shared" ref="E219:G227" si="47">C219+D219</f>
        <v>20619</v>
      </c>
      <c r="F219" s="233"/>
      <c r="G219" s="234">
        <f t="shared" si="47"/>
        <v>20619</v>
      </c>
      <c r="H219" s="172">
        <f t="shared" ref="H219:H228" si="48">IF($G$228=0,0,G219/$G$228)</f>
        <v>0.55010404994397311</v>
      </c>
      <c r="I219" s="473"/>
      <c r="J219" s="168"/>
      <c r="K219" s="168"/>
    </row>
    <row r="220" spans="1:11">
      <c r="A220" s="163"/>
      <c r="B220" s="170" t="s">
        <v>217</v>
      </c>
      <c r="C220" s="530">
        <f>'[59]Sch D'!D9</f>
        <v>161</v>
      </c>
      <c r="D220" s="530"/>
      <c r="E220" s="234">
        <f t="shared" ref="E220:E227" si="49">C220+D220</f>
        <v>161</v>
      </c>
      <c r="F220" s="233"/>
      <c r="G220" s="234">
        <f t="shared" si="47"/>
        <v>161</v>
      </c>
      <c r="H220" s="172">
        <f t="shared" si="48"/>
        <v>4.2953951229923694E-3</v>
      </c>
      <c r="I220" s="473"/>
      <c r="J220" s="168"/>
      <c r="K220" s="168"/>
    </row>
    <row r="221" spans="1:11">
      <c r="A221" s="163"/>
      <c r="B221" s="170" t="s">
        <v>72</v>
      </c>
      <c r="C221" s="530">
        <f>'[59]Sch D'!E9</f>
        <v>9111</v>
      </c>
      <c r="D221" s="530"/>
      <c r="E221" s="234">
        <f t="shared" si="49"/>
        <v>9111</v>
      </c>
      <c r="F221" s="233"/>
      <c r="G221" s="234">
        <f t="shared" si="47"/>
        <v>9111</v>
      </c>
      <c r="H221" s="172">
        <f t="shared" si="48"/>
        <v>0.24307667680486633</v>
      </c>
      <c r="I221" s="473"/>
      <c r="J221" s="168"/>
      <c r="K221" s="168"/>
    </row>
    <row r="222" spans="1:11">
      <c r="A222" s="163"/>
      <c r="B222" s="202" t="s">
        <v>334</v>
      </c>
      <c r="C222" s="530">
        <f>'[59]Sch D'!F9</f>
        <v>2281</v>
      </c>
      <c r="D222" s="530"/>
      <c r="E222" s="234">
        <f>C222+D222</f>
        <v>2281</v>
      </c>
      <c r="F222" s="233"/>
      <c r="G222" s="234">
        <f>E222+F222</f>
        <v>2281</v>
      </c>
      <c r="H222" s="172">
        <f t="shared" si="48"/>
        <v>6.0855877487860838E-2</v>
      </c>
      <c r="I222" s="473"/>
      <c r="J222" s="168"/>
      <c r="K222" s="168"/>
    </row>
    <row r="223" spans="1:11">
      <c r="A223" s="163"/>
      <c r="B223" s="170" t="s">
        <v>73</v>
      </c>
      <c r="C223" s="530">
        <f>'[59]Sch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'[59]Sch D'!H9</f>
        <v>3229</v>
      </c>
      <c r="D224" s="530"/>
      <c r="E224" s="234">
        <f t="shared" si="49"/>
        <v>3229</v>
      </c>
      <c r="F224" s="233"/>
      <c r="G224" s="234">
        <f t="shared" si="47"/>
        <v>3229</v>
      </c>
      <c r="H224" s="172">
        <f t="shared" si="48"/>
        <v>8.6148017715169944E-2</v>
      </c>
      <c r="I224" s="473"/>
      <c r="J224" s="168"/>
      <c r="K224" s="168"/>
    </row>
    <row r="225" spans="1:11">
      <c r="A225" s="163"/>
      <c r="B225" s="170" t="s">
        <v>236</v>
      </c>
      <c r="C225" s="530">
        <f>'[59]Sch D'!I9</f>
        <v>1767</v>
      </c>
      <c r="D225" s="530"/>
      <c r="E225" s="234">
        <f t="shared" si="49"/>
        <v>1767</v>
      </c>
      <c r="F225" s="233"/>
      <c r="G225" s="234">
        <f t="shared" si="47"/>
        <v>1767</v>
      </c>
      <c r="H225" s="172">
        <f t="shared" si="48"/>
        <v>4.7142628461661597E-2</v>
      </c>
      <c r="I225" s="473"/>
      <c r="J225" s="168"/>
      <c r="K225" s="168"/>
    </row>
    <row r="226" spans="1:11">
      <c r="A226" s="163"/>
      <c r="B226" s="170" t="s">
        <v>235</v>
      </c>
      <c r="C226" s="530">
        <f>'[59]Sch D'!J9</f>
        <v>314</v>
      </c>
      <c r="D226" s="530"/>
      <c r="E226" s="234">
        <f>C226+D226</f>
        <v>314</v>
      </c>
      <c r="F226" s="233"/>
      <c r="G226" s="234">
        <f>E226+F226</f>
        <v>314</v>
      </c>
      <c r="H226" s="172">
        <f t="shared" si="48"/>
        <v>8.3773544634758012E-3</v>
      </c>
      <c r="I226" s="473"/>
      <c r="J226" s="168"/>
      <c r="K226" s="168"/>
    </row>
    <row r="227" spans="1:11">
      <c r="A227" s="163"/>
      <c r="B227" s="170" t="s">
        <v>179</v>
      </c>
      <c r="C227" s="530">
        <f>'[59]Sch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37482</v>
      </c>
      <c r="D228" s="530">
        <f>SUM(D219:D227)</f>
        <v>0</v>
      </c>
      <c r="E228" s="236">
        <f>SUM(E219:E227)</f>
        <v>37482</v>
      </c>
      <c r="F228" s="236">
        <f>SUM(F219:F227)</f>
        <v>0</v>
      </c>
      <c r="G228" s="236">
        <f>SUM(G219:G227)</f>
        <v>37482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455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'[59]Sch D'!N22</f>
        <v>124</v>
      </c>
      <c r="D231" s="502"/>
      <c r="E231" s="234">
        <f>C231+D231</f>
        <v>124</v>
      </c>
      <c r="F231" s="456"/>
      <c r="G231" s="234">
        <f>E231+F231</f>
        <v>124</v>
      </c>
      <c r="H231" s="457"/>
      <c r="I231" s="475"/>
      <c r="J231" s="168"/>
      <c r="K231" s="168"/>
    </row>
    <row r="232" spans="1:11" ht="15.5">
      <c r="A232" s="163"/>
      <c r="B232" s="202" t="s">
        <v>290</v>
      </c>
      <c r="C232" s="531">
        <f>'[59]Sch D'!N24</f>
        <v>124</v>
      </c>
      <c r="D232" s="502"/>
      <c r="E232" s="234">
        <f>C232+D232</f>
        <v>124</v>
      </c>
      <c r="F232" s="456"/>
      <c r="G232" s="234">
        <f>E232+F232</f>
        <v>124</v>
      </c>
      <c r="H232"/>
      <c r="I232" s="475"/>
      <c r="J232" s="168"/>
      <c r="K232" s="168"/>
    </row>
    <row r="233" spans="1:11" ht="15.5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/>
      <c r="I233" s="475"/>
      <c r="J233" s="168"/>
      <c r="K233" s="168"/>
    </row>
    <row r="234" spans="1:11" ht="15.5">
      <c r="A234" s="163"/>
      <c r="B234" s="239"/>
      <c r="C234" s="583"/>
      <c r="D234" s="238"/>
      <c r="E234" s="240"/>
      <c r="F234" s="238"/>
      <c r="G234" s="240"/>
      <c r="H234"/>
      <c r="I234" s="475"/>
      <c r="J234" s="168"/>
      <c r="K234" s="168"/>
    </row>
    <row r="235" spans="1:11" ht="26">
      <c r="A235" s="163"/>
      <c r="B235" s="241" t="s">
        <v>335</v>
      </c>
      <c r="C235" s="531">
        <f>'[59]Sch D'!N28</f>
        <v>45260</v>
      </c>
      <c r="D235" s="438"/>
      <c r="E235" s="233">
        <f>E231*E233</f>
        <v>45260</v>
      </c>
      <c r="F235" s="238"/>
      <c r="G235" s="233">
        <f>G231*G233</f>
        <v>45260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'[59]Sch D'!N30</f>
        <v>0.82814847547503312</v>
      </c>
      <c r="D236" s="238"/>
      <c r="E236" s="242">
        <f>E228/E235</f>
        <v>0.82814847547503312</v>
      </c>
      <c r="F236" s="243"/>
      <c r="G236" s="242">
        <f>G228/G235</f>
        <v>0.82814847547503312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'[59]Sch D'!N32</f>
        <v>0.45912505523641184</v>
      </c>
      <c r="D237" s="238"/>
      <c r="E237" s="242">
        <f>(E219+E220)/E235</f>
        <v>0.45912505523641184</v>
      </c>
      <c r="F237" s="243"/>
      <c r="G237" s="242">
        <f>(G219+G220)/G235</f>
        <v>0.45912505523641184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'[59]Sch D'!N34</f>
        <v>0.55439944506696548</v>
      </c>
      <c r="D238" s="238"/>
      <c r="E238" s="242">
        <f>(E237/E236)</f>
        <v>0.55439944506696548</v>
      </c>
      <c r="F238" s="243"/>
      <c r="G238" s="242">
        <f>(G237/G236)</f>
        <v>0.55439944506696548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'[59]Sch B'!C85</f>
        <v>299.16981283422456</v>
      </c>
      <c r="I241" s="475"/>
    </row>
    <row r="242" spans="2:9">
      <c r="F242" s="142" t="s">
        <v>341</v>
      </c>
      <c r="G242" s="501">
        <f>'[59]Sch B'!E85</f>
        <v>327.54602201257865</v>
      </c>
      <c r="I242" s="475"/>
    </row>
    <row r="243" spans="2:9">
      <c r="F243" s="142" t="s">
        <v>342</v>
      </c>
      <c r="G243" s="501">
        <f>'[59]Sch B'!G85</f>
        <v>277.09830508474579</v>
      </c>
      <c r="I243" s="475"/>
    </row>
    <row r="244" spans="2:9">
      <c r="F244" s="142" t="s">
        <v>343</v>
      </c>
      <c r="G244" s="501">
        <f>'[59]Sch B'!I85</f>
        <v>369.98447124304266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B13" sqref="B13"/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  <ignoredErrors>
    <ignoredError sqref="C6:H6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1">
    <tabColor rgb="FFE28CAB"/>
  </sheetPr>
  <dimension ref="A1:O246"/>
  <sheetViews>
    <sheetView showGridLines="0" topLeftCell="A182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442</v>
      </c>
      <c r="D2" s="144"/>
      <c r="E2" s="144"/>
    </row>
    <row r="3" spans="1:11" ht="15.5">
      <c r="A3" s="145"/>
      <c r="B3" s="140" t="s">
        <v>79</v>
      </c>
      <c r="C3" s="441">
        <v>42552</v>
      </c>
      <c r="D3" s="144"/>
      <c r="E3" s="147"/>
      <c r="F3"/>
    </row>
    <row r="4" spans="1:11" ht="15.5">
      <c r="A4" s="145"/>
      <c r="B4" s="148" t="s">
        <v>80</v>
      </c>
      <c r="C4" s="441">
        <v>42916</v>
      </c>
      <c r="D4" s="144"/>
      <c r="E4" s="149"/>
      <c r="F4"/>
      <c r="G4" s="150"/>
    </row>
    <row r="5" spans="1:11" ht="15.5">
      <c r="A5" s="145"/>
      <c r="B5" s="148"/>
      <c r="C5" s="151"/>
      <c r="D5" s="144"/>
      <c r="F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5.5" thickBot="1">
      <c r="A10" s="163" t="s">
        <v>245</v>
      </c>
      <c r="B10" s="164" t="s">
        <v>246</v>
      </c>
      <c r="C10" s="165"/>
      <c r="D10" s="165"/>
      <c r="E10" s="165"/>
      <c r="F10" s="416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'[60]Sch B'!E10</f>
        <v>1979157.1599999997</v>
      </c>
      <c r="D11" s="501">
        <f>'[60]Sch B'!G10</f>
        <v>128749.62</v>
      </c>
      <c r="E11" s="171">
        <f>C11+D11</f>
        <v>2107906.7799999998</v>
      </c>
      <c r="F11" s="171">
        <v>694910</v>
      </c>
      <c r="G11" s="171">
        <f t="shared" ref="G11:G20" si="0">E11+F11</f>
        <v>2802816.78</v>
      </c>
      <c r="H11" s="172">
        <f t="shared" ref="H11:H21" si="1">IF($G$21=0,0,G11/$G$21)</f>
        <v>0.40215342832224227</v>
      </c>
      <c r="I11" s="472"/>
      <c r="J11" s="336" t="s">
        <v>344</v>
      </c>
      <c r="K11" s="337">
        <f>G21</f>
        <v>6969521.040000001</v>
      </c>
    </row>
    <row r="12" spans="1:11" s="167" customFormat="1">
      <c r="A12" s="169" t="s">
        <v>15</v>
      </c>
      <c r="B12" s="170" t="s">
        <v>212</v>
      </c>
      <c r="C12" s="501">
        <f>'[60]Sch B'!E15</f>
        <v>0</v>
      </c>
      <c r="D12" s="501">
        <f>'[60]Sch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6210164.9400000004</v>
      </c>
    </row>
    <row r="13" spans="1:11" s="167" customFormat="1">
      <c r="A13" s="169" t="s">
        <v>16</v>
      </c>
      <c r="B13" s="170" t="s">
        <v>170</v>
      </c>
      <c r="C13" s="501">
        <f>'[60]Sch B'!E21</f>
        <v>2115780.96</v>
      </c>
      <c r="D13" s="501">
        <f>'[60]Sch B'!G21</f>
        <v>0</v>
      </c>
      <c r="E13" s="171">
        <f t="shared" si="2"/>
        <v>2115780.96</v>
      </c>
      <c r="F13" s="171"/>
      <c r="G13" s="171">
        <f t="shared" si="0"/>
        <v>2115780.96</v>
      </c>
      <c r="H13" s="172">
        <f t="shared" si="1"/>
        <v>0.30357623541947149</v>
      </c>
      <c r="I13" s="473"/>
      <c r="J13" s="338" t="s">
        <v>346</v>
      </c>
      <c r="K13" s="339">
        <f>G228</f>
        <v>24409</v>
      </c>
    </row>
    <row r="14" spans="1:11" s="167" customFormat="1">
      <c r="A14" s="173" t="s">
        <v>18</v>
      </c>
      <c r="B14" s="174" t="s">
        <v>306</v>
      </c>
      <c r="C14" s="501">
        <f>'[60]Sch B'!E27</f>
        <v>407950.37000000005</v>
      </c>
      <c r="D14" s="501">
        <f>'[60]Sch B'!G27</f>
        <v>0</v>
      </c>
      <c r="E14" s="171">
        <f t="shared" si="2"/>
        <v>407950.37000000005</v>
      </c>
      <c r="F14" s="171"/>
      <c r="G14" s="175">
        <f>E14+F14</f>
        <v>407950.37000000005</v>
      </c>
      <c r="H14" s="176">
        <f t="shared" si="1"/>
        <v>5.8533487116067304E-2</v>
      </c>
      <c r="I14" s="479"/>
      <c r="J14" s="338" t="s">
        <v>347</v>
      </c>
      <c r="K14" s="339">
        <f>G231</f>
        <v>120</v>
      </c>
    </row>
    <row r="15" spans="1:11" s="167" customFormat="1">
      <c r="A15" s="169" t="s">
        <v>19</v>
      </c>
      <c r="B15" s="170" t="s">
        <v>171</v>
      </c>
      <c r="C15" s="501">
        <f>'[60]Sch B'!E32</f>
        <v>0</v>
      </c>
      <c r="D15" s="501">
        <f>'[60]Sch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43800</v>
      </c>
    </row>
    <row r="16" spans="1:11" s="167" customFormat="1">
      <c r="A16" s="169" t="s">
        <v>21</v>
      </c>
      <c r="B16" s="170" t="s">
        <v>172</v>
      </c>
      <c r="C16" s="501">
        <f>'[60]Sch B'!E37</f>
        <v>473817.74</v>
      </c>
      <c r="D16" s="501">
        <f>'[60]Sch B'!G37</f>
        <v>0</v>
      </c>
      <c r="E16" s="171">
        <f t="shared" si="2"/>
        <v>473817.74</v>
      </c>
      <c r="F16" s="171"/>
      <c r="G16" s="171">
        <f t="shared" si="0"/>
        <v>473817.74</v>
      </c>
      <c r="H16" s="172">
        <f t="shared" si="1"/>
        <v>6.7984261368984972E-2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'[60]Sch B'!E42</f>
        <v>0</v>
      </c>
      <c r="D17" s="501">
        <f>'[60]Sch B'!G42</f>
        <v>692341.83</v>
      </c>
      <c r="E17" s="171">
        <f t="shared" si="2"/>
        <v>692341.83</v>
      </c>
      <c r="F17" s="171"/>
      <c r="G17" s="171">
        <f>E17+F17</f>
        <v>692341.83</v>
      </c>
      <c r="H17" s="172">
        <f t="shared" si="1"/>
        <v>9.9338509206939693E-2</v>
      </c>
      <c r="I17" s="473"/>
      <c r="J17" s="338" t="s">
        <v>156</v>
      </c>
      <c r="K17" s="339">
        <f>J208</f>
        <v>138799.4</v>
      </c>
    </row>
    <row r="18" spans="1:11" s="167" customFormat="1" ht="13.5" thickBot="1">
      <c r="A18" s="169" t="s">
        <v>216</v>
      </c>
      <c r="B18" s="170" t="s">
        <v>229</v>
      </c>
      <c r="C18" s="501">
        <f>'[60]Sch B'!E47</f>
        <v>1134382.3900000001</v>
      </c>
      <c r="D18" s="501">
        <f>'[60]Sch B'!G47</f>
        <v>-692341.83</v>
      </c>
      <c r="E18" s="171">
        <f t="shared" si="2"/>
        <v>442040.56000000017</v>
      </c>
      <c r="F18" s="171"/>
      <c r="G18" s="171">
        <f>E18+F18</f>
        <v>442040.56000000017</v>
      </c>
      <c r="H18" s="172">
        <f t="shared" si="1"/>
        <v>6.3424811757222282E-2</v>
      </c>
      <c r="I18" s="473"/>
      <c r="J18" s="341" t="s">
        <v>252</v>
      </c>
      <c r="K18" s="342">
        <f>K208</f>
        <v>148879.67000000001</v>
      </c>
    </row>
    <row r="19" spans="1:11" s="167" customFormat="1">
      <c r="A19" s="169" t="s">
        <v>227</v>
      </c>
      <c r="B19" s="177" t="s">
        <v>173</v>
      </c>
      <c r="C19" s="501">
        <f>'[60]Sch B'!E52</f>
        <v>0</v>
      </c>
      <c r="D19" s="501">
        <f>'[60]Sch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'[60]Sch B'!E67</f>
        <v>-198692.31</v>
      </c>
      <c r="D20" s="501">
        <f>'[60]Sch B'!G67</f>
        <v>33465.11</v>
      </c>
      <c r="E20" s="171">
        <f t="shared" si="2"/>
        <v>-165227.20000000001</v>
      </c>
      <c r="F20" s="171">
        <v>200000</v>
      </c>
      <c r="G20" s="171">
        <f t="shared" si="0"/>
        <v>34772.799999999988</v>
      </c>
      <c r="H20" s="172">
        <f t="shared" si="1"/>
        <v>4.989266809071859E-3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5912396.3099999996</v>
      </c>
      <c r="D21" s="501">
        <f>SUM(D11:D20)</f>
        <v>162214.72999999998</v>
      </c>
      <c r="E21" s="171">
        <f>SUM(E11:E20)</f>
        <v>6074611.040000001</v>
      </c>
      <c r="F21" s="171">
        <f>SUM(F11:F20)</f>
        <v>894910</v>
      </c>
      <c r="G21" s="171">
        <f>SUM(G11:G20)</f>
        <v>6969521.040000001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'[60]Sch C'!D10</f>
        <v>0</v>
      </c>
      <c r="D25" s="501">
        <f>'[60]Sch C'!F10</f>
        <v>82950.03</v>
      </c>
      <c r="E25" s="171">
        <f t="shared" ref="E25:E60" si="3">C25+D25</f>
        <v>82950.03</v>
      </c>
      <c r="F25" s="171"/>
      <c r="G25" s="182">
        <f>E25+F25</f>
        <v>82950.03</v>
      </c>
      <c r="H25" s="172">
        <f>IF($G$208=0,0,G25/$G$208)</f>
        <v>1.3357137982876183E-2</v>
      </c>
      <c r="I25" s="473"/>
      <c r="J25" s="183">
        <v>0</v>
      </c>
      <c r="K25" s="183">
        <v>0</v>
      </c>
    </row>
    <row r="26" spans="1:11" s="167" customFormat="1">
      <c r="A26" s="169" t="s">
        <v>84</v>
      </c>
      <c r="B26" s="170" t="s">
        <v>176</v>
      </c>
      <c r="C26" s="501">
        <f>'[60]Sch C'!D11</f>
        <v>0</v>
      </c>
      <c r="D26" s="501">
        <f>'[60]Sch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'[60]Sch C'!D12</f>
        <v>148251.19</v>
      </c>
      <c r="D27" s="501">
        <f>'[60]Sch C'!F12</f>
        <v>0</v>
      </c>
      <c r="E27" s="171">
        <f t="shared" si="3"/>
        <v>148251.19</v>
      </c>
      <c r="F27" s="171"/>
      <c r="G27" s="171">
        <f t="shared" si="4"/>
        <v>148251.19</v>
      </c>
      <c r="H27" s="172">
        <f t="shared" si="5"/>
        <v>2.3872343397049932E-2</v>
      </c>
      <c r="I27" s="473"/>
      <c r="J27" s="183">
        <v>6938.57</v>
      </c>
      <c r="K27" s="183">
        <v>7484.57</v>
      </c>
    </row>
    <row r="28" spans="1:11" s="167" customFormat="1">
      <c r="A28" s="169" t="s">
        <v>86</v>
      </c>
      <c r="B28" s="170" t="s">
        <v>45</v>
      </c>
      <c r="C28" s="501">
        <f>'[60]Sch C'!D13</f>
        <v>54656.95</v>
      </c>
      <c r="D28" s="501">
        <f>'[60]Sch C'!F13</f>
        <v>6785.32</v>
      </c>
      <c r="E28" s="171">
        <f t="shared" si="3"/>
        <v>61442.27</v>
      </c>
      <c r="F28" s="171"/>
      <c r="G28" s="171">
        <f t="shared" si="4"/>
        <v>61442.27</v>
      </c>
      <c r="H28" s="172">
        <f t="shared" si="5"/>
        <v>9.8938225624648213E-3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'[60]Sch C'!D14</f>
        <v>0</v>
      </c>
      <c r="D29" s="501">
        <f>'[60]Sch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'[60]Sch C'!D15</f>
        <v>0</v>
      </c>
      <c r="D30" s="501">
        <f>'[60]Sch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'[60]Sch C'!D16</f>
        <v>381599.2</v>
      </c>
      <c r="D31" s="501">
        <f>'[60]Sch C'!F16</f>
        <v>-42567</v>
      </c>
      <c r="E31" s="171">
        <f t="shared" si="3"/>
        <v>339032.2</v>
      </c>
      <c r="F31" s="171"/>
      <c r="G31" s="171">
        <f t="shared" si="4"/>
        <v>339032.2</v>
      </c>
      <c r="H31" s="172">
        <f t="shared" si="5"/>
        <v>5.4593107151836774E-2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'[60]Sch C'!D17</f>
        <v>24983.14</v>
      </c>
      <c r="D32" s="501">
        <f>'[60]Sch C'!F17</f>
        <v>-24983.14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'[60]Sch C'!D18</f>
        <v>13269.68</v>
      </c>
      <c r="D33" s="501">
        <f>'[60]Sch C'!F18</f>
        <v>0</v>
      </c>
      <c r="E33" s="171">
        <f t="shared" si="3"/>
        <v>13269.68</v>
      </c>
      <c r="F33" s="171"/>
      <c r="G33" s="171">
        <f t="shared" si="4"/>
        <v>13269.68</v>
      </c>
      <c r="H33" s="172">
        <f t="shared" si="5"/>
        <v>2.1367677232740296E-3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'[60]Sch C'!D19</f>
        <v>48252.17</v>
      </c>
      <c r="D34" s="501">
        <f>'[60]Sch C'!F19</f>
        <v>0</v>
      </c>
      <c r="E34" s="171">
        <f t="shared" si="3"/>
        <v>48252.17</v>
      </c>
      <c r="F34" s="171">
        <f>-3503-3724</f>
        <v>-7227</v>
      </c>
      <c r="G34" s="171">
        <f t="shared" si="4"/>
        <v>41025.17</v>
      </c>
      <c r="H34" s="172">
        <f t="shared" si="5"/>
        <v>6.6061321070161457E-3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'[60]Sch C'!D20</f>
        <v>19856.96</v>
      </c>
      <c r="D35" s="501">
        <f>'[60]Sch C'!F20</f>
        <v>0</v>
      </c>
      <c r="E35" s="171">
        <f t="shared" si="3"/>
        <v>19856.96</v>
      </c>
      <c r="F35" s="171">
        <f>-881-800-9990</f>
        <v>-11671</v>
      </c>
      <c r="G35" s="171">
        <f t="shared" si="4"/>
        <v>8185.9599999999991</v>
      </c>
      <c r="H35" s="172">
        <f t="shared" si="5"/>
        <v>1.3181550053966841E-3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'[60]Sch C'!D21</f>
        <v>38606.04</v>
      </c>
      <c r="D36" s="501">
        <f>'[60]Sch C'!F21</f>
        <v>0</v>
      </c>
      <c r="E36" s="171">
        <f t="shared" si="3"/>
        <v>38606.04</v>
      </c>
      <c r="F36" s="171"/>
      <c r="G36" s="171">
        <f t="shared" si="4"/>
        <v>38606.04</v>
      </c>
      <c r="H36" s="172">
        <f t="shared" si="5"/>
        <v>6.2165885081950818E-3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'[60]Sch C'!D22</f>
        <v>0</v>
      </c>
      <c r="D37" s="501">
        <f>'[60]Sch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'[60]Sch C'!D23</f>
        <v>16625.43</v>
      </c>
      <c r="D38" s="501">
        <f>'[60]Sch C'!F23</f>
        <v>0</v>
      </c>
      <c r="E38" s="171">
        <f t="shared" si="3"/>
        <v>16625.43</v>
      </c>
      <c r="F38" s="171"/>
      <c r="G38" s="171">
        <f t="shared" si="4"/>
        <v>16625.43</v>
      </c>
      <c r="H38" s="172">
        <f t="shared" si="5"/>
        <v>2.6771317928956651E-3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'[60]Sch C'!D24</f>
        <v>51747.18</v>
      </c>
      <c r="D39" s="501">
        <f>'[60]Sch C'!F24</f>
        <v>-4355.53</v>
      </c>
      <c r="E39" s="171">
        <f t="shared" si="3"/>
        <v>47391.65</v>
      </c>
      <c r="F39" s="171">
        <v>800</v>
      </c>
      <c r="G39" s="171">
        <f t="shared" si="4"/>
        <v>48191.65</v>
      </c>
      <c r="H39" s="172">
        <f t="shared" si="5"/>
        <v>7.7601240008288727E-3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'[60]Sch C'!D25</f>
        <v>2000</v>
      </c>
      <c r="D40" s="501">
        <f>'[60]Sch C'!F25</f>
        <v>0</v>
      </c>
      <c r="E40" s="171">
        <f t="shared" si="3"/>
        <v>2000</v>
      </c>
      <c r="F40" s="171"/>
      <c r="G40" s="171">
        <f t="shared" si="4"/>
        <v>2000</v>
      </c>
      <c r="H40" s="172">
        <f t="shared" si="5"/>
        <v>3.2205263778388465E-4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'[60]Sch C'!D26</f>
        <v>357587.68</v>
      </c>
      <c r="D41" s="501">
        <f>'[60]Sch C'!F26</f>
        <v>0</v>
      </c>
      <c r="E41" s="171">
        <f t="shared" si="3"/>
        <v>357587.68</v>
      </c>
      <c r="F41" s="171"/>
      <c r="G41" s="171">
        <f t="shared" si="4"/>
        <v>357587.68</v>
      </c>
      <c r="H41" s="172">
        <f t="shared" si="5"/>
        <v>5.758102779150983E-2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'[60]Sch C'!D27</f>
        <v>0</v>
      </c>
      <c r="D42" s="501">
        <f>'[60]Sch C'!F27</f>
        <v>33465.11</v>
      </c>
      <c r="E42" s="171">
        <f t="shared" si="3"/>
        <v>33465.11</v>
      </c>
      <c r="F42" s="171">
        <v>3503</v>
      </c>
      <c r="G42" s="171">
        <f t="shared" si="4"/>
        <v>36968.11</v>
      </c>
      <c r="H42" s="172">
        <f t="shared" si="5"/>
        <v>5.9528386696924025E-3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'[60]Sch C'!D28</f>
        <v>30095.67</v>
      </c>
      <c r="D43" s="501">
        <f>'[60]Sch C'!F28</f>
        <v>-30095.67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'[60]Sch C'!D29</f>
        <v>45033.82</v>
      </c>
      <c r="D44" s="501">
        <f>'[60]Sch C'!F29</f>
        <v>-45033.82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'[60]Sch C'!D30</f>
        <v>0</v>
      </c>
      <c r="D45" s="501">
        <f>'[60]Sch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'[60]Sch C'!D31</f>
        <v>1470.77</v>
      </c>
      <c r="D46" s="501">
        <f>'[60]Sch C'!F31</f>
        <v>0</v>
      </c>
      <c r="E46" s="171">
        <f t="shared" si="3"/>
        <v>1470.77</v>
      </c>
      <c r="F46" s="171"/>
      <c r="G46" s="171">
        <f t="shared" si="4"/>
        <v>1470.77</v>
      </c>
      <c r="H46" s="172">
        <f t="shared" si="5"/>
        <v>2.3683267903670203E-4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'[60]Sch C'!D32</f>
        <v>250</v>
      </c>
      <c r="D47" s="501">
        <f>'[60]Sch C'!F32</f>
        <v>21756.06</v>
      </c>
      <c r="E47" s="171">
        <f t="shared" si="3"/>
        <v>22006.06</v>
      </c>
      <c r="F47" s="171"/>
      <c r="G47" s="171">
        <f t="shared" si="4"/>
        <v>22006.06</v>
      </c>
      <c r="H47" s="172">
        <f t="shared" si="5"/>
        <v>3.5435548351152165E-3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'[60]Sch C'!D33</f>
        <v>0</v>
      </c>
      <c r="D48" s="501">
        <f>'[60]Sch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'[60]Sch C'!D34</f>
        <v>0</v>
      </c>
      <c r="D49" s="501">
        <f>'[60]Sch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'[60]Sch C'!D35</f>
        <v>66782.62</v>
      </c>
      <c r="D50" s="501">
        <f>'[60]Sch C'!F35</f>
        <v>-66782.62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'[60]Sch C'!D36</f>
        <v>0</v>
      </c>
      <c r="D51" s="501">
        <f>'[60]Sch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1754.75</v>
      </c>
      <c r="K51" s="183">
        <v>1845.5</v>
      </c>
    </row>
    <row r="52" spans="1:11" s="167" customFormat="1">
      <c r="A52" s="163">
        <v>290</v>
      </c>
      <c r="B52" s="170" t="s">
        <v>205</v>
      </c>
      <c r="C52" s="501">
        <f>'[60]Sch C'!D37</f>
        <v>0</v>
      </c>
      <c r="D52" s="501">
        <f>'[60]Sch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'[60]Sch C'!D38</f>
        <v>0</v>
      </c>
      <c r="D53" s="501">
        <f>'[60]Sch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'[60]Sch C'!D39</f>
        <v>3340.43</v>
      </c>
      <c r="D54" s="501">
        <f>'[60]Sch C'!F39</f>
        <v>0</v>
      </c>
      <c r="E54" s="171">
        <f t="shared" si="3"/>
        <v>3340.43</v>
      </c>
      <c r="F54" s="171"/>
      <c r="G54" s="171">
        <f t="shared" si="4"/>
        <v>3340.43</v>
      </c>
      <c r="H54" s="172">
        <f t="shared" si="5"/>
        <v>5.3789714641621093E-4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'[60]Sch C'!D40</f>
        <v>22461.98</v>
      </c>
      <c r="D55" s="501">
        <f>'[60]Sch C'!F40</f>
        <v>0</v>
      </c>
      <c r="E55" s="171">
        <f t="shared" si="3"/>
        <v>22461.98</v>
      </c>
      <c r="F55" s="171"/>
      <c r="G55" s="171">
        <f t="shared" si="4"/>
        <v>22461.98</v>
      </c>
      <c r="H55" s="172">
        <f t="shared" si="5"/>
        <v>3.6169699544244308E-3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'[60]Sch C'!D41</f>
        <v>76694.11</v>
      </c>
      <c r="D56" s="501">
        <f>'[60]Sch C'!F41</f>
        <v>-7513.68</v>
      </c>
      <c r="E56" s="171">
        <f t="shared" si="3"/>
        <v>69180.429999999993</v>
      </c>
      <c r="F56" s="171">
        <f>-2207-274</f>
        <v>-2481</v>
      </c>
      <c r="G56" s="171">
        <f t="shared" si="4"/>
        <v>66699.429999999993</v>
      </c>
      <c r="H56" s="172">
        <f t="shared" si="5"/>
        <v>1.0740363685090784E-2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'[60]Sch C'!D42</f>
        <v>5894.83</v>
      </c>
      <c r="D57" s="501">
        <f>'[60]Sch C'!F42</f>
        <v>0</v>
      </c>
      <c r="E57" s="171">
        <f t="shared" si="3"/>
        <v>5894.83</v>
      </c>
      <c r="F57" s="171"/>
      <c r="G57" s="171">
        <f t="shared" si="4"/>
        <v>5894.83</v>
      </c>
      <c r="H57" s="172">
        <f t="shared" si="5"/>
        <v>9.4922277539378846E-4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'[60]Sch C'!D43</f>
        <v>0</v>
      </c>
      <c r="D58" s="501">
        <f>'[60]Sch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'[60]Sch C'!D44</f>
        <v>0</v>
      </c>
      <c r="D59" s="501">
        <f>'[60]Sch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'[60]Sch C'!D45</f>
        <v>107169.12</v>
      </c>
      <c r="D60" s="501">
        <f>'[60]Sch C'!F45</f>
        <v>-89735.35</v>
      </c>
      <c r="E60" s="171">
        <f t="shared" si="3"/>
        <v>17433.76999999999</v>
      </c>
      <c r="F60" s="171">
        <v>-701</v>
      </c>
      <c r="G60" s="171">
        <f t="shared" si="4"/>
        <v>16732.76999999999</v>
      </c>
      <c r="H60" s="172">
        <f t="shared" si="5"/>
        <v>2.6944163579655242E-3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1516628.9700000007</v>
      </c>
      <c r="D61" s="501">
        <f>SUM(D25:D60)</f>
        <v>-166110.28999999998</v>
      </c>
      <c r="E61" s="171">
        <f t="shared" ref="E61:F61" si="6">SUM(E25:E60)</f>
        <v>1350518.6800000002</v>
      </c>
      <c r="F61" s="171">
        <f t="shared" si="6"/>
        <v>-17777</v>
      </c>
      <c r="G61" s="171">
        <f>SUM(G25:G60)</f>
        <v>1332741.6800000002</v>
      </c>
      <c r="H61" s="186">
        <f t="shared" si="5"/>
        <v>0.214606486764263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'[60]Sch C'!D57</f>
        <v>610560</v>
      </c>
      <c r="D64" s="501">
        <f>'[60]Sch C'!F57</f>
        <v>0</v>
      </c>
      <c r="E64" s="171">
        <f t="shared" ref="E64:E78" si="7">C64+D64</f>
        <v>610560</v>
      </c>
      <c r="F64" s="171"/>
      <c r="G64" s="171">
        <f t="shared" ref="G64:G78" si="8">E64+F64</f>
        <v>610560</v>
      </c>
      <c r="H64" s="172">
        <f t="shared" ref="H64:H79" si="9">IF($G$208=0,0,G64/$G$208)</f>
        <v>9.8316229262664312E-2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'[60]Sch C'!D58</f>
        <v>15270.89</v>
      </c>
      <c r="D65" s="501">
        <f>'[60]Sch C'!F58</f>
        <v>0</v>
      </c>
      <c r="E65" s="171">
        <f t="shared" si="7"/>
        <v>15270.89</v>
      </c>
      <c r="F65" s="171"/>
      <c r="G65" s="171">
        <f t="shared" si="8"/>
        <v>15270.89</v>
      </c>
      <c r="H65" s="172">
        <f t="shared" si="9"/>
        <v>2.4590152029037734E-3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'[60]Sch C'!D59</f>
        <v>0</v>
      </c>
      <c r="D66" s="501">
        <f>'[60]Sch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'[60]Sch C'!D60</f>
        <v>6600</v>
      </c>
      <c r="D67" s="501">
        <f>'[60]Sch C'!F60</f>
        <v>0</v>
      </c>
      <c r="E67" s="171">
        <f t="shared" si="7"/>
        <v>6600</v>
      </c>
      <c r="F67" s="171"/>
      <c r="G67" s="171">
        <f t="shared" si="8"/>
        <v>6600</v>
      </c>
      <c r="H67" s="172">
        <f t="shared" si="9"/>
        <v>1.0627737046868195E-3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'[60]Sch C'!D61</f>
        <v>21756.06</v>
      </c>
      <c r="D68" s="501">
        <f>'[60]Sch C'!F61</f>
        <v>-21756.06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'[60]Sch C'!D62</f>
        <v>0</v>
      </c>
      <c r="D69" s="501">
        <f>'[60]Sch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'[60]Sch C'!D63</f>
        <v>0</v>
      </c>
      <c r="D70" s="501">
        <f>'[60]Sch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'[60]Sch C'!D64</f>
        <v>0</v>
      </c>
      <c r="D71" s="501">
        <f>'[60]Sch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'[60]Sch C'!D65</f>
        <v>0</v>
      </c>
      <c r="D72" s="501">
        <f>'[60]Sch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'[60]Sch C'!D66</f>
        <v>22226.37</v>
      </c>
      <c r="D73" s="501">
        <f>'[60]Sch C'!F66</f>
        <v>0</v>
      </c>
      <c r="E73" s="171">
        <f t="shared" si="7"/>
        <v>22226.37</v>
      </c>
      <c r="F73" s="171"/>
      <c r="G73" s="171">
        <f t="shared" si="8"/>
        <v>22226.37</v>
      </c>
      <c r="H73" s="172">
        <f t="shared" si="9"/>
        <v>3.5790305434303003E-3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'[60]Sch C'!D67</f>
        <v>67970.87</v>
      </c>
      <c r="D74" s="501">
        <f>'[60]Sch C'!F67</f>
        <v>0</v>
      </c>
      <c r="E74" s="171">
        <f t="shared" si="7"/>
        <v>67970.87</v>
      </c>
      <c r="F74" s="171">
        <v>29</v>
      </c>
      <c r="G74" s="171">
        <f t="shared" si="8"/>
        <v>67999.87</v>
      </c>
      <c r="H74" s="172">
        <f t="shared" si="9"/>
        <v>1.0949768751230621E-2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'[60]Sch C'!D68</f>
        <v>0</v>
      </c>
      <c r="D75" s="501">
        <f>'[60]Sch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'[60]Sch C'!D69</f>
        <v>41780.43</v>
      </c>
      <c r="D76" s="501">
        <f>'[60]Sch C'!F69</f>
        <v>0</v>
      </c>
      <c r="E76" s="171">
        <f t="shared" si="7"/>
        <v>41780.43</v>
      </c>
      <c r="F76" s="171">
        <v>-6677</v>
      </c>
      <c r="G76" s="171">
        <f t="shared" si="8"/>
        <v>35103.43</v>
      </c>
      <c r="H76" s="172">
        <f t="shared" si="9"/>
        <v>5.652576113380975E-3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'[60]Sch C'!D70</f>
        <v>0</v>
      </c>
      <c r="D77" s="501">
        <f>'[60]Sch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'[60]Sch C'!D71</f>
        <v>0</v>
      </c>
      <c r="D78" s="501">
        <f>'[60]Sch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786164.62000000011</v>
      </c>
      <c r="D79" s="501">
        <f>SUM(D64:D78)</f>
        <v>-21756.06</v>
      </c>
      <c r="E79" s="171">
        <f t="shared" ref="E79:F79" si="10">SUM(E64:E78)</f>
        <v>764408.56</v>
      </c>
      <c r="F79" s="171">
        <f t="shared" si="10"/>
        <v>-6648</v>
      </c>
      <c r="G79" s="171">
        <f>SUM(G64:G78)</f>
        <v>757760.56</v>
      </c>
      <c r="H79" s="172">
        <f t="shared" si="9"/>
        <v>0.12201939357829682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'[60]Sch C'!D75</f>
        <v>34467.360000000001</v>
      </c>
      <c r="D82" s="501">
        <f>'[60]Sch C'!F75</f>
        <v>0</v>
      </c>
      <c r="E82" s="171">
        <f t="shared" ref="E82:E92" si="11">C82+D82</f>
        <v>34467.360000000001</v>
      </c>
      <c r="F82" s="171"/>
      <c r="G82" s="171">
        <f t="shared" ref="G82:G92" si="12">E82+F82</f>
        <v>34467.360000000001</v>
      </c>
      <c r="H82" s="172">
        <f t="shared" ref="H82:H93" si="13">IF($G$208=0,0,G82/$G$208)</f>
        <v>5.5501521027233776E-3</v>
      </c>
      <c r="I82" s="473"/>
      <c r="J82" s="183">
        <v>2062.25</v>
      </c>
      <c r="K82" s="183">
        <v>2269.1</v>
      </c>
    </row>
    <row r="83" spans="1:11" s="167" customFormat="1">
      <c r="A83" s="169" t="s">
        <v>86</v>
      </c>
      <c r="B83" s="199" t="s">
        <v>45</v>
      </c>
      <c r="C83" s="501">
        <f>'[60]Sch C'!D76</f>
        <v>3797.56</v>
      </c>
      <c r="D83" s="501">
        <f>'[60]Sch C'!F76</f>
        <v>0</v>
      </c>
      <c r="E83" s="171">
        <f t="shared" si="11"/>
        <v>3797.56</v>
      </c>
      <c r="F83" s="171"/>
      <c r="G83" s="171">
        <f t="shared" si="12"/>
        <v>3797.56</v>
      </c>
      <c r="H83" s="172">
        <f t="shared" si="13"/>
        <v>6.1150710757128452E-4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'[60]Sch C'!D77</f>
        <v>3587.75</v>
      </c>
      <c r="D84" s="501">
        <f>'[60]Sch C'!F77</f>
        <v>0</v>
      </c>
      <c r="E84" s="171">
        <f t="shared" si="11"/>
        <v>3587.75</v>
      </c>
      <c r="F84" s="171"/>
      <c r="G84" s="171">
        <f t="shared" si="12"/>
        <v>3587.75</v>
      </c>
      <c r="H84" s="172">
        <f t="shared" si="13"/>
        <v>5.7772217560456607E-4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'[60]Sch C'!D78</f>
        <v>0</v>
      </c>
      <c r="D85" s="501">
        <f>'[60]Sch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'[60]Sch C'!D79</f>
        <v>10241.51</v>
      </c>
      <c r="D86" s="501">
        <f>'[60]Sch C'!F79</f>
        <v>0</v>
      </c>
      <c r="E86" s="171">
        <f t="shared" si="11"/>
        <v>10241.51</v>
      </c>
      <c r="F86" s="171">
        <v>881</v>
      </c>
      <c r="G86" s="171">
        <f>E86+F86</f>
        <v>11122.51</v>
      </c>
      <c r="H86" s="172">
        <f t="shared" si="13"/>
        <v>1.7910168421388175E-3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'[60]Sch C'!D80</f>
        <v>21566.42</v>
      </c>
      <c r="D87" s="501">
        <f>'[60]Sch C'!F80</f>
        <v>0</v>
      </c>
      <c r="E87" s="171">
        <f t="shared" si="11"/>
        <v>21566.42</v>
      </c>
      <c r="F87" s="171"/>
      <c r="G87" s="171">
        <f t="shared" si="12"/>
        <v>21566.42</v>
      </c>
      <c r="H87" s="172">
        <f t="shared" si="13"/>
        <v>3.4727612242775627E-3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'[60]Sch C'!D81</f>
        <v>12138.52</v>
      </c>
      <c r="D88" s="501">
        <f>'[60]Sch C'!F81</f>
        <v>0</v>
      </c>
      <c r="E88" s="171">
        <f t="shared" si="11"/>
        <v>12138.52</v>
      </c>
      <c r="F88" s="171">
        <v>2207</v>
      </c>
      <c r="G88" s="171">
        <f t="shared" si="12"/>
        <v>14345.52</v>
      </c>
      <c r="H88" s="172">
        <f t="shared" si="13"/>
        <v>2.3100062781907368E-3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'[60]Sch C'!D82</f>
        <v>13539.31</v>
      </c>
      <c r="D89" s="501">
        <f>'[60]Sch C'!F82</f>
        <v>0</v>
      </c>
      <c r="E89" s="171">
        <f t="shared" si="11"/>
        <v>13539.31</v>
      </c>
      <c r="F89" s="171"/>
      <c r="G89" s="171">
        <f t="shared" si="12"/>
        <v>13539.31</v>
      </c>
      <c r="H89" s="172">
        <f t="shared" si="13"/>
        <v>2.1801852496368635E-3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'[60]Sch C'!D83</f>
        <v>0</v>
      </c>
      <c r="D90" s="501">
        <f>'[60]Sch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'[60]Sch C'!D84</f>
        <v>118921.03</v>
      </c>
      <c r="D91" s="501">
        <f>'[60]Sch C'!F84</f>
        <v>0</v>
      </c>
      <c r="E91" s="171">
        <f t="shared" si="11"/>
        <v>118921.03</v>
      </c>
      <c r="F91" s="171"/>
      <c r="G91" s="171">
        <f t="shared" si="12"/>
        <v>118921.03</v>
      </c>
      <c r="H91" s="172">
        <f t="shared" si="13"/>
        <v>1.9149415699738243E-2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'[60]Sch C'!D85</f>
        <v>156.94</v>
      </c>
      <c r="D92" s="501">
        <f>'[60]Sch C'!F85</f>
        <v>0</v>
      </c>
      <c r="E92" s="171">
        <f t="shared" si="11"/>
        <v>156.94</v>
      </c>
      <c r="F92" s="171"/>
      <c r="G92" s="171">
        <f t="shared" si="12"/>
        <v>156.94</v>
      </c>
      <c r="H92" s="172">
        <f t="shared" si="13"/>
        <v>2.5271470486901431E-5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218416.40000000002</v>
      </c>
      <c r="D93" s="501">
        <f>SUM(D82:D92)</f>
        <v>0</v>
      </c>
      <c r="E93" s="171">
        <f t="shared" ref="E93:F93" si="14">SUM(E82:E92)</f>
        <v>218416.40000000002</v>
      </c>
      <c r="F93" s="171">
        <f t="shared" si="14"/>
        <v>3088</v>
      </c>
      <c r="G93" s="171">
        <f>SUM(G82:G92)</f>
        <v>221504.40000000002</v>
      </c>
      <c r="H93" s="172">
        <f t="shared" si="13"/>
        <v>3.5668038150368356E-2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'[60]Sch C'!D89</f>
        <v>211467.16</v>
      </c>
      <c r="D96" s="501">
        <f>'[60]Sch C'!F89</f>
        <v>0</v>
      </c>
      <c r="E96" s="171">
        <f t="shared" ref="E96:E101" si="15">C96+D96</f>
        <v>211467.16</v>
      </c>
      <c r="F96" s="171"/>
      <c r="G96" s="171">
        <f t="shared" ref="G96:G101" si="16">E96+F96</f>
        <v>211467.16</v>
      </c>
      <c r="H96" s="172">
        <f t="shared" ref="H96:H102" si="17">IF($G$208=0,0,G96/$G$208)</f>
        <v>3.405177834133339E-2</v>
      </c>
      <c r="I96" s="473"/>
      <c r="J96" s="183">
        <v>17478.169999999998</v>
      </c>
      <c r="K96" s="183">
        <v>18487.37</v>
      </c>
    </row>
    <row r="97" spans="1:11" s="167" customFormat="1">
      <c r="A97" s="169" t="s">
        <v>86</v>
      </c>
      <c r="B97" s="170" t="s">
        <v>45</v>
      </c>
      <c r="C97" s="501">
        <f>'[60]Sch C'!D90</f>
        <v>39019.519999999997</v>
      </c>
      <c r="D97" s="501">
        <f>'[60]Sch C'!F90</f>
        <v>0</v>
      </c>
      <c r="E97" s="171">
        <f t="shared" si="15"/>
        <v>39019.519999999997</v>
      </c>
      <c r="F97" s="171"/>
      <c r="G97" s="171">
        <f t="shared" si="16"/>
        <v>39019.519999999997</v>
      </c>
      <c r="H97" s="172">
        <f t="shared" si="17"/>
        <v>6.2831696705305216E-3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'[60]Sch C'!D91</f>
        <v>22365.65</v>
      </c>
      <c r="D98" s="501">
        <f>'[60]Sch C'!F91</f>
        <v>0</v>
      </c>
      <c r="E98" s="171">
        <f t="shared" si="15"/>
        <v>22365.65</v>
      </c>
      <c r="F98" s="171"/>
      <c r="G98" s="171">
        <f t="shared" si="16"/>
        <v>22365.65</v>
      </c>
      <c r="H98" s="172">
        <f t="shared" si="17"/>
        <v>3.6014582891255704E-3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'[60]Sch C'!D92</f>
        <v>194900.09</v>
      </c>
      <c r="D99" s="501">
        <f>'[60]Sch C'!F92</f>
        <v>0</v>
      </c>
      <c r="E99" s="171">
        <f t="shared" si="15"/>
        <v>194900.09</v>
      </c>
      <c r="F99" s="171"/>
      <c r="G99" s="171">
        <f t="shared" si="16"/>
        <v>194900.09</v>
      </c>
      <c r="H99" s="172">
        <f t="shared" si="17"/>
        <v>3.1384044044408262E-2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'[60]Sch C'!D93</f>
        <v>30924.21</v>
      </c>
      <c r="D100" s="501">
        <f>'[60]Sch C'!F93</f>
        <v>0</v>
      </c>
      <c r="E100" s="171">
        <f t="shared" si="15"/>
        <v>30924.21</v>
      </c>
      <c r="F100" s="171"/>
      <c r="G100" s="171">
        <f t="shared" si="16"/>
        <v>30924.21</v>
      </c>
      <c r="H100" s="172">
        <f t="shared" si="17"/>
        <v>4.9796117009413918E-3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'[60]Sch C'!D94</f>
        <v>2411.4899999999998</v>
      </c>
      <c r="D101" s="501">
        <f>'[60]Sch C'!F94</f>
        <v>0</v>
      </c>
      <c r="E101" s="171">
        <f t="shared" si="15"/>
        <v>2411.4899999999998</v>
      </c>
      <c r="F101" s="171"/>
      <c r="G101" s="171">
        <f t="shared" si="16"/>
        <v>2411.4899999999998</v>
      </c>
      <c r="H101" s="172">
        <f t="shared" si="17"/>
        <v>3.8831335774472999E-4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501088.12000000005</v>
      </c>
      <c r="D102" s="501">
        <f>SUM(D96:D101)</f>
        <v>0</v>
      </c>
      <c r="E102" s="171">
        <f t="shared" ref="E102:F102" si="18">SUM(E96:E101)</f>
        <v>501088.12000000005</v>
      </c>
      <c r="F102" s="171">
        <f t="shared" si="18"/>
        <v>0</v>
      </c>
      <c r="G102" s="171">
        <f>SUM(G96:G101)</f>
        <v>501088.12000000005</v>
      </c>
      <c r="H102" s="172">
        <f t="shared" si="17"/>
        <v>8.068837540408387E-2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'[60]Sch C'!D98</f>
        <v>41266.239999999998</v>
      </c>
      <c r="D105" s="501">
        <f>'[60]Sch C'!F98</f>
        <v>0</v>
      </c>
      <c r="E105" s="171">
        <f t="shared" ref="E105:E110" si="19">C105+D105</f>
        <v>41266.239999999998</v>
      </c>
      <c r="F105" s="171"/>
      <c r="G105" s="171">
        <f t="shared" ref="G105:G110" si="20">E105+F105</f>
        <v>41266.239999999998</v>
      </c>
      <c r="H105" s="172">
        <f t="shared" ref="H105:H111" si="21">IF($G$208=0,0,G105/$G$208)</f>
        <v>6.644950721711426E-3</v>
      </c>
      <c r="I105" s="473"/>
      <c r="J105" s="183">
        <v>4666</v>
      </c>
      <c r="K105" s="183">
        <v>4916.57</v>
      </c>
    </row>
    <row r="106" spans="1:11" s="167" customFormat="1">
      <c r="A106" s="169" t="s">
        <v>86</v>
      </c>
      <c r="B106" s="170" t="s">
        <v>45</v>
      </c>
      <c r="C106" s="501">
        <f>'[60]Sch C'!D99</f>
        <v>8941.3799999999992</v>
      </c>
      <c r="D106" s="501">
        <f>'[60]Sch C'!F99</f>
        <v>0</v>
      </c>
      <c r="E106" s="171">
        <f t="shared" si="19"/>
        <v>8941.3799999999992</v>
      </c>
      <c r="F106" s="171"/>
      <c r="G106" s="171">
        <f t="shared" si="20"/>
        <v>8941.3799999999992</v>
      </c>
      <c r="H106" s="172">
        <f t="shared" si="21"/>
        <v>1.4397975072140351E-3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'[60]Sch C'!D100</f>
        <v>4882.71</v>
      </c>
      <c r="D107" s="501">
        <f>'[60]Sch C'!F100</f>
        <v>0</v>
      </c>
      <c r="E107" s="171">
        <f t="shared" si="19"/>
        <v>4882.71</v>
      </c>
      <c r="F107" s="171"/>
      <c r="G107" s="171">
        <f t="shared" si="20"/>
        <v>4882.71</v>
      </c>
      <c r="H107" s="172">
        <f t="shared" si="21"/>
        <v>7.8624481751687577E-4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'[60]Sch C'!D101</f>
        <v>0</v>
      </c>
      <c r="D108" s="501">
        <f>'[60]Sch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'[60]Sch C'!D102</f>
        <v>5523.45</v>
      </c>
      <c r="D109" s="501">
        <f>'[60]Sch C'!F102</f>
        <v>0</v>
      </c>
      <c r="E109" s="171">
        <f t="shared" si="19"/>
        <v>5523.45</v>
      </c>
      <c r="F109" s="171"/>
      <c r="G109" s="171">
        <f t="shared" si="20"/>
        <v>5523.45</v>
      </c>
      <c r="H109" s="172">
        <f t="shared" si="21"/>
        <v>8.8942082108369889E-4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'[60]Sch C'!D103</f>
        <v>0</v>
      </c>
      <c r="D110" s="501">
        <f>'[60]Sch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60613.779999999992</v>
      </c>
      <c r="D111" s="501">
        <f>SUM(D105:D110)</f>
        <v>0</v>
      </c>
      <c r="E111" s="171">
        <f t="shared" ref="E111:F111" si="22">SUM(E105:E110)</f>
        <v>60613.779999999992</v>
      </c>
      <c r="F111" s="171">
        <f t="shared" si="22"/>
        <v>0</v>
      </c>
      <c r="G111" s="171">
        <f>SUM(G105:G110)</f>
        <v>60613.779999999992</v>
      </c>
      <c r="H111" s="172">
        <f t="shared" si="21"/>
        <v>9.7604138675260344E-3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'[60]Sch C'!D115</f>
        <v>107669.09</v>
      </c>
      <c r="D114" s="501">
        <f>'[60]Sch C'!F115</f>
        <v>0</v>
      </c>
      <c r="E114" s="171">
        <f t="shared" ref="E114:E118" si="23">C114+D114</f>
        <v>107669.09</v>
      </c>
      <c r="F114" s="171"/>
      <c r="G114" s="171">
        <f>E114+F114</f>
        <v>107669.09</v>
      </c>
      <c r="H114" s="172">
        <f t="shared" ref="H114:H119" si="24">IF($G$208=0,0,G114/$G$208)</f>
        <v>1.7337557221145238E-2</v>
      </c>
      <c r="I114" s="473"/>
      <c r="J114" s="183">
        <v>8869.16</v>
      </c>
      <c r="K114" s="183">
        <v>9999.42</v>
      </c>
    </row>
    <row r="115" spans="1:11" s="167" customFormat="1">
      <c r="A115" s="169" t="s">
        <v>86</v>
      </c>
      <c r="B115" s="170" t="s">
        <v>151</v>
      </c>
      <c r="C115" s="501">
        <f>'[60]Sch C'!D116</f>
        <v>13801.27</v>
      </c>
      <c r="D115" s="501">
        <f>'[60]Sch C'!F116</f>
        <v>0</v>
      </c>
      <c r="E115" s="171">
        <f t="shared" si="23"/>
        <v>13801.27</v>
      </c>
      <c r="F115" s="171"/>
      <c r="G115" s="171">
        <f>E115+F115</f>
        <v>13801.27</v>
      </c>
      <c r="H115" s="172">
        <f t="shared" si="24"/>
        <v>2.2223677041337971E-3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'[60]Sch C'!D117</f>
        <v>18380.11</v>
      </c>
      <c r="D116" s="501">
        <f>'[60]Sch C'!F117</f>
        <v>0</v>
      </c>
      <c r="E116" s="171">
        <f t="shared" si="23"/>
        <v>18380.11</v>
      </c>
      <c r="F116" s="171"/>
      <c r="G116" s="171">
        <f>E116+F116</f>
        <v>18380.11</v>
      </c>
      <c r="H116" s="172">
        <f t="shared" si="24"/>
        <v>2.9596814541289784E-3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'[60]Sch C'!D118</f>
        <v>775.48</v>
      </c>
      <c r="D117" s="501">
        <f>'[60]Sch C'!F118</f>
        <v>0</v>
      </c>
      <c r="E117" s="171">
        <f t="shared" si="23"/>
        <v>775.48</v>
      </c>
      <c r="F117" s="171"/>
      <c r="G117" s="171">
        <f>E117+F117</f>
        <v>775.48</v>
      </c>
      <c r="H117" s="172">
        <f t="shared" si="24"/>
        <v>1.2487268977432345E-4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'[60]Sch C'!D119</f>
        <v>90</v>
      </c>
      <c r="D118" s="501">
        <f>'[60]Sch C'!F119</f>
        <v>0</v>
      </c>
      <c r="E118" s="171">
        <f t="shared" si="23"/>
        <v>90</v>
      </c>
      <c r="F118" s="171"/>
      <c r="G118" s="171">
        <f>E118+F118</f>
        <v>90</v>
      </c>
      <c r="H118" s="172">
        <f t="shared" si="24"/>
        <v>1.449236870027481E-5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140715.95000000001</v>
      </c>
      <c r="D119" s="501">
        <f>SUM(D114:D118)</f>
        <v>0</v>
      </c>
      <c r="E119" s="171">
        <f t="shared" ref="E119:F119" si="25">SUM(E114:E118)</f>
        <v>140715.95000000001</v>
      </c>
      <c r="F119" s="171">
        <f t="shared" si="25"/>
        <v>0</v>
      </c>
      <c r="G119" s="171">
        <f>SUM(G114:G118)</f>
        <v>140715.95000000001</v>
      </c>
      <c r="H119" s="172">
        <f t="shared" si="24"/>
        <v>2.2658971437882616E-2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'[60]Sch C'!D124</f>
        <v>0</v>
      </c>
      <c r="D123" s="501">
        <f>'[60]Sch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'[60]Sch C'!D125</f>
        <v>249788.1</v>
      </c>
      <c r="D124" s="501">
        <f>'[60]Sch C'!F125</f>
        <v>0</v>
      </c>
      <c r="E124" s="171">
        <f t="shared" si="26"/>
        <v>249788.1</v>
      </c>
      <c r="F124" s="171">
        <v>5000</v>
      </c>
      <c r="G124" s="171">
        <f>E124+F124</f>
        <v>254788.1</v>
      </c>
      <c r="H124" s="172">
        <f>IF($G$208=0,0,G124/$G$208)</f>
        <v>4.1027589840472091E-2</v>
      </c>
      <c r="I124" s="473"/>
      <c r="J124" s="183">
        <v>5368.57</v>
      </c>
      <c r="K124" s="183">
        <v>5769.04</v>
      </c>
    </row>
    <row r="125" spans="1:11" s="167" customFormat="1">
      <c r="A125" s="163" t="s">
        <v>198</v>
      </c>
      <c r="B125" s="163" t="s">
        <v>195</v>
      </c>
      <c r="C125" s="501">
        <f>'[60]Sch C'!D126</f>
        <v>0</v>
      </c>
      <c r="D125" s="501">
        <f>'[60]Sch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'[60]Sch C'!D127</f>
        <v>0</v>
      </c>
      <c r="D126" s="501">
        <f>'[60]Sch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'[60]Sch C'!D128</f>
        <v>32899.089999999997</v>
      </c>
      <c r="D127" s="501">
        <f>'[60]Sch C'!F128</f>
        <v>0</v>
      </c>
      <c r="E127" s="171">
        <f t="shared" si="26"/>
        <v>32899.089999999997</v>
      </c>
      <c r="F127" s="171"/>
      <c r="G127" s="171">
        <f>E127+F127</f>
        <v>32899.089999999997</v>
      </c>
      <c r="H127" s="172">
        <f>IF($G$208=0,0,G127/$G$208)</f>
        <v>5.2976193575947107E-3</v>
      </c>
      <c r="I127" s="473"/>
      <c r="J127" s="183">
        <v>1771.25</v>
      </c>
      <c r="K127" s="183">
        <v>2021.25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5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'[60]Sch C'!D130</f>
        <v>0</v>
      </c>
      <c r="D129" s="501">
        <f>'[60]Sch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'[60]Sch C'!D131</f>
        <v>47129.120000000003</v>
      </c>
      <c r="D130" s="501">
        <f>'[60]Sch C'!F131</f>
        <v>0</v>
      </c>
      <c r="E130" s="171">
        <f t="shared" si="27"/>
        <v>47129.120000000003</v>
      </c>
      <c r="F130" s="171"/>
      <c r="G130" s="171">
        <f>E130+F130</f>
        <v>47129.120000000003</v>
      </c>
      <c r="H130" s="172">
        <f>IF($G$208=0,0,G130/$G$208)</f>
        <v>7.5890287062166176E-3</v>
      </c>
      <c r="I130" s="473"/>
      <c r="J130" s="204"/>
      <c r="K130" s="204"/>
    </row>
    <row r="131" spans="1:11" s="167" customFormat="1">
      <c r="B131" s="163" t="s">
        <v>195</v>
      </c>
      <c r="C131" s="501">
        <f>'[60]Sch C'!D132</f>
        <v>0</v>
      </c>
      <c r="D131" s="501">
        <f>'[60]Sch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'[60]Sch C'!D133</f>
        <v>0</v>
      </c>
      <c r="D132" s="501">
        <f>'[60]Sch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'[60]Sch C'!D134</f>
        <v>8789.34</v>
      </c>
      <c r="D133" s="501">
        <f>'[60]Sch C'!F134</f>
        <v>0</v>
      </c>
      <c r="E133" s="171">
        <f t="shared" si="27"/>
        <v>8789.34</v>
      </c>
      <c r="F133" s="171"/>
      <c r="G133" s="171">
        <f>E133+F133</f>
        <v>8789.34</v>
      </c>
      <c r="H133" s="172">
        <f>IF($G$208=0,0,G133/$G$208)</f>
        <v>1.4153150656897044E-3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'[60]Sch C'!D136</f>
        <v>382037.17</v>
      </c>
      <c r="D135" s="501">
        <f>'[60]Sch C'!F136</f>
        <v>0</v>
      </c>
      <c r="E135" s="171">
        <f t="shared" ref="E135:E138" si="28">C135+D135</f>
        <v>382037.17</v>
      </c>
      <c r="F135" s="171"/>
      <c r="G135" s="171">
        <f>E135+F135</f>
        <v>382037.17</v>
      </c>
      <c r="H135" s="172">
        <f>IF($G$208=0,0,G135/$G$208)</f>
        <v>6.1518039164995181E-2</v>
      </c>
      <c r="I135" s="473"/>
      <c r="J135" s="183">
        <v>15909.8</v>
      </c>
      <c r="K135" s="183">
        <v>17434.490000000002</v>
      </c>
    </row>
    <row r="136" spans="1:11" s="167" customFormat="1">
      <c r="A136" s="169"/>
      <c r="B136" s="163" t="s">
        <v>195</v>
      </c>
      <c r="C136" s="501">
        <f>'[60]Sch C'!D137</f>
        <v>318270</v>
      </c>
      <c r="D136" s="501">
        <f>'[60]Sch C'!F137</f>
        <v>0</v>
      </c>
      <c r="E136" s="171">
        <f t="shared" si="28"/>
        <v>318270</v>
      </c>
      <c r="F136" s="171"/>
      <c r="G136" s="171">
        <f>E136+F136</f>
        <v>318270</v>
      </c>
      <c r="H136" s="172">
        <f>IF($G$208=0,0,G136/$G$208)</f>
        <v>5.1249846513738484E-2</v>
      </c>
      <c r="I136" s="473"/>
      <c r="J136" s="183">
        <v>14303.38</v>
      </c>
      <c r="K136" s="183">
        <v>15182.66</v>
      </c>
    </row>
    <row r="137" spans="1:11" s="167" customFormat="1">
      <c r="A137" s="169"/>
      <c r="B137" s="163" t="s">
        <v>196</v>
      </c>
      <c r="C137" s="501">
        <f>'[60]Sch C'!D138</f>
        <v>606911.68000000005</v>
      </c>
      <c r="D137" s="501">
        <f>'[60]Sch C'!F138</f>
        <v>0</v>
      </c>
      <c r="E137" s="171">
        <f t="shared" si="28"/>
        <v>606911.68000000005</v>
      </c>
      <c r="F137" s="171"/>
      <c r="G137" s="171">
        <f>E137+F137</f>
        <v>606911.68000000005</v>
      </c>
      <c r="H137" s="172">
        <f>IF($G$208=0,0,G137/$G$208)</f>
        <v>9.7728753722924472E-2</v>
      </c>
      <c r="I137" s="473"/>
      <c r="J137" s="183">
        <v>49325.5</v>
      </c>
      <c r="K137" s="183">
        <v>52520.81</v>
      </c>
    </row>
    <row r="138" spans="1:11" s="167" customFormat="1">
      <c r="A138" s="169"/>
      <c r="B138" s="163" t="s">
        <v>197</v>
      </c>
      <c r="C138" s="501">
        <f>'[60]Sch C'!D139</f>
        <v>44226.2</v>
      </c>
      <c r="D138" s="501">
        <f>'[60]Sch C'!F139</f>
        <v>0</v>
      </c>
      <c r="E138" s="171">
        <f t="shared" si="28"/>
        <v>44226.2</v>
      </c>
      <c r="F138" s="171"/>
      <c r="G138" s="171">
        <f>E138+F138</f>
        <v>44226.2</v>
      </c>
      <c r="H138" s="172">
        <f>IF($G$208=0,0,G138/$G$208)</f>
        <v>7.1215821845788197E-3</v>
      </c>
      <c r="I138" s="473"/>
      <c r="J138" s="183">
        <v>3668.75</v>
      </c>
      <c r="K138" s="183">
        <v>3851.75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'[60]Sch C'!D141</f>
        <v>70521.84</v>
      </c>
      <c r="D140" s="501">
        <f>'[60]Sch C'!F141</f>
        <v>0</v>
      </c>
      <c r="E140" s="171">
        <f t="shared" ref="E140:E143" si="29">C140+D140</f>
        <v>70521.84</v>
      </c>
      <c r="F140" s="171"/>
      <c r="G140" s="171">
        <f>E140+F140</f>
        <v>70521.84</v>
      </c>
      <c r="H140" s="172">
        <f>IF($G$208=0,0,G140/$G$208)</f>
        <v>1.1355872296686534E-2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'[60]Sch C'!D142</f>
        <v>58362.9</v>
      </c>
      <c r="D141" s="501">
        <f>'[60]Sch C'!F142</f>
        <v>0</v>
      </c>
      <c r="E141" s="171">
        <f t="shared" si="29"/>
        <v>58362.9</v>
      </c>
      <c r="F141" s="171"/>
      <c r="G141" s="171">
        <f>E141+F141</f>
        <v>58362.9</v>
      </c>
      <c r="H141" s="172">
        <f>IF($G$208=0,0,G141/$G$208)</f>
        <v>9.3979629468585422E-3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'[60]Sch C'!D143</f>
        <v>114294.02</v>
      </c>
      <c r="D142" s="501">
        <f>'[60]Sch C'!F143</f>
        <v>0</v>
      </c>
      <c r="E142" s="171">
        <f t="shared" si="29"/>
        <v>114294.02</v>
      </c>
      <c r="F142" s="171"/>
      <c r="G142" s="171">
        <f>E142+F142</f>
        <v>114294.02</v>
      </c>
      <c r="H142" s="172">
        <f>IF($G$208=0,0,G142/$G$208)</f>
        <v>1.8404345311962035E-2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'[60]Sch C'!D144</f>
        <v>4285.22</v>
      </c>
      <c r="D143" s="501">
        <f>'[60]Sch C'!F144</f>
        <v>0</v>
      </c>
      <c r="E143" s="171">
        <f t="shared" si="29"/>
        <v>4285.22</v>
      </c>
      <c r="F143" s="171"/>
      <c r="G143" s="171">
        <f>E143+F143</f>
        <v>4285.22</v>
      </c>
      <c r="H143" s="172">
        <f>IF($G$208=0,0,G143/$G$208)</f>
        <v>6.9003320224212913E-4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'[60]Sch C'!D146</f>
        <v>9497.5</v>
      </c>
      <c r="D145" s="501">
        <f>'[60]Sch C'!F146</f>
        <v>0</v>
      </c>
      <c r="E145" s="171">
        <f t="shared" ref="E145:E153" si="30">C145+D145</f>
        <v>9497.5</v>
      </c>
      <c r="F145" s="171"/>
      <c r="G145" s="171">
        <f t="shared" ref="G145:G153" si="31">E145+F145</f>
        <v>9497.5</v>
      </c>
      <c r="H145" s="172">
        <f t="shared" ref="H145:H153" si="32">IF($G$208=0,0,G145/$G$208)</f>
        <v>1.5293474636762223E-3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'[60]Sch C'!D147</f>
        <v>0</v>
      </c>
      <c r="D146" s="501">
        <f>'[60]Sch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'[60]Sch C'!D148</f>
        <v>0</v>
      </c>
      <c r="D147" s="501">
        <f>'[60]Sch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'[60]Sch C'!D149</f>
        <v>0</v>
      </c>
      <c r="D148" s="501">
        <f>'[60]Sch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'[60]Sch C'!D150</f>
        <v>1072.5</v>
      </c>
      <c r="D149" s="501">
        <f>'[60]Sch C'!F150</f>
        <v>0</v>
      </c>
      <c r="E149" s="171">
        <f t="shared" si="30"/>
        <v>1072.5</v>
      </c>
      <c r="F149" s="171"/>
      <c r="G149" s="171">
        <f t="shared" si="31"/>
        <v>1072.5</v>
      </c>
      <c r="H149" s="172">
        <f t="shared" si="32"/>
        <v>1.7270072701160817E-4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'[60]Sch C'!D151</f>
        <v>181560.62</v>
      </c>
      <c r="D150" s="501">
        <f>'[60]Sch C'!F151</f>
        <v>0</v>
      </c>
      <c r="E150" s="171">
        <f t="shared" si="30"/>
        <v>181560.62</v>
      </c>
      <c r="F150" s="171">
        <v>-1730</v>
      </c>
      <c r="G150" s="171">
        <f t="shared" si="31"/>
        <v>179830.62</v>
      </c>
      <c r="H150" s="172">
        <f t="shared" si="32"/>
        <v>2.8957462762655702E-2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'[60]Sch C'!D152</f>
        <v>615.67999999999995</v>
      </c>
      <c r="D151" s="501">
        <f>'[60]Sch C'!F152</f>
        <v>0</v>
      </c>
      <c r="E151" s="171">
        <f t="shared" si="30"/>
        <v>615.67999999999995</v>
      </c>
      <c r="F151" s="171"/>
      <c r="G151" s="171">
        <f t="shared" si="31"/>
        <v>615.67999999999995</v>
      </c>
      <c r="H151" s="172">
        <f t="shared" si="32"/>
        <v>9.9140684015391043E-5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'[60]Sch C'!D153</f>
        <v>0</v>
      </c>
      <c r="D152" s="501">
        <f>'[60]Sch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'[60]Sch C'!D154</f>
        <v>0</v>
      </c>
      <c r="D153" s="501">
        <f>'[60]Sch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50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'[60]Sch C'!D156</f>
        <v>0</v>
      </c>
      <c r="D155" s="501">
        <f>'[60]Sch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'[60]Sch C'!D157</f>
        <v>0</v>
      </c>
      <c r="D156" s="501">
        <f>'[60]Sch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'[60]Sch C'!D158</f>
        <v>0</v>
      </c>
      <c r="D157" s="501">
        <f>'[60]Sch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'[60]Sch C'!D159</f>
        <v>0</v>
      </c>
      <c r="D158" s="501">
        <f>'[60]Sch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'[60]Sch C'!D160</f>
        <v>351.68</v>
      </c>
      <c r="D159" s="501">
        <f>'[60]Sch C'!F160</f>
        <v>0</v>
      </c>
      <c r="E159" s="171">
        <f t="shared" si="33"/>
        <v>351.68</v>
      </c>
      <c r="F159" s="171"/>
      <c r="G159" s="171">
        <f t="shared" si="34"/>
        <v>351.68</v>
      </c>
      <c r="H159" s="172">
        <f>IF($G$208=0,0,G159/$G$208)</f>
        <v>5.662973582791828E-5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'[60]Sch C'!D161</f>
        <v>41866.400000000001</v>
      </c>
      <c r="D160" s="501">
        <f>'[60]Sch C'!F161</f>
        <v>0</v>
      </c>
      <c r="E160" s="171">
        <f t="shared" si="33"/>
        <v>41866.400000000001</v>
      </c>
      <c r="F160" s="171">
        <v>-5000</v>
      </c>
      <c r="G160" s="171">
        <f t="shared" si="34"/>
        <v>36866.400000000001</v>
      </c>
      <c r="H160" s="172">
        <f t="shared" si="35"/>
        <v>5.9364606827979035E-3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2172479.06</v>
      </c>
      <c r="D161" s="501">
        <f>SUM(D123:D160)</f>
        <v>0</v>
      </c>
      <c r="E161" s="171">
        <f t="shared" ref="E161:F161" si="36">SUM(E123:E160)</f>
        <v>2172479.06</v>
      </c>
      <c r="F161" s="171">
        <f t="shared" si="36"/>
        <v>-1730</v>
      </c>
      <c r="G161" s="171">
        <f>SUM(G123:G160)</f>
        <v>2170749.06</v>
      </c>
      <c r="H161" s="172">
        <f t="shared" si="35"/>
        <v>0.34954773036994408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'[60]Sch C'!D175</f>
        <v>0</v>
      </c>
      <c r="D164" s="501">
        <f>'[60]Sch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'[60]Sch C'!D176</f>
        <v>0</v>
      </c>
      <c r="D165" s="501">
        <f>'[60]Sch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'[60]Sch C'!D177</f>
        <v>0</v>
      </c>
      <c r="D166" s="501">
        <f>'[60]Sch C'!F177</f>
        <v>0</v>
      </c>
      <c r="E166" s="171">
        <f t="shared" si="37"/>
        <v>0</v>
      </c>
      <c r="F166" s="171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'[60]Sch C'!D178</f>
        <v>0</v>
      </c>
      <c r="D167" s="501">
        <f>'[60]Sch C'!F178</f>
        <v>0</v>
      </c>
      <c r="E167" s="171">
        <f t="shared" si="37"/>
        <v>0</v>
      </c>
      <c r="F167" s="171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'[60]Sch C'!D179</f>
        <v>0</v>
      </c>
      <c r="D168" s="501">
        <f>'[60]Sch C'!F179</f>
        <v>0</v>
      </c>
      <c r="E168" s="171">
        <f t="shared" si="37"/>
        <v>0</v>
      </c>
      <c r="F168" s="171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'[60]Sch C'!D180</f>
        <v>0</v>
      </c>
      <c r="D169" s="501">
        <f>'[60]Sch C'!F180</f>
        <v>0</v>
      </c>
      <c r="E169" s="171">
        <f t="shared" si="37"/>
        <v>0</v>
      </c>
      <c r="F169" s="171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'[60]Sch C'!D181</f>
        <v>0</v>
      </c>
      <c r="D170" s="501">
        <f>'[60]Sch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'[60]Sch C'!D182</f>
        <v>0</v>
      </c>
      <c r="D171" s="501">
        <f>'[60]Sch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'[60]Sch C'!D183</f>
        <v>0</v>
      </c>
      <c r="D172" s="501">
        <f>'[60]Sch C'!F183</f>
        <v>0</v>
      </c>
      <c r="E172" s="171">
        <f t="shared" si="37"/>
        <v>0</v>
      </c>
      <c r="F172" s="171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'[60]Sch C'!D184</f>
        <v>0</v>
      </c>
      <c r="D173" s="501">
        <f>'[60]Sch C'!F184</f>
        <v>0</v>
      </c>
      <c r="E173" s="171">
        <f t="shared" si="37"/>
        <v>0</v>
      </c>
      <c r="F173" s="171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'[60]Sch C'!D185</f>
        <v>0</v>
      </c>
      <c r="D174" s="501">
        <f>'[60]Sch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'[60]Sch C'!D186</f>
        <v>0</v>
      </c>
      <c r="D175" s="501">
        <f>'[60]Sch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'[60]Sch C'!D187</f>
        <v>0</v>
      </c>
      <c r="D176" s="501">
        <f>'[60]Sch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'[60]Sch C'!D188</f>
        <v>0</v>
      </c>
      <c r="D177" s="501">
        <f>'[60]Sch C'!F188</f>
        <v>0</v>
      </c>
      <c r="E177" s="171">
        <f t="shared" si="37"/>
        <v>0</v>
      </c>
      <c r="F177" s="171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'[60]Sch C'!D189</f>
        <v>0</v>
      </c>
      <c r="D178" s="501">
        <f>'[60]Sch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'[60]Sch C'!D190</f>
        <v>0</v>
      </c>
      <c r="D179" s="501">
        <f>'[60]Sch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'[60]Sch C'!D191</f>
        <v>0</v>
      </c>
      <c r="D180" s="501">
        <f>'[60]Sch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'[60]Sch C'!D192</f>
        <v>0</v>
      </c>
      <c r="D181" s="501">
        <f>'[60]Sch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'[60]Sch C'!D193</f>
        <v>0</v>
      </c>
      <c r="D182" s="501">
        <f>'[60]Sch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'[60]Sch C'!D194</f>
        <v>332827.19</v>
      </c>
      <c r="D183" s="501">
        <f>'[60]Sch C'!F194</f>
        <v>-1728.77</v>
      </c>
      <c r="E183" s="171">
        <f t="shared" si="37"/>
        <v>331098.42</v>
      </c>
      <c r="F183" s="171"/>
      <c r="G183" s="171">
        <f t="shared" si="38"/>
        <v>331098.42</v>
      </c>
      <c r="H183" s="172">
        <f t="shared" si="39"/>
        <v>5.3315559763538252E-2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'[60]Sch C'!D195</f>
        <v>7143.34</v>
      </c>
      <c r="D184" s="501">
        <f>'[60]Sch C'!F195</f>
        <v>-36.78</v>
      </c>
      <c r="E184" s="171">
        <f t="shared" si="37"/>
        <v>7106.56</v>
      </c>
      <c r="F184" s="171"/>
      <c r="G184" s="171">
        <f t="shared" si="38"/>
        <v>7106.56</v>
      </c>
      <c r="H184" s="172">
        <f t="shared" si="39"/>
        <v>1.1443431967847217E-3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'[60]Sch C'!D196</f>
        <v>0</v>
      </c>
      <c r="D185" s="501">
        <f>'[60]Sch C'!F196</f>
        <v>0</v>
      </c>
      <c r="E185" s="171">
        <f t="shared" si="37"/>
        <v>0</v>
      </c>
      <c r="F185" s="171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'[60]Sch C'!D197</f>
        <v>362888.82</v>
      </c>
      <c r="D186" s="501">
        <f>'[60]Sch C'!F197</f>
        <v>-1912.68</v>
      </c>
      <c r="E186" s="171">
        <f t="shared" si="37"/>
        <v>360976.14</v>
      </c>
      <c r="F186" s="171">
        <v>-72442</v>
      </c>
      <c r="G186" s="171">
        <f t="shared" si="38"/>
        <v>288534.14</v>
      </c>
      <c r="H186" s="172">
        <f t="shared" si="39"/>
        <v>4.6461590438852333E-2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'[60]Sch C'!D198</f>
        <v>19424.95</v>
      </c>
      <c r="D187" s="501">
        <f>'[60]Sch C'!F198</f>
        <v>0</v>
      </c>
      <c r="E187" s="171">
        <f t="shared" si="37"/>
        <v>19424.95</v>
      </c>
      <c r="F187" s="171"/>
      <c r="G187" s="171">
        <f t="shared" si="38"/>
        <v>19424.95</v>
      </c>
      <c r="H187" s="172">
        <f t="shared" si="39"/>
        <v>3.1279281931600356E-3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'[60]Sch C'!D199</f>
        <v>0</v>
      </c>
      <c r="D188" s="501">
        <f>'[60]Sch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'[60]Sch C'!D200</f>
        <v>0</v>
      </c>
      <c r="D189" s="501">
        <f>'[60]Sch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'[60]Sch C'!D201</f>
        <v>0</v>
      </c>
      <c r="D190" s="501">
        <f>'[60]Sch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'[60]Sch C'!D202</f>
        <v>0</v>
      </c>
      <c r="D191" s="501">
        <f>'[60]Sch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'[60]Sch C'!D203</f>
        <v>0</v>
      </c>
      <c r="D192" s="501">
        <f>'[60]Sch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'[60]Sch C'!D204</f>
        <v>0</v>
      </c>
      <c r="D193" s="501">
        <f>'[60]Sch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'[60]Sch C'!D205</f>
        <v>239148.55</v>
      </c>
      <c r="D194" s="501">
        <f>'[60]Sch C'!F205</f>
        <v>0</v>
      </c>
      <c r="E194" s="171">
        <f t="shared" si="37"/>
        <v>239148.55</v>
      </c>
      <c r="F194" s="171"/>
      <c r="G194" s="171">
        <f t="shared" si="38"/>
        <v>239148.55</v>
      </c>
      <c r="H194" s="172">
        <f t="shared" si="39"/>
        <v>3.8509210674845612E-2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'[60]Sch C'!D206</f>
        <v>7113.14</v>
      </c>
      <c r="D195" s="501">
        <f>'[60]Sch C'!F206</f>
        <v>0</v>
      </c>
      <c r="E195" s="171">
        <f t="shared" si="37"/>
        <v>7113.14</v>
      </c>
      <c r="F195" s="171"/>
      <c r="G195" s="171">
        <f t="shared" si="38"/>
        <v>7113.14</v>
      </c>
      <c r="H195" s="172">
        <f t="shared" si="39"/>
        <v>1.1454027499630307E-3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'[60]Sch C'!D207</f>
        <v>-12668.69</v>
      </c>
      <c r="D196" s="501">
        <f>'[60]Sch C'!F207</f>
        <v>0</v>
      </c>
      <c r="E196" s="171">
        <f t="shared" si="37"/>
        <v>-12668.69</v>
      </c>
      <c r="F196" s="171"/>
      <c r="G196" s="171">
        <f t="shared" si="38"/>
        <v>-12668.69</v>
      </c>
      <c r="H196" s="172">
        <f t="shared" si="39"/>
        <v>-2.0399925158831609E-3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955877.30000000016</v>
      </c>
      <c r="D197" s="501">
        <f>SUM(D164:D196)</f>
        <v>-3678.23</v>
      </c>
      <c r="E197" s="171">
        <f t="shared" ref="E197:F197" si="40">SUM(E164:E196)</f>
        <v>952199.07</v>
      </c>
      <c r="F197" s="171">
        <f t="shared" si="40"/>
        <v>-72442</v>
      </c>
      <c r="G197" s="171">
        <f>SUM(G164:G196)</f>
        <v>879757.07</v>
      </c>
      <c r="H197" s="172">
        <f>IF($G$208=0,0,G197/$G$208)</f>
        <v>0.14166404250126083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'[60]Sch C'!D211</f>
        <v>103755</v>
      </c>
      <c r="D200" s="501">
        <f>'[60]Sch C'!F211</f>
        <v>0</v>
      </c>
      <c r="E200" s="171">
        <f t="shared" ref="E200:E205" si="41">C200+D200</f>
        <v>103755</v>
      </c>
      <c r="F200" s="171"/>
      <c r="G200" s="171">
        <f t="shared" ref="G200:G205" si="42">E200+F200</f>
        <v>103755</v>
      </c>
      <c r="H200" s="172">
        <f t="shared" ref="H200:H206" si="43">IF($G$208=0,0,G200/$G$208)</f>
        <v>1.6707285716633477E-2</v>
      </c>
      <c r="I200" s="473"/>
      <c r="J200" s="183">
        <v>6683.25</v>
      </c>
      <c r="K200" s="183">
        <v>7097.14</v>
      </c>
    </row>
    <row r="201" spans="1:14" s="167" customFormat="1">
      <c r="A201" s="169" t="s">
        <v>86</v>
      </c>
      <c r="B201" s="170" t="s">
        <v>45</v>
      </c>
      <c r="C201" s="501">
        <f>'[60]Sch C'!D212</f>
        <v>25894.03</v>
      </c>
      <c r="D201" s="501">
        <f>'[60]Sch C'!F212</f>
        <v>0</v>
      </c>
      <c r="E201" s="171">
        <f t="shared" si="41"/>
        <v>25894.03</v>
      </c>
      <c r="F201" s="171"/>
      <c r="G201" s="171">
        <f t="shared" si="42"/>
        <v>25894.03</v>
      </c>
      <c r="H201" s="172">
        <f t="shared" si="43"/>
        <v>4.1696203321775214E-3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'[60]Sch C'!D213</f>
        <v>9631.51</v>
      </c>
      <c r="D202" s="501">
        <f>'[60]Sch C'!F213</f>
        <v>0</v>
      </c>
      <c r="E202" s="171">
        <f t="shared" si="41"/>
        <v>9631.51</v>
      </c>
      <c r="F202" s="171">
        <v>-175</v>
      </c>
      <c r="G202" s="171">
        <f t="shared" si="42"/>
        <v>9456.51</v>
      </c>
      <c r="H202" s="172">
        <f t="shared" si="43"/>
        <v>1.5227469948648417E-3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'[60]Sch C'!D214</f>
        <v>3860</v>
      </c>
      <c r="D203" s="501">
        <f>'[60]Sch C'!F214</f>
        <v>0</v>
      </c>
      <c r="E203" s="171">
        <f t="shared" si="41"/>
        <v>3860</v>
      </c>
      <c r="F203" s="171">
        <v>-420</v>
      </c>
      <c r="G203" s="171">
        <f t="shared" si="42"/>
        <v>3440</v>
      </c>
      <c r="H203" s="172">
        <f t="shared" si="43"/>
        <v>5.5393053698828164E-4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'[60]Sch C'!D215</f>
        <v>0</v>
      </c>
      <c r="D204" s="501">
        <f>'[60]Sch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'[60]Sch C'!D216</f>
        <v>2863.78</v>
      </c>
      <c r="D205" s="501">
        <f>'[60]Sch C'!F216</f>
        <v>0</v>
      </c>
      <c r="E205" s="171">
        <f t="shared" si="41"/>
        <v>2863.78</v>
      </c>
      <c r="F205" s="171">
        <v>-175</v>
      </c>
      <c r="G205" s="171">
        <f t="shared" si="42"/>
        <v>2688.78</v>
      </c>
      <c r="H205" s="172">
        <f t="shared" si="43"/>
        <v>4.3296434571027674E-4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146004.32</v>
      </c>
      <c r="D206" s="501">
        <f>SUM(D200:D205)</f>
        <v>0</v>
      </c>
      <c r="E206" s="171">
        <f t="shared" ref="E206:F206" si="44">SUM(E200:E205)</f>
        <v>146004.32</v>
      </c>
      <c r="F206" s="171">
        <f t="shared" si="44"/>
        <v>-770</v>
      </c>
      <c r="G206" s="171">
        <f>SUM(G200:G205)</f>
        <v>145234.32</v>
      </c>
      <c r="H206" s="172">
        <f t="shared" si="43"/>
        <v>2.3386547926374398E-2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6497988.5200000005</v>
      </c>
      <c r="D208" s="501">
        <f>SUM(D25:D206)/2</f>
        <v>-191544.58</v>
      </c>
      <c r="E208" s="171">
        <f t="shared" ref="E208:F208" si="45">SUM(E25:E206)/2</f>
        <v>6306443.9400000004</v>
      </c>
      <c r="F208" s="171">
        <f t="shared" si="45"/>
        <v>-96279</v>
      </c>
      <c r="G208" s="171">
        <f>SUM(G25:G206)/2</f>
        <v>6210164.9400000004</v>
      </c>
      <c r="H208" s="172">
        <f>IF($G$208=0,0,G208/$G$208)</f>
        <v>1</v>
      </c>
      <c r="I208" s="473"/>
      <c r="J208" s="183">
        <f>SUM(J25:J200)</f>
        <v>138799.4</v>
      </c>
      <c r="K208" s="183">
        <f>SUM(K25:K200)</f>
        <v>148879.67000000001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H210"/>
      <c r="I210" s="612"/>
      <c r="J210"/>
      <c r="K210"/>
    </row>
    <row r="211" spans="1:11" s="167" customFormat="1" ht="15.5">
      <c r="A211" s="163"/>
      <c r="B211" s="228" t="s">
        <v>181</v>
      </c>
      <c r="C211" s="501">
        <f>'[60]Sch C'!D221</f>
        <v>6497988.5300000003</v>
      </c>
      <c r="D211" s="196"/>
      <c r="E211" s="165"/>
      <c r="F211"/>
      <c r="G211"/>
      <c r="H211"/>
      <c r="I211" s="612"/>
      <c r="J211"/>
      <c r="K211"/>
    </row>
    <row r="212" spans="1:11" s="167" customFormat="1" ht="15.5">
      <c r="A212" s="163"/>
      <c r="B212" s="170" t="s">
        <v>147</v>
      </c>
      <c r="C212" s="501">
        <f>C208-C211</f>
        <v>-9.9999997764825821E-3</v>
      </c>
      <c r="D212" s="229"/>
      <c r="E212" s="165"/>
      <c r="F212"/>
      <c r="G212"/>
      <c r="H212"/>
      <c r="I212" s="612"/>
      <c r="J212"/>
      <c r="K212"/>
    </row>
    <row r="213" spans="1:11" s="167" customFormat="1" ht="15.5">
      <c r="A213" s="163"/>
      <c r="B213" s="230"/>
      <c r="C213" s="581"/>
      <c r="D213" s="231"/>
      <c r="E213" s="231"/>
      <c r="F213" s="231"/>
      <c r="G213" s="231"/>
      <c r="H213"/>
      <c r="I213" s="612"/>
      <c r="J213"/>
      <c r="K213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-585592.21000000089</v>
      </c>
      <c r="D215" s="501">
        <f>D21-D208</f>
        <v>353759.30999999994</v>
      </c>
      <c r="E215" s="171">
        <f t="shared" ref="E215:F215" si="46">E21-E208</f>
        <v>-231832.89999999944</v>
      </c>
      <c r="F215" s="171">
        <f t="shared" si="46"/>
        <v>991189</v>
      </c>
      <c r="G215" s="171">
        <f>G21-G208</f>
        <v>759356.10000000056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'[60]Sch D'!C9</f>
        <v>10772</v>
      </c>
      <c r="D219" s="530"/>
      <c r="E219" s="234">
        <f t="shared" ref="E219:G227" si="47">C219+D219</f>
        <v>10772</v>
      </c>
      <c r="F219" s="234"/>
      <c r="G219" s="234">
        <f t="shared" si="47"/>
        <v>10772</v>
      </c>
      <c r="H219" s="172">
        <f t="shared" ref="H219:H228" si="48">IF($G$228=0,0,G219/$G$228)</f>
        <v>0.44131263058707854</v>
      </c>
      <c r="I219" s="473"/>
      <c r="J219" s="168"/>
      <c r="K219" s="168"/>
    </row>
    <row r="220" spans="1:11">
      <c r="A220" s="163"/>
      <c r="B220" s="170" t="s">
        <v>217</v>
      </c>
      <c r="C220" s="530">
        <f>'[60]Sch D'!D9</f>
        <v>0</v>
      </c>
      <c r="D220" s="530"/>
      <c r="E220" s="234">
        <f t="shared" ref="E220:E227" si="49">C220+D220</f>
        <v>0</v>
      </c>
      <c r="F220" s="234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'[60]Sch D'!E9</f>
        <v>4120</v>
      </c>
      <c r="D221" s="530"/>
      <c r="E221" s="234">
        <f t="shared" si="49"/>
        <v>4120</v>
      </c>
      <c r="F221" s="234"/>
      <c r="G221" s="234">
        <f t="shared" si="47"/>
        <v>4120</v>
      </c>
      <c r="H221" s="172">
        <f t="shared" si="48"/>
        <v>0.16879020033594166</v>
      </c>
      <c r="I221" s="473"/>
      <c r="J221" s="168"/>
      <c r="K221" s="168"/>
    </row>
    <row r="222" spans="1:11">
      <c r="A222" s="163"/>
      <c r="B222" s="202" t="s">
        <v>334</v>
      </c>
      <c r="C222" s="530">
        <f>'[60]Sch D'!F9</f>
        <v>1204</v>
      </c>
      <c r="D222" s="530"/>
      <c r="E222" s="234">
        <f>C222+D222</f>
        <v>1204</v>
      </c>
      <c r="F222" s="234"/>
      <c r="G222" s="234">
        <f>E222+F222</f>
        <v>1204</v>
      </c>
      <c r="H222" s="172">
        <f t="shared" si="48"/>
        <v>4.9326068253513052E-2</v>
      </c>
      <c r="I222" s="473"/>
      <c r="J222" s="168"/>
      <c r="K222" s="168"/>
    </row>
    <row r="223" spans="1:11">
      <c r="A223" s="163"/>
      <c r="B223" s="170" t="s">
        <v>73</v>
      </c>
      <c r="C223" s="530">
        <f>'[60]Sch D'!G9</f>
        <v>0</v>
      </c>
      <c r="D223" s="530"/>
      <c r="E223" s="234">
        <f t="shared" si="49"/>
        <v>0</v>
      </c>
      <c r="F223" s="234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'[60]Sch D'!H9</f>
        <v>2220</v>
      </c>
      <c r="D224" s="530"/>
      <c r="E224" s="234">
        <f t="shared" si="49"/>
        <v>2220</v>
      </c>
      <c r="F224" s="234"/>
      <c r="G224" s="234">
        <f t="shared" si="47"/>
        <v>2220</v>
      </c>
      <c r="H224" s="172">
        <f t="shared" si="48"/>
        <v>9.0950059404318079E-2</v>
      </c>
      <c r="I224" s="473"/>
      <c r="J224" s="168"/>
      <c r="K224" s="168"/>
    </row>
    <row r="225" spans="1:11">
      <c r="A225" s="163"/>
      <c r="B225" s="170" t="s">
        <v>236</v>
      </c>
      <c r="C225" s="530">
        <f>'[60]Sch D'!I9</f>
        <v>3699</v>
      </c>
      <c r="D225" s="530"/>
      <c r="E225" s="234">
        <f t="shared" si="49"/>
        <v>3699</v>
      </c>
      <c r="F225" s="234"/>
      <c r="G225" s="234">
        <f t="shared" si="47"/>
        <v>3699</v>
      </c>
      <c r="H225" s="172">
        <f t="shared" si="48"/>
        <v>0.15154246384530295</v>
      </c>
      <c r="I225" s="473"/>
      <c r="J225" s="168"/>
      <c r="K225" s="168"/>
    </row>
    <row r="226" spans="1:11">
      <c r="A226" s="163"/>
      <c r="B226" s="170" t="s">
        <v>235</v>
      </c>
      <c r="C226" s="530">
        <f>'[60]Sch D'!J9</f>
        <v>2394</v>
      </c>
      <c r="D226" s="530"/>
      <c r="E226" s="234">
        <f>C226+D226</f>
        <v>2394</v>
      </c>
      <c r="F226" s="234"/>
      <c r="G226" s="234">
        <f>E226+F226</f>
        <v>2394</v>
      </c>
      <c r="H226" s="172">
        <f t="shared" si="48"/>
        <v>9.8078577573845707E-2</v>
      </c>
      <c r="I226" s="473"/>
      <c r="J226" s="168"/>
      <c r="K226" s="168"/>
    </row>
    <row r="227" spans="1:11">
      <c r="A227" s="163"/>
      <c r="B227" s="170" t="s">
        <v>179</v>
      </c>
      <c r="C227" s="530">
        <f>'[60]Sch D'!K9</f>
        <v>0</v>
      </c>
      <c r="D227" s="530"/>
      <c r="E227" s="234">
        <f t="shared" si="49"/>
        <v>0</v>
      </c>
      <c r="F227" s="234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24409</v>
      </c>
      <c r="D228" s="530">
        <f>SUM(D219:D227)</f>
        <v>0</v>
      </c>
      <c r="E228" s="236">
        <f>SUM(E219:E227)</f>
        <v>24409</v>
      </c>
      <c r="F228" s="236">
        <f>SUM(F219:F227)</f>
        <v>0</v>
      </c>
      <c r="G228" s="236">
        <f>SUM(G219:G227)</f>
        <v>24409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455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'[60]Sch D'!N22</f>
        <v>120</v>
      </c>
      <c r="D231" s="502"/>
      <c r="E231" s="234">
        <f>C231+D231</f>
        <v>120</v>
      </c>
      <c r="F231" s="171"/>
      <c r="G231" s="234">
        <f>E231+F231</f>
        <v>120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'[60]Sch D'!N24</f>
        <v>120</v>
      </c>
      <c r="D232" s="502"/>
      <c r="E232" s="234">
        <f>C232+D232</f>
        <v>120</v>
      </c>
      <c r="F232" s="171"/>
      <c r="G232" s="234">
        <f>E232+F232</f>
        <v>120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'[60]Sch D'!N28</f>
        <v>43800</v>
      </c>
      <c r="D235" s="438"/>
      <c r="E235" s="233">
        <f>E231*E233</f>
        <v>43800</v>
      </c>
      <c r="F235" s="438"/>
      <c r="G235" s="233">
        <f>G231*G233</f>
        <v>43800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'[60]Sch D'!N30</f>
        <v>0.55728310502283107</v>
      </c>
      <c r="D236" s="238"/>
      <c r="E236" s="242">
        <f>E228/E235</f>
        <v>0.55728310502283107</v>
      </c>
      <c r="F236" s="243"/>
      <c r="G236" s="242">
        <f>G228/G235</f>
        <v>0.55728310502283107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'[60]Sch D'!N32</f>
        <v>0.24593607305936074</v>
      </c>
      <c r="D237" s="238"/>
      <c r="E237" s="242">
        <f>(E219+E220)/E235</f>
        <v>0.24593607305936074</v>
      </c>
      <c r="F237" s="243"/>
      <c r="G237" s="242">
        <f>(G219+G220)/G235</f>
        <v>0.24593607305936074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'[60]Sch D'!N34</f>
        <v>0.44131263058707854</v>
      </c>
      <c r="D238" s="238"/>
      <c r="E238" s="242">
        <f>(E237/E236)</f>
        <v>0.44131263058707854</v>
      </c>
      <c r="F238" s="243"/>
      <c r="G238" s="242">
        <f>(G237/G236)</f>
        <v>0.44131263058707854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'[60]Sch B'!C85</f>
        <v>225.494729299363</v>
      </c>
      <c r="I241" s="475"/>
    </row>
    <row r="242" spans="2:9">
      <c r="F242" s="142" t="s">
        <v>341</v>
      </c>
      <c r="G242" s="501">
        <f>'[60]Sch B'!E85</f>
        <v>211.69346228239843</v>
      </c>
      <c r="I242" s="475"/>
    </row>
    <row r="243" spans="2:9">
      <c r="F243" s="142" t="s">
        <v>342</v>
      </c>
      <c r="G243" s="501">
        <f>'[60]Sch B'!G85</f>
        <v>196.20633802816903</v>
      </c>
      <c r="I243" s="475"/>
    </row>
    <row r="244" spans="2:9">
      <c r="F244" s="142" t="s">
        <v>343</v>
      </c>
      <c r="G244" s="501">
        <f>'[60]Sch B'!I85</f>
        <v>219.55883629191325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E28CAB"/>
  </sheetPr>
  <dimension ref="A1:X246"/>
  <sheetViews>
    <sheetView showGridLines="0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433</v>
      </c>
      <c r="D2" s="244"/>
      <c r="E2" s="144"/>
      <c r="F2" s="421"/>
    </row>
    <row r="3" spans="1:11">
      <c r="A3" s="145"/>
      <c r="B3" s="140" t="s">
        <v>79</v>
      </c>
      <c r="C3" s="441">
        <v>42552</v>
      </c>
      <c r="D3" s="144"/>
      <c r="E3" s="147"/>
      <c r="F3" s="459"/>
    </row>
    <row r="4" spans="1:11">
      <c r="A4" s="145"/>
      <c r="B4" s="148" t="s">
        <v>80</v>
      </c>
      <c r="C4" s="441">
        <v>42916</v>
      </c>
      <c r="D4" s="144"/>
      <c r="E4" s="149"/>
      <c r="F4" s="459"/>
      <c r="G4" s="150"/>
    </row>
    <row r="5" spans="1:11">
      <c r="A5" s="145"/>
      <c r="B5" s="148"/>
      <c r="C5" s="151"/>
      <c r="D5" s="144"/>
      <c r="F5" s="459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5.5" thickBot="1">
      <c r="A10" s="163" t="s">
        <v>245</v>
      </c>
      <c r="B10" s="164" t="s">
        <v>246</v>
      </c>
      <c r="C10" s="165"/>
      <c r="D10" s="165"/>
      <c r="E10" s="165"/>
      <c r="F10" s="416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'[61]Sch B'!E10</f>
        <v>702133.49</v>
      </c>
      <c r="D11" s="501">
        <f>'[61]Sch B'!G10</f>
        <v>310238.46000000002</v>
      </c>
      <c r="E11" s="171">
        <f>C11+D11</f>
        <v>1012371.95</v>
      </c>
      <c r="F11" s="171">
        <v>360928</v>
      </c>
      <c r="G11" s="171">
        <f t="shared" ref="G11:G20" si="0">E11+F11</f>
        <v>1373299.95</v>
      </c>
      <c r="H11" s="172">
        <f t="shared" ref="H11:H21" si="1">IF($G$21=0,0,G11/$G$21)</f>
        <v>0.49536275981093253</v>
      </c>
      <c r="I11" s="472"/>
      <c r="J11" s="336" t="s">
        <v>344</v>
      </c>
      <c r="K11" s="337">
        <f>G21</f>
        <v>2772311.65</v>
      </c>
    </row>
    <row r="12" spans="1:11" s="167" customFormat="1">
      <c r="A12" s="169" t="s">
        <v>15</v>
      </c>
      <c r="B12" s="170" t="s">
        <v>212</v>
      </c>
      <c r="C12" s="501">
        <f>'[61]Sch B'!E15</f>
        <v>0</v>
      </c>
      <c r="D12" s="501">
        <f>'[61]Sch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2639145.0300000012</v>
      </c>
    </row>
    <row r="13" spans="1:11" s="167" customFormat="1">
      <c r="A13" s="169" t="s">
        <v>16</v>
      </c>
      <c r="B13" s="170" t="s">
        <v>170</v>
      </c>
      <c r="C13" s="501">
        <f>'[61]Sch B'!E21</f>
        <v>569530.12999999989</v>
      </c>
      <c r="D13" s="501">
        <f>'[61]Sch B'!G21</f>
        <v>0</v>
      </c>
      <c r="E13" s="171">
        <f t="shared" si="2"/>
        <v>569530.12999999989</v>
      </c>
      <c r="F13" s="171"/>
      <c r="G13" s="171">
        <f t="shared" si="0"/>
        <v>569530.12999999989</v>
      </c>
      <c r="H13" s="172">
        <f t="shared" si="1"/>
        <v>0.20543510322874411</v>
      </c>
      <c r="I13" s="473"/>
      <c r="J13" s="338" t="s">
        <v>346</v>
      </c>
      <c r="K13" s="339">
        <f>G228</f>
        <v>7918</v>
      </c>
    </row>
    <row r="14" spans="1:11" s="167" customFormat="1">
      <c r="A14" s="173" t="s">
        <v>18</v>
      </c>
      <c r="B14" s="174" t="s">
        <v>306</v>
      </c>
      <c r="C14" s="501">
        <f>'[61]Sch B'!E27</f>
        <v>206563.11000000002</v>
      </c>
      <c r="D14" s="501">
        <f>'[61]Sch B'!G27</f>
        <v>0</v>
      </c>
      <c r="E14" s="171">
        <f t="shared" si="2"/>
        <v>206563.11000000002</v>
      </c>
      <c r="F14" s="171"/>
      <c r="G14" s="175">
        <f>E14+F14</f>
        <v>206563.11000000002</v>
      </c>
      <c r="H14" s="176">
        <f t="shared" si="1"/>
        <v>7.4509339525374071E-2</v>
      </c>
      <c r="I14" s="479"/>
      <c r="J14" s="338" t="s">
        <v>347</v>
      </c>
      <c r="K14" s="339">
        <f>G231</f>
        <v>46</v>
      </c>
    </row>
    <row r="15" spans="1:11" s="167" customFormat="1">
      <c r="A15" s="169" t="s">
        <v>19</v>
      </c>
      <c r="B15" s="170" t="s">
        <v>171</v>
      </c>
      <c r="C15" s="501">
        <f>'[61]Sch B'!E32</f>
        <v>0</v>
      </c>
      <c r="D15" s="501">
        <f>'[61]Sch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16790</v>
      </c>
    </row>
    <row r="16" spans="1:11" s="167" customFormat="1">
      <c r="A16" s="169" t="s">
        <v>21</v>
      </c>
      <c r="B16" s="170" t="s">
        <v>172</v>
      </c>
      <c r="C16" s="501">
        <f>'[61]Sch B'!E37</f>
        <v>257539.27999999997</v>
      </c>
      <c r="D16" s="501">
        <f>'[61]Sch B'!G37</f>
        <v>0</v>
      </c>
      <c r="E16" s="171">
        <f t="shared" si="2"/>
        <v>257539.27999999997</v>
      </c>
      <c r="F16" s="171"/>
      <c r="G16" s="171">
        <f t="shared" si="0"/>
        <v>257539.27999999997</v>
      </c>
      <c r="H16" s="172">
        <f t="shared" si="1"/>
        <v>9.2896943963713452E-2</v>
      </c>
      <c r="I16" s="473"/>
      <c r="J16" s="340"/>
      <c r="K16" s="339"/>
    </row>
    <row r="17" spans="1:24" s="167" customFormat="1">
      <c r="A17" s="169" t="s">
        <v>215</v>
      </c>
      <c r="B17" s="170" t="s">
        <v>228</v>
      </c>
      <c r="C17" s="501">
        <f>'[61]Sch B'!E42</f>
        <v>0</v>
      </c>
      <c r="D17" s="501">
        <f>'[61]Sch B'!G42</f>
        <v>36497.5</v>
      </c>
      <c r="E17" s="171">
        <f t="shared" si="2"/>
        <v>36497.5</v>
      </c>
      <c r="F17" s="171"/>
      <c r="G17" s="171">
        <f>E17+F17</f>
        <v>36497.5</v>
      </c>
      <c r="H17" s="172">
        <f t="shared" si="1"/>
        <v>1.3165006178147396E-2</v>
      </c>
      <c r="I17" s="473"/>
      <c r="J17" s="338" t="s">
        <v>156</v>
      </c>
      <c r="K17" s="339">
        <f>J208</f>
        <v>56956.19</v>
      </c>
    </row>
    <row r="18" spans="1:24" s="167" customFormat="1" ht="13.5" thickBot="1">
      <c r="A18" s="169" t="s">
        <v>216</v>
      </c>
      <c r="B18" s="170" t="s">
        <v>229</v>
      </c>
      <c r="C18" s="501">
        <f>'[61]Sch B'!E47</f>
        <v>106035.06</v>
      </c>
      <c r="D18" s="501">
        <f>'[61]Sch B'!G47</f>
        <v>-36497</v>
      </c>
      <c r="E18" s="171">
        <f t="shared" si="2"/>
        <v>69538.06</v>
      </c>
      <c r="F18" s="171"/>
      <c r="G18" s="171">
        <f>E18+F18</f>
        <v>69538.06</v>
      </c>
      <c r="H18" s="172">
        <f t="shared" si="1"/>
        <v>2.5083060196352744E-2</v>
      </c>
      <c r="I18" s="473"/>
      <c r="J18" s="341" t="s">
        <v>252</v>
      </c>
      <c r="K18" s="342">
        <f>K208</f>
        <v>59667.710000000006</v>
      </c>
    </row>
    <row r="19" spans="1:24" s="167" customFormat="1">
      <c r="A19" s="169" t="s">
        <v>227</v>
      </c>
      <c r="B19" s="177" t="s">
        <v>173</v>
      </c>
      <c r="C19" s="501">
        <f>'[61]Sch B'!E52</f>
        <v>0</v>
      </c>
      <c r="D19" s="501">
        <f>'[61]Sch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24" s="167" customFormat="1">
      <c r="A20" s="169" t="s">
        <v>183</v>
      </c>
      <c r="B20" s="23" t="s">
        <v>180</v>
      </c>
      <c r="C20" s="501">
        <f>'[61]Sch B'!E67</f>
        <v>259343.62</v>
      </c>
      <c r="D20" s="501">
        <f>'[61]Sch B'!G67</f>
        <v>0</v>
      </c>
      <c r="E20" s="171">
        <f t="shared" si="2"/>
        <v>259343.62</v>
      </c>
      <c r="F20" s="171"/>
      <c r="G20" s="171">
        <f t="shared" si="0"/>
        <v>259343.62</v>
      </c>
      <c r="H20" s="172">
        <f t="shared" si="1"/>
        <v>9.3547787096735682E-2</v>
      </c>
      <c r="I20" s="473"/>
      <c r="J20" s="168"/>
      <c r="K20" s="168"/>
    </row>
    <row r="21" spans="1:24" s="167" customFormat="1">
      <c r="A21" s="169"/>
      <c r="B21" s="178" t="s">
        <v>77</v>
      </c>
      <c r="C21" s="501">
        <f>SUM(C11:C20)</f>
        <v>2101144.69</v>
      </c>
      <c r="D21" s="501">
        <f>SUM(D11:D20)</f>
        <v>310238.96000000002</v>
      </c>
      <c r="E21" s="171">
        <f>SUM(E11:E20)</f>
        <v>2411383.65</v>
      </c>
      <c r="F21" s="171">
        <f>SUM(F11:F20)</f>
        <v>360928</v>
      </c>
      <c r="G21" s="171">
        <f>SUM(G11:G20)</f>
        <v>2772311.65</v>
      </c>
      <c r="H21" s="172">
        <f t="shared" si="1"/>
        <v>1</v>
      </c>
      <c r="I21" s="473"/>
      <c r="J21" s="168"/>
      <c r="K21" s="168"/>
    </row>
    <row r="22" spans="1:24" ht="12" customHeight="1">
      <c r="A22" s="145"/>
      <c r="B22" s="179"/>
      <c r="C22" s="151"/>
      <c r="D22" s="144"/>
      <c r="F22" s="144"/>
      <c r="G22" s="144"/>
      <c r="I22" s="475"/>
    </row>
    <row r="23" spans="1:24" ht="26.5">
      <c r="A23" s="180" t="s">
        <v>231</v>
      </c>
      <c r="B23" s="179" t="s">
        <v>222</v>
      </c>
      <c r="C23" s="151"/>
      <c r="D23" s="144"/>
      <c r="F23"/>
      <c r="G23" s="144"/>
      <c r="I23" s="475"/>
      <c r="U23" s="421" t="s">
        <v>408</v>
      </c>
      <c r="W23" s="421" t="s">
        <v>409</v>
      </c>
    </row>
    <row r="24" spans="1:24" ht="15.5">
      <c r="A24" s="181" t="s">
        <v>161</v>
      </c>
      <c r="B24" s="148" t="s">
        <v>12</v>
      </c>
      <c r="F24"/>
      <c r="I24" s="475"/>
      <c r="U24" s="140" t="s">
        <v>406</v>
      </c>
      <c r="V24" s="140" t="s">
        <v>407</v>
      </c>
      <c r="W24" s="140" t="s">
        <v>406</v>
      </c>
      <c r="X24" s="140" t="s">
        <v>407</v>
      </c>
    </row>
    <row r="25" spans="1:24" s="167" customFormat="1">
      <c r="A25" s="169" t="s">
        <v>83</v>
      </c>
      <c r="B25" s="170" t="s">
        <v>14</v>
      </c>
      <c r="C25" s="501">
        <f>'[61]Sch C'!D10</f>
        <v>0</v>
      </c>
      <c r="D25" s="501">
        <f>'[61]Sch C'!F10</f>
        <v>66411.34</v>
      </c>
      <c r="E25" s="171">
        <f t="shared" ref="E25:E60" si="3">C25+D25</f>
        <v>66411.34</v>
      </c>
      <c r="F25" s="171"/>
      <c r="G25" s="182">
        <f>E25+F25</f>
        <v>66411.34</v>
      </c>
      <c r="H25" s="172">
        <f>IF($G$208=0,0,G25/$G$208)</f>
        <v>2.5163960011701202E-2</v>
      </c>
      <c r="I25" s="473"/>
      <c r="J25" s="183">
        <v>0</v>
      </c>
      <c r="K25" s="183">
        <v>0</v>
      </c>
      <c r="U25" s="183">
        <v>0</v>
      </c>
      <c r="V25" s="183">
        <v>0</v>
      </c>
      <c r="W25" s="439">
        <v>0</v>
      </c>
      <c r="X25" s="439">
        <v>0</v>
      </c>
    </row>
    <row r="26" spans="1:24" s="167" customFormat="1">
      <c r="A26" s="169" t="s">
        <v>84</v>
      </c>
      <c r="B26" s="170" t="s">
        <v>176</v>
      </c>
      <c r="C26" s="501">
        <f>'[61]Sch C'!D11</f>
        <v>0</v>
      </c>
      <c r="D26" s="501">
        <f>'[61]Sch C'!F11</f>
        <v>8761.66</v>
      </c>
      <c r="E26" s="171">
        <f t="shared" si="3"/>
        <v>8761.66</v>
      </c>
      <c r="F26" s="171"/>
      <c r="G26" s="171">
        <f t="shared" ref="G26:G60" si="4">E26+F26</f>
        <v>8761.66</v>
      </c>
      <c r="H26" s="184">
        <f t="shared" ref="H26:H61" si="5">IF($G$208=0,0,G26/$G$208)</f>
        <v>3.3198857586087247E-3</v>
      </c>
      <c r="I26" s="473"/>
      <c r="J26" s="183">
        <v>0</v>
      </c>
      <c r="K26" s="183">
        <v>0</v>
      </c>
      <c r="U26" s="183">
        <v>0</v>
      </c>
      <c r="V26" s="183">
        <v>0</v>
      </c>
      <c r="W26" s="439">
        <v>0</v>
      </c>
      <c r="X26" s="439">
        <v>0</v>
      </c>
    </row>
    <row r="27" spans="1:24" s="167" customFormat="1">
      <c r="A27" s="169" t="s">
        <v>85</v>
      </c>
      <c r="B27" s="170" t="s">
        <v>17</v>
      </c>
      <c r="C27" s="501">
        <f>'[61]Sch C'!D12</f>
        <v>59285.32</v>
      </c>
      <c r="D27" s="501">
        <f>'[61]Sch C'!F12</f>
        <v>0</v>
      </c>
      <c r="E27" s="171">
        <f t="shared" si="3"/>
        <v>59285.32</v>
      </c>
      <c r="F27" s="171"/>
      <c r="G27" s="171">
        <f t="shared" si="4"/>
        <v>59285.32</v>
      </c>
      <c r="H27" s="172">
        <f t="shared" si="5"/>
        <v>2.2463835570264198E-2</v>
      </c>
      <c r="I27" s="473"/>
      <c r="J27" s="183">
        <v>3108.86</v>
      </c>
      <c r="K27" s="183">
        <v>3420.46</v>
      </c>
      <c r="U27" s="185">
        <v>971</v>
      </c>
      <c r="V27" s="185">
        <v>1166</v>
      </c>
      <c r="W27" s="439">
        <v>332</v>
      </c>
      <c r="X27" s="439">
        <v>758</v>
      </c>
    </row>
    <row r="28" spans="1:24" s="167" customFormat="1">
      <c r="A28" s="169" t="s">
        <v>86</v>
      </c>
      <c r="B28" s="170" t="s">
        <v>45</v>
      </c>
      <c r="C28" s="501">
        <f>'[61]Sch C'!D13</f>
        <v>20721.060000000001</v>
      </c>
      <c r="D28" s="501">
        <f>'[61]Sch C'!F13</f>
        <v>0</v>
      </c>
      <c r="E28" s="171">
        <f t="shared" si="3"/>
        <v>20721.060000000001</v>
      </c>
      <c r="F28" s="171"/>
      <c r="G28" s="171">
        <f t="shared" si="4"/>
        <v>20721.060000000001</v>
      </c>
      <c r="H28" s="172">
        <f t="shared" si="5"/>
        <v>7.8514290667837956E-3</v>
      </c>
      <c r="I28" s="473"/>
      <c r="J28" s="168"/>
      <c r="K28" s="168"/>
      <c r="U28" s="168"/>
      <c r="V28" s="168"/>
      <c r="W28" s="461"/>
      <c r="X28" s="461"/>
    </row>
    <row r="29" spans="1:24" s="167" customFormat="1">
      <c r="A29" s="169" t="s">
        <v>175</v>
      </c>
      <c r="B29" s="170" t="s">
        <v>20</v>
      </c>
      <c r="C29" s="501">
        <f>'[61]Sch C'!D14</f>
        <v>0</v>
      </c>
      <c r="D29" s="501">
        <f>'[61]Sch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  <c r="U29" s="168"/>
      <c r="V29" s="168"/>
      <c r="W29" s="461"/>
      <c r="X29" s="461"/>
    </row>
    <row r="30" spans="1:24" s="167" customFormat="1">
      <c r="A30" s="169" t="s">
        <v>88</v>
      </c>
      <c r="B30" s="170" t="s">
        <v>22</v>
      </c>
      <c r="C30" s="501">
        <f>'[61]Sch C'!D15</f>
        <v>0</v>
      </c>
      <c r="D30" s="501">
        <f>'[61]Sch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  <c r="U30" s="168"/>
      <c r="V30" s="168"/>
      <c r="W30" s="461"/>
      <c r="X30" s="461"/>
    </row>
    <row r="31" spans="1:24" s="167" customFormat="1">
      <c r="A31" s="169" t="s">
        <v>89</v>
      </c>
      <c r="B31" s="170" t="s">
        <v>148</v>
      </c>
      <c r="C31" s="501">
        <f>'[61]Sch C'!D16</f>
        <v>145209.46</v>
      </c>
      <c r="D31" s="501">
        <f>'[61]Sch C'!F16</f>
        <v>-20456</v>
      </c>
      <c r="E31" s="171">
        <f t="shared" si="3"/>
        <v>124753.45999999999</v>
      </c>
      <c r="F31" s="171"/>
      <c r="G31" s="171">
        <f t="shared" si="4"/>
        <v>124753.45999999999</v>
      </c>
      <c r="H31" s="172">
        <f t="shared" si="5"/>
        <v>4.727040711362495E-2</v>
      </c>
      <c r="I31" s="473"/>
      <c r="J31" s="168"/>
      <c r="K31" s="168"/>
      <c r="U31" s="168"/>
      <c r="V31" s="168"/>
      <c r="W31" s="461"/>
      <c r="X31" s="461"/>
    </row>
    <row r="32" spans="1:24" s="167" customFormat="1">
      <c r="A32" s="169" t="s">
        <v>90</v>
      </c>
      <c r="B32" s="170" t="s">
        <v>23</v>
      </c>
      <c r="C32" s="501">
        <f>'[61]Sch C'!D17</f>
        <v>11564.05</v>
      </c>
      <c r="D32" s="501">
        <f>'[61]Sch C'!F17</f>
        <v>-11564.05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  <c r="U32" s="168"/>
      <c r="V32" s="168"/>
      <c r="W32" s="461"/>
      <c r="X32" s="461"/>
    </row>
    <row r="33" spans="1:24" s="167" customFormat="1">
      <c r="A33" s="169" t="s">
        <v>91</v>
      </c>
      <c r="B33" s="170" t="s">
        <v>24</v>
      </c>
      <c r="C33" s="501">
        <f>'[61]Sch C'!D18</f>
        <v>5773.48</v>
      </c>
      <c r="D33" s="501">
        <f>'[61]Sch C'!F18</f>
        <v>0</v>
      </c>
      <c r="E33" s="171">
        <f t="shared" si="3"/>
        <v>5773.48</v>
      </c>
      <c r="F33" s="171"/>
      <c r="G33" s="171">
        <f t="shared" si="4"/>
        <v>5773.48</v>
      </c>
      <c r="H33" s="172">
        <f t="shared" si="5"/>
        <v>2.1876327122499961E-3</v>
      </c>
      <c r="I33" s="473"/>
      <c r="J33" s="168"/>
      <c r="K33" s="168"/>
      <c r="U33" s="168"/>
      <c r="V33" s="168"/>
      <c r="W33" s="461"/>
      <c r="X33" s="461"/>
    </row>
    <row r="34" spans="1:24" s="167" customFormat="1">
      <c r="A34" s="169" t="s">
        <v>92</v>
      </c>
      <c r="B34" s="170" t="s">
        <v>25</v>
      </c>
      <c r="C34" s="501">
        <f>'[61]Sch C'!D19</f>
        <v>19142.52</v>
      </c>
      <c r="D34" s="501">
        <f>'[61]Sch C'!F19</f>
        <v>0</v>
      </c>
      <c r="E34" s="171">
        <f t="shared" si="3"/>
        <v>19142.52</v>
      </c>
      <c r="F34" s="171"/>
      <c r="G34" s="171">
        <f t="shared" si="4"/>
        <v>19142.52</v>
      </c>
      <c r="H34" s="172">
        <f t="shared" si="5"/>
        <v>7.2533035442921417E-3</v>
      </c>
      <c r="I34" s="473"/>
      <c r="J34" s="168"/>
      <c r="K34" s="168"/>
      <c r="U34" s="168"/>
      <c r="V34" s="168"/>
      <c r="W34" s="461"/>
      <c r="X34" s="461"/>
    </row>
    <row r="35" spans="1:24" s="167" customFormat="1">
      <c r="A35" s="169" t="s">
        <v>93</v>
      </c>
      <c r="B35" s="170" t="s">
        <v>26</v>
      </c>
      <c r="C35" s="501">
        <f>'[61]Sch C'!D20</f>
        <v>6274.6</v>
      </c>
      <c r="D35" s="501">
        <f>'[61]Sch C'!F20</f>
        <v>0</v>
      </c>
      <c r="E35" s="171">
        <f t="shared" si="3"/>
        <v>6274.6</v>
      </c>
      <c r="F35" s="171"/>
      <c r="G35" s="171">
        <f t="shared" si="4"/>
        <v>6274.6</v>
      </c>
      <c r="H35" s="172">
        <f t="shared" si="5"/>
        <v>2.3775123870324009E-3</v>
      </c>
      <c r="I35" s="473"/>
      <c r="J35" s="168"/>
      <c r="K35" s="168"/>
      <c r="U35" s="168"/>
      <c r="V35" s="168"/>
      <c r="W35" s="461"/>
      <c r="X35" s="461"/>
    </row>
    <row r="36" spans="1:24" s="167" customFormat="1">
      <c r="A36" s="169" t="s">
        <v>94</v>
      </c>
      <c r="B36" s="170" t="s">
        <v>27</v>
      </c>
      <c r="C36" s="501">
        <f>'[61]Sch C'!D21</f>
        <v>18845.080000000002</v>
      </c>
      <c r="D36" s="501">
        <f>'[61]Sch C'!F21</f>
        <v>0</v>
      </c>
      <c r="E36" s="171">
        <f t="shared" si="3"/>
        <v>18845.080000000002</v>
      </c>
      <c r="F36" s="171"/>
      <c r="G36" s="171">
        <f t="shared" si="4"/>
        <v>18845.080000000002</v>
      </c>
      <c r="H36" s="172">
        <f t="shared" si="5"/>
        <v>7.1406003784490746E-3</v>
      </c>
      <c r="I36" s="473"/>
      <c r="J36" s="168"/>
      <c r="K36" s="168"/>
      <c r="U36" s="168"/>
      <c r="V36" s="168"/>
      <c r="W36" s="461"/>
      <c r="X36" s="461"/>
    </row>
    <row r="37" spans="1:24" s="167" customFormat="1">
      <c r="A37" s="163">
        <v>130</v>
      </c>
      <c r="B37" s="170" t="s">
        <v>28</v>
      </c>
      <c r="C37" s="501">
        <f>'[61]Sch C'!D22</f>
        <v>0</v>
      </c>
      <c r="D37" s="501">
        <f>'[61]Sch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  <c r="U37" s="168"/>
      <c r="V37" s="168"/>
      <c r="W37" s="461"/>
      <c r="X37" s="461"/>
    </row>
    <row r="38" spans="1:24" s="167" customFormat="1">
      <c r="A38" s="163">
        <v>140</v>
      </c>
      <c r="B38" s="170" t="s">
        <v>149</v>
      </c>
      <c r="C38" s="501">
        <f>'[61]Sch C'!D23</f>
        <v>23867.759999999998</v>
      </c>
      <c r="D38" s="501">
        <f>'[61]Sch C'!F23</f>
        <v>0</v>
      </c>
      <c r="E38" s="171">
        <f t="shared" si="3"/>
        <v>23867.759999999998</v>
      </c>
      <c r="F38" s="171"/>
      <c r="G38" s="171">
        <f t="shared" si="4"/>
        <v>23867.759999999998</v>
      </c>
      <c r="H38" s="172">
        <f t="shared" si="5"/>
        <v>9.0437470198445249E-3</v>
      </c>
      <c r="I38" s="473"/>
      <c r="J38" s="168"/>
      <c r="K38" s="168"/>
      <c r="U38" s="168"/>
      <c r="V38" s="168"/>
      <c r="W38" s="461"/>
      <c r="X38" s="461"/>
    </row>
    <row r="39" spans="1:24" s="167" customFormat="1">
      <c r="A39" s="163">
        <v>150</v>
      </c>
      <c r="B39" s="170" t="s">
        <v>29</v>
      </c>
      <c r="C39" s="501">
        <f>'[61]Sch C'!D24</f>
        <v>51906.34</v>
      </c>
      <c r="D39" s="501">
        <f>'[61]Sch C'!F24</f>
        <v>-4898.9799999999996</v>
      </c>
      <c r="E39" s="171">
        <f t="shared" si="3"/>
        <v>47007.360000000001</v>
      </c>
      <c r="F39" s="171"/>
      <c r="G39" s="171">
        <f t="shared" si="4"/>
        <v>47007.360000000001</v>
      </c>
      <c r="H39" s="172">
        <f t="shared" si="5"/>
        <v>1.7811586504588563E-2</v>
      </c>
      <c r="I39" s="473"/>
      <c r="J39" s="168"/>
      <c r="K39" s="168"/>
      <c r="U39" s="168"/>
      <c r="V39" s="168"/>
      <c r="W39" s="461"/>
      <c r="X39" s="461"/>
    </row>
    <row r="40" spans="1:24" s="167" customFormat="1">
      <c r="A40" s="163">
        <v>160</v>
      </c>
      <c r="B40" s="170" t="s">
        <v>30</v>
      </c>
      <c r="C40" s="501">
        <f>'[61]Sch C'!D25</f>
        <v>0</v>
      </c>
      <c r="D40" s="501">
        <f>'[61]Sch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  <c r="U40" s="168"/>
      <c r="V40" s="168"/>
      <c r="W40" s="461"/>
      <c r="X40" s="461"/>
    </row>
    <row r="41" spans="1:24" s="167" customFormat="1">
      <c r="A41" s="163">
        <v>170</v>
      </c>
      <c r="B41" s="170" t="s">
        <v>31</v>
      </c>
      <c r="C41" s="501">
        <f>'[61]Sch C'!D26</f>
        <v>118792.86</v>
      </c>
      <c r="D41" s="501">
        <f>'[61]Sch C'!F26</f>
        <v>0</v>
      </c>
      <c r="E41" s="171">
        <f t="shared" si="3"/>
        <v>118792.86</v>
      </c>
      <c r="F41" s="171"/>
      <c r="G41" s="171">
        <f t="shared" si="4"/>
        <v>118792.86</v>
      </c>
      <c r="H41" s="172">
        <f t="shared" si="5"/>
        <v>4.5011872651803432E-2</v>
      </c>
      <c r="I41" s="473"/>
      <c r="J41" s="168"/>
      <c r="K41" s="168"/>
      <c r="U41" s="168"/>
      <c r="V41" s="168"/>
      <c r="W41" s="461"/>
      <c r="X41" s="461"/>
    </row>
    <row r="42" spans="1:24" s="167" customFormat="1">
      <c r="A42" s="163">
        <v>180</v>
      </c>
      <c r="B42" s="170" t="s">
        <v>32</v>
      </c>
      <c r="C42" s="501">
        <f>'[61]Sch C'!D27</f>
        <v>1317.79</v>
      </c>
      <c r="D42" s="501">
        <f>'[61]Sch C'!F27</f>
        <v>0</v>
      </c>
      <c r="E42" s="171">
        <f t="shared" si="3"/>
        <v>1317.79</v>
      </c>
      <c r="F42" s="171"/>
      <c r="G42" s="171">
        <f t="shared" si="4"/>
        <v>1317.79</v>
      </c>
      <c r="H42" s="172">
        <f t="shared" si="5"/>
        <v>4.9932458618994478E-4</v>
      </c>
      <c r="I42" s="473"/>
      <c r="J42" s="168"/>
      <c r="K42" s="168"/>
      <c r="U42" s="168"/>
      <c r="V42" s="168"/>
      <c r="W42" s="461"/>
      <c r="X42" s="461"/>
    </row>
    <row r="43" spans="1:24" s="167" customFormat="1">
      <c r="A43" s="163">
        <v>190</v>
      </c>
      <c r="B43" s="170" t="s">
        <v>33</v>
      </c>
      <c r="C43" s="501">
        <f>'[61]Sch C'!D28</f>
        <v>0</v>
      </c>
      <c r="D43" s="501">
        <f>'[61]Sch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  <c r="U43" s="168"/>
      <c r="V43" s="168"/>
      <c r="W43" s="461"/>
      <c r="X43" s="461"/>
    </row>
    <row r="44" spans="1:24" s="167" customFormat="1">
      <c r="A44" s="163">
        <v>200</v>
      </c>
      <c r="B44" s="170" t="s">
        <v>34</v>
      </c>
      <c r="C44" s="501">
        <f>'[61]Sch C'!D29</f>
        <v>48022.87</v>
      </c>
      <c r="D44" s="501">
        <f>'[61]Sch C'!F29</f>
        <v>-48022.87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  <c r="U44" s="168"/>
      <c r="V44" s="168"/>
      <c r="W44" s="461"/>
      <c r="X44" s="461"/>
    </row>
    <row r="45" spans="1:24" s="167" customFormat="1">
      <c r="A45" s="163">
        <v>210</v>
      </c>
      <c r="B45" s="170" t="s">
        <v>35</v>
      </c>
      <c r="C45" s="501">
        <f>'[61]Sch C'!D30</f>
        <v>0</v>
      </c>
      <c r="D45" s="501">
        <f>'[61]Sch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  <c r="U45" s="168"/>
      <c r="V45" s="168"/>
      <c r="W45" s="461"/>
      <c r="X45" s="461"/>
    </row>
    <row r="46" spans="1:24" s="167" customFormat="1">
      <c r="A46" s="163">
        <v>220</v>
      </c>
      <c r="B46" s="170" t="s">
        <v>190</v>
      </c>
      <c r="C46" s="501">
        <f>'[61]Sch C'!D31</f>
        <v>569.20000000000005</v>
      </c>
      <c r="D46" s="501">
        <f>'[61]Sch C'!F31</f>
        <v>0</v>
      </c>
      <c r="E46" s="171">
        <f t="shared" si="3"/>
        <v>569.20000000000005</v>
      </c>
      <c r="F46" s="171"/>
      <c r="G46" s="171">
        <f t="shared" si="4"/>
        <v>569.20000000000005</v>
      </c>
      <c r="H46" s="172">
        <f t="shared" si="5"/>
        <v>2.1567590773895431E-4</v>
      </c>
      <c r="I46" s="473"/>
      <c r="J46" s="168"/>
      <c r="K46" s="168"/>
      <c r="U46" s="168"/>
      <c r="V46" s="168"/>
      <c r="W46" s="461"/>
      <c r="X46" s="461"/>
    </row>
    <row r="47" spans="1:24" s="167" customFormat="1">
      <c r="A47" s="163">
        <v>230</v>
      </c>
      <c r="B47" s="170" t="s">
        <v>191</v>
      </c>
      <c r="C47" s="501">
        <f>'[61]Sch C'!D32</f>
        <v>743.72</v>
      </c>
      <c r="D47" s="501">
        <f>'[61]Sch C'!F32</f>
        <v>19877.97</v>
      </c>
      <c r="E47" s="171">
        <f t="shared" si="3"/>
        <v>20621.690000000002</v>
      </c>
      <c r="F47" s="171"/>
      <c r="G47" s="171">
        <f t="shared" si="4"/>
        <v>20621.690000000002</v>
      </c>
      <c r="H47" s="172">
        <f t="shared" si="5"/>
        <v>7.8137767214710406E-3</v>
      </c>
      <c r="I47" s="473"/>
      <c r="J47" s="168"/>
      <c r="K47" s="168"/>
      <c r="U47" s="168"/>
      <c r="V47" s="168"/>
      <c r="W47" s="461"/>
      <c r="X47" s="461"/>
    </row>
    <row r="48" spans="1:24" s="167" customFormat="1">
      <c r="A48" s="163">
        <v>240</v>
      </c>
      <c r="B48" s="170" t="s">
        <v>201</v>
      </c>
      <c r="C48" s="501">
        <f>'[61]Sch C'!D33</f>
        <v>50257.58</v>
      </c>
      <c r="D48" s="501">
        <f>'[61]Sch C'!F33</f>
        <v>-50257.58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  <c r="U48" s="168"/>
      <c r="V48" s="168"/>
      <c r="W48" s="461"/>
      <c r="X48" s="461"/>
    </row>
    <row r="49" spans="1:24" s="167" customFormat="1">
      <c r="A49" s="163">
        <v>250</v>
      </c>
      <c r="B49" s="170" t="s">
        <v>202</v>
      </c>
      <c r="C49" s="501">
        <f>'[61]Sch C'!D34</f>
        <v>0</v>
      </c>
      <c r="D49" s="501">
        <f>'[61]Sch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  <c r="U49" s="168"/>
      <c r="V49" s="168"/>
      <c r="W49" s="461"/>
      <c r="X49" s="461"/>
    </row>
    <row r="50" spans="1:24" s="167" customFormat="1">
      <c r="A50" s="163">
        <v>270</v>
      </c>
      <c r="B50" s="170" t="s">
        <v>203</v>
      </c>
      <c r="C50" s="501">
        <f>'[61]Sch C'!D35</f>
        <v>0</v>
      </c>
      <c r="D50" s="501">
        <f>'[61]Sch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  <c r="U50" s="168"/>
      <c r="V50" s="168"/>
      <c r="W50" s="461"/>
      <c r="X50" s="461"/>
    </row>
    <row r="51" spans="1:24" s="167" customFormat="1">
      <c r="A51" s="163">
        <v>280</v>
      </c>
      <c r="B51" s="170" t="s">
        <v>204</v>
      </c>
      <c r="C51" s="501">
        <f>'[61]Sch C'!D36</f>
        <v>0</v>
      </c>
      <c r="D51" s="501">
        <f>'[61]Sch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739.8</v>
      </c>
      <c r="K51" s="183">
        <v>739.8</v>
      </c>
      <c r="U51" s="183">
        <v>0</v>
      </c>
      <c r="V51" s="183">
        <v>0</v>
      </c>
      <c r="W51" s="439">
        <v>0</v>
      </c>
      <c r="X51" s="439">
        <v>0</v>
      </c>
    </row>
    <row r="52" spans="1:24" s="167" customFormat="1">
      <c r="A52" s="163">
        <v>290</v>
      </c>
      <c r="B52" s="170" t="s">
        <v>205</v>
      </c>
      <c r="C52" s="501">
        <f>'[61]Sch C'!D37</f>
        <v>0</v>
      </c>
      <c r="D52" s="501">
        <f>'[61]Sch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  <c r="U52" s="168"/>
      <c r="V52" s="168"/>
      <c r="W52" s="461"/>
      <c r="X52" s="461"/>
    </row>
    <row r="53" spans="1:24" s="167" customFormat="1">
      <c r="A53" s="163">
        <v>300</v>
      </c>
      <c r="B53" s="170" t="s">
        <v>206</v>
      </c>
      <c r="C53" s="501">
        <f>'[61]Sch C'!D38</f>
        <v>209.94</v>
      </c>
      <c r="D53" s="501">
        <f>'[61]Sch C'!F38</f>
        <v>0</v>
      </c>
      <c r="E53" s="171">
        <f t="shared" si="3"/>
        <v>209.94</v>
      </c>
      <c r="F53" s="171"/>
      <c r="G53" s="171">
        <f t="shared" si="4"/>
        <v>209.94</v>
      </c>
      <c r="H53" s="172">
        <f t="shared" si="5"/>
        <v>7.9548489231756958E-5</v>
      </c>
      <c r="I53" s="473"/>
      <c r="J53" s="168"/>
      <c r="K53" s="168"/>
      <c r="U53" s="168"/>
      <c r="V53" s="168"/>
      <c r="W53" s="461"/>
      <c r="X53" s="461"/>
    </row>
    <row r="54" spans="1:24" s="167" customFormat="1">
      <c r="A54" s="163">
        <v>310</v>
      </c>
      <c r="B54" s="170" t="s">
        <v>207</v>
      </c>
      <c r="C54" s="501">
        <f>'[61]Sch C'!D39</f>
        <v>3728.87</v>
      </c>
      <c r="D54" s="501">
        <f>'[61]Sch C'!F39</f>
        <v>0</v>
      </c>
      <c r="E54" s="171">
        <f t="shared" si="3"/>
        <v>3728.87</v>
      </c>
      <c r="F54" s="171"/>
      <c r="G54" s="171">
        <f t="shared" si="4"/>
        <v>3728.87</v>
      </c>
      <c r="H54" s="172">
        <f t="shared" si="5"/>
        <v>1.4129083311499552E-3</v>
      </c>
      <c r="I54" s="473"/>
      <c r="J54" s="168"/>
      <c r="K54" s="168"/>
      <c r="U54" s="168"/>
      <c r="V54" s="168"/>
      <c r="W54" s="461"/>
      <c r="X54" s="461"/>
    </row>
    <row r="55" spans="1:24" s="167" customFormat="1">
      <c r="A55" s="163">
        <v>320</v>
      </c>
      <c r="B55" s="170" t="s">
        <v>208</v>
      </c>
      <c r="C55" s="501">
        <f>'[61]Sch C'!D40</f>
        <v>8335.23</v>
      </c>
      <c r="D55" s="501">
        <f>'[61]Sch C'!F40</f>
        <v>0</v>
      </c>
      <c r="E55" s="171">
        <f t="shared" si="3"/>
        <v>8335.23</v>
      </c>
      <c r="F55" s="171"/>
      <c r="G55" s="171">
        <f t="shared" si="4"/>
        <v>8335.23</v>
      </c>
      <c r="H55" s="172">
        <f t="shared" si="5"/>
        <v>3.1583069157817356E-3</v>
      </c>
      <c r="I55" s="473"/>
      <c r="J55" s="168"/>
      <c r="K55" s="168"/>
      <c r="U55" s="168"/>
      <c r="V55" s="168"/>
      <c r="W55" s="461"/>
      <c r="X55" s="461"/>
    </row>
    <row r="56" spans="1:24" s="167" customFormat="1">
      <c r="A56" s="163">
        <v>330</v>
      </c>
      <c r="B56" s="170" t="s">
        <v>48</v>
      </c>
      <c r="C56" s="501">
        <f>'[61]Sch C'!D41</f>
        <v>39997.379999999997</v>
      </c>
      <c r="D56" s="501">
        <f>'[61]Sch C'!F41</f>
        <v>-3355.06</v>
      </c>
      <c r="E56" s="171">
        <f t="shared" si="3"/>
        <v>36642.32</v>
      </c>
      <c r="F56" s="171"/>
      <c r="G56" s="171">
        <f t="shared" si="4"/>
        <v>36642.32</v>
      </c>
      <c r="H56" s="172">
        <f t="shared" si="5"/>
        <v>1.3884163084436471E-2</v>
      </c>
      <c r="I56" s="473"/>
      <c r="J56" s="168"/>
      <c r="K56" s="168"/>
      <c r="U56" s="168"/>
      <c r="V56" s="168"/>
      <c r="W56" s="461"/>
      <c r="X56" s="461"/>
    </row>
    <row r="57" spans="1:24" s="167" customFormat="1">
      <c r="A57" s="163">
        <v>340</v>
      </c>
      <c r="B57" s="170" t="s">
        <v>209</v>
      </c>
      <c r="C57" s="501">
        <f>'[61]Sch C'!D42</f>
        <v>6687.97</v>
      </c>
      <c r="D57" s="501">
        <f>'[61]Sch C'!F42</f>
        <v>0</v>
      </c>
      <c r="E57" s="171">
        <f t="shared" si="3"/>
        <v>6687.97</v>
      </c>
      <c r="F57" s="171"/>
      <c r="G57" s="171">
        <f t="shared" si="4"/>
        <v>6687.97</v>
      </c>
      <c r="H57" s="172">
        <f t="shared" si="5"/>
        <v>2.5341426575560331E-3</v>
      </c>
      <c r="I57" s="473"/>
      <c r="J57" s="168"/>
      <c r="K57" s="168"/>
      <c r="U57" s="168"/>
      <c r="V57" s="168"/>
      <c r="W57" s="461"/>
      <c r="X57" s="461"/>
    </row>
    <row r="58" spans="1:24" s="167" customFormat="1">
      <c r="A58" s="163">
        <v>350</v>
      </c>
      <c r="B58" s="170" t="s">
        <v>210</v>
      </c>
      <c r="C58" s="501">
        <f>'[61]Sch C'!D43</f>
        <v>0</v>
      </c>
      <c r="D58" s="501">
        <f>'[61]Sch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  <c r="U58" s="168"/>
      <c r="V58" s="168"/>
      <c r="W58" s="461"/>
      <c r="X58" s="461"/>
    </row>
    <row r="59" spans="1:24" s="167" customFormat="1">
      <c r="A59" s="163">
        <v>360</v>
      </c>
      <c r="B59" s="170" t="s">
        <v>211</v>
      </c>
      <c r="C59" s="501">
        <f>'[61]Sch C'!D44</f>
        <v>0</v>
      </c>
      <c r="D59" s="501">
        <f>'[61]Sch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  <c r="U59" s="168"/>
      <c r="V59" s="168"/>
      <c r="W59" s="461"/>
      <c r="X59" s="461"/>
    </row>
    <row r="60" spans="1:24" s="167" customFormat="1">
      <c r="A60" s="163">
        <v>490</v>
      </c>
      <c r="B60" s="170" t="s">
        <v>36</v>
      </c>
      <c r="C60" s="501">
        <f>'[61]Sch C'!D45</f>
        <v>91990.87</v>
      </c>
      <c r="D60" s="501">
        <f>'[61]Sch C'!F45</f>
        <v>-75173.429999999993</v>
      </c>
      <c r="E60" s="171">
        <f t="shared" si="3"/>
        <v>16817.440000000002</v>
      </c>
      <c r="F60" s="171"/>
      <c r="G60" s="171">
        <f t="shared" si="4"/>
        <v>16817.440000000002</v>
      </c>
      <c r="H60" s="172">
        <f t="shared" si="5"/>
        <v>6.3723061100586786E-3</v>
      </c>
      <c r="I60" s="473"/>
      <c r="J60" s="168"/>
      <c r="K60" s="168"/>
      <c r="U60" s="168"/>
      <c r="V60" s="168"/>
      <c r="W60" s="461"/>
      <c r="X60" s="461"/>
    </row>
    <row r="61" spans="1:24" s="167" customFormat="1">
      <c r="A61" s="163"/>
      <c r="B61" s="170" t="s">
        <v>177</v>
      </c>
      <c r="C61" s="501">
        <f>SUM(C25:C60)</f>
        <v>733243.94999999984</v>
      </c>
      <c r="D61" s="501">
        <f>SUM(D25:D60)</f>
        <v>-118677</v>
      </c>
      <c r="E61" s="171">
        <f t="shared" ref="E61:F61" si="6">SUM(E25:E60)</f>
        <v>614566.94999999972</v>
      </c>
      <c r="F61" s="171">
        <f t="shared" si="6"/>
        <v>0</v>
      </c>
      <c r="G61" s="171">
        <f>SUM(G25:G60)</f>
        <v>614566.94999999972</v>
      </c>
      <c r="H61" s="186">
        <f t="shared" si="5"/>
        <v>0.23286592552285748</v>
      </c>
      <c r="I61" s="480"/>
      <c r="J61" s="168"/>
      <c r="K61" s="168"/>
      <c r="U61" s="168"/>
      <c r="V61" s="168"/>
      <c r="W61" s="461"/>
      <c r="X61" s="461"/>
    </row>
    <row r="62" spans="1:24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  <c r="U62" s="168"/>
      <c r="V62" s="168"/>
      <c r="W62" s="461"/>
      <c r="X62" s="461"/>
    </row>
    <row r="63" spans="1:2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  <c r="U63" s="168"/>
      <c r="V63" s="168"/>
      <c r="W63" s="461"/>
      <c r="X63" s="461"/>
    </row>
    <row r="64" spans="1:24" s="167" customFormat="1">
      <c r="A64" s="188">
        <v>230</v>
      </c>
      <c r="B64" s="189" t="s">
        <v>253</v>
      </c>
      <c r="C64" s="501">
        <f>'[61]Sch C'!D57</f>
        <v>69820</v>
      </c>
      <c r="D64" s="501">
        <f>'[61]Sch C'!F57</f>
        <v>-69820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  <c r="U64" s="190"/>
      <c r="V64" s="168"/>
      <c r="W64" s="462"/>
      <c r="X64" s="461"/>
    </row>
    <row r="65" spans="1:24" s="167" customFormat="1">
      <c r="A65" s="191">
        <v>240</v>
      </c>
      <c r="B65" s="189" t="s">
        <v>254</v>
      </c>
      <c r="C65" s="501">
        <f>'[61]Sch C'!D58</f>
        <v>12002.46</v>
      </c>
      <c r="D65" s="501">
        <f>'[61]Sch C'!F58</f>
        <v>25832.04</v>
      </c>
      <c r="E65" s="171">
        <f t="shared" si="7"/>
        <v>37834.5</v>
      </c>
      <c r="F65" s="171"/>
      <c r="G65" s="171">
        <f t="shared" si="8"/>
        <v>37834.5</v>
      </c>
      <c r="H65" s="172">
        <f t="shared" si="9"/>
        <v>1.4335892711436166E-2</v>
      </c>
      <c r="I65" s="473"/>
      <c r="J65" s="190"/>
      <c r="K65" s="168"/>
      <c r="U65" s="190"/>
      <c r="V65" s="168"/>
      <c r="W65" s="462"/>
      <c r="X65" s="461"/>
    </row>
    <row r="66" spans="1:24" s="167" customFormat="1">
      <c r="A66" s="142">
        <v>250</v>
      </c>
      <c r="B66" s="189" t="s">
        <v>307</v>
      </c>
      <c r="C66" s="501">
        <f>'[61]Sch C'!D59</f>
        <v>0</v>
      </c>
      <c r="D66" s="501">
        <f>'[61]Sch C'!F59</f>
        <v>51611.35</v>
      </c>
      <c r="E66" s="171">
        <f t="shared" si="7"/>
        <v>51611.35</v>
      </c>
      <c r="F66" s="171"/>
      <c r="G66" s="171">
        <f t="shared" si="8"/>
        <v>51611.35</v>
      </c>
      <c r="H66" s="172">
        <f t="shared" si="9"/>
        <v>1.9556087071122413E-2</v>
      </c>
      <c r="I66" s="473"/>
      <c r="J66" s="190"/>
      <c r="K66" s="168"/>
      <c r="U66" s="190"/>
      <c r="V66" s="168"/>
      <c r="W66" s="462"/>
      <c r="X66" s="461"/>
    </row>
    <row r="67" spans="1:24" s="167" customFormat="1">
      <c r="A67" s="142">
        <v>260</v>
      </c>
      <c r="B67" s="192" t="s">
        <v>308</v>
      </c>
      <c r="C67" s="501">
        <f>'[61]Sch C'!D60</f>
        <v>0</v>
      </c>
      <c r="D67" s="501">
        <f>'[61]Sch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  <c r="U67" s="193"/>
      <c r="V67" s="168"/>
      <c r="W67" s="463"/>
      <c r="X67" s="461"/>
    </row>
    <row r="68" spans="1:24" s="167" customFormat="1">
      <c r="A68" s="142">
        <v>270</v>
      </c>
      <c r="B68" s="192" t="s">
        <v>309</v>
      </c>
      <c r="C68" s="501">
        <f>'[61]Sch C'!D61</f>
        <v>19877.97</v>
      </c>
      <c r="D68" s="501">
        <f>'[61]Sch C'!F61</f>
        <v>-19877.97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  <c r="U68" s="193"/>
      <c r="V68" s="168"/>
      <c r="W68" s="463"/>
      <c r="X68" s="461"/>
    </row>
    <row r="69" spans="1:24" s="167" customFormat="1">
      <c r="A69" s="142">
        <v>280</v>
      </c>
      <c r="B69" s="194" t="s">
        <v>258</v>
      </c>
      <c r="C69" s="501">
        <f>'[61]Sch C'!D62</f>
        <v>7851.06</v>
      </c>
      <c r="D69" s="501">
        <f>'[61]Sch C'!F62</f>
        <v>0</v>
      </c>
      <c r="E69" s="171">
        <f t="shared" si="7"/>
        <v>7851.06</v>
      </c>
      <c r="F69" s="171"/>
      <c r="G69" s="171">
        <f t="shared" si="8"/>
        <v>7851.06</v>
      </c>
      <c r="H69" s="172">
        <f t="shared" si="9"/>
        <v>2.9748497754971794E-3</v>
      </c>
      <c r="I69" s="473"/>
      <c r="J69" s="195"/>
      <c r="K69" s="168"/>
      <c r="U69" s="195"/>
      <c r="V69" s="168"/>
      <c r="W69" s="464"/>
      <c r="X69" s="461"/>
    </row>
    <row r="70" spans="1:24" s="167" customFormat="1">
      <c r="A70" s="142">
        <v>290</v>
      </c>
      <c r="B70" s="194" t="s">
        <v>259</v>
      </c>
      <c r="C70" s="501">
        <f>'[61]Sch C'!D63</f>
        <v>0</v>
      </c>
      <c r="D70" s="501">
        <f>'[61]Sch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  <c r="U70" s="195"/>
      <c r="V70" s="168"/>
      <c r="W70" s="464"/>
      <c r="X70" s="461"/>
    </row>
    <row r="71" spans="1:24" s="167" customFormat="1">
      <c r="A71" s="142">
        <v>300</v>
      </c>
      <c r="B71" s="194" t="s">
        <v>260</v>
      </c>
      <c r="C71" s="501">
        <f>'[61]Sch C'!D64</f>
        <v>0</v>
      </c>
      <c r="D71" s="501">
        <f>'[61]Sch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  <c r="U71" s="195"/>
      <c r="V71" s="168"/>
      <c r="W71" s="464"/>
      <c r="X71" s="461"/>
    </row>
    <row r="72" spans="1:24" s="167" customFormat="1">
      <c r="A72" s="142">
        <v>310</v>
      </c>
      <c r="B72" s="194" t="s">
        <v>310</v>
      </c>
      <c r="C72" s="501">
        <f>'[61]Sch C'!D65</f>
        <v>0</v>
      </c>
      <c r="D72" s="501">
        <f>'[61]Sch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  <c r="U72" s="195"/>
      <c r="V72" s="168"/>
      <c r="W72" s="464"/>
      <c r="X72" s="461"/>
    </row>
    <row r="73" spans="1:24" s="167" customFormat="1">
      <c r="A73" s="142">
        <v>320</v>
      </c>
      <c r="B73" s="194" t="s">
        <v>262</v>
      </c>
      <c r="C73" s="501">
        <f>'[61]Sch C'!D66</f>
        <v>2197.86</v>
      </c>
      <c r="D73" s="501">
        <f>'[61]Sch C'!F66</f>
        <v>0</v>
      </c>
      <c r="E73" s="171">
        <f t="shared" si="7"/>
        <v>2197.86</v>
      </c>
      <c r="F73" s="171"/>
      <c r="G73" s="171">
        <f t="shared" si="8"/>
        <v>2197.86</v>
      </c>
      <c r="H73" s="172">
        <f t="shared" si="9"/>
        <v>8.3279242899356653E-4</v>
      </c>
      <c r="I73" s="473"/>
      <c r="J73" s="195"/>
      <c r="K73" s="168"/>
      <c r="U73" s="195"/>
      <c r="V73" s="168"/>
      <c r="W73" s="464"/>
      <c r="X73" s="461"/>
    </row>
    <row r="74" spans="1:24" s="167" customFormat="1">
      <c r="A74" s="142">
        <v>330</v>
      </c>
      <c r="B74" s="194" t="s">
        <v>263</v>
      </c>
      <c r="C74" s="501">
        <f>'[61]Sch C'!D67</f>
        <v>43688.59</v>
      </c>
      <c r="D74" s="501">
        <f>'[61]Sch C'!F67</f>
        <v>0</v>
      </c>
      <c r="E74" s="171">
        <f t="shared" si="7"/>
        <v>43688.59</v>
      </c>
      <c r="F74" s="171"/>
      <c r="G74" s="171">
        <f t="shared" si="8"/>
        <v>43688.59</v>
      </c>
      <c r="H74" s="172">
        <f t="shared" si="9"/>
        <v>1.6554069406333451E-2</v>
      </c>
      <c r="I74" s="473"/>
      <c r="J74" s="195"/>
      <c r="K74" s="168"/>
      <c r="U74" s="195"/>
      <c r="V74" s="168"/>
      <c r="W74" s="464"/>
      <c r="X74" s="461"/>
    </row>
    <row r="75" spans="1:24" s="167" customFormat="1">
      <c r="A75" s="142">
        <v>340</v>
      </c>
      <c r="B75" s="194" t="s">
        <v>264</v>
      </c>
      <c r="C75" s="501">
        <f>'[61]Sch C'!D68</f>
        <v>0</v>
      </c>
      <c r="D75" s="501">
        <f>'[61]Sch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  <c r="U75" s="195"/>
      <c r="V75" s="168"/>
      <c r="W75" s="464"/>
      <c r="X75" s="461"/>
    </row>
    <row r="76" spans="1:24" s="167" customFormat="1">
      <c r="A76" s="167">
        <v>350</v>
      </c>
      <c r="B76" s="194" t="s">
        <v>311</v>
      </c>
      <c r="C76" s="501">
        <f>'[61]Sch C'!D69</f>
        <v>2659.26</v>
      </c>
      <c r="D76" s="501">
        <f>'[61]Sch C'!F69</f>
        <v>0</v>
      </c>
      <c r="E76" s="171">
        <f t="shared" si="7"/>
        <v>2659.26</v>
      </c>
      <c r="F76" s="171"/>
      <c r="G76" s="171">
        <f t="shared" si="8"/>
        <v>2659.26</v>
      </c>
      <c r="H76" s="172">
        <f t="shared" si="9"/>
        <v>1.0076217751473851E-3</v>
      </c>
      <c r="I76" s="473"/>
      <c r="J76" s="195"/>
      <c r="K76" s="168"/>
      <c r="U76" s="195"/>
      <c r="V76" s="168"/>
      <c r="W76" s="464"/>
      <c r="X76" s="461"/>
    </row>
    <row r="77" spans="1:24" s="167" customFormat="1">
      <c r="A77" s="142">
        <v>360</v>
      </c>
      <c r="B77" s="194" t="s">
        <v>192</v>
      </c>
      <c r="C77" s="501">
        <f>'[61]Sch C'!D70</f>
        <v>0</v>
      </c>
      <c r="D77" s="501">
        <f>'[61]Sch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  <c r="U77" s="195"/>
      <c r="V77" s="168"/>
      <c r="W77" s="464"/>
      <c r="X77" s="461"/>
    </row>
    <row r="78" spans="1:24" s="167" customFormat="1">
      <c r="A78" s="142">
        <v>490</v>
      </c>
      <c r="B78" s="194" t="s">
        <v>312</v>
      </c>
      <c r="C78" s="501">
        <f>'[61]Sch C'!D71</f>
        <v>0</v>
      </c>
      <c r="D78" s="501">
        <f>'[61]Sch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  <c r="U78" s="195"/>
      <c r="V78" s="168"/>
      <c r="W78" s="464"/>
      <c r="X78" s="461"/>
    </row>
    <row r="79" spans="1:24" s="167" customFormat="1">
      <c r="A79" s="163"/>
      <c r="B79" s="170" t="s">
        <v>150</v>
      </c>
      <c r="C79" s="501">
        <f>SUM(C64:C78)</f>
        <v>158097.20000000001</v>
      </c>
      <c r="D79" s="501">
        <f>SUM(D64:D78)</f>
        <v>-12254.580000000002</v>
      </c>
      <c r="E79" s="171">
        <f t="shared" ref="E79:F79" si="10">SUM(E64:E78)</f>
        <v>145842.62</v>
      </c>
      <c r="F79" s="171">
        <f t="shared" si="10"/>
        <v>0</v>
      </c>
      <c r="G79" s="171">
        <f>SUM(G64:G78)</f>
        <v>145842.62</v>
      </c>
      <c r="H79" s="172">
        <f t="shared" si="9"/>
        <v>5.5261313168530161E-2</v>
      </c>
      <c r="I79" s="473"/>
      <c r="J79" s="195"/>
      <c r="K79" s="168"/>
      <c r="U79" s="195"/>
      <c r="V79" s="168"/>
      <c r="W79" s="464"/>
      <c r="X79" s="461"/>
    </row>
    <row r="80" spans="1:24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  <c r="U80" s="168"/>
      <c r="V80" s="168"/>
      <c r="W80" s="461"/>
      <c r="X80" s="461"/>
    </row>
    <row r="81" spans="1:2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  <c r="U81" s="168"/>
      <c r="V81" s="168"/>
      <c r="W81" s="461"/>
      <c r="X81" s="461"/>
    </row>
    <row r="82" spans="1:24" s="167" customFormat="1">
      <c r="A82" s="169" t="s">
        <v>85</v>
      </c>
      <c r="B82" s="148" t="s">
        <v>44</v>
      </c>
      <c r="C82" s="501">
        <f>'[61]Sch C'!D75</f>
        <v>37255.440000000002</v>
      </c>
      <c r="D82" s="501">
        <f>'[61]Sch C'!F75</f>
        <v>0</v>
      </c>
      <c r="E82" s="171">
        <f t="shared" ref="E82:E92" si="11">C82+D82</f>
        <v>37255.440000000002</v>
      </c>
      <c r="F82" s="171"/>
      <c r="G82" s="171">
        <f t="shared" ref="G82:G92" si="12">E82+F82</f>
        <v>37255.440000000002</v>
      </c>
      <c r="H82" s="172">
        <f t="shared" ref="H82:H93" si="13">IF($G$208=0,0,G82/$G$208)</f>
        <v>1.4116480745281356E-2</v>
      </c>
      <c r="I82" s="473"/>
      <c r="J82" s="183">
        <v>2088.63</v>
      </c>
      <c r="K82" s="183">
        <v>2157.13</v>
      </c>
      <c r="U82" s="183">
        <v>955</v>
      </c>
      <c r="V82" s="183">
        <v>1050</v>
      </c>
      <c r="W82" s="439">
        <v>597</v>
      </c>
      <c r="X82" s="439">
        <v>652</v>
      </c>
    </row>
    <row r="83" spans="1:24" s="167" customFormat="1">
      <c r="A83" s="169" t="s">
        <v>86</v>
      </c>
      <c r="B83" s="199" t="s">
        <v>45</v>
      </c>
      <c r="C83" s="501">
        <f>'[61]Sch C'!D76</f>
        <v>3790.12</v>
      </c>
      <c r="D83" s="501">
        <f>'[61]Sch C'!F76</f>
        <v>0</v>
      </c>
      <c r="E83" s="171">
        <f t="shared" si="11"/>
        <v>3790.12</v>
      </c>
      <c r="F83" s="171"/>
      <c r="G83" s="171">
        <f t="shared" si="12"/>
        <v>3790.12</v>
      </c>
      <c r="H83" s="172">
        <f t="shared" si="13"/>
        <v>1.436116604777873E-3</v>
      </c>
      <c r="I83" s="473"/>
      <c r="J83" s="168"/>
      <c r="K83" s="168"/>
      <c r="U83" s="168"/>
      <c r="V83" s="168"/>
      <c r="W83" s="461"/>
      <c r="X83" s="461"/>
    </row>
    <row r="84" spans="1:24" s="167" customFormat="1">
      <c r="A84" s="169" t="s">
        <v>93</v>
      </c>
      <c r="B84" s="199" t="s">
        <v>47</v>
      </c>
      <c r="C84" s="501">
        <f>'[61]Sch C'!D77</f>
        <v>6491.43</v>
      </c>
      <c r="D84" s="501">
        <f>'[61]Sch C'!F77</f>
        <v>0</v>
      </c>
      <c r="E84" s="171">
        <f t="shared" si="11"/>
        <v>6491.43</v>
      </c>
      <c r="F84" s="171"/>
      <c r="G84" s="171">
        <f t="shared" si="12"/>
        <v>6491.43</v>
      </c>
      <c r="H84" s="172">
        <f t="shared" si="13"/>
        <v>2.4596715702281799E-3</v>
      </c>
      <c r="I84" s="473"/>
      <c r="J84" s="168"/>
      <c r="K84" s="168"/>
      <c r="U84" s="168"/>
      <c r="V84" s="168"/>
      <c r="W84" s="461"/>
      <c r="X84" s="461"/>
    </row>
    <row r="85" spans="1:24" s="167" customFormat="1">
      <c r="A85" s="169">
        <v>230</v>
      </c>
      <c r="B85" s="199" t="s">
        <v>46</v>
      </c>
      <c r="C85" s="501">
        <f>'[61]Sch C'!D78</f>
        <v>0</v>
      </c>
      <c r="D85" s="501">
        <f>'[61]Sch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  <c r="U85" s="168"/>
      <c r="V85" s="168"/>
      <c r="W85" s="461"/>
      <c r="X85" s="461"/>
    </row>
    <row r="86" spans="1:24" s="167" customFormat="1">
      <c r="A86" s="169">
        <v>240</v>
      </c>
      <c r="B86" s="200" t="s">
        <v>267</v>
      </c>
      <c r="C86" s="501">
        <f>'[61]Sch C'!D79</f>
        <v>14195.28</v>
      </c>
      <c r="D86" s="501">
        <f>'[61]Sch C'!F79</f>
        <v>0</v>
      </c>
      <c r="E86" s="171">
        <f t="shared" si="11"/>
        <v>14195.28</v>
      </c>
      <c r="F86" s="171"/>
      <c r="G86" s="171">
        <f>E86+F86</f>
        <v>14195.28</v>
      </c>
      <c r="H86" s="172">
        <f t="shared" si="13"/>
        <v>5.3787419177944891E-3</v>
      </c>
      <c r="I86" s="473"/>
      <c r="J86" s="168"/>
      <c r="K86" s="168"/>
      <c r="U86" s="168"/>
      <c r="V86" s="168"/>
      <c r="W86" s="461"/>
      <c r="X86" s="461"/>
    </row>
    <row r="87" spans="1:24" s="167" customFormat="1">
      <c r="A87" s="169">
        <v>310</v>
      </c>
      <c r="B87" s="199" t="s">
        <v>54</v>
      </c>
      <c r="C87" s="501">
        <f>'[61]Sch C'!D80</f>
        <v>8849.57</v>
      </c>
      <c r="D87" s="501">
        <f>'[61]Sch C'!F80</f>
        <v>0</v>
      </c>
      <c r="E87" s="171">
        <f t="shared" si="11"/>
        <v>8849.57</v>
      </c>
      <c r="F87" s="171"/>
      <c r="G87" s="171">
        <f t="shared" si="12"/>
        <v>8849.57</v>
      </c>
      <c r="H87" s="172">
        <f t="shared" si="13"/>
        <v>3.3531957885618723E-3</v>
      </c>
      <c r="I87" s="473"/>
      <c r="J87" s="168"/>
      <c r="K87" s="168"/>
      <c r="U87" s="168"/>
      <c r="V87" s="168"/>
      <c r="W87" s="461"/>
      <c r="X87" s="461"/>
    </row>
    <row r="88" spans="1:24" s="167" customFormat="1">
      <c r="A88" s="169">
        <v>320</v>
      </c>
      <c r="B88" s="201" t="s">
        <v>313</v>
      </c>
      <c r="C88" s="501">
        <f>'[61]Sch C'!D81</f>
        <v>2060.39</v>
      </c>
      <c r="D88" s="501">
        <f>'[61]Sch C'!F81</f>
        <v>0</v>
      </c>
      <c r="E88" s="171">
        <f t="shared" si="11"/>
        <v>2060.39</v>
      </c>
      <c r="F88" s="171"/>
      <c r="G88" s="171">
        <f t="shared" si="12"/>
        <v>2060.39</v>
      </c>
      <c r="H88" s="172">
        <f t="shared" si="13"/>
        <v>7.807035902077723E-4</v>
      </c>
      <c r="I88" s="473"/>
      <c r="J88" s="168"/>
      <c r="K88" s="168"/>
      <c r="U88" s="168"/>
      <c r="V88" s="168"/>
      <c r="W88" s="461"/>
      <c r="X88" s="461"/>
    </row>
    <row r="89" spans="1:24" s="167" customFormat="1">
      <c r="A89" s="169">
        <v>330</v>
      </c>
      <c r="B89" s="201" t="s">
        <v>314</v>
      </c>
      <c r="C89" s="501">
        <f>'[61]Sch C'!D82</f>
        <v>8458.51</v>
      </c>
      <c r="D89" s="501">
        <f>'[61]Sch C'!F82</f>
        <v>0</v>
      </c>
      <c r="E89" s="171">
        <f t="shared" si="11"/>
        <v>8458.51</v>
      </c>
      <c r="F89" s="171"/>
      <c r="G89" s="171">
        <f t="shared" si="12"/>
        <v>8458.51</v>
      </c>
      <c r="H89" s="172">
        <f t="shared" si="13"/>
        <v>3.2050190132976498E-3</v>
      </c>
      <c r="I89" s="473"/>
      <c r="J89" s="168"/>
      <c r="K89" s="168"/>
      <c r="U89" s="168"/>
      <c r="V89" s="168"/>
      <c r="W89" s="461"/>
      <c r="X89" s="461"/>
    </row>
    <row r="90" spans="1:24" s="167" customFormat="1">
      <c r="A90" s="163">
        <v>340</v>
      </c>
      <c r="B90" s="201" t="s">
        <v>300</v>
      </c>
      <c r="C90" s="501">
        <f>'[61]Sch C'!D83</f>
        <v>0</v>
      </c>
      <c r="D90" s="501">
        <f>'[61]Sch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  <c r="U90" s="168"/>
      <c r="V90" s="168"/>
      <c r="W90" s="461"/>
      <c r="X90" s="461"/>
    </row>
    <row r="91" spans="1:24" s="167" customFormat="1">
      <c r="A91" s="163">
        <v>350</v>
      </c>
      <c r="B91" s="199" t="s">
        <v>49</v>
      </c>
      <c r="C91" s="501">
        <f>'[61]Sch C'!D84</f>
        <v>32023.23</v>
      </c>
      <c r="D91" s="501">
        <f>'[61]Sch C'!F84</f>
        <v>0</v>
      </c>
      <c r="E91" s="171">
        <f t="shared" si="11"/>
        <v>32023.23</v>
      </c>
      <c r="F91" s="171"/>
      <c r="G91" s="171">
        <f t="shared" si="12"/>
        <v>32023.23</v>
      </c>
      <c r="H91" s="172">
        <f t="shared" si="13"/>
        <v>1.2133940967995981E-2</v>
      </c>
      <c r="I91" s="473"/>
      <c r="J91" s="168"/>
      <c r="K91" s="168"/>
      <c r="U91" s="168"/>
      <c r="V91" s="168"/>
      <c r="W91" s="461"/>
      <c r="X91" s="461"/>
    </row>
    <row r="92" spans="1:24" s="167" customFormat="1">
      <c r="A92" s="163">
        <v>490</v>
      </c>
      <c r="B92" s="148" t="s">
        <v>312</v>
      </c>
      <c r="C92" s="501">
        <f>'[61]Sch C'!D85</f>
        <v>589.66</v>
      </c>
      <c r="D92" s="501">
        <f>'[61]Sch C'!F85</f>
        <v>0</v>
      </c>
      <c r="E92" s="171">
        <f t="shared" si="11"/>
        <v>589.66</v>
      </c>
      <c r="F92" s="171"/>
      <c r="G92" s="171">
        <f t="shared" si="12"/>
        <v>589.66</v>
      </c>
      <c r="H92" s="172">
        <f t="shared" si="13"/>
        <v>2.234284184071535E-4</v>
      </c>
      <c r="I92" s="473"/>
      <c r="J92" s="168"/>
      <c r="K92" s="168"/>
      <c r="U92" s="168"/>
      <c r="V92" s="168"/>
      <c r="W92" s="461"/>
      <c r="X92" s="461"/>
    </row>
    <row r="93" spans="1:24" s="167" customFormat="1">
      <c r="A93" s="163"/>
      <c r="B93" s="170" t="s">
        <v>50</v>
      </c>
      <c r="C93" s="501">
        <f>SUM(C82:C92)</f>
        <v>113713.62999999999</v>
      </c>
      <c r="D93" s="501">
        <f>SUM(D82:D92)</f>
        <v>0</v>
      </c>
      <c r="E93" s="171">
        <f t="shared" ref="E93:F93" si="14">SUM(E82:E92)</f>
        <v>113713.62999999999</v>
      </c>
      <c r="F93" s="171">
        <f t="shared" si="14"/>
        <v>0</v>
      </c>
      <c r="G93" s="171">
        <f>SUM(G82:G92)</f>
        <v>113713.62999999999</v>
      </c>
      <c r="H93" s="172">
        <f t="shared" si="13"/>
        <v>4.3087298616552326E-2</v>
      </c>
      <c r="I93" s="473"/>
      <c r="J93" s="168"/>
      <c r="K93" s="168"/>
      <c r="U93" s="168"/>
      <c r="V93" s="168"/>
      <c r="W93" s="461"/>
      <c r="X93" s="461"/>
    </row>
    <row r="94" spans="1:24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  <c r="U94" s="168"/>
      <c r="V94" s="168"/>
      <c r="W94" s="461"/>
      <c r="X94" s="461"/>
    </row>
    <row r="95" spans="1:2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  <c r="U95" s="168"/>
      <c r="V95" s="168"/>
      <c r="W95" s="461"/>
      <c r="X95" s="461"/>
    </row>
    <row r="96" spans="1:24" s="167" customFormat="1">
      <c r="A96" s="169" t="s">
        <v>85</v>
      </c>
      <c r="B96" s="170" t="s">
        <v>44</v>
      </c>
      <c r="C96" s="501">
        <f>'[61]Sch C'!D89</f>
        <v>141261.12</v>
      </c>
      <c r="D96" s="501">
        <f>'[61]Sch C'!F89</f>
        <v>0</v>
      </c>
      <c r="E96" s="171">
        <f t="shared" ref="E96:E101" si="15">C96+D96</f>
        <v>141261.12</v>
      </c>
      <c r="F96" s="171"/>
      <c r="G96" s="171">
        <f t="shared" ref="G96:G101" si="16">E96+F96</f>
        <v>141261.12</v>
      </c>
      <c r="H96" s="172">
        <f t="shared" ref="H96:H102" si="17">IF($G$208=0,0,G96/$G$208)</f>
        <v>5.3525334301161895E-2</v>
      </c>
      <c r="I96" s="473"/>
      <c r="J96" s="183">
        <v>9553.3700000000008</v>
      </c>
      <c r="K96" s="183">
        <v>10075.41</v>
      </c>
      <c r="U96" s="183">
        <v>5504</v>
      </c>
      <c r="V96" s="183">
        <v>6176</v>
      </c>
      <c r="W96" s="439">
        <v>2854</v>
      </c>
      <c r="X96" s="439">
        <v>3225</v>
      </c>
    </row>
    <row r="97" spans="1:24" s="167" customFormat="1">
      <c r="A97" s="169" t="s">
        <v>86</v>
      </c>
      <c r="B97" s="170" t="s">
        <v>45</v>
      </c>
      <c r="C97" s="501">
        <f>'[61]Sch C'!D90</f>
        <v>27366.34</v>
      </c>
      <c r="D97" s="501">
        <f>'[61]Sch C'!F90</f>
        <v>0</v>
      </c>
      <c r="E97" s="171">
        <f t="shared" si="15"/>
        <v>27366.34</v>
      </c>
      <c r="F97" s="171"/>
      <c r="G97" s="171">
        <f t="shared" si="16"/>
        <v>27366.34</v>
      </c>
      <c r="H97" s="172">
        <f t="shared" si="17"/>
        <v>1.0369396031259406E-2</v>
      </c>
      <c r="I97" s="473"/>
      <c r="J97" s="168"/>
      <c r="K97" s="168"/>
      <c r="U97" s="168"/>
      <c r="V97" s="168"/>
      <c r="W97" s="461"/>
      <c r="X97" s="461"/>
    </row>
    <row r="98" spans="1:24" s="167" customFormat="1">
      <c r="A98" s="169">
        <v>310</v>
      </c>
      <c r="B98" s="170" t="s">
        <v>54</v>
      </c>
      <c r="C98" s="501">
        <f>'[61]Sch C'!D91</f>
        <v>11257.73</v>
      </c>
      <c r="D98" s="501">
        <f>'[61]Sch C'!F91</f>
        <v>0</v>
      </c>
      <c r="E98" s="171">
        <f t="shared" si="15"/>
        <v>11257.73</v>
      </c>
      <c r="F98" s="171"/>
      <c r="G98" s="171">
        <f t="shared" si="16"/>
        <v>11257.73</v>
      </c>
      <c r="H98" s="172">
        <f t="shared" si="17"/>
        <v>4.2656731145995393E-3</v>
      </c>
      <c r="I98" s="473"/>
      <c r="J98" s="168"/>
      <c r="K98" s="168"/>
      <c r="U98" s="168"/>
      <c r="V98" s="168"/>
      <c r="W98" s="461"/>
      <c r="X98" s="461"/>
    </row>
    <row r="99" spans="1:24" s="167" customFormat="1">
      <c r="A99" s="169">
        <v>380</v>
      </c>
      <c r="B99" s="170" t="s">
        <v>52</v>
      </c>
      <c r="C99" s="501">
        <f>'[61]Sch C'!D92</f>
        <v>73775.95</v>
      </c>
      <c r="D99" s="501">
        <f>'[61]Sch C'!F92</f>
        <v>0</v>
      </c>
      <c r="E99" s="171">
        <f t="shared" si="15"/>
        <v>73775.95</v>
      </c>
      <c r="F99" s="171"/>
      <c r="G99" s="171">
        <f t="shared" si="16"/>
        <v>73775.95</v>
      </c>
      <c r="H99" s="172">
        <f t="shared" si="17"/>
        <v>2.795448873076898E-2</v>
      </c>
      <c r="I99" s="473"/>
      <c r="J99" s="168"/>
      <c r="K99" s="168"/>
      <c r="U99" s="168"/>
      <c r="V99" s="168"/>
      <c r="W99" s="461"/>
      <c r="X99" s="461"/>
    </row>
    <row r="100" spans="1:24" s="167" customFormat="1">
      <c r="A100" s="169">
        <v>390</v>
      </c>
      <c r="B100" s="170" t="s">
        <v>53</v>
      </c>
      <c r="C100" s="501">
        <f>'[61]Sch C'!D93</f>
        <v>10344.44</v>
      </c>
      <c r="D100" s="501">
        <f>'[61]Sch C'!F93</f>
        <v>0</v>
      </c>
      <c r="E100" s="171">
        <f t="shared" si="15"/>
        <v>10344.44</v>
      </c>
      <c r="F100" s="171"/>
      <c r="G100" s="171">
        <f t="shared" si="16"/>
        <v>10344.44</v>
      </c>
      <c r="H100" s="172">
        <f t="shared" si="17"/>
        <v>3.9196178620013152E-3</v>
      </c>
      <c r="I100" s="473"/>
      <c r="J100" s="168"/>
      <c r="K100" s="168"/>
      <c r="U100" s="168"/>
      <c r="V100" s="168"/>
      <c r="W100" s="461"/>
      <c r="X100" s="461"/>
    </row>
    <row r="101" spans="1:24" s="167" customFormat="1">
      <c r="A101" s="169">
        <v>490</v>
      </c>
      <c r="B101" s="202" t="s">
        <v>312</v>
      </c>
      <c r="C101" s="501">
        <f>'[61]Sch C'!D94</f>
        <v>507.61</v>
      </c>
      <c r="D101" s="501">
        <f>'[61]Sch C'!F94</f>
        <v>0</v>
      </c>
      <c r="E101" s="171">
        <f t="shared" si="15"/>
        <v>507.61</v>
      </c>
      <c r="F101" s="171"/>
      <c r="G101" s="171">
        <f t="shared" si="16"/>
        <v>507.61</v>
      </c>
      <c r="H101" s="172">
        <f t="shared" si="17"/>
        <v>1.9233880451048944E-4</v>
      </c>
      <c r="I101" s="473"/>
      <c r="J101" s="168"/>
      <c r="K101" s="168"/>
      <c r="U101" s="168"/>
      <c r="V101" s="168"/>
      <c r="W101" s="461"/>
      <c r="X101" s="461"/>
    </row>
    <row r="102" spans="1:24" s="167" customFormat="1">
      <c r="A102" s="169"/>
      <c r="B102" s="170" t="s">
        <v>55</v>
      </c>
      <c r="C102" s="501">
        <f>SUM(C96:C101)</f>
        <v>264513.19</v>
      </c>
      <c r="D102" s="501">
        <f>SUM(D96:D101)</f>
        <v>0</v>
      </c>
      <c r="E102" s="171">
        <f t="shared" ref="E102:F102" si="18">SUM(E96:E101)</f>
        <v>264513.19</v>
      </c>
      <c r="F102" s="171">
        <f t="shared" si="18"/>
        <v>0</v>
      </c>
      <c r="G102" s="171">
        <f>SUM(G96:G101)</f>
        <v>264513.19</v>
      </c>
      <c r="H102" s="172">
        <f t="shared" si="17"/>
        <v>0.10022684884430162</v>
      </c>
      <c r="I102" s="473"/>
      <c r="J102" s="168"/>
      <c r="K102" s="168"/>
      <c r="U102" s="168"/>
      <c r="V102" s="168"/>
      <c r="W102" s="461"/>
      <c r="X102" s="461"/>
    </row>
    <row r="103" spans="1:24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  <c r="U103" s="168"/>
      <c r="V103" s="168"/>
      <c r="W103" s="461"/>
      <c r="X103" s="461"/>
    </row>
    <row r="104" spans="1:2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  <c r="U104" s="168"/>
      <c r="V104" s="168"/>
      <c r="W104" s="461"/>
      <c r="X104" s="461"/>
    </row>
    <row r="105" spans="1:24" s="167" customFormat="1">
      <c r="A105" s="169" t="s">
        <v>85</v>
      </c>
      <c r="B105" s="170" t="s">
        <v>44</v>
      </c>
      <c r="C105" s="501">
        <f>'[61]Sch C'!D98</f>
        <v>17663.39</v>
      </c>
      <c r="D105" s="501">
        <f>'[61]Sch C'!F98</f>
        <v>0</v>
      </c>
      <c r="E105" s="171">
        <f t="shared" ref="E105:E110" si="19">C105+D105</f>
        <v>17663.39</v>
      </c>
      <c r="F105" s="171"/>
      <c r="G105" s="171">
        <f t="shared" ref="G105:G110" si="20">E105+F105</f>
        <v>17663.39</v>
      </c>
      <c r="H105" s="172">
        <f t="shared" ref="H105:H111" si="21">IF($G$208=0,0,G105/$G$208)</f>
        <v>6.6928455235368374E-3</v>
      </c>
      <c r="I105" s="473"/>
      <c r="J105" s="183">
        <v>1704.01</v>
      </c>
      <c r="K105" s="183">
        <v>1908.18</v>
      </c>
      <c r="U105" s="183">
        <v>1618</v>
      </c>
      <c r="V105" s="183">
        <v>1618</v>
      </c>
      <c r="W105" s="439">
        <v>753</v>
      </c>
      <c r="X105" s="439">
        <v>753</v>
      </c>
    </row>
    <row r="106" spans="1:24" s="167" customFormat="1">
      <c r="A106" s="169" t="s">
        <v>86</v>
      </c>
      <c r="B106" s="170" t="s">
        <v>45</v>
      </c>
      <c r="C106" s="501">
        <f>'[61]Sch C'!D99</f>
        <v>2008.13</v>
      </c>
      <c r="D106" s="501">
        <f>'[61]Sch C'!F99</f>
        <v>0</v>
      </c>
      <c r="E106" s="171">
        <f t="shared" si="19"/>
        <v>2008.13</v>
      </c>
      <c r="F106" s="171"/>
      <c r="G106" s="171">
        <f t="shared" si="20"/>
        <v>2008.13</v>
      </c>
      <c r="H106" s="172">
        <f t="shared" si="21"/>
        <v>7.6090172278254792E-4</v>
      </c>
      <c r="I106" s="473"/>
      <c r="J106" s="168"/>
      <c r="K106" s="168"/>
      <c r="U106" s="168"/>
      <c r="V106" s="168"/>
      <c r="W106" s="461"/>
      <c r="X106" s="461"/>
    </row>
    <row r="107" spans="1:24" s="167" customFormat="1">
      <c r="A107" s="169">
        <v>110</v>
      </c>
      <c r="B107" s="170" t="s">
        <v>47</v>
      </c>
      <c r="C107" s="501">
        <f>'[61]Sch C'!D100</f>
        <v>52.23</v>
      </c>
      <c r="D107" s="501">
        <f>'[61]Sch C'!F100</f>
        <v>0</v>
      </c>
      <c r="E107" s="171">
        <f t="shared" si="19"/>
        <v>52.23</v>
      </c>
      <c r="F107" s="171"/>
      <c r="G107" s="171">
        <f t="shared" si="20"/>
        <v>52.23</v>
      </c>
      <c r="H107" s="172">
        <f t="shared" si="21"/>
        <v>1.9790500107529131E-5</v>
      </c>
      <c r="I107" s="473"/>
      <c r="J107" s="168"/>
      <c r="K107" s="168"/>
      <c r="U107" s="168"/>
      <c r="V107" s="168"/>
      <c r="W107" s="461"/>
      <c r="X107" s="461"/>
    </row>
    <row r="108" spans="1:24" s="167" customFormat="1">
      <c r="A108" s="169">
        <v>310</v>
      </c>
      <c r="B108" s="170" t="s">
        <v>54</v>
      </c>
      <c r="C108" s="501">
        <f>'[61]Sch C'!D101</f>
        <v>465.35</v>
      </c>
      <c r="D108" s="501">
        <f>'[61]Sch C'!F101</f>
        <v>0</v>
      </c>
      <c r="E108" s="171">
        <f t="shared" si="19"/>
        <v>465.35</v>
      </c>
      <c r="F108" s="171"/>
      <c r="G108" s="171">
        <f t="shared" si="20"/>
        <v>465.35</v>
      </c>
      <c r="H108" s="172">
        <f t="shared" si="21"/>
        <v>1.7632604298370059E-4</v>
      </c>
      <c r="I108" s="473"/>
      <c r="J108" s="168"/>
      <c r="K108" s="168"/>
      <c r="U108" s="168"/>
      <c r="V108" s="168"/>
      <c r="W108" s="461"/>
      <c r="X108" s="461"/>
    </row>
    <row r="109" spans="1:24" s="167" customFormat="1">
      <c r="A109" s="169">
        <v>410</v>
      </c>
      <c r="B109" s="170" t="s">
        <v>57</v>
      </c>
      <c r="C109" s="501">
        <f>'[61]Sch C'!D102</f>
        <v>2452.59</v>
      </c>
      <c r="D109" s="501">
        <f>'[61]Sch C'!F102</f>
        <v>0</v>
      </c>
      <c r="E109" s="171">
        <f t="shared" si="19"/>
        <v>2452.59</v>
      </c>
      <c r="F109" s="171"/>
      <c r="G109" s="171">
        <f t="shared" si="20"/>
        <v>2452.59</v>
      </c>
      <c r="H109" s="172">
        <f t="shared" si="21"/>
        <v>9.2931232354441658E-4</v>
      </c>
      <c r="I109" s="473"/>
      <c r="J109" s="168"/>
      <c r="K109" s="168"/>
      <c r="U109" s="168"/>
      <c r="V109" s="168"/>
      <c r="W109" s="461"/>
      <c r="X109" s="461"/>
    </row>
    <row r="110" spans="1:24" s="167" customFormat="1">
      <c r="A110" s="169">
        <v>490</v>
      </c>
      <c r="B110" s="202" t="s">
        <v>312</v>
      </c>
      <c r="C110" s="501">
        <f>'[61]Sch C'!D103</f>
        <v>398.6</v>
      </c>
      <c r="D110" s="501">
        <f>'[61]Sch C'!F103</f>
        <v>0</v>
      </c>
      <c r="E110" s="171">
        <f t="shared" si="19"/>
        <v>398.6</v>
      </c>
      <c r="F110" s="171"/>
      <c r="G110" s="171">
        <f t="shared" si="20"/>
        <v>398.6</v>
      </c>
      <c r="H110" s="172">
        <f t="shared" si="21"/>
        <v>1.5103376111164299E-4</v>
      </c>
      <c r="I110" s="473"/>
      <c r="J110" s="168"/>
      <c r="K110" s="168"/>
      <c r="U110" s="168"/>
      <c r="V110" s="168"/>
      <c r="W110" s="461"/>
      <c r="X110" s="461"/>
    </row>
    <row r="111" spans="1:24" s="167" customFormat="1">
      <c r="A111" s="163"/>
      <c r="B111" s="170" t="s">
        <v>58</v>
      </c>
      <c r="C111" s="501">
        <f>SUM(C105:C110)</f>
        <v>23040.289999999997</v>
      </c>
      <c r="D111" s="501">
        <f>SUM(D105:D110)</f>
        <v>0</v>
      </c>
      <c r="E111" s="171">
        <f t="shared" ref="E111:F111" si="22">SUM(E105:E110)</f>
        <v>23040.289999999997</v>
      </c>
      <c r="F111" s="171">
        <f t="shared" si="22"/>
        <v>0</v>
      </c>
      <c r="G111" s="171">
        <f>SUM(G105:G110)</f>
        <v>23040.289999999997</v>
      </c>
      <c r="H111" s="172">
        <f t="shared" si="21"/>
        <v>8.7302098740666741E-3</v>
      </c>
      <c r="I111" s="473"/>
      <c r="J111" s="168"/>
      <c r="K111" s="168"/>
      <c r="U111" s="168"/>
      <c r="V111" s="168"/>
      <c r="W111" s="461"/>
      <c r="X111" s="461"/>
    </row>
    <row r="112" spans="1:24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  <c r="U112" s="168"/>
      <c r="V112" s="168"/>
      <c r="W112" s="461"/>
      <c r="X112" s="461"/>
    </row>
    <row r="113" spans="1:2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  <c r="U113" s="168"/>
      <c r="V113" s="168"/>
      <c r="W113" s="461"/>
      <c r="X113" s="461"/>
    </row>
    <row r="114" spans="1:24" s="167" customFormat="1">
      <c r="A114" s="169" t="s">
        <v>85</v>
      </c>
      <c r="B114" s="170" t="s">
        <v>44</v>
      </c>
      <c r="C114" s="501">
        <f>'[61]Sch C'!D115</f>
        <v>49198.06</v>
      </c>
      <c r="D114" s="501">
        <f>'[61]Sch C'!F115</f>
        <v>0</v>
      </c>
      <c r="E114" s="171">
        <f t="shared" ref="E114:E118" si="23">C114+D114</f>
        <v>49198.06</v>
      </c>
      <c r="F114" s="171"/>
      <c r="G114" s="171">
        <f>E114+F114</f>
        <v>49198.06</v>
      </c>
      <c r="H114" s="172">
        <f t="shared" ref="H114:H119" si="24">IF($G$208=0,0,G114/$G$208)</f>
        <v>1.864166593375885E-2</v>
      </c>
      <c r="I114" s="473"/>
      <c r="J114" s="183">
        <v>2943.38</v>
      </c>
      <c r="K114" s="183">
        <v>3223.38</v>
      </c>
      <c r="U114" s="183">
        <v>1141</v>
      </c>
      <c r="V114" s="183">
        <v>1420</v>
      </c>
      <c r="W114" s="439">
        <v>774</v>
      </c>
      <c r="X114" s="439">
        <v>987</v>
      </c>
    </row>
    <row r="115" spans="1:24" s="167" customFormat="1">
      <c r="A115" s="169" t="s">
        <v>86</v>
      </c>
      <c r="B115" s="170" t="s">
        <v>151</v>
      </c>
      <c r="C115" s="501">
        <f>'[61]Sch C'!D116</f>
        <v>5166.67</v>
      </c>
      <c r="D115" s="501">
        <f>'[61]Sch C'!F116</f>
        <v>0</v>
      </c>
      <c r="E115" s="171">
        <f t="shared" si="23"/>
        <v>5166.67</v>
      </c>
      <c r="F115" s="171"/>
      <c r="G115" s="171">
        <f>E115+F115</f>
        <v>5166.67</v>
      </c>
      <c r="H115" s="172">
        <f t="shared" si="24"/>
        <v>1.9577059772270256E-3</v>
      </c>
      <c r="I115" s="473"/>
      <c r="J115" s="168"/>
      <c r="K115" s="168"/>
      <c r="U115" s="168"/>
      <c r="V115" s="168"/>
      <c r="W115" s="461"/>
      <c r="X115" s="461"/>
    </row>
    <row r="116" spans="1:24" s="167" customFormat="1">
      <c r="A116" s="169" t="s">
        <v>93</v>
      </c>
      <c r="B116" s="170" t="s">
        <v>47</v>
      </c>
      <c r="C116" s="501">
        <f>'[61]Sch C'!D117</f>
        <v>3323.14</v>
      </c>
      <c r="D116" s="501">
        <f>'[61]Sch C'!F117</f>
        <v>0</v>
      </c>
      <c r="E116" s="171">
        <f t="shared" si="23"/>
        <v>3323.14</v>
      </c>
      <c r="F116" s="171"/>
      <c r="G116" s="171">
        <f>E116+F116</f>
        <v>3323.14</v>
      </c>
      <c r="H116" s="172">
        <f t="shared" si="24"/>
        <v>1.2591729375327275E-3</v>
      </c>
      <c r="I116" s="473"/>
      <c r="J116" s="168"/>
      <c r="K116" s="168"/>
      <c r="U116" s="168"/>
      <c r="V116" s="168"/>
      <c r="W116" s="461"/>
      <c r="X116" s="461"/>
    </row>
    <row r="117" spans="1:24" s="167" customFormat="1">
      <c r="A117" s="169">
        <v>310</v>
      </c>
      <c r="B117" s="170" t="s">
        <v>60</v>
      </c>
      <c r="C117" s="501">
        <f>'[61]Sch C'!D118</f>
        <v>0</v>
      </c>
      <c r="D117" s="501">
        <f>'[61]Sch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  <c r="U117" s="168"/>
      <c r="V117" s="168"/>
      <c r="W117" s="461"/>
      <c r="X117" s="461"/>
    </row>
    <row r="118" spans="1:24" s="167" customFormat="1">
      <c r="A118" s="169">
        <v>490</v>
      </c>
      <c r="B118" s="202" t="s">
        <v>312</v>
      </c>
      <c r="C118" s="501">
        <f>'[61]Sch C'!D119</f>
        <v>0</v>
      </c>
      <c r="D118" s="501">
        <f>'[61]Sch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  <c r="U118" s="168"/>
      <c r="V118" s="168"/>
      <c r="W118" s="461"/>
      <c r="X118" s="461"/>
    </row>
    <row r="119" spans="1:24" s="167" customFormat="1">
      <c r="A119" s="163"/>
      <c r="B119" s="170" t="s">
        <v>61</v>
      </c>
      <c r="C119" s="501">
        <f>SUM(C114:C118)</f>
        <v>57687.869999999995</v>
      </c>
      <c r="D119" s="501">
        <f>SUM(D114:D118)</f>
        <v>0</v>
      </c>
      <c r="E119" s="171">
        <f t="shared" ref="E119:F119" si="25">SUM(E114:E118)</f>
        <v>57687.869999999995</v>
      </c>
      <c r="F119" s="171">
        <f t="shared" si="25"/>
        <v>0</v>
      </c>
      <c r="G119" s="171">
        <f>SUM(G114:G118)</f>
        <v>57687.869999999995</v>
      </c>
      <c r="H119" s="172">
        <f t="shared" si="24"/>
        <v>2.18585448485186E-2</v>
      </c>
      <c r="I119" s="473"/>
      <c r="J119" s="168"/>
      <c r="K119" s="168"/>
      <c r="U119" s="168"/>
      <c r="V119" s="168"/>
      <c r="W119" s="461"/>
      <c r="X119" s="461"/>
    </row>
    <row r="120" spans="1:24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  <c r="U120" s="203"/>
      <c r="V120" s="203"/>
      <c r="W120" s="203"/>
      <c r="X120" s="203"/>
    </row>
    <row r="121" spans="1:2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  <c r="U121" s="204"/>
      <c r="V121" s="204"/>
      <c r="W121" s="438"/>
      <c r="X121" s="438"/>
    </row>
    <row r="122" spans="1:2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  <c r="U122" s="204"/>
      <c r="V122" s="204"/>
      <c r="W122" s="438"/>
      <c r="X122" s="438"/>
    </row>
    <row r="123" spans="1:24" s="167" customFormat="1">
      <c r="B123" s="163" t="s">
        <v>232</v>
      </c>
      <c r="C123" s="501">
        <f>'[61]Sch C'!D124</f>
        <v>0</v>
      </c>
      <c r="D123" s="501">
        <f>'[61]Sch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  <c r="U123" s="183">
        <v>0</v>
      </c>
      <c r="V123" s="183">
        <v>0</v>
      </c>
      <c r="W123" s="439">
        <v>0</v>
      </c>
      <c r="X123" s="439">
        <v>0</v>
      </c>
    </row>
    <row r="124" spans="1:24" s="167" customFormat="1">
      <c r="B124" s="163" t="s">
        <v>194</v>
      </c>
      <c r="C124" s="501">
        <f>'[61]Sch C'!D125</f>
        <v>172541.5</v>
      </c>
      <c r="D124" s="501">
        <f>'[61]Sch C'!F125</f>
        <v>0</v>
      </c>
      <c r="E124" s="171">
        <f t="shared" si="26"/>
        <v>172541.5</v>
      </c>
      <c r="F124" s="171"/>
      <c r="G124" s="171">
        <f>E124+F124</f>
        <v>172541.5</v>
      </c>
      <c r="H124" s="172">
        <f>IF($G$208=0,0,G124/$G$208)</f>
        <v>6.5377801537492591E-2</v>
      </c>
      <c r="I124" s="473"/>
      <c r="J124" s="183">
        <v>4064.91</v>
      </c>
      <c r="K124" s="183">
        <v>4290.78</v>
      </c>
      <c r="U124" s="183">
        <v>1518</v>
      </c>
      <c r="V124" s="183">
        <v>1555</v>
      </c>
      <c r="W124" s="439">
        <v>967</v>
      </c>
      <c r="X124" s="439">
        <v>1041</v>
      </c>
    </row>
    <row r="125" spans="1:24" s="167" customFormat="1">
      <c r="A125" s="163" t="s">
        <v>198</v>
      </c>
      <c r="B125" s="163" t="s">
        <v>195</v>
      </c>
      <c r="C125" s="501">
        <f>'[61]Sch C'!D126</f>
        <v>0</v>
      </c>
      <c r="D125" s="501">
        <f>'[61]Sch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  <c r="U125" s="183">
        <v>0</v>
      </c>
      <c r="V125" s="183">
        <v>0</v>
      </c>
      <c r="W125" s="439">
        <v>0</v>
      </c>
      <c r="X125" s="439">
        <v>0</v>
      </c>
    </row>
    <row r="126" spans="1:24" s="167" customFormat="1">
      <c r="A126" s="169"/>
      <c r="B126" s="163" t="s">
        <v>196</v>
      </c>
      <c r="C126" s="501">
        <f>'[61]Sch C'!D127</f>
        <v>0.18</v>
      </c>
      <c r="D126" s="501">
        <f>'[61]Sch C'!F127</f>
        <v>0</v>
      </c>
      <c r="E126" s="171">
        <f t="shared" si="26"/>
        <v>0.18</v>
      </c>
      <c r="F126" s="171"/>
      <c r="G126" s="171">
        <f>E126+F126</f>
        <v>0.18</v>
      </c>
      <c r="H126" s="172">
        <f>IF($G$208=0,0,G126/$G$208)</f>
        <v>6.8203906171840773E-8</v>
      </c>
      <c r="I126" s="473"/>
      <c r="J126" s="183">
        <v>0</v>
      </c>
      <c r="K126" s="183">
        <v>0</v>
      </c>
      <c r="U126" s="183">
        <v>0</v>
      </c>
      <c r="V126" s="183">
        <v>0</v>
      </c>
      <c r="W126" s="439">
        <v>0</v>
      </c>
      <c r="X126" s="439">
        <v>0</v>
      </c>
    </row>
    <row r="127" spans="1:24" s="167" customFormat="1">
      <c r="A127" s="169"/>
      <c r="B127" s="163" t="s">
        <v>197</v>
      </c>
      <c r="C127" s="501">
        <f>'[61]Sch C'!D128</f>
        <v>15357.88</v>
      </c>
      <c r="D127" s="501">
        <f>'[61]Sch C'!F128</f>
        <v>0</v>
      </c>
      <c r="E127" s="171">
        <f t="shared" si="26"/>
        <v>15357.88</v>
      </c>
      <c r="F127" s="171"/>
      <c r="G127" s="171">
        <f>E127+F127</f>
        <v>15357.88</v>
      </c>
      <c r="H127" s="172">
        <f>IF($G$208=0,0,G127/$G$208)</f>
        <v>5.8192633695466111E-3</v>
      </c>
      <c r="I127" s="473"/>
      <c r="J127" s="183">
        <v>951.38</v>
      </c>
      <c r="K127" s="183">
        <v>981.38</v>
      </c>
      <c r="U127" s="183">
        <v>0</v>
      </c>
      <c r="V127" s="183">
        <v>0</v>
      </c>
      <c r="W127" s="439">
        <v>141</v>
      </c>
      <c r="X127" s="439">
        <v>141</v>
      </c>
    </row>
    <row r="128" spans="1:24" s="167" customFormat="1">
      <c r="A128" s="169" t="s">
        <v>95</v>
      </c>
      <c r="B128" s="170" t="s">
        <v>152</v>
      </c>
      <c r="C128" s="505"/>
      <c r="D128" s="505"/>
      <c r="E128" s="205" t="s">
        <v>299</v>
      </c>
      <c r="F128" s="205"/>
      <c r="G128" s="205"/>
      <c r="H128" s="206"/>
      <c r="I128" s="482"/>
      <c r="J128" s="207"/>
      <c r="K128" s="207"/>
      <c r="U128" s="207"/>
      <c r="V128" s="207"/>
      <c r="W128" s="465"/>
      <c r="X128" s="465"/>
    </row>
    <row r="129" spans="1:24" s="167" customFormat="1">
      <c r="A129" s="169"/>
      <c r="B129" s="163" t="s">
        <v>232</v>
      </c>
      <c r="C129" s="501">
        <f>'[61]Sch C'!D130</f>
        <v>0</v>
      </c>
      <c r="D129" s="501">
        <f>'[61]Sch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  <c r="U129" s="204"/>
      <c r="V129" s="204"/>
      <c r="W129" s="438"/>
      <c r="X129" s="438"/>
    </row>
    <row r="130" spans="1:24" s="167" customFormat="1">
      <c r="A130" s="169"/>
      <c r="B130" s="163" t="s">
        <v>194</v>
      </c>
      <c r="C130" s="501">
        <f>'[61]Sch C'!D131</f>
        <v>27321.32</v>
      </c>
      <c r="D130" s="501">
        <f>'[61]Sch C'!F131</f>
        <v>0</v>
      </c>
      <c r="E130" s="171">
        <f t="shared" si="27"/>
        <v>27321.32</v>
      </c>
      <c r="F130" s="171"/>
      <c r="G130" s="171">
        <f>E130+F130</f>
        <v>27321.32</v>
      </c>
      <c r="H130" s="172">
        <f>IF($G$208=0,0,G130/$G$208)</f>
        <v>1.035233747650465E-2</v>
      </c>
      <c r="I130" s="473"/>
      <c r="J130" s="204"/>
      <c r="K130" s="204"/>
      <c r="U130" s="204"/>
      <c r="V130" s="204"/>
      <c r="W130" s="438"/>
      <c r="X130" s="438"/>
    </row>
    <row r="131" spans="1:24" s="167" customFormat="1">
      <c r="B131" s="163" t="s">
        <v>195</v>
      </c>
      <c r="C131" s="501">
        <f>'[61]Sch C'!D132</f>
        <v>0</v>
      </c>
      <c r="D131" s="501">
        <f>'[61]Sch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  <c r="U131" s="168"/>
      <c r="V131" s="168"/>
      <c r="W131" s="461"/>
      <c r="X131" s="461"/>
    </row>
    <row r="132" spans="1:24" s="167" customFormat="1">
      <c r="B132" s="163" t="s">
        <v>196</v>
      </c>
      <c r="C132" s="501">
        <f>'[61]Sch C'!D133</f>
        <v>0</v>
      </c>
      <c r="D132" s="501">
        <f>'[61]Sch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  <c r="U132" s="168"/>
      <c r="V132" s="168"/>
      <c r="W132" s="461"/>
      <c r="X132" s="461"/>
    </row>
    <row r="133" spans="1:24" s="167" customFormat="1">
      <c r="B133" s="163" t="s">
        <v>197</v>
      </c>
      <c r="C133" s="501">
        <f>'[61]Sch C'!D134</f>
        <v>1167.74</v>
      </c>
      <c r="D133" s="501">
        <f>'[61]Sch C'!F134</f>
        <v>0</v>
      </c>
      <c r="E133" s="171">
        <f t="shared" si="27"/>
        <v>1167.74</v>
      </c>
      <c r="F133" s="171"/>
      <c r="G133" s="171">
        <f>E133+F133</f>
        <v>1167.74</v>
      </c>
      <c r="H133" s="172">
        <f>IF($G$208=0,0,G133/$G$208)</f>
        <v>4.4246905218391861E-4</v>
      </c>
      <c r="I133" s="473"/>
      <c r="J133" s="168"/>
      <c r="K133" s="168"/>
      <c r="U133" s="168"/>
      <c r="V133" s="168"/>
      <c r="W133" s="461"/>
      <c r="X133" s="461"/>
    </row>
    <row r="134" spans="1:2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  <c r="U134" s="204"/>
      <c r="V134" s="204"/>
      <c r="W134" s="438"/>
      <c r="X134" s="438"/>
    </row>
    <row r="135" spans="1:24" s="167" customFormat="1">
      <c r="A135" s="169"/>
      <c r="B135" s="163" t="s">
        <v>194</v>
      </c>
      <c r="C135" s="501">
        <f>'[61]Sch C'!D136</f>
        <v>221568.01</v>
      </c>
      <c r="D135" s="501">
        <f>'[61]Sch C'!F136</f>
        <v>0</v>
      </c>
      <c r="E135" s="171">
        <f t="shared" ref="E135:E138" si="28">C135+D135</f>
        <v>221568.01</v>
      </c>
      <c r="F135" s="171"/>
      <c r="G135" s="171">
        <f>E135+F135</f>
        <v>221568.01</v>
      </c>
      <c r="H135" s="172">
        <f>IF($G$208=0,0,G135/$G$208)</f>
        <v>8.3954465359563774E-2</v>
      </c>
      <c r="I135" s="473"/>
      <c r="J135" s="183">
        <v>6806.04</v>
      </c>
      <c r="K135" s="183">
        <v>7160.96</v>
      </c>
      <c r="U135" s="183">
        <v>2324</v>
      </c>
      <c r="V135" s="183">
        <v>2462</v>
      </c>
      <c r="W135" s="439">
        <v>970</v>
      </c>
      <c r="X135" s="439">
        <v>1235</v>
      </c>
    </row>
    <row r="136" spans="1:24" s="167" customFormat="1">
      <c r="A136" s="169"/>
      <c r="B136" s="163" t="s">
        <v>195</v>
      </c>
      <c r="C136" s="501">
        <f>'[61]Sch C'!D137</f>
        <v>70488.52</v>
      </c>
      <c r="D136" s="501">
        <f>'[61]Sch C'!F137</f>
        <v>0</v>
      </c>
      <c r="E136" s="171">
        <f t="shared" si="28"/>
        <v>70488.52</v>
      </c>
      <c r="F136" s="171"/>
      <c r="G136" s="171">
        <f>E136+F136</f>
        <v>70488.52</v>
      </c>
      <c r="H136" s="172">
        <f>IF($G$208=0,0,G136/$G$208)</f>
        <v>2.6708846690399569E-2</v>
      </c>
      <c r="I136" s="473"/>
      <c r="J136" s="183">
        <v>2483.62</v>
      </c>
      <c r="K136" s="183">
        <v>2641.94</v>
      </c>
      <c r="U136" s="183">
        <v>3168</v>
      </c>
      <c r="V136" s="183">
        <v>3573</v>
      </c>
      <c r="W136" s="439">
        <v>1714</v>
      </c>
      <c r="X136" s="439">
        <v>1917</v>
      </c>
    </row>
    <row r="137" spans="1:24" s="167" customFormat="1">
      <c r="A137" s="169"/>
      <c r="B137" s="163" t="s">
        <v>196</v>
      </c>
      <c r="C137" s="501">
        <f>'[61]Sch C'!D138</f>
        <v>326929.28000000003</v>
      </c>
      <c r="D137" s="501">
        <f>'[61]Sch C'!F138</f>
        <v>0</v>
      </c>
      <c r="E137" s="171">
        <f t="shared" si="28"/>
        <v>326929.28000000003</v>
      </c>
      <c r="F137" s="171"/>
      <c r="G137" s="171">
        <f>E137+F137</f>
        <v>326929.28000000003</v>
      </c>
      <c r="H137" s="172">
        <f>IF($G$208=0,0,G137/$G$208)</f>
        <v>0.12387696632193036</v>
      </c>
      <c r="I137" s="473"/>
      <c r="J137" s="183">
        <v>19587.400000000001</v>
      </c>
      <c r="K137" s="183">
        <v>20242</v>
      </c>
      <c r="U137" s="183">
        <v>13569</v>
      </c>
      <c r="V137" s="183">
        <v>14170</v>
      </c>
      <c r="W137" s="439">
        <v>8518</v>
      </c>
      <c r="X137" s="439">
        <v>8879</v>
      </c>
    </row>
    <row r="138" spans="1:24" s="167" customFormat="1">
      <c r="A138" s="169"/>
      <c r="B138" s="163" t="s">
        <v>197</v>
      </c>
      <c r="C138" s="501">
        <f>'[61]Sch C'!D139</f>
        <v>304.38</v>
      </c>
      <c r="D138" s="501">
        <f>'[61]Sch C'!F139</f>
        <v>0</v>
      </c>
      <c r="E138" s="171">
        <f t="shared" si="28"/>
        <v>304.38</v>
      </c>
      <c r="F138" s="171"/>
      <c r="G138" s="171">
        <f>E138+F138</f>
        <v>304.38</v>
      </c>
      <c r="H138" s="172">
        <f>IF($G$208=0,0,G138/$G$208)</f>
        <v>1.1533280533658275E-4</v>
      </c>
      <c r="I138" s="473"/>
      <c r="J138" s="183">
        <v>6.83</v>
      </c>
      <c r="K138" s="183">
        <v>6.83</v>
      </c>
      <c r="U138" s="183">
        <v>0</v>
      </c>
      <c r="V138" s="183">
        <v>0</v>
      </c>
      <c r="W138" s="439">
        <v>751</v>
      </c>
      <c r="X138" s="439">
        <v>751</v>
      </c>
    </row>
    <row r="139" spans="1:2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  <c r="U139" s="372"/>
      <c r="V139" s="372"/>
      <c r="W139" s="466"/>
      <c r="X139" s="466"/>
    </row>
    <row r="140" spans="1:24" s="167" customFormat="1">
      <c r="A140" s="169"/>
      <c r="B140" s="163" t="s">
        <v>194</v>
      </c>
      <c r="C140" s="501">
        <f>'[61]Sch C'!D141</f>
        <v>34531.360000000001</v>
      </c>
      <c r="D140" s="501">
        <f>'[61]Sch C'!F141</f>
        <v>0</v>
      </c>
      <c r="E140" s="171">
        <f t="shared" ref="E140:E143" si="29">C140+D140</f>
        <v>34531.360000000001</v>
      </c>
      <c r="F140" s="171"/>
      <c r="G140" s="171">
        <f>E140+F140</f>
        <v>34531.360000000001</v>
      </c>
      <c r="H140" s="172">
        <f>IF($G$208=0,0,G140/$G$208)</f>
        <v>1.308429798570031E-2</v>
      </c>
      <c r="I140" s="473"/>
      <c r="J140" s="168"/>
      <c r="K140" s="168"/>
      <c r="U140" s="168"/>
      <c r="V140" s="168"/>
      <c r="W140" s="461"/>
      <c r="X140" s="461"/>
    </row>
    <row r="141" spans="1:24" s="167" customFormat="1">
      <c r="A141" s="169"/>
      <c r="B141" s="163" t="s">
        <v>195</v>
      </c>
      <c r="C141" s="501">
        <f>'[61]Sch C'!D142</f>
        <v>11510.45</v>
      </c>
      <c r="D141" s="501">
        <f>'[61]Sch C'!F142</f>
        <v>0</v>
      </c>
      <c r="E141" s="171">
        <f t="shared" si="29"/>
        <v>11510.45</v>
      </c>
      <c r="F141" s="171"/>
      <c r="G141" s="171">
        <f>E141+F141</f>
        <v>11510.45</v>
      </c>
      <c r="H141" s="172">
        <f>IF($G$208=0,0,G141/$G$208)</f>
        <v>4.3614313988648038E-3</v>
      </c>
      <c r="I141" s="473"/>
      <c r="J141" s="168"/>
      <c r="K141" s="168"/>
      <c r="U141" s="168"/>
      <c r="V141" s="168"/>
      <c r="W141" s="461"/>
      <c r="X141" s="461"/>
    </row>
    <row r="142" spans="1:24" s="167" customFormat="1">
      <c r="A142" s="169"/>
      <c r="B142" s="163" t="s">
        <v>196</v>
      </c>
      <c r="C142" s="501">
        <f>'[61]Sch C'!D143</f>
        <v>49878.45</v>
      </c>
      <c r="D142" s="501">
        <f>'[61]Sch C'!F143</f>
        <v>0</v>
      </c>
      <c r="E142" s="171">
        <f t="shared" si="29"/>
        <v>49878.45</v>
      </c>
      <c r="F142" s="171"/>
      <c r="G142" s="171">
        <f>E142+F142</f>
        <v>49878.45</v>
      </c>
      <c r="H142" s="172">
        <f>IF($G$208=0,0,G142/$G$208)</f>
        <v>1.889947290998251E-2</v>
      </c>
      <c r="I142" s="473"/>
      <c r="J142" s="168"/>
      <c r="K142" s="168"/>
      <c r="U142" s="168"/>
      <c r="V142" s="168"/>
      <c r="W142" s="461"/>
      <c r="X142" s="461"/>
    </row>
    <row r="143" spans="1:24" s="167" customFormat="1">
      <c r="A143" s="169"/>
      <c r="B143" s="163" t="s">
        <v>197</v>
      </c>
      <c r="C143" s="501">
        <f>'[61]Sch C'!D144</f>
        <v>22.03</v>
      </c>
      <c r="D143" s="501">
        <f>'[61]Sch C'!F144</f>
        <v>0</v>
      </c>
      <c r="E143" s="171">
        <f t="shared" si="29"/>
        <v>22.03</v>
      </c>
      <c r="F143" s="171"/>
      <c r="G143" s="171">
        <f>E143+F143</f>
        <v>22.03</v>
      </c>
      <c r="H143" s="172">
        <f>IF($G$208=0,0,G143/$G$208)</f>
        <v>8.347400294253624E-6</v>
      </c>
      <c r="I143" s="473"/>
      <c r="J143" s="168"/>
      <c r="K143" s="168"/>
      <c r="U143" s="168"/>
      <c r="V143" s="168"/>
      <c r="W143" s="461"/>
      <c r="X143" s="461"/>
    </row>
    <row r="144" spans="1:2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  <c r="U144" s="204"/>
      <c r="V144" s="204"/>
      <c r="W144" s="438"/>
      <c r="X144" s="438"/>
    </row>
    <row r="145" spans="1:24" s="167" customFormat="1">
      <c r="A145" s="169"/>
      <c r="B145" s="163" t="s">
        <v>232</v>
      </c>
      <c r="C145" s="501">
        <f>'[61]Sch C'!D146</f>
        <v>9600</v>
      </c>
      <c r="D145" s="501">
        <f>'[61]Sch C'!F146</f>
        <v>0</v>
      </c>
      <c r="E145" s="171">
        <f t="shared" ref="E145:E153" si="30">C145+D145</f>
        <v>9600</v>
      </c>
      <c r="F145" s="171"/>
      <c r="G145" s="171">
        <f t="shared" ref="G145:G153" si="31">E145+F145</f>
        <v>9600</v>
      </c>
      <c r="H145" s="172">
        <f t="shared" ref="H145:H153" si="32">IF($G$208=0,0,G145/$G$208)</f>
        <v>3.637541662498175E-3</v>
      </c>
      <c r="I145" s="473"/>
      <c r="J145" s="183">
        <v>0</v>
      </c>
      <c r="K145" s="183">
        <v>0</v>
      </c>
      <c r="U145" s="183">
        <v>0</v>
      </c>
      <c r="V145" s="183">
        <v>0</v>
      </c>
      <c r="W145" s="439">
        <v>0</v>
      </c>
      <c r="X145" s="439">
        <v>0</v>
      </c>
    </row>
    <row r="146" spans="1:24" s="167" customFormat="1">
      <c r="A146" s="169"/>
      <c r="B146" s="163" t="s">
        <v>194</v>
      </c>
      <c r="C146" s="501">
        <f>'[61]Sch C'!D147</f>
        <v>22328.36</v>
      </c>
      <c r="D146" s="501">
        <f>'[61]Sch C'!F147</f>
        <v>0</v>
      </c>
      <c r="E146" s="171">
        <f t="shared" si="30"/>
        <v>22328.36</v>
      </c>
      <c r="F146" s="171"/>
      <c r="G146" s="171">
        <f t="shared" si="31"/>
        <v>22328.36</v>
      </c>
      <c r="H146" s="172">
        <f t="shared" si="32"/>
        <v>8.4604520578393499E-3</v>
      </c>
      <c r="I146" s="473"/>
      <c r="J146" s="183">
        <v>0</v>
      </c>
      <c r="K146" s="183">
        <v>0</v>
      </c>
      <c r="U146" s="183">
        <v>0</v>
      </c>
      <c r="V146" s="183">
        <v>0</v>
      </c>
      <c r="W146" s="439">
        <v>0</v>
      </c>
      <c r="X146" s="439">
        <v>0</v>
      </c>
    </row>
    <row r="147" spans="1:24" s="167" customFormat="1">
      <c r="A147" s="169"/>
      <c r="B147" s="163" t="s">
        <v>195</v>
      </c>
      <c r="C147" s="501">
        <f>'[61]Sch C'!D148</f>
        <v>9325.06</v>
      </c>
      <c r="D147" s="501">
        <f>'[61]Sch C'!F148</f>
        <v>0</v>
      </c>
      <c r="E147" s="171">
        <f t="shared" si="30"/>
        <v>9325.06</v>
      </c>
      <c r="F147" s="171"/>
      <c r="G147" s="171">
        <f t="shared" si="31"/>
        <v>9325.06</v>
      </c>
      <c r="H147" s="172">
        <f t="shared" si="32"/>
        <v>3.5333639849265863E-3</v>
      </c>
      <c r="I147" s="473"/>
      <c r="J147" s="183">
        <v>0</v>
      </c>
      <c r="K147" s="183">
        <v>0</v>
      </c>
      <c r="U147" s="183">
        <v>0</v>
      </c>
      <c r="V147" s="183">
        <v>0</v>
      </c>
      <c r="W147" s="439">
        <v>0</v>
      </c>
      <c r="X147" s="439">
        <v>0</v>
      </c>
    </row>
    <row r="148" spans="1:24" s="167" customFormat="1">
      <c r="A148" s="169"/>
      <c r="B148" s="163" t="s">
        <v>196</v>
      </c>
      <c r="C148" s="501">
        <f>'[61]Sch C'!D149</f>
        <v>12034.37</v>
      </c>
      <c r="D148" s="501">
        <f>'[61]Sch C'!F149</f>
        <v>0</v>
      </c>
      <c r="E148" s="171">
        <f t="shared" si="30"/>
        <v>12034.37</v>
      </c>
      <c r="F148" s="171"/>
      <c r="G148" s="171">
        <f t="shared" si="31"/>
        <v>12034.37</v>
      </c>
      <c r="H148" s="172">
        <f t="shared" si="32"/>
        <v>4.5599502350956419E-3</v>
      </c>
      <c r="I148" s="473"/>
      <c r="J148" s="183">
        <v>0</v>
      </c>
      <c r="K148" s="183">
        <v>0</v>
      </c>
      <c r="U148" s="183">
        <v>0</v>
      </c>
      <c r="V148" s="183">
        <v>0</v>
      </c>
      <c r="W148" s="439">
        <v>0</v>
      </c>
      <c r="X148" s="439">
        <v>0</v>
      </c>
    </row>
    <row r="149" spans="1:24" s="167" customFormat="1">
      <c r="A149" s="169"/>
      <c r="B149" s="163" t="s">
        <v>197</v>
      </c>
      <c r="C149" s="501">
        <f>'[61]Sch C'!D150</f>
        <v>0</v>
      </c>
      <c r="D149" s="501">
        <f>'[61]Sch C'!F150</f>
        <v>0</v>
      </c>
      <c r="E149" s="171">
        <f t="shared" si="30"/>
        <v>0</v>
      </c>
      <c r="F149" s="171"/>
      <c r="G149" s="171">
        <f t="shared" si="31"/>
        <v>0</v>
      </c>
      <c r="H149" s="172">
        <f t="shared" si="32"/>
        <v>0</v>
      </c>
      <c r="I149" s="473"/>
      <c r="J149" s="183">
        <v>0</v>
      </c>
      <c r="K149" s="183">
        <v>0</v>
      </c>
      <c r="U149" s="183">
        <v>0</v>
      </c>
      <c r="V149" s="183">
        <v>0</v>
      </c>
      <c r="W149" s="439">
        <v>0</v>
      </c>
      <c r="X149" s="439">
        <v>0</v>
      </c>
    </row>
    <row r="150" spans="1:24" s="167" customFormat="1">
      <c r="A150" s="169">
        <v>110</v>
      </c>
      <c r="B150" s="167" t="s">
        <v>65</v>
      </c>
      <c r="C150" s="501">
        <f>'[61]Sch C'!D151</f>
        <v>39856.74</v>
      </c>
      <c r="D150" s="501">
        <f>'[61]Sch C'!F151</f>
        <v>0</v>
      </c>
      <c r="E150" s="171">
        <f t="shared" si="30"/>
        <v>39856.74</v>
      </c>
      <c r="F150" s="171"/>
      <c r="G150" s="171">
        <f t="shared" si="31"/>
        <v>39856.74</v>
      </c>
      <c r="H150" s="172">
        <f t="shared" si="32"/>
        <v>1.5102140862641406E-2</v>
      </c>
      <c r="I150" s="473"/>
      <c r="J150" s="168"/>
      <c r="K150" s="168"/>
      <c r="U150" s="168"/>
      <c r="V150" s="168"/>
      <c r="W150" s="461"/>
      <c r="X150" s="461"/>
    </row>
    <row r="151" spans="1:24" s="167" customFormat="1">
      <c r="A151" s="169">
        <v>111</v>
      </c>
      <c r="B151" s="170" t="s">
        <v>97</v>
      </c>
      <c r="C151" s="501">
        <f>'[61]Sch C'!D152</f>
        <v>1009.62</v>
      </c>
      <c r="D151" s="501">
        <f>'[61]Sch C'!F152</f>
        <v>0</v>
      </c>
      <c r="E151" s="171">
        <f t="shared" si="30"/>
        <v>1009.62</v>
      </c>
      <c r="F151" s="171"/>
      <c r="G151" s="171">
        <f t="shared" si="31"/>
        <v>1009.62</v>
      </c>
      <c r="H151" s="172">
        <f t="shared" si="32"/>
        <v>3.8255570971785493E-4</v>
      </c>
      <c r="I151" s="473"/>
      <c r="J151" s="168"/>
      <c r="K151" s="168"/>
      <c r="U151" s="168"/>
      <c r="V151" s="168"/>
      <c r="W151" s="461"/>
      <c r="X151" s="461"/>
    </row>
    <row r="152" spans="1:24" s="167" customFormat="1">
      <c r="A152" s="169">
        <v>230</v>
      </c>
      <c r="B152" s="170" t="s">
        <v>66</v>
      </c>
      <c r="C152" s="501">
        <f>'[61]Sch C'!D153</f>
        <v>1815.29</v>
      </c>
      <c r="D152" s="501">
        <f>'[61]Sch C'!F153</f>
        <v>0</v>
      </c>
      <c r="E152" s="171">
        <f t="shared" si="30"/>
        <v>1815.29</v>
      </c>
      <c r="F152" s="171"/>
      <c r="G152" s="171">
        <f t="shared" si="31"/>
        <v>1815.29</v>
      </c>
      <c r="H152" s="172">
        <f t="shared" si="32"/>
        <v>6.8783260463711586E-4</v>
      </c>
      <c r="I152" s="473"/>
      <c r="J152" s="168"/>
      <c r="K152" s="168"/>
      <c r="U152" s="168"/>
      <c r="V152" s="168"/>
      <c r="W152" s="461"/>
      <c r="X152" s="461"/>
    </row>
    <row r="153" spans="1:24" s="167" customFormat="1">
      <c r="A153" s="169">
        <v>430</v>
      </c>
      <c r="B153" s="170" t="s">
        <v>99</v>
      </c>
      <c r="C153" s="501">
        <f>'[61]Sch C'!D154</f>
        <v>0</v>
      </c>
      <c r="D153" s="501">
        <f>'[61]Sch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  <c r="U153" s="168"/>
      <c r="V153" s="168"/>
      <c r="W153" s="461"/>
      <c r="X153" s="461"/>
    </row>
    <row r="154" spans="1:24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  <c r="U154" s="168"/>
      <c r="V154" s="168"/>
      <c r="W154" s="461"/>
      <c r="X154" s="461"/>
    </row>
    <row r="155" spans="1:24" s="167" customFormat="1">
      <c r="A155" s="169">
        <v>440.1</v>
      </c>
      <c r="B155" s="163" t="s">
        <v>223</v>
      </c>
      <c r="C155" s="501">
        <f>'[61]Sch C'!D156</f>
        <v>0</v>
      </c>
      <c r="D155" s="501">
        <f>'[61]Sch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  <c r="U155" s="168"/>
      <c r="V155" s="168"/>
      <c r="W155" s="461"/>
      <c r="X155" s="461"/>
    </row>
    <row r="156" spans="1:24" s="167" customFormat="1">
      <c r="A156" s="169">
        <v>440.2</v>
      </c>
      <c r="B156" s="163" t="s">
        <v>224</v>
      </c>
      <c r="C156" s="501">
        <f>'[61]Sch C'!D157</f>
        <v>0</v>
      </c>
      <c r="D156" s="501">
        <f>'[61]Sch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  <c r="U156" s="168"/>
      <c r="V156" s="168"/>
      <c r="W156" s="461"/>
      <c r="X156" s="461"/>
    </row>
    <row r="157" spans="1:24" s="167" customFormat="1">
      <c r="A157" s="169">
        <v>440.3</v>
      </c>
      <c r="B157" s="163" t="s">
        <v>225</v>
      </c>
      <c r="C157" s="501">
        <f>'[61]Sch C'!D158</f>
        <v>0</v>
      </c>
      <c r="D157" s="501">
        <f>'[61]Sch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  <c r="U157" s="168"/>
      <c r="V157" s="168"/>
      <c r="W157" s="461"/>
      <c r="X157" s="461"/>
    </row>
    <row r="158" spans="1:24" s="167" customFormat="1">
      <c r="A158" s="169">
        <v>440.4</v>
      </c>
      <c r="B158" s="163" t="s">
        <v>226</v>
      </c>
      <c r="C158" s="501">
        <f>'[61]Sch C'!D159</f>
        <v>0</v>
      </c>
      <c r="D158" s="501">
        <f>'[61]Sch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  <c r="U158" s="168"/>
      <c r="V158" s="168"/>
      <c r="W158" s="461"/>
      <c r="X158" s="461"/>
    </row>
    <row r="159" spans="1:24" s="167" customFormat="1">
      <c r="A159" s="169">
        <v>440.5</v>
      </c>
      <c r="B159" s="163" t="s">
        <v>301</v>
      </c>
      <c r="C159" s="501">
        <f>'[61]Sch C'!D160</f>
        <v>1848.31</v>
      </c>
      <c r="D159" s="501">
        <f>'[61]Sch C'!F160</f>
        <v>0</v>
      </c>
      <c r="E159" s="171">
        <f t="shared" si="33"/>
        <v>1848.31</v>
      </c>
      <c r="F159" s="171"/>
      <c r="G159" s="171">
        <f t="shared" si="34"/>
        <v>1848.31</v>
      </c>
      <c r="H159" s="172">
        <f>IF($G$208=0,0,G159/$G$208)</f>
        <v>7.0034423231375015E-4</v>
      </c>
      <c r="I159" s="473"/>
      <c r="J159" s="168"/>
      <c r="K159" s="168"/>
      <c r="U159" s="168"/>
      <c r="V159" s="168"/>
      <c r="W159" s="461"/>
      <c r="X159" s="461"/>
    </row>
    <row r="160" spans="1:24" s="167" customFormat="1">
      <c r="A160" s="169">
        <v>490</v>
      </c>
      <c r="B160" s="202" t="s">
        <v>315</v>
      </c>
      <c r="C160" s="501">
        <f>'[61]Sch C'!D161</f>
        <v>34634.1</v>
      </c>
      <c r="D160" s="501">
        <f>'[61]Sch C'!F161</f>
        <v>0</v>
      </c>
      <c r="E160" s="171">
        <f t="shared" si="33"/>
        <v>34634.1</v>
      </c>
      <c r="F160" s="171"/>
      <c r="G160" s="171">
        <f t="shared" si="34"/>
        <v>34634.1</v>
      </c>
      <c r="H160" s="172">
        <f t="shared" si="35"/>
        <v>1.3123227259700837E-2</v>
      </c>
      <c r="I160" s="473"/>
      <c r="J160" s="168"/>
      <c r="K160" s="168"/>
      <c r="U160" s="168"/>
      <c r="V160" s="168"/>
      <c r="W160" s="461"/>
      <c r="X160" s="461"/>
    </row>
    <row r="161" spans="1:24" s="167" customFormat="1">
      <c r="A161" s="169"/>
      <c r="B161" s="170" t="s">
        <v>233</v>
      </c>
      <c r="C161" s="501">
        <f>SUM(C123:C160)</f>
        <v>1064072.9500000002</v>
      </c>
      <c r="D161" s="501">
        <f>SUM(D123:D160)</f>
        <v>0</v>
      </c>
      <c r="E161" s="171">
        <f t="shared" ref="E161:F161" si="36">SUM(E123:E160)</f>
        <v>1064072.9500000002</v>
      </c>
      <c r="F161" s="171">
        <f t="shared" si="36"/>
        <v>0</v>
      </c>
      <c r="G161" s="171">
        <f>SUM(G123:G160)</f>
        <v>1064072.9500000002</v>
      </c>
      <c r="H161" s="172">
        <f t="shared" si="35"/>
        <v>0.4031885091210769</v>
      </c>
      <c r="I161" s="473"/>
      <c r="J161" s="168"/>
      <c r="K161" s="168"/>
      <c r="U161" s="168"/>
      <c r="V161" s="168"/>
      <c r="W161" s="461"/>
      <c r="X161" s="461"/>
    </row>
    <row r="162" spans="1:24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  <c r="U162" s="168"/>
      <c r="V162" s="168"/>
      <c r="W162" s="461"/>
      <c r="X162" s="461"/>
    </row>
    <row r="163" spans="1:24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  <c r="U163" s="168"/>
      <c r="V163" s="168"/>
      <c r="W163" s="461"/>
      <c r="X163" s="461"/>
    </row>
    <row r="164" spans="1:24" s="221" customFormat="1">
      <c r="A164" s="215" t="s">
        <v>95</v>
      </c>
      <c r="B164" s="148" t="s">
        <v>102</v>
      </c>
      <c r="C164" s="501">
        <f>'[61]Sch C'!D175</f>
        <v>0</v>
      </c>
      <c r="D164" s="501">
        <f>'[61]Sch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  <c r="U164" s="217">
        <v>0</v>
      </c>
      <c r="V164" s="217">
        <v>0</v>
      </c>
      <c r="W164" s="439">
        <v>0</v>
      </c>
      <c r="X164" s="439">
        <v>0</v>
      </c>
    </row>
    <row r="165" spans="1:24" s="221" customFormat="1">
      <c r="A165" s="215" t="s">
        <v>123</v>
      </c>
      <c r="B165" s="148" t="s">
        <v>103</v>
      </c>
      <c r="C165" s="501">
        <f>'[61]Sch C'!D176</f>
        <v>0</v>
      </c>
      <c r="D165" s="501">
        <f>'[61]Sch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  <c r="U165" s="222"/>
      <c r="V165" s="222"/>
      <c r="W165" s="467"/>
      <c r="X165" s="467"/>
    </row>
    <row r="166" spans="1:24" s="221" customFormat="1">
      <c r="A166" s="215" t="s">
        <v>124</v>
      </c>
      <c r="B166" s="148" t="s">
        <v>104</v>
      </c>
      <c r="C166" s="501">
        <f>'[61]Sch C'!D177</f>
        <v>0</v>
      </c>
      <c r="D166" s="501">
        <f>'[61]Sch C'!F177</f>
        <v>0</v>
      </c>
      <c r="E166" s="171">
        <f t="shared" si="37"/>
        <v>0</v>
      </c>
      <c r="F166" s="171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  <c r="U166" s="217">
        <v>0</v>
      </c>
      <c r="V166" s="217">
        <v>0</v>
      </c>
      <c r="W166" s="439">
        <v>0</v>
      </c>
      <c r="X166" s="439">
        <v>0</v>
      </c>
    </row>
    <row r="167" spans="1:24" s="221" customFormat="1">
      <c r="A167" s="215" t="s">
        <v>157</v>
      </c>
      <c r="B167" s="148" t="s">
        <v>105</v>
      </c>
      <c r="C167" s="501">
        <f>'[61]Sch C'!D178</f>
        <v>0</v>
      </c>
      <c r="D167" s="501">
        <f>'[61]Sch C'!F178</f>
        <v>0</v>
      </c>
      <c r="E167" s="171">
        <f t="shared" si="37"/>
        <v>0</v>
      </c>
      <c r="F167" s="171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  <c r="U167" s="222"/>
      <c r="V167" s="222"/>
      <c r="W167" s="467"/>
      <c r="X167" s="467"/>
    </row>
    <row r="168" spans="1:24" s="221" customFormat="1">
      <c r="A168" s="215" t="s">
        <v>158</v>
      </c>
      <c r="B168" s="148" t="s">
        <v>316</v>
      </c>
      <c r="C168" s="501">
        <f>'[61]Sch C'!D179</f>
        <v>0</v>
      </c>
      <c r="D168" s="501">
        <f>'[61]Sch C'!F179</f>
        <v>0</v>
      </c>
      <c r="E168" s="171">
        <f t="shared" si="37"/>
        <v>0</v>
      </c>
      <c r="F168" s="171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  <c r="U168" s="217">
        <v>0</v>
      </c>
      <c r="V168" s="217">
        <v>0</v>
      </c>
      <c r="W168" s="439">
        <v>0</v>
      </c>
      <c r="X168" s="439">
        <v>0</v>
      </c>
    </row>
    <row r="169" spans="1:24" s="221" customFormat="1">
      <c r="A169" s="215" t="s">
        <v>86</v>
      </c>
      <c r="B169" s="148" t="s">
        <v>317</v>
      </c>
      <c r="C169" s="501">
        <f>'[61]Sch C'!D180</f>
        <v>0</v>
      </c>
      <c r="D169" s="501">
        <f>'[61]Sch C'!F180</f>
        <v>0</v>
      </c>
      <c r="E169" s="171">
        <f t="shared" si="37"/>
        <v>0</v>
      </c>
      <c r="F169" s="171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  <c r="U169" s="222"/>
      <c r="V169" s="222"/>
      <c r="W169" s="467"/>
      <c r="X169" s="467"/>
    </row>
    <row r="170" spans="1:24" s="221" customFormat="1">
      <c r="A170" s="215" t="s">
        <v>96</v>
      </c>
      <c r="B170" s="148" t="s">
        <v>318</v>
      </c>
      <c r="C170" s="501">
        <f>'[61]Sch C'!D181</f>
        <v>0</v>
      </c>
      <c r="D170" s="501">
        <f>'[61]Sch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  <c r="U170" s="217">
        <v>0</v>
      </c>
      <c r="V170" s="217">
        <v>0</v>
      </c>
      <c r="W170" s="439">
        <v>0</v>
      </c>
      <c r="X170" s="439">
        <v>0</v>
      </c>
    </row>
    <row r="171" spans="1:24" s="221" customFormat="1">
      <c r="A171" s="215" t="s">
        <v>125</v>
      </c>
      <c r="B171" s="148" t="s">
        <v>109</v>
      </c>
      <c r="C171" s="501">
        <f>'[61]Sch C'!D182</f>
        <v>0</v>
      </c>
      <c r="D171" s="501">
        <f>'[61]Sch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  <c r="U171" s="222"/>
      <c r="V171" s="222"/>
      <c r="W171" s="467"/>
      <c r="X171" s="467"/>
    </row>
    <row r="172" spans="1:24" s="221" customFormat="1">
      <c r="A172" s="215" t="s">
        <v>126</v>
      </c>
      <c r="B172" s="148" t="s">
        <v>319</v>
      </c>
      <c r="C172" s="501">
        <f>'[61]Sch C'!D183</f>
        <v>0</v>
      </c>
      <c r="D172" s="501">
        <f>'[61]Sch C'!F183</f>
        <v>0</v>
      </c>
      <c r="E172" s="171">
        <f t="shared" si="37"/>
        <v>0</v>
      </c>
      <c r="F172" s="171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  <c r="U172" s="217">
        <v>0</v>
      </c>
      <c r="V172" s="217">
        <v>0</v>
      </c>
      <c r="W172" s="439">
        <v>0</v>
      </c>
      <c r="X172" s="439">
        <v>0</v>
      </c>
    </row>
    <row r="173" spans="1:24" s="221" customFormat="1">
      <c r="A173" s="215" t="s">
        <v>127</v>
      </c>
      <c r="B173" s="148" t="s">
        <v>111</v>
      </c>
      <c r="C173" s="501">
        <f>'[61]Sch C'!D184</f>
        <v>0</v>
      </c>
      <c r="D173" s="501">
        <f>'[61]Sch C'!F184</f>
        <v>0</v>
      </c>
      <c r="E173" s="171">
        <f t="shared" si="37"/>
        <v>0</v>
      </c>
      <c r="F173" s="171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  <c r="U173" s="222"/>
      <c r="V173" s="222"/>
      <c r="W173" s="467"/>
      <c r="X173" s="467"/>
    </row>
    <row r="174" spans="1:24" s="221" customFormat="1">
      <c r="A174" s="215" t="s">
        <v>128</v>
      </c>
      <c r="B174" s="148" t="s">
        <v>320</v>
      </c>
      <c r="C174" s="501">
        <f>'[61]Sch C'!D185</f>
        <v>0</v>
      </c>
      <c r="D174" s="501">
        <f>'[61]Sch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  <c r="U174" s="217">
        <v>0</v>
      </c>
      <c r="V174" s="217">
        <v>0</v>
      </c>
      <c r="W174" s="439">
        <v>0</v>
      </c>
      <c r="X174" s="439">
        <v>0</v>
      </c>
    </row>
    <row r="175" spans="1:24" s="221" customFormat="1">
      <c r="A175" s="215" t="s">
        <v>129</v>
      </c>
      <c r="B175" s="148" t="s">
        <v>321</v>
      </c>
      <c r="C175" s="501">
        <f>'[61]Sch C'!D186</f>
        <v>0</v>
      </c>
      <c r="D175" s="501">
        <f>'[61]Sch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  <c r="U175" s="223"/>
      <c r="V175" s="218"/>
      <c r="W175" s="468"/>
      <c r="X175" s="469"/>
    </row>
    <row r="176" spans="1:24" s="221" customFormat="1">
      <c r="A176" s="224" t="s">
        <v>293</v>
      </c>
      <c r="B176" s="148" t="s">
        <v>154</v>
      </c>
      <c r="C176" s="501">
        <f>'[61]Sch C'!D187</f>
        <v>0</v>
      </c>
      <c r="D176" s="501">
        <f>'[61]Sch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  <c r="U176" s="223"/>
      <c r="V176" s="218"/>
      <c r="W176" s="468"/>
      <c r="X176" s="469"/>
    </row>
    <row r="177" spans="1:24" s="221" customFormat="1">
      <c r="A177" s="224" t="s">
        <v>294</v>
      </c>
      <c r="B177" s="148" t="s">
        <v>322</v>
      </c>
      <c r="C177" s="501">
        <f>'[61]Sch C'!D188</f>
        <v>0</v>
      </c>
      <c r="D177" s="501">
        <f>'[61]Sch C'!F188</f>
        <v>0</v>
      </c>
      <c r="E177" s="171">
        <f t="shared" si="37"/>
        <v>0</v>
      </c>
      <c r="F177" s="171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  <c r="U177" s="223"/>
      <c r="V177" s="218"/>
      <c r="W177" s="468"/>
      <c r="X177" s="469"/>
    </row>
    <row r="178" spans="1:24" s="221" customFormat="1">
      <c r="A178" s="224" t="s">
        <v>295</v>
      </c>
      <c r="B178" s="148" t="s">
        <v>323</v>
      </c>
      <c r="C178" s="501">
        <f>'[61]Sch C'!D189</f>
        <v>0</v>
      </c>
      <c r="D178" s="501">
        <f>'[61]Sch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  <c r="U178" s="223"/>
      <c r="V178" s="218"/>
      <c r="W178" s="468"/>
      <c r="X178" s="469"/>
    </row>
    <row r="179" spans="1:24" s="221" customFormat="1">
      <c r="A179" s="224" t="s">
        <v>296</v>
      </c>
      <c r="B179" s="148" t="s">
        <v>324</v>
      </c>
      <c r="C179" s="501">
        <f>'[61]Sch C'!D190</f>
        <v>0</v>
      </c>
      <c r="D179" s="501">
        <f>'[61]Sch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  <c r="U179" s="223"/>
      <c r="V179" s="218"/>
      <c r="W179" s="468"/>
      <c r="X179" s="469"/>
    </row>
    <row r="180" spans="1:24" s="221" customFormat="1">
      <c r="A180" s="224" t="s">
        <v>297</v>
      </c>
      <c r="B180" s="148" t="s">
        <v>325</v>
      </c>
      <c r="C180" s="501">
        <f>'[61]Sch C'!D191</f>
        <v>0</v>
      </c>
      <c r="D180" s="501">
        <f>'[61]Sch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  <c r="U180" s="223"/>
      <c r="V180" s="218"/>
      <c r="W180" s="468"/>
      <c r="X180" s="469"/>
    </row>
    <row r="181" spans="1:24" s="221" customFormat="1">
      <c r="A181" s="224" t="s">
        <v>298</v>
      </c>
      <c r="B181" s="148" t="s">
        <v>117</v>
      </c>
      <c r="C181" s="501">
        <f>'[61]Sch C'!D192</f>
        <v>0</v>
      </c>
      <c r="D181" s="501">
        <f>'[61]Sch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  <c r="U181" s="223"/>
      <c r="V181" s="218"/>
      <c r="W181" s="468"/>
      <c r="X181" s="469"/>
    </row>
    <row r="182" spans="1:24" s="221" customFormat="1">
      <c r="A182" s="224" t="s">
        <v>132</v>
      </c>
      <c r="B182" s="148" t="s">
        <v>118</v>
      </c>
      <c r="C182" s="501">
        <f>'[61]Sch C'!D193</f>
        <v>0</v>
      </c>
      <c r="D182" s="501">
        <f>'[61]Sch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  <c r="U182" s="223"/>
      <c r="V182" s="218"/>
      <c r="W182" s="468"/>
      <c r="X182" s="469"/>
    </row>
    <row r="183" spans="1:24" s="221" customFormat="1">
      <c r="A183" s="224" t="s">
        <v>133</v>
      </c>
      <c r="B183" s="148" t="s">
        <v>119</v>
      </c>
      <c r="C183" s="501">
        <f>'[61]Sch C'!D194</f>
        <v>120248.43</v>
      </c>
      <c r="D183" s="501">
        <f>'[61]Sch C'!F194</f>
        <v>-143.15</v>
      </c>
      <c r="E183" s="171">
        <f t="shared" si="37"/>
        <v>120105.28</v>
      </c>
      <c r="F183" s="171"/>
      <c r="G183" s="171">
        <f t="shared" si="38"/>
        <v>120105.28</v>
      </c>
      <c r="H183" s="172">
        <f t="shared" si="39"/>
        <v>4.5509162488125914E-2</v>
      </c>
      <c r="I183" s="473"/>
      <c r="J183" s="223"/>
      <c r="K183" s="218"/>
      <c r="M183" s="220"/>
      <c r="N183" s="220"/>
      <c r="U183" s="223"/>
      <c r="V183" s="218"/>
      <c r="W183" s="468"/>
      <c r="X183" s="469"/>
    </row>
    <row r="184" spans="1:24" s="221" customFormat="1">
      <c r="A184" s="224" t="s">
        <v>134</v>
      </c>
      <c r="B184" s="148" t="s">
        <v>326</v>
      </c>
      <c r="C184" s="501">
        <f>'[61]Sch C'!D195</f>
        <v>4307.34</v>
      </c>
      <c r="D184" s="501">
        <f>'[61]Sch C'!F195</f>
        <v>-4.9400000000000004</v>
      </c>
      <c r="E184" s="171">
        <f t="shared" si="37"/>
        <v>4302.4000000000005</v>
      </c>
      <c r="F184" s="171"/>
      <c r="G184" s="171">
        <f t="shared" si="38"/>
        <v>4302.4000000000005</v>
      </c>
      <c r="H184" s="172">
        <f t="shared" si="39"/>
        <v>1.6302249217429322E-3</v>
      </c>
      <c r="I184" s="473"/>
      <c r="J184" s="223"/>
      <c r="K184" s="218"/>
      <c r="M184" s="220"/>
      <c r="N184" s="220"/>
      <c r="U184" s="223"/>
      <c r="V184" s="218"/>
      <c r="W184" s="468"/>
      <c r="X184" s="469"/>
    </row>
    <row r="185" spans="1:24" s="221" customFormat="1">
      <c r="A185" s="224" t="s">
        <v>135</v>
      </c>
      <c r="B185" s="148" t="s">
        <v>327</v>
      </c>
      <c r="C185" s="501">
        <f>'[61]Sch C'!D196</f>
        <v>83474.720000000001</v>
      </c>
      <c r="D185" s="501">
        <f>'[61]Sch C'!F196</f>
        <v>-98.72</v>
      </c>
      <c r="E185" s="171">
        <f t="shared" si="37"/>
        <v>83376</v>
      </c>
      <c r="F185" s="171"/>
      <c r="G185" s="171">
        <f t="shared" si="38"/>
        <v>83376</v>
      </c>
      <c r="H185" s="172">
        <f t="shared" si="39"/>
        <v>3.1592049338796648E-2</v>
      </c>
      <c r="I185" s="473"/>
      <c r="J185" s="223"/>
      <c r="K185" s="218"/>
      <c r="M185" s="220"/>
      <c r="N185" s="220"/>
      <c r="U185" s="223"/>
      <c r="V185" s="218"/>
      <c r="W185" s="468"/>
      <c r="X185" s="469"/>
    </row>
    <row r="186" spans="1:24" s="221" customFormat="1">
      <c r="A186" s="224" t="s">
        <v>136</v>
      </c>
      <c r="B186" s="148" t="s">
        <v>328</v>
      </c>
      <c r="C186" s="501">
        <f>'[61]Sch C'!D197</f>
        <v>0</v>
      </c>
      <c r="D186" s="501">
        <f>'[61]Sch C'!F197</f>
        <v>0</v>
      </c>
      <c r="E186" s="171">
        <f t="shared" si="37"/>
        <v>0</v>
      </c>
      <c r="F186" s="171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  <c r="U186" s="223"/>
      <c r="V186" s="218"/>
      <c r="W186" s="468"/>
      <c r="X186" s="469"/>
    </row>
    <row r="187" spans="1:24" s="221" customFormat="1">
      <c r="A187" s="224" t="s">
        <v>137</v>
      </c>
      <c r="B187" s="148" t="s">
        <v>122</v>
      </c>
      <c r="C187" s="501">
        <f>'[61]Sch C'!D198</f>
        <v>11430.52</v>
      </c>
      <c r="D187" s="501">
        <f>'[61]Sch C'!F198</f>
        <v>0</v>
      </c>
      <c r="E187" s="171">
        <f t="shared" si="37"/>
        <v>11430.52</v>
      </c>
      <c r="F187" s="171"/>
      <c r="G187" s="171">
        <f t="shared" si="38"/>
        <v>11430.52</v>
      </c>
      <c r="H187" s="172">
        <f t="shared" si="39"/>
        <v>4.3311450754186086E-3</v>
      </c>
      <c r="I187" s="473"/>
      <c r="J187" s="223"/>
      <c r="K187" s="218"/>
      <c r="M187" s="220"/>
      <c r="N187" s="220"/>
      <c r="U187" s="223"/>
      <c r="V187" s="218"/>
      <c r="W187" s="468"/>
      <c r="X187" s="469"/>
    </row>
    <row r="188" spans="1:24" s="221" customFormat="1">
      <c r="A188" s="224" t="s">
        <v>275</v>
      </c>
      <c r="B188" s="148" t="s">
        <v>329</v>
      </c>
      <c r="C188" s="501">
        <f>'[61]Sch C'!D199</f>
        <v>0</v>
      </c>
      <c r="D188" s="501">
        <f>'[61]Sch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  <c r="U188" s="223"/>
      <c r="V188" s="218"/>
      <c r="W188" s="468"/>
      <c r="X188" s="469"/>
    </row>
    <row r="189" spans="1:24" s="221" customFormat="1">
      <c r="A189" s="224" t="s">
        <v>277</v>
      </c>
      <c r="B189" s="148" t="s">
        <v>278</v>
      </c>
      <c r="C189" s="501">
        <f>'[61]Sch C'!D200</f>
        <v>0</v>
      </c>
      <c r="D189" s="501">
        <f>'[61]Sch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  <c r="U189" s="223"/>
      <c r="V189" s="218"/>
      <c r="W189" s="468"/>
      <c r="X189" s="469"/>
    </row>
    <row r="190" spans="1:24" s="221" customFormat="1">
      <c r="A190" s="225" t="s">
        <v>279</v>
      </c>
      <c r="B190" s="226" t="s">
        <v>280</v>
      </c>
      <c r="C190" s="501">
        <f>'[61]Sch C'!D201</f>
        <v>0</v>
      </c>
      <c r="D190" s="501">
        <f>'[61]Sch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  <c r="U190" s="223"/>
      <c r="V190" s="218"/>
      <c r="W190" s="468"/>
      <c r="X190" s="469"/>
    </row>
    <row r="191" spans="1:24" s="221" customFormat="1">
      <c r="A191" s="225" t="s">
        <v>281</v>
      </c>
      <c r="B191" s="226" t="s">
        <v>282</v>
      </c>
      <c r="C191" s="501">
        <f>'[61]Sch C'!D202</f>
        <v>0</v>
      </c>
      <c r="D191" s="501">
        <f>'[61]Sch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  <c r="U191" s="223"/>
      <c r="V191" s="218"/>
      <c r="W191" s="468"/>
      <c r="X191" s="469"/>
    </row>
    <row r="192" spans="1:24" s="221" customFormat="1">
      <c r="A192" s="225" t="s">
        <v>283</v>
      </c>
      <c r="B192" s="226" t="s">
        <v>330</v>
      </c>
      <c r="C192" s="501">
        <f>'[61]Sch C'!D203</f>
        <v>0</v>
      </c>
      <c r="D192" s="501">
        <f>'[61]Sch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  <c r="U192" s="223"/>
      <c r="V192" s="218"/>
      <c r="W192" s="468"/>
      <c r="X192" s="469"/>
    </row>
    <row r="193" spans="1:24" s="221" customFormat="1">
      <c r="A193" s="225" t="s">
        <v>285</v>
      </c>
      <c r="B193" s="226" t="s">
        <v>331</v>
      </c>
      <c r="C193" s="501">
        <f>'[61]Sch C'!D204</f>
        <v>0</v>
      </c>
      <c r="D193" s="501">
        <f>'[61]Sch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  <c r="U193" s="223"/>
      <c r="V193" s="218"/>
      <c r="W193" s="468"/>
      <c r="X193" s="469"/>
    </row>
    <row r="194" spans="1:24" s="221" customFormat="1">
      <c r="A194" s="224" t="s">
        <v>138</v>
      </c>
      <c r="B194" s="148" t="s">
        <v>332</v>
      </c>
      <c r="C194" s="501">
        <f>'[61]Sch C'!D205</f>
        <v>116635.68</v>
      </c>
      <c r="D194" s="501">
        <f>'[61]Sch C'!F205</f>
        <v>-64343.05</v>
      </c>
      <c r="E194" s="171">
        <f t="shared" si="37"/>
        <v>52292.62999999999</v>
      </c>
      <c r="F194" s="171"/>
      <c r="G194" s="171">
        <f t="shared" si="38"/>
        <v>52292.62999999999</v>
      </c>
      <c r="H194" s="172">
        <f t="shared" si="39"/>
        <v>1.981423127777103E-2</v>
      </c>
      <c r="I194" s="473"/>
      <c r="J194" s="223"/>
      <c r="K194" s="218"/>
      <c r="M194" s="220"/>
      <c r="N194" s="220"/>
      <c r="U194" s="223"/>
      <c r="V194" s="218"/>
      <c r="W194" s="468"/>
      <c r="X194" s="469"/>
    </row>
    <row r="195" spans="1:24" s="221" customFormat="1">
      <c r="A195" s="224" t="s">
        <v>139</v>
      </c>
      <c r="B195" s="148" t="s">
        <v>67</v>
      </c>
      <c r="C195" s="501">
        <f>'[61]Sch C'!D206</f>
        <v>8421.6299999999992</v>
      </c>
      <c r="D195" s="501">
        <f>'[61]Sch C'!F206</f>
        <v>0</v>
      </c>
      <c r="E195" s="171">
        <f t="shared" si="37"/>
        <v>8421.6299999999992</v>
      </c>
      <c r="F195" s="171"/>
      <c r="G195" s="171">
        <f t="shared" si="38"/>
        <v>8421.6299999999992</v>
      </c>
      <c r="H195" s="172">
        <f t="shared" si="39"/>
        <v>3.1910447907442189E-3</v>
      </c>
      <c r="I195" s="473"/>
      <c r="J195" s="223"/>
      <c r="K195" s="218"/>
      <c r="M195" s="220"/>
      <c r="N195" s="220"/>
      <c r="U195" s="223"/>
      <c r="V195" s="218"/>
      <c r="W195" s="468"/>
      <c r="X195" s="469"/>
    </row>
    <row r="196" spans="1:24" s="221" customFormat="1">
      <c r="A196" s="225" t="s">
        <v>143</v>
      </c>
      <c r="B196" s="194" t="s">
        <v>333</v>
      </c>
      <c r="C196" s="501">
        <f>'[61]Sch C'!D207</f>
        <v>10445.94</v>
      </c>
      <c r="D196" s="501">
        <f>'[61]Sch C'!F207</f>
        <v>0</v>
      </c>
      <c r="E196" s="171">
        <f t="shared" si="37"/>
        <v>10445.94</v>
      </c>
      <c r="F196" s="171"/>
      <c r="G196" s="171">
        <f t="shared" si="38"/>
        <v>10445.94</v>
      </c>
      <c r="H196" s="172">
        <f t="shared" si="39"/>
        <v>3.9580772868704362E-3</v>
      </c>
      <c r="I196" s="473"/>
      <c r="J196" s="223"/>
      <c r="K196" s="218"/>
      <c r="M196" s="220"/>
      <c r="N196" s="220"/>
      <c r="U196" s="223"/>
      <c r="V196" s="218"/>
      <c r="W196" s="468"/>
      <c r="X196" s="469"/>
    </row>
    <row r="197" spans="1:24" s="167" customFormat="1">
      <c r="A197" s="163"/>
      <c r="B197" s="212" t="s">
        <v>130</v>
      </c>
      <c r="C197" s="501">
        <f>SUM(C164:C196)</f>
        <v>354964.25999999995</v>
      </c>
      <c r="D197" s="501">
        <f>SUM(D164:D196)</f>
        <v>-64589.86</v>
      </c>
      <c r="E197" s="171">
        <f t="shared" ref="E197:F197" si="40">SUM(E164:E196)</f>
        <v>290374.39999999997</v>
      </c>
      <c r="F197" s="171">
        <f t="shared" si="40"/>
        <v>0</v>
      </c>
      <c r="G197" s="171">
        <f>SUM(G164:G196)</f>
        <v>290374.39999999997</v>
      </c>
      <c r="H197" s="172">
        <f>IF($G$208=0,0,G197/$G$208)</f>
        <v>0.11002593517946978</v>
      </c>
      <c r="I197" s="473"/>
      <c r="J197" s="168"/>
      <c r="K197" s="168"/>
      <c r="U197" s="168"/>
      <c r="V197" s="168"/>
      <c r="W197" s="461"/>
      <c r="X197" s="461"/>
    </row>
    <row r="198" spans="1:2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  <c r="U198" s="168"/>
      <c r="V198" s="168"/>
      <c r="W198" s="461"/>
      <c r="X198" s="461"/>
    </row>
    <row r="199" spans="1:2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  <c r="U199" s="168"/>
      <c r="V199" s="168"/>
      <c r="W199" s="461"/>
      <c r="X199" s="461"/>
    </row>
    <row r="200" spans="1:24" s="167" customFormat="1">
      <c r="A200" s="169" t="s">
        <v>85</v>
      </c>
      <c r="B200" s="170" t="s">
        <v>69</v>
      </c>
      <c r="C200" s="501">
        <f>'[61]Sch C'!D211</f>
        <v>44395.94</v>
      </c>
      <c r="D200" s="501">
        <f>'[61]Sch C'!F211</f>
        <v>0</v>
      </c>
      <c r="E200" s="171">
        <f t="shared" ref="E200:E205" si="41">C200+D200</f>
        <v>44395.94</v>
      </c>
      <c r="F200" s="171"/>
      <c r="G200" s="171">
        <f t="shared" ref="G200:G205" si="42">E200+F200</f>
        <v>44395.94</v>
      </c>
      <c r="H200" s="172">
        <f t="shared" ref="H200:H206" si="43">IF($G$208=0,0,G200/$G$208)</f>
        <v>1.6822091812059296E-2</v>
      </c>
      <c r="I200" s="473"/>
      <c r="J200" s="183">
        <v>2917.96</v>
      </c>
      <c r="K200" s="183">
        <v>2819.46</v>
      </c>
      <c r="U200" s="183">
        <v>1179</v>
      </c>
      <c r="V200" s="183">
        <v>1174</v>
      </c>
      <c r="W200" s="439">
        <v>620</v>
      </c>
      <c r="X200" s="439">
        <v>646</v>
      </c>
    </row>
    <row r="201" spans="1:24" s="167" customFormat="1">
      <c r="A201" s="169" t="s">
        <v>86</v>
      </c>
      <c r="B201" s="170" t="s">
        <v>45</v>
      </c>
      <c r="C201" s="501">
        <f>'[61]Sch C'!D212</f>
        <v>12687.53</v>
      </c>
      <c r="D201" s="501">
        <f>'[61]Sch C'!F212</f>
        <v>0</v>
      </c>
      <c r="E201" s="171">
        <f t="shared" si="41"/>
        <v>12687.53</v>
      </c>
      <c r="F201" s="171"/>
      <c r="G201" s="171">
        <f t="shared" si="42"/>
        <v>12687.53</v>
      </c>
      <c r="H201" s="172">
        <f t="shared" si="43"/>
        <v>4.8074394759578618E-3</v>
      </c>
      <c r="I201" s="473"/>
      <c r="J201" s="168"/>
      <c r="K201" s="168"/>
      <c r="U201" s="168"/>
      <c r="V201" s="168"/>
      <c r="W201" s="461"/>
      <c r="X201" s="461"/>
    </row>
    <row r="202" spans="1:24" s="167" customFormat="1">
      <c r="A202" s="169" t="s">
        <v>140</v>
      </c>
      <c r="B202" s="170" t="s">
        <v>54</v>
      </c>
      <c r="C202" s="501">
        <f>'[61]Sch C'!D213</f>
        <v>6976</v>
      </c>
      <c r="D202" s="501">
        <f>'[61]Sch C'!F213</f>
        <v>0</v>
      </c>
      <c r="E202" s="171">
        <f t="shared" si="41"/>
        <v>6976</v>
      </c>
      <c r="F202" s="171"/>
      <c r="G202" s="171">
        <f t="shared" si="42"/>
        <v>6976</v>
      </c>
      <c r="H202" s="172">
        <f t="shared" si="43"/>
        <v>2.6432802747486739E-3</v>
      </c>
      <c r="I202" s="473"/>
      <c r="J202" s="168"/>
      <c r="K202" s="168"/>
      <c r="U202" s="168"/>
      <c r="V202" s="168"/>
      <c r="W202" s="461"/>
      <c r="X202" s="461"/>
    </row>
    <row r="203" spans="1:24" s="167" customFormat="1">
      <c r="A203" s="169" t="s">
        <v>141</v>
      </c>
      <c r="B203" s="170" t="s">
        <v>70</v>
      </c>
      <c r="C203" s="501">
        <f>'[61]Sch C'!D214</f>
        <v>0</v>
      </c>
      <c r="D203" s="501">
        <f>'[61]Sch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  <c r="U203" s="168"/>
      <c r="V203" s="168"/>
      <c r="W203" s="461"/>
      <c r="X203" s="461"/>
    </row>
    <row r="204" spans="1:24" s="167" customFormat="1">
      <c r="A204" s="169" t="s">
        <v>142</v>
      </c>
      <c r="B204" s="202" t="s">
        <v>71</v>
      </c>
      <c r="C204" s="501">
        <f>'[61]Sch C'!D215</f>
        <v>0</v>
      </c>
      <c r="D204" s="501">
        <f>'[61]Sch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  <c r="U204" s="168"/>
      <c r="V204" s="168"/>
      <c r="W204" s="461"/>
      <c r="X204" s="461"/>
    </row>
    <row r="205" spans="1:24" s="167" customFormat="1">
      <c r="A205" s="169" t="s">
        <v>143</v>
      </c>
      <c r="B205" s="170" t="s">
        <v>312</v>
      </c>
      <c r="C205" s="501">
        <f>'[61]Sch C'!D216</f>
        <v>1273.6600000000001</v>
      </c>
      <c r="D205" s="501">
        <f>'[61]Sch C'!F216</f>
        <v>0</v>
      </c>
      <c r="E205" s="171">
        <f t="shared" si="41"/>
        <v>1273.6600000000001</v>
      </c>
      <c r="F205" s="171"/>
      <c r="G205" s="171">
        <f t="shared" si="42"/>
        <v>1273.6600000000001</v>
      </c>
      <c r="H205" s="172">
        <f t="shared" si="43"/>
        <v>4.8260326186014849E-4</v>
      </c>
      <c r="I205" s="473"/>
      <c r="J205" s="168"/>
      <c r="K205" s="168"/>
      <c r="U205" s="168"/>
      <c r="V205" s="168"/>
      <c r="W205" s="461"/>
      <c r="X205" s="461"/>
    </row>
    <row r="206" spans="1:24" s="167" customFormat="1">
      <c r="A206" s="163"/>
      <c r="B206" s="170" t="s">
        <v>144</v>
      </c>
      <c r="C206" s="501">
        <f>SUM(C200:C205)</f>
        <v>65333.130000000005</v>
      </c>
      <c r="D206" s="501">
        <f>SUM(D200:D205)</f>
        <v>0</v>
      </c>
      <c r="E206" s="171">
        <f t="shared" ref="E206:F206" si="44">SUM(E200:E205)</f>
        <v>65333.130000000005</v>
      </c>
      <c r="F206" s="171">
        <f t="shared" si="44"/>
        <v>0</v>
      </c>
      <c r="G206" s="171">
        <f>SUM(G200:G205)</f>
        <v>65333.130000000005</v>
      </c>
      <c r="H206" s="172">
        <f t="shared" si="43"/>
        <v>2.4755414824625979E-2</v>
      </c>
      <c r="I206" s="473"/>
      <c r="J206" s="168"/>
      <c r="K206" s="168"/>
      <c r="U206" s="168"/>
      <c r="V206" s="168"/>
      <c r="W206" s="461"/>
      <c r="X206" s="461"/>
    </row>
    <row r="207" spans="1:2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24" s="167" customFormat="1">
      <c r="A208" s="227"/>
      <c r="B208" s="228" t="s">
        <v>145</v>
      </c>
      <c r="C208" s="501">
        <f>SUM(C25:C206)/2</f>
        <v>2834666.4699999997</v>
      </c>
      <c r="D208" s="501">
        <f>SUM(D25:D206)/2</f>
        <v>-195521.44</v>
      </c>
      <c r="E208" s="171">
        <f t="shared" ref="E208:F208" si="45">SUM(E25:E206)/2</f>
        <v>2639145.0300000012</v>
      </c>
      <c r="F208" s="171">
        <f t="shared" si="45"/>
        <v>0</v>
      </c>
      <c r="G208" s="171">
        <f>SUM(G25:G206)/2</f>
        <v>2639145.0300000012</v>
      </c>
      <c r="H208" s="172">
        <f>IF($G$208=0,0,G208/$G$208)</f>
        <v>1</v>
      </c>
      <c r="I208" s="473"/>
      <c r="J208" s="183">
        <f>SUM(J25:J200)</f>
        <v>56956.19</v>
      </c>
      <c r="K208" s="183">
        <f>SUM(K25:K200)</f>
        <v>59667.710000000006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'[61]Sch C'!D221</f>
        <v>2834666.69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-0.22000000020489097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-733521.7799999998</v>
      </c>
      <c r="D215" s="501">
        <f>D21-D208</f>
        <v>505760.4</v>
      </c>
      <c r="E215" s="171">
        <f t="shared" ref="E215:F215" si="46">E21-E208</f>
        <v>-227761.38000000129</v>
      </c>
      <c r="F215" s="171">
        <f t="shared" si="46"/>
        <v>360928</v>
      </c>
      <c r="G215" s="171">
        <f>G21-G208</f>
        <v>133166.61999999871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'[61]Sch D'!C9</f>
        <v>4259</v>
      </c>
      <c r="D219" s="530"/>
      <c r="E219" s="234">
        <f t="shared" ref="E219:G227" si="47">C219+D219</f>
        <v>4259</v>
      </c>
      <c r="F219" s="234"/>
      <c r="G219" s="234">
        <f t="shared" si="47"/>
        <v>4259</v>
      </c>
      <c r="H219" s="172">
        <f t="shared" ref="H219:H228" si="48">IF($G$228=0,0,G219/$G$228)</f>
        <v>0.53788835564536497</v>
      </c>
      <c r="I219" s="473"/>
      <c r="J219" s="168"/>
      <c r="K219" s="168"/>
    </row>
    <row r="220" spans="1:11">
      <c r="A220" s="163"/>
      <c r="B220" s="170" t="s">
        <v>217</v>
      </c>
      <c r="C220" s="530">
        <f>'[61]Sch D'!D9</f>
        <v>0</v>
      </c>
      <c r="D220" s="530"/>
      <c r="E220" s="234">
        <f t="shared" ref="E220:E227" si="49">C220+D220</f>
        <v>0</v>
      </c>
      <c r="F220" s="234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'[61]Sch D'!E9</f>
        <v>1201</v>
      </c>
      <c r="D221" s="530"/>
      <c r="E221" s="234">
        <f t="shared" si="49"/>
        <v>1201</v>
      </c>
      <c r="F221" s="234"/>
      <c r="G221" s="234">
        <f t="shared" si="47"/>
        <v>1201</v>
      </c>
      <c r="H221" s="172">
        <f t="shared" si="48"/>
        <v>0.15167971710027786</v>
      </c>
      <c r="I221" s="473"/>
      <c r="J221" s="168"/>
      <c r="K221" s="168"/>
    </row>
    <row r="222" spans="1:11">
      <c r="A222" s="163"/>
      <c r="B222" s="202" t="s">
        <v>334</v>
      </c>
      <c r="C222" s="530">
        <f>'[61]Sch D'!F9</f>
        <v>503</v>
      </c>
      <c r="D222" s="530"/>
      <c r="E222" s="234">
        <f>C222+D222</f>
        <v>503</v>
      </c>
      <c r="F222" s="234"/>
      <c r="G222" s="234">
        <f>E222+F222</f>
        <v>503</v>
      </c>
      <c r="H222" s="172">
        <f t="shared" si="48"/>
        <v>6.3526142965395299E-2</v>
      </c>
      <c r="I222" s="473"/>
      <c r="J222" s="168"/>
      <c r="K222" s="168"/>
    </row>
    <row r="223" spans="1:11">
      <c r="A223" s="163"/>
      <c r="B223" s="170" t="s">
        <v>73</v>
      </c>
      <c r="C223" s="530">
        <f>'[61]Sch D'!G9</f>
        <v>0</v>
      </c>
      <c r="D223" s="530"/>
      <c r="E223" s="234">
        <f t="shared" si="49"/>
        <v>0</v>
      </c>
      <c r="F223" s="234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'[61]Sch D'!H9</f>
        <v>1337</v>
      </c>
      <c r="D224" s="530"/>
      <c r="E224" s="234">
        <f t="shared" si="49"/>
        <v>1337</v>
      </c>
      <c r="F224" s="234"/>
      <c r="G224" s="234">
        <f t="shared" si="47"/>
        <v>1337</v>
      </c>
      <c r="H224" s="172">
        <f t="shared" si="48"/>
        <v>0.16885577165950999</v>
      </c>
      <c r="I224" s="473"/>
      <c r="J224" s="168"/>
      <c r="K224" s="168"/>
    </row>
    <row r="225" spans="1:11">
      <c r="A225" s="163"/>
      <c r="B225" s="170" t="s">
        <v>236</v>
      </c>
      <c r="C225" s="530">
        <f>'[61]Sch D'!I9</f>
        <v>195</v>
      </c>
      <c r="D225" s="530"/>
      <c r="E225" s="234">
        <f t="shared" si="49"/>
        <v>195</v>
      </c>
      <c r="F225" s="234"/>
      <c r="G225" s="234">
        <f t="shared" si="47"/>
        <v>195</v>
      </c>
      <c r="H225" s="172">
        <f t="shared" si="48"/>
        <v>2.4627431169487245E-2</v>
      </c>
      <c r="I225" s="473"/>
      <c r="J225" s="168"/>
      <c r="K225" s="168"/>
    </row>
    <row r="226" spans="1:11">
      <c r="A226" s="163"/>
      <c r="B226" s="170" t="s">
        <v>235</v>
      </c>
      <c r="C226" s="530">
        <f>'[61]Sch D'!J9</f>
        <v>423</v>
      </c>
      <c r="D226" s="530"/>
      <c r="E226" s="234">
        <f>C226+D226</f>
        <v>423</v>
      </c>
      <c r="F226" s="234"/>
      <c r="G226" s="234">
        <f>E226+F226</f>
        <v>423</v>
      </c>
      <c r="H226" s="172">
        <f t="shared" si="48"/>
        <v>5.342258145996464E-2</v>
      </c>
      <c r="I226" s="473"/>
      <c r="J226" s="168"/>
      <c r="K226" s="168"/>
    </row>
    <row r="227" spans="1:11">
      <c r="A227" s="163"/>
      <c r="B227" s="170" t="s">
        <v>179</v>
      </c>
      <c r="C227" s="530">
        <f>'[61]Sch D'!K9</f>
        <v>0</v>
      </c>
      <c r="D227" s="530"/>
      <c r="E227" s="234">
        <f t="shared" si="49"/>
        <v>0</v>
      </c>
      <c r="F227" s="234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7918</v>
      </c>
      <c r="D228" s="530">
        <f>SUM(D219:D227)</f>
        <v>0</v>
      </c>
      <c r="E228" s="236">
        <f>SUM(E219:E227)</f>
        <v>7918</v>
      </c>
      <c r="F228" s="236">
        <f>SUM(F219:F227)</f>
        <v>0</v>
      </c>
      <c r="G228" s="236">
        <f>SUM(G219:G227)</f>
        <v>7918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'[61]Sch D'!N22</f>
        <v>46</v>
      </c>
      <c r="D231" s="502"/>
      <c r="E231" s="234">
        <f>C231+D231</f>
        <v>46</v>
      </c>
      <c r="F231" s="171"/>
      <c r="G231" s="234">
        <f>SUM(E231:F231)</f>
        <v>46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'[61]Sch D'!N24</f>
        <v>46</v>
      </c>
      <c r="D232" s="502"/>
      <c r="E232" s="234">
        <f>C232+D232</f>
        <v>46</v>
      </c>
      <c r="F232" s="171"/>
      <c r="G232" s="234">
        <f>SUM(E232:F232)</f>
        <v>46</v>
      </c>
      <c r="H232" s="167"/>
      <c r="I232" s="475"/>
      <c r="J232" s="168"/>
      <c r="K232" s="168"/>
    </row>
    <row r="233" spans="1:11" ht="15.5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/>
      <c r="G233" s="234">
        <f>E233+F233</f>
        <v>365</v>
      </c>
      <c r="H233" s="167"/>
      <c r="I233" s="475"/>
      <c r="J233" s="168"/>
      <c r="K233" s="168"/>
    </row>
    <row r="234" spans="1:11" ht="15.5">
      <c r="A234" s="163"/>
      <c r="B234" s="239"/>
      <c r="C234" s="583"/>
      <c r="D234" s="238"/>
      <c r="E234" s="240"/>
      <c r="F234"/>
      <c r="G234" s="240"/>
      <c r="H234" s="167"/>
      <c r="I234" s="475"/>
      <c r="J234" s="168"/>
      <c r="K234" s="168"/>
    </row>
    <row r="235" spans="1:11" ht="26.5">
      <c r="A235" s="163"/>
      <c r="B235" s="241" t="s">
        <v>335</v>
      </c>
      <c r="C235" s="531">
        <f>'[61]Sch D'!N28</f>
        <v>16790</v>
      </c>
      <c r="D235" s="438"/>
      <c r="E235" s="233">
        <f>E231*E233</f>
        <v>16790</v>
      </c>
      <c r="F235"/>
      <c r="G235" s="233">
        <f>G231*G233</f>
        <v>16790</v>
      </c>
      <c r="H235" s="167"/>
      <c r="I235" s="475"/>
      <c r="J235" s="168"/>
      <c r="K235" s="168"/>
    </row>
    <row r="236" spans="1:11" ht="26.5">
      <c r="A236" s="163"/>
      <c r="B236" s="241" t="s">
        <v>336</v>
      </c>
      <c r="C236" s="532">
        <f>'[61]Sch D'!N30</f>
        <v>0.47159023228111974</v>
      </c>
      <c r="D236" s="238"/>
      <c r="E236" s="242">
        <f>E228/E235</f>
        <v>0.47159023228111974</v>
      </c>
      <c r="F236"/>
      <c r="G236" s="242">
        <f>G228/G235</f>
        <v>0.47159023228111974</v>
      </c>
      <c r="H236" s="167"/>
      <c r="I236" s="475"/>
      <c r="J236" s="168"/>
      <c r="K236" s="168"/>
    </row>
    <row r="237" spans="1:11" ht="26.5">
      <c r="A237" s="163"/>
      <c r="B237" s="241" t="s">
        <v>337</v>
      </c>
      <c r="C237" s="532">
        <f>'[61]Sch D'!N32</f>
        <v>0.25366289458010721</v>
      </c>
      <c r="D237" s="238"/>
      <c r="E237" s="242">
        <f>(E219+E220)/E235</f>
        <v>0.25366289458010721</v>
      </c>
      <c r="F237"/>
      <c r="G237" s="242">
        <f>(G219+G220)/G235</f>
        <v>0.25366289458010721</v>
      </c>
      <c r="H237" s="167"/>
      <c r="I237" s="475"/>
      <c r="J237" s="168"/>
      <c r="K237" s="168"/>
    </row>
    <row r="238" spans="1:11" ht="26.5">
      <c r="A238" s="163"/>
      <c r="B238" s="241" t="s">
        <v>338</v>
      </c>
      <c r="C238" s="532">
        <f>'[61]Sch D'!N34</f>
        <v>0.53788835564536497</v>
      </c>
      <c r="D238" s="238"/>
      <c r="E238" s="242">
        <f>(E237/E236)</f>
        <v>0.53788835564536497</v>
      </c>
      <c r="F238"/>
      <c r="G238" s="242">
        <f>(G237/G236)</f>
        <v>0.53788835564536497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'[61]Sch B'!C85</f>
        <v>179.03223602484474</v>
      </c>
      <c r="I241" s="475"/>
    </row>
    <row r="242" spans="2:9">
      <c r="F242" s="142" t="s">
        <v>341</v>
      </c>
      <c r="G242" s="501">
        <f>'[61]Sch B'!E85</f>
        <v>202.00955621301773</v>
      </c>
      <c r="I242" s="475"/>
    </row>
    <row r="243" spans="2:9">
      <c r="F243" s="142" t="s">
        <v>342</v>
      </c>
      <c r="G243" s="501">
        <f>'[61]Sch B'!G85</f>
        <v>205.84074803149605</v>
      </c>
      <c r="I243" s="475"/>
    </row>
    <row r="244" spans="2:9">
      <c r="F244" s="142" t="s">
        <v>343</v>
      </c>
      <c r="G244" s="501">
        <f>'[61]Sch B'!I85</f>
        <v>192.7630916030534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E28CAB"/>
  </sheetPr>
  <dimension ref="A1:O246"/>
  <sheetViews>
    <sheetView showGridLines="0" zoomScaleNormal="100" workbookViewId="0">
      <pane xSplit="2" ySplit="10" topLeftCell="C205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398</v>
      </c>
      <c r="D2" s="244"/>
      <c r="E2" s="144"/>
    </row>
    <row r="3" spans="1:11">
      <c r="A3" s="145"/>
      <c r="B3" s="140" t="s">
        <v>79</v>
      </c>
      <c r="C3" s="441">
        <v>42552</v>
      </c>
      <c r="D3" s="402"/>
      <c r="E3" s="147"/>
      <c r="F3" s="409" t="s">
        <v>542</v>
      </c>
    </row>
    <row r="4" spans="1:11">
      <c r="A4" s="145"/>
      <c r="B4" s="148" t="s">
        <v>80</v>
      </c>
      <c r="C4" s="441">
        <v>42887</v>
      </c>
      <c r="D4" s="144"/>
      <c r="E4" s="149"/>
      <c r="F4" s="409" t="s">
        <v>570</v>
      </c>
      <c r="G4" s="150"/>
    </row>
    <row r="5" spans="1:11">
      <c r="A5" s="145"/>
      <c r="B5" s="148"/>
      <c r="C5" s="151"/>
      <c r="D5" s="144"/>
      <c r="F5" s="409" t="s">
        <v>543</v>
      </c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652" t="s">
        <v>716</v>
      </c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 s="669" t="s">
        <v>717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'[62]Sch B'!E10</f>
        <v>405066.01</v>
      </c>
      <c r="D11" s="501">
        <f>'[62]Sch B'!G10</f>
        <v>-60144.54</v>
      </c>
      <c r="E11" s="171">
        <f>C11+D11</f>
        <v>344921.47000000003</v>
      </c>
      <c r="F11" s="507">
        <v>27514.160000000003</v>
      </c>
      <c r="G11" s="171">
        <f t="shared" ref="G11:G20" si="0">E11+F11</f>
        <v>372435.63</v>
      </c>
      <c r="H11" s="172">
        <f t="shared" ref="H11:H21" si="1">IF($G$21=0,0,G11/$G$21)</f>
        <v>6.3188871699016491E-2</v>
      </c>
      <c r="I11" s="621"/>
      <c r="J11" s="336" t="s">
        <v>344</v>
      </c>
      <c r="K11" s="337">
        <f>G21</f>
        <v>5894006.6500000004</v>
      </c>
    </row>
    <row r="12" spans="1:11" s="167" customFormat="1">
      <c r="A12" s="169" t="s">
        <v>15</v>
      </c>
      <c r="B12" s="170" t="s">
        <v>212</v>
      </c>
      <c r="C12" s="501">
        <f>'[62]Sch B'!E15</f>
        <v>0</v>
      </c>
      <c r="D12" s="501">
        <f>'[62]Sch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5907753.1243355162</v>
      </c>
    </row>
    <row r="13" spans="1:11" s="167" customFormat="1">
      <c r="A13" s="169" t="s">
        <v>16</v>
      </c>
      <c r="B13" s="170" t="s">
        <v>170</v>
      </c>
      <c r="C13" s="501">
        <f>'[62]Sch B'!E21</f>
        <v>2412001.4000000004</v>
      </c>
      <c r="D13" s="501">
        <f>'[62]Sch B'!G21</f>
        <v>60144.54</v>
      </c>
      <c r="E13" s="171">
        <f t="shared" si="2"/>
        <v>2472145.9400000004</v>
      </c>
      <c r="F13" s="171">
        <v>241191.79</v>
      </c>
      <c r="G13" s="171">
        <f t="shared" si="0"/>
        <v>2713337.7300000004</v>
      </c>
      <c r="H13" s="172">
        <f t="shared" si="1"/>
        <v>0.46035538999603948</v>
      </c>
      <c r="I13" s="473"/>
      <c r="J13" s="338" t="s">
        <v>346</v>
      </c>
      <c r="K13" s="339">
        <f>G228</f>
        <v>12273</v>
      </c>
    </row>
    <row r="14" spans="1:11" s="167" customFormat="1">
      <c r="A14" s="173" t="s">
        <v>18</v>
      </c>
      <c r="B14" s="174" t="s">
        <v>306</v>
      </c>
      <c r="C14" s="501">
        <f>'[62]Sch B'!E27</f>
        <v>1380221.1400000001</v>
      </c>
      <c r="D14" s="501">
        <f>'[62]Sch B'!G27</f>
        <v>0</v>
      </c>
      <c r="E14" s="171">
        <f t="shared" si="2"/>
        <v>1380221.1400000001</v>
      </c>
      <c r="F14" s="175">
        <v>172283.4</v>
      </c>
      <c r="G14" s="175">
        <f>E14+F14</f>
        <v>1552504.54</v>
      </c>
      <c r="H14" s="176">
        <f t="shared" si="1"/>
        <v>0.26340393423207281</v>
      </c>
      <c r="I14" s="479"/>
      <c r="J14" s="338" t="s">
        <v>347</v>
      </c>
      <c r="K14" s="339">
        <f>G231</f>
        <v>40</v>
      </c>
    </row>
    <row r="15" spans="1:11" s="167" customFormat="1">
      <c r="A15" s="169" t="s">
        <v>19</v>
      </c>
      <c r="B15" s="170" t="s">
        <v>171</v>
      </c>
      <c r="C15" s="501">
        <f>'[62]Sch B'!E32</f>
        <v>0</v>
      </c>
      <c r="D15" s="501">
        <f>'[62]Sch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14600</v>
      </c>
    </row>
    <row r="16" spans="1:11" s="167" customFormat="1">
      <c r="A16" s="169" t="s">
        <v>21</v>
      </c>
      <c r="B16" s="170" t="s">
        <v>172</v>
      </c>
      <c r="C16" s="501">
        <f>'[62]Sch B'!E37</f>
        <v>1001902.3200000001</v>
      </c>
      <c r="D16" s="501">
        <f>'[62]Sch B'!G37</f>
        <v>0</v>
      </c>
      <c r="E16" s="171">
        <f t="shared" si="2"/>
        <v>1001902.3200000001</v>
      </c>
      <c r="F16" s="171">
        <v>58229.740000000005</v>
      </c>
      <c r="G16" s="171">
        <f t="shared" si="0"/>
        <v>1060132.06</v>
      </c>
      <c r="H16" s="172">
        <f t="shared" si="1"/>
        <v>0.17986611195968025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'[62]Sch B'!E42</f>
        <v>0</v>
      </c>
      <c r="D17" s="501">
        <f>'[62]Sch B'!G42</f>
        <v>82729.14</v>
      </c>
      <c r="E17" s="171">
        <f t="shared" si="2"/>
        <v>82729.14</v>
      </c>
      <c r="F17" s="171">
        <v>15951</v>
      </c>
      <c r="G17" s="171">
        <f>E17+F17</f>
        <v>98680.14</v>
      </c>
      <c r="H17" s="172">
        <f t="shared" si="1"/>
        <v>1.6742454812126821E-2</v>
      </c>
      <c r="I17" s="473"/>
      <c r="J17" s="338" t="s">
        <v>156</v>
      </c>
      <c r="K17" s="339">
        <f>J208</f>
        <v>87695.12000000001</v>
      </c>
    </row>
    <row r="18" spans="1:11" s="167" customFormat="1" ht="13.5" thickBot="1">
      <c r="A18" s="169" t="s">
        <v>216</v>
      </c>
      <c r="B18" s="170" t="s">
        <v>229</v>
      </c>
      <c r="C18" s="501">
        <f>'[62]Sch B'!E47</f>
        <v>166159.35999999999</v>
      </c>
      <c r="D18" s="501">
        <f>'[62]Sch B'!G47</f>
        <v>-82729.14</v>
      </c>
      <c r="E18" s="171">
        <f t="shared" si="2"/>
        <v>83430.219999999987</v>
      </c>
      <c r="F18" s="171">
        <v>0.13000000000101863</v>
      </c>
      <c r="G18" s="171">
        <f>E18+F18</f>
        <v>83430.349999999991</v>
      </c>
      <c r="H18" s="172">
        <f t="shared" si="1"/>
        <v>1.4155116367233822E-2</v>
      </c>
      <c r="I18" s="473"/>
      <c r="J18" s="341" t="s">
        <v>252</v>
      </c>
      <c r="K18" s="342">
        <f>K208</f>
        <v>94134.080000000016</v>
      </c>
    </row>
    <row r="19" spans="1:11" s="167" customFormat="1">
      <c r="A19" s="169" t="s">
        <v>227</v>
      </c>
      <c r="B19" s="177" t="s">
        <v>173</v>
      </c>
      <c r="C19" s="501">
        <f>'[62]Sch B'!E52</f>
        <v>0</v>
      </c>
      <c r="D19" s="501">
        <f>'[62]Sch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'[62]Sch B'!E67</f>
        <v>606701.07000000007</v>
      </c>
      <c r="D20" s="501">
        <f>'[62]Sch B'!G67</f>
        <v>0</v>
      </c>
      <c r="E20" s="171">
        <f t="shared" si="2"/>
        <v>606701.07000000007</v>
      </c>
      <c r="F20" s="506">
        <f>6785.13-600000</f>
        <v>-593214.87</v>
      </c>
      <c r="G20" s="171">
        <f t="shared" si="0"/>
        <v>13486.20000000007</v>
      </c>
      <c r="H20" s="172">
        <f t="shared" si="1"/>
        <v>2.2881209338303119E-3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5972051.3000000017</v>
      </c>
      <c r="D21" s="501">
        <f>SUM(D11:D20)</f>
        <v>0</v>
      </c>
      <c r="E21" s="171">
        <f>SUM(E11:E20)</f>
        <v>5972051.3000000007</v>
      </c>
      <c r="F21" s="171">
        <f>SUM(F11:F20)</f>
        <v>-78044.650000000023</v>
      </c>
      <c r="G21" s="171">
        <f>SUM(G11:G20)</f>
        <v>5894006.6500000004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'[62]Sch C'!D10</f>
        <v>0</v>
      </c>
      <c r="D25" s="501">
        <f>'[62]Sch C'!F10</f>
        <v>77948.649999999994</v>
      </c>
      <c r="E25" s="171">
        <f t="shared" ref="E25:E60" si="3">C25+D25</f>
        <v>77948.649999999994</v>
      </c>
      <c r="F25" s="171">
        <v>7551.28</v>
      </c>
      <c r="G25" s="182">
        <f>E25+F25</f>
        <v>85499.93</v>
      </c>
      <c r="H25" s="172">
        <f>IF($G$208=0,0,G25/$G$208)</f>
        <v>1.4472495414170972E-2</v>
      </c>
      <c r="I25" s="473"/>
      <c r="J25" s="183">
        <v>0</v>
      </c>
      <c r="K25" s="183">
        <v>0</v>
      </c>
    </row>
    <row r="26" spans="1:11" s="167" customFormat="1">
      <c r="A26" s="169" t="s">
        <v>84</v>
      </c>
      <c r="B26" s="170" t="s">
        <v>176</v>
      </c>
      <c r="C26" s="501">
        <f>'[62]Sch C'!D11</f>
        <v>0</v>
      </c>
      <c r="D26" s="501">
        <f>'[62]Sch C'!F11</f>
        <v>21224.61</v>
      </c>
      <c r="E26" s="171">
        <f t="shared" si="3"/>
        <v>21224.61</v>
      </c>
      <c r="F26" s="506">
        <f>945.38-21225-945</f>
        <v>-21224.62</v>
      </c>
      <c r="G26" s="171">
        <f t="shared" ref="G26:G60" si="4">E26+F26</f>
        <v>-9.9999999983992893E-3</v>
      </c>
      <c r="H26" s="184">
        <f t="shared" ref="H26:H61" si="5">IF($G$208=0,0,G26/$G$208)</f>
        <v>-1.6926909076831227E-9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'[62]Sch C'!D12</f>
        <v>90013.93</v>
      </c>
      <c r="D27" s="501">
        <f>'[62]Sch C'!F12</f>
        <v>0</v>
      </c>
      <c r="E27" s="171">
        <f t="shared" si="3"/>
        <v>90013.93</v>
      </c>
      <c r="F27" s="171">
        <v>8690.52</v>
      </c>
      <c r="G27" s="171">
        <f t="shared" si="4"/>
        <v>98704.45</v>
      </c>
      <c r="H27" s="172">
        <f t="shared" si="5"/>
        <v>1.6707612508960745E-2</v>
      </c>
      <c r="I27" s="473"/>
      <c r="J27" s="183">
        <f>4656.75+248</f>
        <v>4904.75</v>
      </c>
      <c r="K27" s="183">
        <f>5010.57+254</f>
        <v>5264.57</v>
      </c>
    </row>
    <row r="28" spans="1:11" s="167" customFormat="1">
      <c r="A28" s="169" t="s">
        <v>86</v>
      </c>
      <c r="B28" s="170" t="s">
        <v>45</v>
      </c>
      <c r="C28" s="501">
        <f>'[62]Sch C'!D13</f>
        <v>28676.09</v>
      </c>
      <c r="D28" s="501">
        <f>'[62]Sch C'!F13</f>
        <v>0</v>
      </c>
      <c r="E28" s="171">
        <f t="shared" si="3"/>
        <v>28676.09</v>
      </c>
      <c r="F28" s="506">
        <f>2672.68+21255+945</f>
        <v>24872.68</v>
      </c>
      <c r="G28" s="171">
        <f t="shared" si="4"/>
        <v>53548.770000000004</v>
      </c>
      <c r="H28" s="172">
        <f t="shared" si="5"/>
        <v>9.0641516111123858E-3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'[62]Sch C'!D14</f>
        <v>0</v>
      </c>
      <c r="D29" s="501">
        <f>'[62]Sch C'!F14</f>
        <v>0</v>
      </c>
      <c r="E29" s="171">
        <f t="shared" si="3"/>
        <v>0</v>
      </c>
      <c r="F29" s="171">
        <v>0</v>
      </c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'[62]Sch C'!D15</f>
        <v>0</v>
      </c>
      <c r="D30" s="501">
        <f>'[62]Sch C'!F15</f>
        <v>0</v>
      </c>
      <c r="E30" s="171">
        <f t="shared" si="3"/>
        <v>0</v>
      </c>
      <c r="F30" s="171">
        <v>0</v>
      </c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'[62]Sch C'!D16</f>
        <v>291312.55</v>
      </c>
      <c r="D31" s="501">
        <f>'[62]Sch C'!F16</f>
        <v>16027.45</v>
      </c>
      <c r="E31" s="171">
        <f t="shared" si="3"/>
        <v>307340</v>
      </c>
      <c r="F31" s="506">
        <f>25611.67-25611.67</f>
        <v>0</v>
      </c>
      <c r="G31" s="171">
        <f t="shared" si="4"/>
        <v>307340</v>
      </c>
      <c r="H31" s="172">
        <f t="shared" si="5"/>
        <v>5.20231623650605E-2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'[62]Sch C'!D17</f>
        <v>8229.4599999999991</v>
      </c>
      <c r="D32" s="501">
        <f>'[62]Sch C'!F17</f>
        <v>-8229.4599999999991</v>
      </c>
      <c r="E32" s="171">
        <f t="shared" si="3"/>
        <v>0</v>
      </c>
      <c r="F32" s="171">
        <v>0</v>
      </c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'[62]Sch C'!D18</f>
        <v>8501.93</v>
      </c>
      <c r="D33" s="501">
        <f>'[62]Sch C'!F18</f>
        <v>0</v>
      </c>
      <c r="E33" s="171">
        <f t="shared" si="3"/>
        <v>8501.93</v>
      </c>
      <c r="F33" s="171">
        <v>849.79</v>
      </c>
      <c r="G33" s="171">
        <f t="shared" si="4"/>
        <v>9351.7200000000012</v>
      </c>
      <c r="H33" s="172">
        <f t="shared" si="5"/>
        <v>1.5829571417732271E-3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'[62]Sch C'!D19</f>
        <v>22386.84</v>
      </c>
      <c r="D34" s="501">
        <f>'[62]Sch C'!F19</f>
        <v>0</v>
      </c>
      <c r="E34" s="171">
        <f t="shared" si="3"/>
        <v>22386.84</v>
      </c>
      <c r="F34" s="171">
        <v>1287.81</v>
      </c>
      <c r="G34" s="171">
        <f t="shared" si="4"/>
        <v>23674.65</v>
      </c>
      <c r="H34" s="172">
        <f t="shared" si="5"/>
        <v>4.007386480399491E-3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'[62]Sch C'!D20</f>
        <v>8749.17</v>
      </c>
      <c r="D35" s="501">
        <f>'[62]Sch C'!F20</f>
        <v>0</v>
      </c>
      <c r="E35" s="171">
        <f t="shared" si="3"/>
        <v>8749.17</v>
      </c>
      <c r="F35" s="171">
        <v>405.29</v>
      </c>
      <c r="G35" s="171">
        <f t="shared" si="4"/>
        <v>9154.4600000000009</v>
      </c>
      <c r="H35" s="172">
        <f t="shared" si="5"/>
        <v>1.5495671209229251E-3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'[62]Sch C'!D21</f>
        <v>43748.46</v>
      </c>
      <c r="D36" s="501">
        <f>'[62]Sch C'!F21</f>
        <v>0</v>
      </c>
      <c r="E36" s="171">
        <f t="shared" si="3"/>
        <v>43748.46</v>
      </c>
      <c r="F36" s="171">
        <v>3052.06</v>
      </c>
      <c r="G36" s="171">
        <f t="shared" si="4"/>
        <v>46800.52</v>
      </c>
      <c r="H36" s="172">
        <f t="shared" si="5"/>
        <v>7.9218814691522782E-3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'[62]Sch C'!D22</f>
        <v>0</v>
      </c>
      <c r="D37" s="501">
        <f>'[62]Sch C'!F22</f>
        <v>0</v>
      </c>
      <c r="E37" s="171">
        <f t="shared" si="3"/>
        <v>0</v>
      </c>
      <c r="F37" s="171">
        <v>0</v>
      </c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'[62]Sch C'!D23</f>
        <v>17154.82</v>
      </c>
      <c r="D38" s="501">
        <f>'[62]Sch C'!F23</f>
        <v>0</v>
      </c>
      <c r="E38" s="171">
        <f t="shared" si="3"/>
        <v>17154.82</v>
      </c>
      <c r="F38" s="506">
        <f>1653.82-401</f>
        <v>1252.82</v>
      </c>
      <c r="G38" s="171">
        <f t="shared" si="4"/>
        <v>18407.64</v>
      </c>
      <c r="H38" s="172">
        <f t="shared" si="5"/>
        <v>3.1158444864891723E-3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'[62]Sch C'!D24</f>
        <v>71639.39</v>
      </c>
      <c r="D39" s="501">
        <f>'[62]Sch C'!F24</f>
        <v>-8025.78</v>
      </c>
      <c r="E39" s="171">
        <f t="shared" si="3"/>
        <v>63613.61</v>
      </c>
      <c r="F39" s="506">
        <f>5884.46-1948</f>
        <v>3936.46</v>
      </c>
      <c r="G39" s="171">
        <f t="shared" si="4"/>
        <v>67550.070000000007</v>
      </c>
      <c r="H39" s="172">
        <f t="shared" si="5"/>
        <v>1.1434138932066124E-2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'[62]Sch C'!D25</f>
        <v>0</v>
      </c>
      <c r="D40" s="501">
        <f>'[62]Sch C'!F25</f>
        <v>0</v>
      </c>
      <c r="E40" s="171">
        <f t="shared" si="3"/>
        <v>0</v>
      </c>
      <c r="F40" s="171">
        <v>0</v>
      </c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'[62]Sch C'!D26</f>
        <v>82397.91</v>
      </c>
      <c r="D41" s="501">
        <f>'[62]Sch C'!F26</f>
        <v>0</v>
      </c>
      <c r="E41" s="171">
        <f t="shared" si="3"/>
        <v>82397.91</v>
      </c>
      <c r="F41" s="506">
        <v>5921.84</v>
      </c>
      <c r="G41" s="171">
        <f t="shared" si="4"/>
        <v>88319.75</v>
      </c>
      <c r="H41" s="172">
        <f t="shared" si="5"/>
        <v>1.4949803781777678E-2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'[62]Sch C'!D27</f>
        <v>1257.19</v>
      </c>
      <c r="D42" s="501">
        <f>'[62]Sch C'!F27</f>
        <v>0</v>
      </c>
      <c r="E42" s="171">
        <f t="shared" si="3"/>
        <v>1257.19</v>
      </c>
      <c r="F42" s="506">
        <f>5921.84-5921.84</f>
        <v>0</v>
      </c>
      <c r="G42" s="171">
        <f t="shared" si="4"/>
        <v>1257.19</v>
      </c>
      <c r="H42" s="172">
        <f t="shared" si="5"/>
        <v>2.128034082570782E-4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'[62]Sch C'!D28</f>
        <v>0</v>
      </c>
      <c r="D43" s="501">
        <f>'[62]Sch C'!F28</f>
        <v>0</v>
      </c>
      <c r="E43" s="171">
        <f t="shared" si="3"/>
        <v>0</v>
      </c>
      <c r="F43" s="171">
        <v>0</v>
      </c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'[62]Sch C'!D29</f>
        <v>189894.89</v>
      </c>
      <c r="D44" s="501">
        <f>'[62]Sch C'!F29</f>
        <v>-189894.89</v>
      </c>
      <c r="E44" s="171">
        <f t="shared" si="3"/>
        <v>0</v>
      </c>
      <c r="F44" s="171">
        <v>0</v>
      </c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'[62]Sch C'!D30</f>
        <v>-50</v>
      </c>
      <c r="D45" s="501">
        <f>'[62]Sch C'!F30</f>
        <v>50</v>
      </c>
      <c r="E45" s="171">
        <f t="shared" si="3"/>
        <v>0</v>
      </c>
      <c r="F45" s="171">
        <v>0</v>
      </c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'[62]Sch C'!D31</f>
        <v>2423.69</v>
      </c>
      <c r="D46" s="501">
        <f>'[62]Sch C'!F31</f>
        <v>0</v>
      </c>
      <c r="E46" s="171">
        <f t="shared" si="3"/>
        <v>2423.69</v>
      </c>
      <c r="F46" s="171">
        <v>58.5</v>
      </c>
      <c r="G46" s="171">
        <f t="shared" si="4"/>
        <v>2482.19</v>
      </c>
      <c r="H46" s="172">
        <f t="shared" si="5"/>
        <v>4.2015804448145222E-4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'[62]Sch C'!D32</f>
        <v>11.29</v>
      </c>
      <c r="D47" s="501">
        <f>'[62]Sch C'!F32</f>
        <v>14107.11</v>
      </c>
      <c r="E47" s="171">
        <f t="shared" si="3"/>
        <v>14118.400000000001</v>
      </c>
      <c r="F47" s="171">
        <v>1023.07</v>
      </c>
      <c r="G47" s="171">
        <f t="shared" si="4"/>
        <v>15141.470000000001</v>
      </c>
      <c r="H47" s="172">
        <f t="shared" si="5"/>
        <v>2.562982860205937E-3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'[62]Sch C'!D33</f>
        <v>0</v>
      </c>
      <c r="D48" s="501">
        <f>'[62]Sch C'!F33</f>
        <v>0</v>
      </c>
      <c r="E48" s="171">
        <f t="shared" si="3"/>
        <v>0</v>
      </c>
      <c r="F48" s="171">
        <v>0</v>
      </c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'[62]Sch C'!D34</f>
        <v>0</v>
      </c>
      <c r="D49" s="501">
        <f>'[62]Sch C'!F34</f>
        <v>0</v>
      </c>
      <c r="E49" s="171">
        <f t="shared" si="3"/>
        <v>0</v>
      </c>
      <c r="F49" s="171">
        <v>0</v>
      </c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'[62]Sch C'!D35</f>
        <v>3939.14</v>
      </c>
      <c r="D50" s="501">
        <f>'[62]Sch C'!F35</f>
        <v>-3939.14</v>
      </c>
      <c r="E50" s="171">
        <f t="shared" si="3"/>
        <v>0</v>
      </c>
      <c r="F50" s="171">
        <v>0</v>
      </c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'[62]Sch C'!D36</f>
        <v>0</v>
      </c>
      <c r="D51" s="501">
        <f>'[62]Sch C'!F36</f>
        <v>0</v>
      </c>
      <c r="E51" s="171">
        <f t="shared" si="3"/>
        <v>0</v>
      </c>
      <c r="F51" s="171">
        <v>0</v>
      </c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'[62]Sch C'!D37</f>
        <v>0</v>
      </c>
      <c r="D52" s="501">
        <f>'[62]Sch C'!F37</f>
        <v>0</v>
      </c>
      <c r="E52" s="171">
        <f t="shared" si="3"/>
        <v>0</v>
      </c>
      <c r="F52" s="171">
        <v>0</v>
      </c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'[62]Sch C'!D38</f>
        <v>0</v>
      </c>
      <c r="D53" s="501">
        <f>'[62]Sch C'!F38</f>
        <v>0</v>
      </c>
      <c r="E53" s="171">
        <f t="shared" si="3"/>
        <v>0</v>
      </c>
      <c r="F53" s="171">
        <v>0</v>
      </c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'[62]Sch C'!D39</f>
        <v>7363.34</v>
      </c>
      <c r="D54" s="501">
        <f>'[62]Sch C'!F39</f>
        <v>0</v>
      </c>
      <c r="E54" s="171">
        <f t="shared" si="3"/>
        <v>7363.34</v>
      </c>
      <c r="F54" s="171">
        <v>128.31</v>
      </c>
      <c r="G54" s="171">
        <f t="shared" si="4"/>
        <v>7491.6500000000005</v>
      </c>
      <c r="H54" s="172">
        <f t="shared" si="5"/>
        <v>1.2681047840574135E-3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'[62]Sch C'!D40</f>
        <v>7210.93</v>
      </c>
      <c r="D55" s="501">
        <f>'[62]Sch C'!F40</f>
        <v>0</v>
      </c>
      <c r="E55" s="171">
        <f t="shared" si="3"/>
        <v>7210.93</v>
      </c>
      <c r="F55" s="171">
        <v>676.83</v>
      </c>
      <c r="G55" s="171">
        <f t="shared" si="4"/>
        <v>7887.76</v>
      </c>
      <c r="H55" s="172">
        <f t="shared" si="5"/>
        <v>1.3351539636123823E-3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'[62]Sch C'!D41</f>
        <v>41996.160000000003</v>
      </c>
      <c r="D56" s="501">
        <f>'[62]Sch C'!F41</f>
        <v>-7254.4056644852599</v>
      </c>
      <c r="E56" s="171">
        <f t="shared" si="3"/>
        <v>34741.754335514743</v>
      </c>
      <c r="F56" s="171">
        <v>2755.62</v>
      </c>
      <c r="G56" s="171">
        <f t="shared" si="4"/>
        <v>37497.374335514745</v>
      </c>
      <c r="H56" s="172">
        <f t="shared" si="5"/>
        <v>6.3471464609876228E-3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'[62]Sch C'!D42</f>
        <v>0</v>
      </c>
      <c r="D57" s="501">
        <f>'[62]Sch C'!F42</f>
        <v>0</v>
      </c>
      <c r="E57" s="171">
        <f t="shared" si="3"/>
        <v>0</v>
      </c>
      <c r="F57" s="171">
        <v>0</v>
      </c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'[62]Sch C'!D43</f>
        <v>0</v>
      </c>
      <c r="D58" s="501">
        <f>'[62]Sch C'!F43</f>
        <v>0</v>
      </c>
      <c r="E58" s="171">
        <f t="shared" si="3"/>
        <v>0</v>
      </c>
      <c r="F58" s="171">
        <v>0</v>
      </c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'[62]Sch C'!D44</f>
        <v>0</v>
      </c>
      <c r="D59" s="501">
        <f>'[62]Sch C'!F44</f>
        <v>0</v>
      </c>
      <c r="E59" s="171">
        <f t="shared" si="3"/>
        <v>0</v>
      </c>
      <c r="F59" s="171">
        <v>0</v>
      </c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'[62]Sch C'!D45</f>
        <v>107003.25</v>
      </c>
      <c r="D60" s="501">
        <f>'[62]Sch C'!F45</f>
        <v>-99173.26</v>
      </c>
      <c r="E60" s="171">
        <f t="shared" si="3"/>
        <v>7829.9900000000052</v>
      </c>
      <c r="F60" s="506">
        <f>710.65-271</f>
        <v>439.65</v>
      </c>
      <c r="G60" s="171">
        <f t="shared" si="4"/>
        <v>8269.6400000000049</v>
      </c>
      <c r="H60" s="172">
        <f t="shared" si="5"/>
        <v>1.3997944440053334E-3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1033860.43</v>
      </c>
      <c r="D61" s="501">
        <f>SUM(D25:D60)</f>
        <v>-187159.11566448526</v>
      </c>
      <c r="E61" s="171">
        <f t="shared" ref="E61:F61" si="6">SUM(E25:E60)</f>
        <v>846701.31433551467</v>
      </c>
      <c r="F61" s="171">
        <f t="shared" si="6"/>
        <v>41677.910000000011</v>
      </c>
      <c r="G61" s="171">
        <f>SUM(G25:G60)</f>
        <v>888379.22433551459</v>
      </c>
      <c r="H61" s="186">
        <f t="shared" si="5"/>
        <v>0.15037514358480178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'[62]Sch C'!D57</f>
        <v>446930</v>
      </c>
      <c r="D64" s="501">
        <f>'[62]Sch C'!F57</f>
        <v>-446930</v>
      </c>
      <c r="E64" s="171">
        <f t="shared" ref="E64:E78" si="7">C64+D64</f>
        <v>0</v>
      </c>
      <c r="F64" s="171">
        <v>0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'[62]Sch C'!D58</f>
        <v>21445.15</v>
      </c>
      <c r="D65" s="501">
        <f>'[62]Sch C'!F58</f>
        <v>218823.36</v>
      </c>
      <c r="E65" s="171">
        <f t="shared" si="7"/>
        <v>240268.50999999998</v>
      </c>
      <c r="F65" s="506">
        <f>20812.92-11960</f>
        <v>8852.9199999999983</v>
      </c>
      <c r="G65" s="171">
        <f t="shared" si="8"/>
        <v>249121.43</v>
      </c>
      <c r="H65" s="172">
        <f t="shared" si="9"/>
        <v>4.2168557953751719E-2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'[62]Sch C'!D59</f>
        <v>0</v>
      </c>
      <c r="D66" s="501">
        <f>'[62]Sch C'!F59</f>
        <v>196507.56</v>
      </c>
      <c r="E66" s="171">
        <f t="shared" si="7"/>
        <v>196507.56</v>
      </c>
      <c r="F66" s="171">
        <v>0</v>
      </c>
      <c r="G66" s="171">
        <f t="shared" si="8"/>
        <v>196507.56</v>
      </c>
      <c r="H66" s="172">
        <f t="shared" si="9"/>
        <v>3.3262656015623962E-2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'[62]Sch C'!D60</f>
        <v>0</v>
      </c>
      <c r="D67" s="501">
        <f>'[62]Sch C'!F60</f>
        <v>0</v>
      </c>
      <c r="E67" s="171">
        <f t="shared" si="7"/>
        <v>0</v>
      </c>
      <c r="F67" s="171">
        <v>0</v>
      </c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'[62]Sch C'!D61</f>
        <v>14107.11</v>
      </c>
      <c r="D68" s="501">
        <f>'[62]Sch C'!F61</f>
        <v>-14107.11</v>
      </c>
      <c r="E68" s="171">
        <f t="shared" si="7"/>
        <v>0</v>
      </c>
      <c r="F68" s="171">
        <v>0</v>
      </c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'[62]Sch C'!D62</f>
        <v>9615.99</v>
      </c>
      <c r="D69" s="501">
        <f>'[62]Sch C'!F62</f>
        <v>0</v>
      </c>
      <c r="E69" s="171">
        <f t="shared" si="7"/>
        <v>9615.99</v>
      </c>
      <c r="F69" s="171">
        <v>1015.46</v>
      </c>
      <c r="G69" s="171">
        <f t="shared" si="8"/>
        <v>10631.45</v>
      </c>
      <c r="H69" s="172">
        <f t="shared" si="9"/>
        <v>1.7995758753368337E-3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'[62]Sch C'!D63</f>
        <v>0</v>
      </c>
      <c r="D70" s="501">
        <f>'[62]Sch C'!F63</f>
        <v>0</v>
      </c>
      <c r="E70" s="171">
        <f t="shared" si="7"/>
        <v>0</v>
      </c>
      <c r="F70" s="171">
        <v>0</v>
      </c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'[62]Sch C'!D64</f>
        <v>0</v>
      </c>
      <c r="D71" s="501">
        <f>'[62]Sch C'!F64</f>
        <v>0</v>
      </c>
      <c r="E71" s="171">
        <f t="shared" si="7"/>
        <v>0</v>
      </c>
      <c r="F71" s="171">
        <v>0</v>
      </c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'[62]Sch C'!D65</f>
        <v>0</v>
      </c>
      <c r="D72" s="501">
        <f>'[62]Sch C'!F65</f>
        <v>0</v>
      </c>
      <c r="E72" s="171">
        <f t="shared" si="7"/>
        <v>0</v>
      </c>
      <c r="F72" s="171">
        <v>0</v>
      </c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'[62]Sch C'!D66</f>
        <v>1808.63</v>
      </c>
      <c r="D73" s="501">
        <f>'[62]Sch C'!F66</f>
        <v>0</v>
      </c>
      <c r="E73" s="171">
        <f t="shared" si="7"/>
        <v>1808.63</v>
      </c>
      <c r="F73" s="171">
        <v>0</v>
      </c>
      <c r="G73" s="171">
        <f t="shared" si="8"/>
        <v>1808.63</v>
      </c>
      <c r="H73" s="172">
        <f t="shared" si="9"/>
        <v>3.0614515568529762E-4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'[62]Sch C'!D67</f>
        <v>26776.15</v>
      </c>
      <c r="D74" s="501">
        <f>'[62]Sch C'!F67</f>
        <v>0</v>
      </c>
      <c r="E74" s="171">
        <f t="shared" si="7"/>
        <v>26776.15</v>
      </c>
      <c r="F74" s="171">
        <v>2882.3</v>
      </c>
      <c r="G74" s="171">
        <f t="shared" si="8"/>
        <v>29658.45</v>
      </c>
      <c r="H74" s="172">
        <f t="shared" si="9"/>
        <v>5.0202588659010493E-3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'[62]Sch C'!D68</f>
        <v>0</v>
      </c>
      <c r="D75" s="501">
        <f>'[62]Sch C'!F68</f>
        <v>0</v>
      </c>
      <c r="E75" s="171">
        <f t="shared" si="7"/>
        <v>0</v>
      </c>
      <c r="F75" s="171">
        <v>0</v>
      </c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'[62]Sch C'!D69</f>
        <v>0</v>
      </c>
      <c r="D76" s="501">
        <f>'[62]Sch C'!F69</f>
        <v>0</v>
      </c>
      <c r="E76" s="171">
        <f t="shared" si="7"/>
        <v>0</v>
      </c>
      <c r="F76" s="171">
        <v>0</v>
      </c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'[62]Sch C'!D70</f>
        <v>0</v>
      </c>
      <c r="D77" s="501">
        <f>'[62]Sch C'!F70</f>
        <v>0</v>
      </c>
      <c r="E77" s="171">
        <f t="shared" si="7"/>
        <v>0</v>
      </c>
      <c r="F77" s="171">
        <v>0</v>
      </c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'[62]Sch C'!D71</f>
        <v>0</v>
      </c>
      <c r="D78" s="501">
        <f>'[62]Sch C'!F71</f>
        <v>0</v>
      </c>
      <c r="E78" s="171">
        <f t="shared" si="7"/>
        <v>0</v>
      </c>
      <c r="F78" s="171">
        <v>0</v>
      </c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520683.03</v>
      </c>
      <c r="D79" s="501">
        <f>SUM(D64:D78)</f>
        <v>-45706.190000000017</v>
      </c>
      <c r="E79" s="171">
        <f t="shared" ref="E79:F79" si="10">SUM(E64:E78)</f>
        <v>474976.83999999997</v>
      </c>
      <c r="F79" s="171">
        <f t="shared" si="10"/>
        <v>12750.679999999997</v>
      </c>
      <c r="G79" s="171">
        <f>SUM(G64:G78)</f>
        <v>487727.52</v>
      </c>
      <c r="H79" s="172">
        <f t="shared" si="9"/>
        <v>8.2557193866298867E-2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'[62]Sch C'!D75</f>
        <v>44602.78</v>
      </c>
      <c r="D82" s="501">
        <f>'[62]Sch C'!F75</f>
        <v>0</v>
      </c>
      <c r="E82" s="171">
        <f t="shared" ref="E82:E92" si="11">C82+D82</f>
        <v>44602.78</v>
      </c>
      <c r="F82" s="171">
        <v>4716.6899999999996</v>
      </c>
      <c r="G82" s="171">
        <f t="shared" ref="G82:G92" si="12">E82+F82</f>
        <v>49319.47</v>
      </c>
      <c r="H82" s="172">
        <f t="shared" ref="H82:H93" si="13">IF($G$208=0,0,G82/$G$208)</f>
        <v>8.3482618454113703E-3</v>
      </c>
      <c r="I82" s="473"/>
      <c r="J82" s="183">
        <f>1668.07+87</f>
        <v>1755.07</v>
      </c>
      <c r="K82" s="183">
        <f>1820.07+87</f>
        <v>1907.07</v>
      </c>
    </row>
    <row r="83" spans="1:11" s="167" customFormat="1">
      <c r="A83" s="169" t="s">
        <v>86</v>
      </c>
      <c r="B83" s="199" t="s">
        <v>45</v>
      </c>
      <c r="C83" s="501">
        <f>'[62]Sch C'!D76</f>
        <v>5470.76</v>
      </c>
      <c r="D83" s="501">
        <f>'[62]Sch C'!F76</f>
        <v>0</v>
      </c>
      <c r="E83" s="171">
        <f t="shared" si="11"/>
        <v>5470.76</v>
      </c>
      <c r="F83" s="171">
        <v>583.66999999999996</v>
      </c>
      <c r="G83" s="171">
        <f t="shared" si="12"/>
        <v>6054.43</v>
      </c>
      <c r="H83" s="172">
        <f t="shared" si="13"/>
        <v>1.0248278613844382E-3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'[62]Sch C'!D77</f>
        <v>11645.22</v>
      </c>
      <c r="D84" s="501">
        <f>'[62]Sch C'!F77</f>
        <v>0</v>
      </c>
      <c r="E84" s="171">
        <f t="shared" si="11"/>
        <v>11645.22</v>
      </c>
      <c r="F84" s="171">
        <v>1610.72</v>
      </c>
      <c r="G84" s="171">
        <f t="shared" si="12"/>
        <v>13255.939999999999</v>
      </c>
      <c r="H84" s="172">
        <f t="shared" si="13"/>
        <v>2.2438209114384721E-3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'[62]Sch C'!D78</f>
        <v>0</v>
      </c>
      <c r="D85" s="501">
        <f>'[62]Sch C'!F78</f>
        <v>0</v>
      </c>
      <c r="E85" s="171">
        <f t="shared" si="11"/>
        <v>0</v>
      </c>
      <c r="F85" s="171">
        <v>0</v>
      </c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'[62]Sch C'!D79</f>
        <v>16345.66</v>
      </c>
      <c r="D86" s="501">
        <f>'[62]Sch C'!F79</f>
        <v>0</v>
      </c>
      <c r="E86" s="171">
        <f t="shared" si="11"/>
        <v>16345.66</v>
      </c>
      <c r="F86" s="506">
        <f>447.21+340</f>
        <v>787.21</v>
      </c>
      <c r="G86" s="171">
        <f>E86+F86</f>
        <v>17132.87</v>
      </c>
      <c r="H86" s="172">
        <f t="shared" si="13"/>
        <v>2.9000653276159108E-3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'[62]Sch C'!D80</f>
        <v>7417.41</v>
      </c>
      <c r="D87" s="501">
        <f>'[62]Sch C'!F80</f>
        <v>0</v>
      </c>
      <c r="E87" s="171">
        <f t="shared" si="11"/>
        <v>7417.41</v>
      </c>
      <c r="F87" s="171">
        <v>125</v>
      </c>
      <c r="G87" s="171">
        <f t="shared" si="12"/>
        <v>7542.41</v>
      </c>
      <c r="H87" s="172">
        <f t="shared" si="13"/>
        <v>1.2766968831061883E-3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'[62]Sch C'!D81</f>
        <v>4755.04</v>
      </c>
      <c r="D88" s="501">
        <f>'[62]Sch C'!F81</f>
        <v>0</v>
      </c>
      <c r="E88" s="171">
        <f t="shared" si="11"/>
        <v>4755.04</v>
      </c>
      <c r="F88" s="171">
        <v>743.85</v>
      </c>
      <c r="G88" s="171">
        <f t="shared" si="12"/>
        <v>5498.89</v>
      </c>
      <c r="H88" s="172">
        <f t="shared" si="13"/>
        <v>9.3079211068395761E-4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'[62]Sch C'!D82</f>
        <v>23555.17</v>
      </c>
      <c r="D89" s="501">
        <f>'[62]Sch C'!F82</f>
        <v>0</v>
      </c>
      <c r="E89" s="171">
        <f t="shared" si="11"/>
        <v>23555.17</v>
      </c>
      <c r="F89" s="171">
        <v>5086.95</v>
      </c>
      <c r="G89" s="171">
        <f t="shared" si="12"/>
        <v>28642.12</v>
      </c>
      <c r="H89" s="172">
        <f t="shared" si="13"/>
        <v>4.8482256108529527E-3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'[62]Sch C'!D83</f>
        <v>0</v>
      </c>
      <c r="D90" s="501">
        <f>'[62]Sch C'!F83</f>
        <v>0</v>
      </c>
      <c r="E90" s="171">
        <f t="shared" si="11"/>
        <v>0</v>
      </c>
      <c r="F90" s="171">
        <v>0</v>
      </c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'[62]Sch C'!D84</f>
        <v>114244.31</v>
      </c>
      <c r="D91" s="501">
        <f>'[62]Sch C'!F84</f>
        <v>0</v>
      </c>
      <c r="E91" s="171">
        <f t="shared" si="11"/>
        <v>114244.31</v>
      </c>
      <c r="F91" s="171">
        <v>10554.12</v>
      </c>
      <c r="G91" s="171">
        <f t="shared" si="12"/>
        <v>124798.43</v>
      </c>
      <c r="H91" s="172">
        <f t="shared" si="13"/>
        <v>2.1124516778794289E-2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'[62]Sch C'!D85</f>
        <v>0</v>
      </c>
      <c r="D92" s="501">
        <f>'[62]Sch C'!F85</f>
        <v>0</v>
      </c>
      <c r="E92" s="171">
        <f t="shared" si="11"/>
        <v>0</v>
      </c>
      <c r="F92" s="171">
        <v>0</v>
      </c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228036.34999999998</v>
      </c>
      <c r="D93" s="501">
        <f>SUM(D82:D92)</f>
        <v>0</v>
      </c>
      <c r="E93" s="171">
        <f t="shared" ref="E93:F93" si="14">SUM(E82:E92)</f>
        <v>228036.34999999998</v>
      </c>
      <c r="F93" s="171">
        <f t="shared" si="14"/>
        <v>24208.21</v>
      </c>
      <c r="G93" s="171">
        <f>SUM(G82:G92)</f>
        <v>252244.56</v>
      </c>
      <c r="H93" s="172">
        <f t="shared" si="13"/>
        <v>4.2697207329287577E-2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'[62]Sch C'!D89</f>
        <v>145755.59</v>
      </c>
      <c r="D96" s="501">
        <f>'[62]Sch C'!F89</f>
        <v>0</v>
      </c>
      <c r="E96" s="171">
        <f t="shared" ref="E96:E101" si="15">C96+D96</f>
        <v>145755.59</v>
      </c>
      <c r="F96" s="171">
        <v>13430</v>
      </c>
      <c r="G96" s="171">
        <f t="shared" ref="G96:G101" si="16">E96+F96</f>
        <v>159185.59</v>
      </c>
      <c r="H96" s="172">
        <f t="shared" ref="H96:H102" si="17">IF($G$208=0,0,G96/$G$208)</f>
        <v>2.6945200087030489E-2</v>
      </c>
      <c r="I96" s="473"/>
      <c r="J96" s="183">
        <f>9615.77+473</f>
        <v>10088.77</v>
      </c>
      <c r="K96" s="183">
        <f>10225.68+489</f>
        <v>10714.68</v>
      </c>
    </row>
    <row r="97" spans="1:11" s="167" customFormat="1">
      <c r="A97" s="169" t="s">
        <v>86</v>
      </c>
      <c r="B97" s="170" t="s">
        <v>45</v>
      </c>
      <c r="C97" s="501">
        <f>'[62]Sch C'!D90</f>
        <v>41031.46</v>
      </c>
      <c r="D97" s="501">
        <f>'[62]Sch C'!F90</f>
        <v>0</v>
      </c>
      <c r="E97" s="171">
        <f t="shared" si="15"/>
        <v>41031.46</v>
      </c>
      <c r="F97" s="171">
        <v>3474.05</v>
      </c>
      <c r="G97" s="171">
        <f t="shared" si="16"/>
        <v>44505.51</v>
      </c>
      <c r="H97" s="172">
        <f t="shared" si="17"/>
        <v>7.5334072130859107E-3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'[62]Sch C'!D91</f>
        <v>35029.96</v>
      </c>
      <c r="D98" s="501">
        <f>'[62]Sch C'!F91</f>
        <v>0</v>
      </c>
      <c r="E98" s="171">
        <f t="shared" si="15"/>
        <v>35029.96</v>
      </c>
      <c r="F98" s="171">
        <v>2159.54</v>
      </c>
      <c r="G98" s="171">
        <f t="shared" si="16"/>
        <v>37189.5</v>
      </c>
      <c r="H98" s="172">
        <f t="shared" si="17"/>
        <v>6.2950328521358019E-3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'[62]Sch C'!D92</f>
        <v>120446.51</v>
      </c>
      <c r="D99" s="501">
        <f>'[62]Sch C'!F92</f>
        <v>0</v>
      </c>
      <c r="E99" s="171">
        <f t="shared" si="15"/>
        <v>120446.51</v>
      </c>
      <c r="F99" s="171">
        <v>10434.459999999999</v>
      </c>
      <c r="G99" s="171">
        <f t="shared" si="16"/>
        <v>130880.97</v>
      </c>
      <c r="H99" s="172">
        <f t="shared" si="17"/>
        <v>2.2154102794320986E-2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'[62]Sch C'!D93</f>
        <v>15965.02</v>
      </c>
      <c r="D100" s="501">
        <f>'[62]Sch C'!F93</f>
        <v>0</v>
      </c>
      <c r="E100" s="171">
        <f t="shared" si="15"/>
        <v>15965.02</v>
      </c>
      <c r="F100" s="171">
        <v>1266.21</v>
      </c>
      <c r="G100" s="171">
        <f t="shared" si="16"/>
        <v>17231.23</v>
      </c>
      <c r="H100" s="172">
        <f t="shared" si="17"/>
        <v>2.9167146353865471E-3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'[62]Sch C'!D94</f>
        <v>1512</v>
      </c>
      <c r="D101" s="501">
        <f>'[62]Sch C'!F94</f>
        <v>0</v>
      </c>
      <c r="E101" s="171">
        <f t="shared" si="15"/>
        <v>1512</v>
      </c>
      <c r="F101" s="171">
        <v>0</v>
      </c>
      <c r="G101" s="171">
        <f t="shared" si="16"/>
        <v>1512</v>
      </c>
      <c r="H101" s="172">
        <f t="shared" si="17"/>
        <v>2.5593486528265594E-4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359740.54</v>
      </c>
      <c r="D102" s="501">
        <f>SUM(D96:D101)</f>
        <v>0</v>
      </c>
      <c r="E102" s="171">
        <f t="shared" ref="E102:F102" si="18">SUM(E96:E101)</f>
        <v>359740.54</v>
      </c>
      <c r="F102" s="171">
        <f t="shared" si="18"/>
        <v>30764.26</v>
      </c>
      <c r="G102" s="171">
        <f>SUM(G96:G101)</f>
        <v>390504.8</v>
      </c>
      <c r="H102" s="172">
        <f t="shared" si="17"/>
        <v>6.610039244724239E-2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'[62]Sch C'!D98</f>
        <v>12132.72</v>
      </c>
      <c r="D105" s="501">
        <f>'[62]Sch C'!F98</f>
        <v>0</v>
      </c>
      <c r="E105" s="171">
        <f t="shared" ref="E105:E110" si="19">C105+D105</f>
        <v>12132.72</v>
      </c>
      <c r="F105" s="171">
        <v>1407.17</v>
      </c>
      <c r="G105" s="171">
        <f t="shared" ref="G105:G110" si="20">E105+F105</f>
        <v>13539.89</v>
      </c>
      <c r="H105" s="172">
        <f t="shared" ref="H105:H111" si="21">IF($G$208=0,0,G105/$G$208)</f>
        <v>2.2918848697698279E-3</v>
      </c>
      <c r="I105" s="473"/>
      <c r="J105" s="183">
        <f>1014.5+60</f>
        <v>1074.5</v>
      </c>
      <c r="K105" s="183">
        <f>1160.5+60</f>
        <v>1220.5</v>
      </c>
    </row>
    <row r="106" spans="1:11" s="167" customFormat="1">
      <c r="A106" s="169" t="s">
        <v>86</v>
      </c>
      <c r="B106" s="170" t="s">
        <v>45</v>
      </c>
      <c r="C106" s="501">
        <f>'[62]Sch C'!D99</f>
        <v>1753.29</v>
      </c>
      <c r="D106" s="501">
        <f>'[62]Sch C'!F99</f>
        <v>0</v>
      </c>
      <c r="E106" s="171">
        <f t="shared" si="19"/>
        <v>1753.29</v>
      </c>
      <c r="F106" s="171">
        <v>168.89</v>
      </c>
      <c r="G106" s="171">
        <f t="shared" si="20"/>
        <v>1922.1799999999998</v>
      </c>
      <c r="H106" s="172">
        <f t="shared" si="21"/>
        <v>3.2536566094511611E-4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'[62]Sch C'!D100</f>
        <v>0</v>
      </c>
      <c r="D107" s="501">
        <f>'[62]Sch C'!F100</f>
        <v>0</v>
      </c>
      <c r="E107" s="171">
        <f t="shared" si="19"/>
        <v>0</v>
      </c>
      <c r="F107" s="171">
        <v>0</v>
      </c>
      <c r="G107" s="171">
        <f t="shared" si="20"/>
        <v>0</v>
      </c>
      <c r="H107" s="172">
        <f t="shared" si="21"/>
        <v>0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'[62]Sch C'!D101</f>
        <v>0</v>
      </c>
      <c r="D108" s="501">
        <f>'[62]Sch C'!F101</f>
        <v>0</v>
      </c>
      <c r="E108" s="171">
        <f t="shared" si="19"/>
        <v>0</v>
      </c>
      <c r="F108" s="171">
        <v>0</v>
      </c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'[62]Sch C'!D102</f>
        <v>7742.66</v>
      </c>
      <c r="D109" s="501">
        <f>'[62]Sch C'!F102</f>
        <v>0</v>
      </c>
      <c r="E109" s="171">
        <f t="shared" si="19"/>
        <v>7742.66</v>
      </c>
      <c r="F109" s="171">
        <v>0</v>
      </c>
      <c r="G109" s="171">
        <f t="shared" si="20"/>
        <v>7742.66</v>
      </c>
      <c r="H109" s="172">
        <f t="shared" si="21"/>
        <v>1.3105930185379688E-3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'[62]Sch C'!D103</f>
        <v>127.5</v>
      </c>
      <c r="D110" s="501">
        <f>'[62]Sch C'!F103</f>
        <v>0</v>
      </c>
      <c r="E110" s="171">
        <f t="shared" si="19"/>
        <v>127.5</v>
      </c>
      <c r="F110" s="171">
        <v>122.04</v>
      </c>
      <c r="G110" s="171">
        <f t="shared" si="20"/>
        <v>249.54000000000002</v>
      </c>
      <c r="H110" s="172">
        <f t="shared" si="21"/>
        <v>4.2239408917085956E-5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21756.17</v>
      </c>
      <c r="D111" s="501">
        <f>SUM(D105:D110)</f>
        <v>0</v>
      </c>
      <c r="E111" s="171">
        <f t="shared" ref="E111:F111" si="22">SUM(E105:E110)</f>
        <v>21756.17</v>
      </c>
      <c r="F111" s="171">
        <f t="shared" si="22"/>
        <v>1698.1</v>
      </c>
      <c r="G111" s="171">
        <f>SUM(G105:G110)</f>
        <v>23454.27</v>
      </c>
      <c r="H111" s="172">
        <f t="shared" si="21"/>
        <v>3.9700829581699989E-3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'[62]Sch C'!D115</f>
        <v>32532.52</v>
      </c>
      <c r="D114" s="501">
        <f>'[62]Sch C'!F115</f>
        <v>0</v>
      </c>
      <c r="E114" s="171">
        <f t="shared" ref="E114:E118" si="23">C114+D114</f>
        <v>32532.52</v>
      </c>
      <c r="F114" s="171">
        <v>3500.18</v>
      </c>
      <c r="G114" s="171">
        <f>E114+F114</f>
        <v>36032.699999999997</v>
      </c>
      <c r="H114" s="172">
        <f t="shared" ref="H114:H119" si="24">IF($G$208=0,0,G114/$G$208)</f>
        <v>6.0992223679036742E-3</v>
      </c>
      <c r="I114" s="473"/>
      <c r="J114" s="183">
        <f>2807.34+160</f>
        <v>2967.34</v>
      </c>
      <c r="K114" s="183">
        <f>2954.21+187</f>
        <v>3141.21</v>
      </c>
    </row>
    <row r="115" spans="1:11" s="167" customFormat="1">
      <c r="A115" s="169" t="s">
        <v>86</v>
      </c>
      <c r="B115" s="170" t="s">
        <v>151</v>
      </c>
      <c r="C115" s="501">
        <f>'[62]Sch C'!D116</f>
        <v>6926.83</v>
      </c>
      <c r="D115" s="501">
        <f>'[62]Sch C'!F116</f>
        <v>0</v>
      </c>
      <c r="E115" s="171">
        <f t="shared" si="23"/>
        <v>6926.83</v>
      </c>
      <c r="F115" s="171">
        <v>440.25</v>
      </c>
      <c r="G115" s="171">
        <f>E115+F115</f>
        <v>7367.08</v>
      </c>
      <c r="H115" s="172">
        <f t="shared" si="24"/>
        <v>1.2470189334170296E-3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'[62]Sch C'!D117</f>
        <v>8908.14</v>
      </c>
      <c r="D116" s="501">
        <f>'[62]Sch C'!F117</f>
        <v>0</v>
      </c>
      <c r="E116" s="171">
        <f t="shared" si="23"/>
        <v>8908.14</v>
      </c>
      <c r="F116" s="171">
        <v>1475.87</v>
      </c>
      <c r="G116" s="171">
        <f>E116+F116</f>
        <v>10384.009999999998</v>
      </c>
      <c r="H116" s="172">
        <f t="shared" si="24"/>
        <v>1.7576919315104177E-3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'[62]Sch C'!D118</f>
        <v>7650</v>
      </c>
      <c r="D117" s="501">
        <f>'[62]Sch C'!F118</f>
        <v>0</v>
      </c>
      <c r="E117" s="171">
        <f t="shared" si="23"/>
        <v>7650</v>
      </c>
      <c r="F117" s="171">
        <v>612</v>
      </c>
      <c r="G117" s="171">
        <f>E117+F117</f>
        <v>8262</v>
      </c>
      <c r="H117" s="172">
        <f t="shared" si="24"/>
        <v>1.3985012281516557E-3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'[62]Sch C'!D119</f>
        <v>0</v>
      </c>
      <c r="D118" s="501">
        <f>'[62]Sch C'!F119</f>
        <v>0</v>
      </c>
      <c r="E118" s="171">
        <f t="shared" si="23"/>
        <v>0</v>
      </c>
      <c r="F118" s="171">
        <v>0</v>
      </c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56017.49</v>
      </c>
      <c r="D119" s="501">
        <f>SUM(D114:D118)</f>
        <v>0</v>
      </c>
      <c r="E119" s="171">
        <f t="shared" ref="E119:F119" si="25">SUM(E114:E118)</f>
        <v>56017.49</v>
      </c>
      <c r="F119" s="171">
        <f t="shared" si="25"/>
        <v>6028.2999999999993</v>
      </c>
      <c r="G119" s="171">
        <f>SUM(G114:G118)</f>
        <v>62045.789999999994</v>
      </c>
      <c r="H119" s="172">
        <f t="shared" si="24"/>
        <v>1.0502434460982778E-2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'[62]Sch C'!D124</f>
        <v>0</v>
      </c>
      <c r="D123" s="501">
        <f>'[62]Sch C'!F124</f>
        <v>0</v>
      </c>
      <c r="E123" s="171">
        <f t="shared" ref="E123:E127" si="26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'[62]Sch C'!D125</f>
        <v>260303.92</v>
      </c>
      <c r="D124" s="501">
        <f>'[62]Sch C'!F125</f>
        <v>0</v>
      </c>
      <c r="E124" s="171">
        <f t="shared" si="26"/>
        <v>260303.92</v>
      </c>
      <c r="F124" s="171">
        <v>28888.23</v>
      </c>
      <c r="G124" s="171">
        <f>E124+F124</f>
        <v>289192.15000000002</v>
      </c>
      <c r="H124" s="172">
        <f>IF($G$208=0,0,G124/$G$208)</f>
        <v>4.8951292295669066E-2</v>
      </c>
      <c r="I124" s="473"/>
      <c r="J124" s="183">
        <f>5882.11+334</f>
        <v>6216.11</v>
      </c>
      <c r="K124" s="183">
        <f>6509.6+364</f>
        <v>6873.6</v>
      </c>
    </row>
    <row r="125" spans="1:11" s="167" customFormat="1">
      <c r="A125" s="163" t="s">
        <v>198</v>
      </c>
      <c r="B125" s="163" t="s">
        <v>195</v>
      </c>
      <c r="C125" s="501">
        <f>'[62]Sch C'!D126</f>
        <v>0</v>
      </c>
      <c r="D125" s="501">
        <f>'[62]Sch C'!F126</f>
        <v>0</v>
      </c>
      <c r="E125" s="171">
        <f t="shared" si="26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'[62]Sch C'!D127</f>
        <v>48219.07</v>
      </c>
      <c r="D126" s="501">
        <f>'[62]Sch C'!F127</f>
        <v>0</v>
      </c>
      <c r="E126" s="171">
        <f t="shared" si="26"/>
        <v>48219.07</v>
      </c>
      <c r="F126" s="171">
        <v>4316.37</v>
      </c>
      <c r="G126" s="171">
        <f>E126+F126</f>
        <v>52535.44</v>
      </c>
      <c r="H126" s="172">
        <f>IF($G$208=0,0,G126/$G$208)</f>
        <v>8.8926261633366765E-3</v>
      </c>
      <c r="I126" s="473"/>
      <c r="J126" s="183">
        <f>2978.55+148</f>
        <v>3126.55</v>
      </c>
      <c r="K126" s="183">
        <f>3058.79+148</f>
        <v>3206.79</v>
      </c>
    </row>
    <row r="127" spans="1:11" s="167" customFormat="1">
      <c r="A127" s="169"/>
      <c r="B127" s="163" t="s">
        <v>197</v>
      </c>
      <c r="C127" s="501">
        <f>'[62]Sch C'!D128</f>
        <v>27005.26</v>
      </c>
      <c r="D127" s="501">
        <f>'[62]Sch C'!F128</f>
        <v>0</v>
      </c>
      <c r="E127" s="171">
        <f t="shared" si="26"/>
        <v>27005.26</v>
      </c>
      <c r="F127" s="171">
        <v>2729.89</v>
      </c>
      <c r="G127" s="171">
        <f>E127+F127</f>
        <v>29735.149999999998</v>
      </c>
      <c r="H127" s="172">
        <f>IF($G$208=0,0,G127/$G$208)</f>
        <v>5.033241805165057E-3</v>
      </c>
      <c r="I127" s="473"/>
      <c r="J127" s="183">
        <v>3312.81</v>
      </c>
      <c r="K127" s="183">
        <v>3798.81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'[62]Sch C'!D130</f>
        <v>0</v>
      </c>
      <c r="D129" s="501">
        <f>'[62]Sch C'!F130</f>
        <v>0</v>
      </c>
      <c r="E129" s="171">
        <f t="shared" ref="E129:E133" si="27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'[62]Sch C'!D131</f>
        <v>61356.27</v>
      </c>
      <c r="D130" s="501">
        <f>'[62]Sch C'!F131</f>
        <v>0</v>
      </c>
      <c r="E130" s="171">
        <f t="shared" si="27"/>
        <v>61356.27</v>
      </c>
      <c r="F130" s="171">
        <v>6210.53</v>
      </c>
      <c r="G130" s="171">
        <f>E130+F130</f>
        <v>67566.8</v>
      </c>
      <c r="H130" s="172">
        <f>IF($G$208=0,0,G130/$G$208)</f>
        <v>1.1436970803955131E-2</v>
      </c>
      <c r="I130" s="473"/>
      <c r="J130" s="204"/>
      <c r="K130" s="204"/>
    </row>
    <row r="131" spans="1:11" s="167" customFormat="1">
      <c r="B131" s="163" t="s">
        <v>195</v>
      </c>
      <c r="C131" s="501">
        <f>'[62]Sch C'!D132</f>
        <v>0</v>
      </c>
      <c r="D131" s="501">
        <f>'[62]Sch C'!F132</f>
        <v>0</v>
      </c>
      <c r="E131" s="171">
        <f t="shared" si="27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'[62]Sch C'!D133</f>
        <v>11012.66</v>
      </c>
      <c r="D132" s="501">
        <f>'[62]Sch C'!F133</f>
        <v>0</v>
      </c>
      <c r="E132" s="171">
        <f t="shared" si="27"/>
        <v>11012.66</v>
      </c>
      <c r="F132" s="171">
        <v>466.26</v>
      </c>
      <c r="G132" s="171">
        <f>E132+F132</f>
        <v>11478.92</v>
      </c>
      <c r="H132" s="172">
        <f>IF($G$208=0,0,G132/$G$208)</f>
        <v>1.9430263517132174E-3</v>
      </c>
      <c r="I132" s="473"/>
      <c r="J132" s="168"/>
      <c r="K132" s="168"/>
    </row>
    <row r="133" spans="1:11" s="167" customFormat="1">
      <c r="B133" s="163" t="s">
        <v>197</v>
      </c>
      <c r="C133" s="501">
        <f>'[62]Sch C'!D134</f>
        <v>6292.89</v>
      </c>
      <c r="D133" s="501">
        <f>'[62]Sch C'!F134</f>
        <v>0</v>
      </c>
      <c r="E133" s="171">
        <f t="shared" si="27"/>
        <v>6292.89</v>
      </c>
      <c r="F133" s="171">
        <v>1050.23</v>
      </c>
      <c r="G133" s="171">
        <f>E133+F133</f>
        <v>7343.1200000000008</v>
      </c>
      <c r="H133" s="172">
        <f>IF($G$208=0,0,G133/$G$208)</f>
        <v>1.2429632460015719E-3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'[62]Sch C'!D136</f>
        <v>461417.4</v>
      </c>
      <c r="D135" s="501">
        <f>'[62]Sch C'!F136</f>
        <v>0</v>
      </c>
      <c r="E135" s="171">
        <f t="shared" ref="E135:E138" si="28">C135+D135</f>
        <v>461417.4</v>
      </c>
      <c r="F135" s="171">
        <v>41238.04</v>
      </c>
      <c r="G135" s="171">
        <f>E135+F135</f>
        <v>502655.44</v>
      </c>
      <c r="H135" s="172">
        <f>IF($G$208=0,0,G135/$G$208)</f>
        <v>8.5084029312165438E-2</v>
      </c>
      <c r="I135" s="473"/>
      <c r="J135" s="183">
        <f>14607.03+469</f>
        <v>15076.03</v>
      </c>
      <c r="K135" s="183">
        <f>15723.08+546</f>
        <v>16269.08</v>
      </c>
    </row>
    <row r="136" spans="1:11" s="167" customFormat="1">
      <c r="A136" s="169"/>
      <c r="B136" s="163" t="s">
        <v>195</v>
      </c>
      <c r="C136" s="501">
        <f>'[62]Sch C'!D137</f>
        <v>218745.05</v>
      </c>
      <c r="D136" s="501">
        <f>'[62]Sch C'!F137</f>
        <v>0</v>
      </c>
      <c r="E136" s="171">
        <f t="shared" si="28"/>
        <v>218745.05</v>
      </c>
      <c r="F136" s="171">
        <v>20363.240000000002</v>
      </c>
      <c r="G136" s="171">
        <f>E136+F136</f>
        <v>239108.28999999998</v>
      </c>
      <c r="H136" s="172">
        <f>IF($G$208=0,0,G136/$G$208)</f>
        <v>4.0473642849944591E-2</v>
      </c>
      <c r="I136" s="473"/>
      <c r="J136" s="183">
        <f>7889.37+369</f>
        <v>8258.369999999999</v>
      </c>
      <c r="K136" s="183">
        <f>8385.87+441</f>
        <v>8826.8700000000008</v>
      </c>
    </row>
    <row r="137" spans="1:11" s="167" customFormat="1">
      <c r="A137" s="169"/>
      <c r="B137" s="163" t="s">
        <v>196</v>
      </c>
      <c r="C137" s="501">
        <f>'[62]Sch C'!D138</f>
        <v>379739.91</v>
      </c>
      <c r="D137" s="501">
        <f>'[62]Sch C'!F138</f>
        <v>0</v>
      </c>
      <c r="E137" s="171">
        <f t="shared" si="28"/>
        <v>379739.91</v>
      </c>
      <c r="F137" s="171">
        <v>35713.96</v>
      </c>
      <c r="G137" s="171">
        <f>E137+F137</f>
        <v>415453.87</v>
      </c>
      <c r="H137" s="172">
        <f>IF($G$208=0,0,G137/$G$208)</f>
        <v>7.0323498842333368E-2</v>
      </c>
      <c r="I137" s="473"/>
      <c r="J137" s="183">
        <f>27641.09+1377</f>
        <v>29018.09</v>
      </c>
      <c r="K137" s="183">
        <f>29366.17+1482</f>
        <v>30848.17</v>
      </c>
    </row>
    <row r="138" spans="1:11" s="167" customFormat="1">
      <c r="A138" s="169"/>
      <c r="B138" s="163" t="s">
        <v>197</v>
      </c>
      <c r="C138" s="501">
        <f>'[62]Sch C'!D139</f>
        <v>3130.58</v>
      </c>
      <c r="D138" s="501">
        <f>'[62]Sch C'!F139</f>
        <v>0</v>
      </c>
      <c r="E138" s="171">
        <f t="shared" si="28"/>
        <v>3130.58</v>
      </c>
      <c r="F138" s="171">
        <v>1.1200000000000001</v>
      </c>
      <c r="G138" s="171">
        <f>E138+F138</f>
        <v>3131.7</v>
      </c>
      <c r="H138" s="172">
        <f>IF($G$208=0,0,G138/$G$208)</f>
        <v>5.3010001164397716E-4</v>
      </c>
      <c r="I138" s="473"/>
      <c r="J138" s="183">
        <v>156.66</v>
      </c>
      <c r="K138" s="183">
        <v>156.66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'[62]Sch C'!D141</f>
        <v>83574.73</v>
      </c>
      <c r="D140" s="501">
        <f>'[62]Sch C'!F141</f>
        <v>0</v>
      </c>
      <c r="E140" s="171">
        <f t="shared" ref="E140:E143" si="29">C140+D140</f>
        <v>83574.73</v>
      </c>
      <c r="F140" s="171">
        <v>8886.25</v>
      </c>
      <c r="G140" s="171">
        <f>E140+F140</f>
        <v>92460.98</v>
      </c>
      <c r="H140" s="172">
        <f>IF($G$208=0,0,G140/$G$208)</f>
        <v>1.5650786018652343E-2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'[62]Sch C'!D142</f>
        <v>40815.56</v>
      </c>
      <c r="D141" s="501">
        <f>'[62]Sch C'!F142</f>
        <v>0</v>
      </c>
      <c r="E141" s="171">
        <f t="shared" si="29"/>
        <v>40815.56</v>
      </c>
      <c r="F141" s="171">
        <v>4443.13</v>
      </c>
      <c r="G141" s="171">
        <f>E141+F141</f>
        <v>45258.689999999995</v>
      </c>
      <c r="H141" s="172">
        <f>IF($G$208=0,0,G141/$G$208)</f>
        <v>7.6608973068911946E-3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'[62]Sch C'!D143</f>
        <v>69969.539999999994</v>
      </c>
      <c r="D142" s="501">
        <f>'[62]Sch C'!F143</f>
        <v>0</v>
      </c>
      <c r="E142" s="171">
        <f t="shared" si="29"/>
        <v>69969.539999999994</v>
      </c>
      <c r="F142" s="171">
        <v>7828.36</v>
      </c>
      <c r="G142" s="171">
        <f>E142+F142</f>
        <v>77797.899999999994</v>
      </c>
      <c r="H142" s="172">
        <f>IF($G$208=0,0,G142/$G$208)</f>
        <v>1.3168779798792021E-2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'[62]Sch C'!D144</f>
        <v>111.81</v>
      </c>
      <c r="D143" s="501">
        <f>'[62]Sch C'!F144</f>
        <v>0</v>
      </c>
      <c r="E143" s="171">
        <f t="shared" si="29"/>
        <v>111.81</v>
      </c>
      <c r="F143" s="171">
        <v>0.33</v>
      </c>
      <c r="G143" s="171">
        <f>E143+F143</f>
        <v>112.14</v>
      </c>
      <c r="H143" s="172">
        <f>IF($G$208=0,0,G143/$G$208)</f>
        <v>1.898183584179698E-5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'[62]Sch C'!D146</f>
        <v>33000</v>
      </c>
      <c r="D145" s="501">
        <f>'[62]Sch C'!F146</f>
        <v>0</v>
      </c>
      <c r="E145" s="171">
        <f t="shared" ref="E145:E153" si="30">C145+D145</f>
        <v>33000</v>
      </c>
      <c r="F145" s="171">
        <v>3000</v>
      </c>
      <c r="G145" s="171">
        <f t="shared" ref="G145:G153" si="31">E145+F145</f>
        <v>36000</v>
      </c>
      <c r="H145" s="172">
        <f t="shared" ref="H145:H153" si="32">IF($G$208=0,0,G145/$G$208)</f>
        <v>6.0936872686346653E-3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'[62]Sch C'!D147</f>
        <v>0</v>
      </c>
      <c r="D146" s="501">
        <f>'[62]Sch C'!F147</f>
        <v>0</v>
      </c>
      <c r="E146" s="171">
        <f t="shared" si="30"/>
        <v>0</v>
      </c>
      <c r="F146" s="171">
        <v>0</v>
      </c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'[62]Sch C'!D148</f>
        <v>0</v>
      </c>
      <c r="D147" s="501">
        <f>'[62]Sch C'!F148</f>
        <v>0</v>
      </c>
      <c r="E147" s="171">
        <f t="shared" si="30"/>
        <v>0</v>
      </c>
      <c r="F147" s="171">
        <v>0</v>
      </c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'[62]Sch C'!D149</f>
        <v>15220.29</v>
      </c>
      <c r="D148" s="501">
        <f>'[62]Sch C'!F149</f>
        <v>0</v>
      </c>
      <c r="E148" s="171">
        <f t="shared" si="30"/>
        <v>15220.29</v>
      </c>
      <c r="F148" s="171">
        <v>0</v>
      </c>
      <c r="G148" s="171">
        <f t="shared" si="31"/>
        <v>15220.29</v>
      </c>
      <c r="H148" s="172">
        <f t="shared" si="32"/>
        <v>2.5763246499424307E-3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'[62]Sch C'!D150</f>
        <v>6117.76</v>
      </c>
      <c r="D149" s="501">
        <f>'[62]Sch C'!F150</f>
        <v>0</v>
      </c>
      <c r="E149" s="171">
        <f t="shared" si="30"/>
        <v>6117.76</v>
      </c>
      <c r="F149" s="171">
        <v>835</v>
      </c>
      <c r="G149" s="171">
        <f t="shared" si="31"/>
        <v>6952.76</v>
      </c>
      <c r="H149" s="172">
        <f t="shared" si="32"/>
        <v>1.1768873637186764E-3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'[62]Sch C'!D151</f>
        <v>77756.12</v>
      </c>
      <c r="D150" s="501">
        <f>'[62]Sch C'!F151</f>
        <v>0</v>
      </c>
      <c r="E150" s="171">
        <f t="shared" si="30"/>
        <v>77756.12</v>
      </c>
      <c r="F150" s="667">
        <f>6267.5-1692</f>
        <v>4575.5</v>
      </c>
      <c r="G150" s="171">
        <f t="shared" si="31"/>
        <v>82331.62</v>
      </c>
      <c r="H150" s="172">
        <f t="shared" si="32"/>
        <v>1.3936198461112976E-2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'[62]Sch C'!D152</f>
        <v>17749.59</v>
      </c>
      <c r="D151" s="501">
        <f>'[62]Sch C'!F152</f>
        <v>0</v>
      </c>
      <c r="E151" s="171">
        <f t="shared" si="30"/>
        <v>17749.59</v>
      </c>
      <c r="F151" s="171">
        <v>0</v>
      </c>
      <c r="G151" s="171">
        <f t="shared" si="31"/>
        <v>17749.59</v>
      </c>
      <c r="H151" s="172">
        <f t="shared" si="32"/>
        <v>3.0044569612912545E-3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'[62]Sch C'!D153</f>
        <v>15765.16</v>
      </c>
      <c r="D152" s="501">
        <f>'[62]Sch C'!F153</f>
        <v>0</v>
      </c>
      <c r="E152" s="171">
        <f t="shared" si="30"/>
        <v>15765.16</v>
      </c>
      <c r="F152" s="506">
        <f>1241-340</f>
        <v>901</v>
      </c>
      <c r="G152" s="171">
        <f t="shared" si="31"/>
        <v>16666.16</v>
      </c>
      <c r="H152" s="172">
        <f t="shared" si="32"/>
        <v>2.8210657502507862E-3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'[62]Sch C'!D154</f>
        <v>783.6</v>
      </c>
      <c r="D153" s="501">
        <f>'[62]Sch C'!F154</f>
        <v>0</v>
      </c>
      <c r="E153" s="171">
        <f t="shared" si="30"/>
        <v>783.6</v>
      </c>
      <c r="F153" s="171">
        <v>0</v>
      </c>
      <c r="G153" s="171">
        <f t="shared" si="31"/>
        <v>783.6</v>
      </c>
      <c r="H153" s="172">
        <f t="shared" si="32"/>
        <v>1.326392595472812E-4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'[62]Sch C'!D156</f>
        <v>0</v>
      </c>
      <c r="D155" s="501">
        <f>'[62]Sch C'!F156</f>
        <v>0</v>
      </c>
      <c r="E155" s="171">
        <f t="shared" ref="E155:E160" si="33">C155+D155</f>
        <v>0</v>
      </c>
      <c r="F155" s="171">
        <v>0</v>
      </c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'[62]Sch C'!D157</f>
        <v>0</v>
      </c>
      <c r="D156" s="501">
        <f>'[62]Sch C'!F157</f>
        <v>0</v>
      </c>
      <c r="E156" s="171">
        <f t="shared" si="33"/>
        <v>0</v>
      </c>
      <c r="F156" s="171">
        <v>0</v>
      </c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'[62]Sch C'!D158</f>
        <v>0</v>
      </c>
      <c r="D157" s="501">
        <f>'[62]Sch C'!F158</f>
        <v>0</v>
      </c>
      <c r="E157" s="171">
        <f t="shared" si="33"/>
        <v>0</v>
      </c>
      <c r="F157" s="171">
        <v>0</v>
      </c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'[62]Sch C'!D159</f>
        <v>0</v>
      </c>
      <c r="D158" s="501">
        <f>'[62]Sch C'!F159</f>
        <v>0</v>
      </c>
      <c r="E158" s="171">
        <f t="shared" si="33"/>
        <v>0</v>
      </c>
      <c r="F158" s="171">
        <v>0</v>
      </c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'[62]Sch C'!D160</f>
        <v>2465.08</v>
      </c>
      <c r="D159" s="501">
        <f>'[62]Sch C'!F160</f>
        <v>0</v>
      </c>
      <c r="E159" s="171">
        <f t="shared" si="33"/>
        <v>2465.08</v>
      </c>
      <c r="F159" s="171">
        <v>0</v>
      </c>
      <c r="G159" s="171">
        <f t="shared" si="34"/>
        <v>2465.08</v>
      </c>
      <c r="H159" s="172">
        <f>IF($G$208=0,0,G159/$G$208)</f>
        <v>4.1726185033794273E-4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'[62]Sch C'!D161</f>
        <v>48652.33</v>
      </c>
      <c r="D160" s="501">
        <f>'[62]Sch C'!F161</f>
        <v>0</v>
      </c>
      <c r="E160" s="171">
        <f t="shared" si="33"/>
        <v>48652.33</v>
      </c>
      <c r="F160" s="506">
        <f>4223.19-495</f>
        <v>3728.1899999999996</v>
      </c>
      <c r="G160" s="171">
        <f t="shared" si="34"/>
        <v>52380.520000000004</v>
      </c>
      <c r="H160" s="172">
        <f t="shared" si="35"/>
        <v>8.866402995790652E-3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1889204.5800000005</v>
      </c>
      <c r="D161" s="501">
        <f>SUM(D123:D160)</f>
        <v>0</v>
      </c>
      <c r="E161" s="171">
        <f t="shared" ref="E161:F161" si="36">SUM(E123:E160)</f>
        <v>1889204.5800000005</v>
      </c>
      <c r="F161" s="171">
        <f t="shared" si="36"/>
        <v>175175.62999999998</v>
      </c>
      <c r="G161" s="171">
        <f>SUM(G123:G160)</f>
        <v>2064380.21</v>
      </c>
      <c r="H161" s="172">
        <f t="shared" si="35"/>
        <v>0.34943576120273212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'[62]Sch C'!D175</f>
        <v>0</v>
      </c>
      <c r="D164" s="501">
        <f>'[62]Sch C'!F175</f>
        <v>0</v>
      </c>
      <c r="E164" s="171">
        <f t="shared" ref="E164:E196" si="37">C164+D164</f>
        <v>0</v>
      </c>
      <c r="F164" s="568">
        <v>0</v>
      </c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'[62]Sch C'!D176</f>
        <v>0</v>
      </c>
      <c r="D165" s="501">
        <f>'[62]Sch C'!F176</f>
        <v>0</v>
      </c>
      <c r="E165" s="171">
        <f t="shared" si="37"/>
        <v>0</v>
      </c>
      <c r="F165" s="568">
        <v>0</v>
      </c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'[62]Sch C'!D177</f>
        <v>0</v>
      </c>
      <c r="D166" s="501">
        <f>'[62]Sch C'!F177</f>
        <v>0</v>
      </c>
      <c r="E166" s="171">
        <f t="shared" si="37"/>
        <v>0</v>
      </c>
      <c r="F166" s="568">
        <v>0</v>
      </c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'[62]Sch C'!D178</f>
        <v>0</v>
      </c>
      <c r="D167" s="501">
        <f>'[62]Sch C'!F178</f>
        <v>0</v>
      </c>
      <c r="E167" s="171">
        <f t="shared" si="37"/>
        <v>0</v>
      </c>
      <c r="F167" s="568">
        <v>0</v>
      </c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'[62]Sch C'!D179</f>
        <v>0</v>
      </c>
      <c r="D168" s="501">
        <f>'[62]Sch C'!F179</f>
        <v>0</v>
      </c>
      <c r="E168" s="171">
        <f t="shared" si="37"/>
        <v>0</v>
      </c>
      <c r="F168" s="568">
        <v>0</v>
      </c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'[62]Sch C'!D180</f>
        <v>0</v>
      </c>
      <c r="D169" s="501">
        <f>'[62]Sch C'!F180</f>
        <v>0</v>
      </c>
      <c r="E169" s="171">
        <f t="shared" si="37"/>
        <v>0</v>
      </c>
      <c r="F169" s="568">
        <v>0</v>
      </c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'[62]Sch C'!D181</f>
        <v>0</v>
      </c>
      <c r="D170" s="501">
        <f>'[62]Sch C'!F181</f>
        <v>0</v>
      </c>
      <c r="E170" s="171">
        <f t="shared" si="37"/>
        <v>0</v>
      </c>
      <c r="F170" s="568">
        <v>0</v>
      </c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'[62]Sch C'!D182</f>
        <v>0</v>
      </c>
      <c r="D171" s="501">
        <f>'[62]Sch C'!F182</f>
        <v>0</v>
      </c>
      <c r="E171" s="171">
        <f t="shared" si="37"/>
        <v>0</v>
      </c>
      <c r="F171" s="568">
        <v>0</v>
      </c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'[62]Sch C'!D183</f>
        <v>0</v>
      </c>
      <c r="D172" s="501">
        <f>'[62]Sch C'!F183</f>
        <v>0</v>
      </c>
      <c r="E172" s="171">
        <f t="shared" si="37"/>
        <v>0</v>
      </c>
      <c r="F172" s="568">
        <v>0</v>
      </c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'[62]Sch C'!D184</f>
        <v>0</v>
      </c>
      <c r="D173" s="501">
        <f>'[62]Sch C'!F184</f>
        <v>0</v>
      </c>
      <c r="E173" s="171">
        <f t="shared" si="37"/>
        <v>0</v>
      </c>
      <c r="F173" s="568">
        <v>0</v>
      </c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'[62]Sch C'!D185</f>
        <v>0</v>
      </c>
      <c r="D174" s="501">
        <f>'[62]Sch C'!F185</f>
        <v>0</v>
      </c>
      <c r="E174" s="171">
        <f t="shared" si="37"/>
        <v>0</v>
      </c>
      <c r="F174" s="568">
        <v>0</v>
      </c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'[62]Sch C'!D186</f>
        <v>0</v>
      </c>
      <c r="D175" s="501">
        <f>'[62]Sch C'!F186</f>
        <v>0</v>
      </c>
      <c r="E175" s="171">
        <f t="shared" si="37"/>
        <v>0</v>
      </c>
      <c r="F175" s="568">
        <v>0</v>
      </c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'[62]Sch C'!D187</f>
        <v>0</v>
      </c>
      <c r="D176" s="501">
        <f>'[62]Sch C'!F187</f>
        <v>0</v>
      </c>
      <c r="E176" s="171">
        <f t="shared" si="37"/>
        <v>0</v>
      </c>
      <c r="F176" s="568">
        <v>0</v>
      </c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'[62]Sch C'!D188</f>
        <v>0</v>
      </c>
      <c r="D177" s="501">
        <f>'[62]Sch C'!F188</f>
        <v>0</v>
      </c>
      <c r="E177" s="171">
        <f t="shared" si="37"/>
        <v>0</v>
      </c>
      <c r="F177" s="568">
        <v>0</v>
      </c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'[62]Sch C'!D189</f>
        <v>0</v>
      </c>
      <c r="D178" s="501">
        <f>'[62]Sch C'!F189</f>
        <v>0</v>
      </c>
      <c r="E178" s="171">
        <f t="shared" si="37"/>
        <v>0</v>
      </c>
      <c r="F178" s="568">
        <v>0</v>
      </c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'[62]Sch C'!D190</f>
        <v>0</v>
      </c>
      <c r="D179" s="501">
        <f>'[62]Sch C'!F190</f>
        <v>0</v>
      </c>
      <c r="E179" s="171">
        <f t="shared" si="37"/>
        <v>0</v>
      </c>
      <c r="F179" s="568">
        <v>0</v>
      </c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'[62]Sch C'!D191</f>
        <v>0</v>
      </c>
      <c r="D180" s="501">
        <f>'[62]Sch C'!F191</f>
        <v>0</v>
      </c>
      <c r="E180" s="171">
        <f t="shared" si="37"/>
        <v>0</v>
      </c>
      <c r="F180" s="568">
        <v>0</v>
      </c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'[62]Sch C'!D192</f>
        <v>0</v>
      </c>
      <c r="D181" s="501">
        <f>'[62]Sch C'!F192</f>
        <v>0</v>
      </c>
      <c r="E181" s="171">
        <f t="shared" si="37"/>
        <v>0</v>
      </c>
      <c r="F181" s="568">
        <v>0</v>
      </c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'[62]Sch C'!D193</f>
        <v>0</v>
      </c>
      <c r="D182" s="501">
        <f>'[62]Sch C'!F193</f>
        <v>0</v>
      </c>
      <c r="E182" s="171">
        <f t="shared" si="37"/>
        <v>0</v>
      </c>
      <c r="F182" s="568">
        <v>0</v>
      </c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'[62]Sch C'!D194</f>
        <v>624095</v>
      </c>
      <c r="D183" s="501">
        <f>'[62]Sch C'!F194</f>
        <v>-3562.07</v>
      </c>
      <c r="E183" s="171">
        <f t="shared" si="37"/>
        <v>620532.93000000005</v>
      </c>
      <c r="F183" s="568">
        <v>58986.67</v>
      </c>
      <c r="G183" s="171">
        <f t="shared" si="38"/>
        <v>679519.60000000009</v>
      </c>
      <c r="H183" s="172">
        <f t="shared" si="39"/>
        <v>0.11502166486965891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'[62]Sch C'!D195</f>
        <v>76250.100000000006</v>
      </c>
      <c r="D184" s="501">
        <f>'[62]Sch C'!F195</f>
        <v>-419.07</v>
      </c>
      <c r="E184" s="171">
        <f t="shared" si="37"/>
        <v>75831.03</v>
      </c>
      <c r="F184" s="568">
        <v>4422.66</v>
      </c>
      <c r="G184" s="171">
        <f t="shared" si="38"/>
        <v>80253.69</v>
      </c>
      <c r="H184" s="172">
        <f t="shared" si="39"/>
        <v>1.3584469139276476E-2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'[62]Sch C'!D196</f>
        <v>518044.46</v>
      </c>
      <c r="D185" s="501">
        <f>'[62]Sch C'!F196</f>
        <v>-3003.32</v>
      </c>
      <c r="E185" s="171">
        <f t="shared" si="37"/>
        <v>515041.14</v>
      </c>
      <c r="F185" s="670">
        <f>49513.8-515041-49513.8</f>
        <v>-515041</v>
      </c>
      <c r="G185" s="171">
        <f t="shared" si="38"/>
        <v>0.14000000001396984</v>
      </c>
      <c r="H185" s="172">
        <f t="shared" si="39"/>
        <v>2.3697672713721694E-8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'[62]Sch C'!D197</f>
        <v>0</v>
      </c>
      <c r="D186" s="501">
        <f>'[62]Sch C'!F197</f>
        <v>0</v>
      </c>
      <c r="E186" s="171">
        <f t="shared" si="37"/>
        <v>0</v>
      </c>
      <c r="F186" s="670">
        <f>515041.14+49514</f>
        <v>564555.14</v>
      </c>
      <c r="G186" s="171">
        <f t="shared" si="38"/>
        <v>564555.14</v>
      </c>
      <c r="H186" s="172">
        <f t="shared" si="39"/>
        <v>9.5561735251673913E-2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'[62]Sch C'!D198</f>
        <v>56818.46</v>
      </c>
      <c r="D187" s="501">
        <f>'[62]Sch C'!F198</f>
        <v>0</v>
      </c>
      <c r="E187" s="171">
        <f t="shared" si="37"/>
        <v>56818.46</v>
      </c>
      <c r="F187" s="568">
        <v>6769</v>
      </c>
      <c r="G187" s="171">
        <f t="shared" si="38"/>
        <v>63587.46</v>
      </c>
      <c r="H187" s="172">
        <f t="shared" si="39"/>
        <v>1.0763391540189333E-2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'[62]Sch C'!D199</f>
        <v>0</v>
      </c>
      <c r="D188" s="501">
        <f>'[62]Sch C'!F199</f>
        <v>0</v>
      </c>
      <c r="E188" s="171">
        <f t="shared" si="37"/>
        <v>0</v>
      </c>
      <c r="F188" s="568">
        <v>0</v>
      </c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'[62]Sch C'!D200</f>
        <v>0</v>
      </c>
      <c r="D189" s="501">
        <f>'[62]Sch C'!F200</f>
        <v>0</v>
      </c>
      <c r="E189" s="171">
        <f t="shared" si="37"/>
        <v>0</v>
      </c>
      <c r="F189" s="568">
        <v>0</v>
      </c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'[62]Sch C'!D201</f>
        <v>0</v>
      </c>
      <c r="D190" s="501">
        <f>'[62]Sch C'!F201</f>
        <v>0</v>
      </c>
      <c r="E190" s="171">
        <f t="shared" si="37"/>
        <v>0</v>
      </c>
      <c r="F190" s="568">
        <v>0</v>
      </c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'[62]Sch C'!D202</f>
        <v>0</v>
      </c>
      <c r="D191" s="501">
        <f>'[62]Sch C'!F202</f>
        <v>0</v>
      </c>
      <c r="E191" s="171">
        <f t="shared" si="37"/>
        <v>0</v>
      </c>
      <c r="F191" s="568">
        <v>0</v>
      </c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'[62]Sch C'!D203</f>
        <v>0</v>
      </c>
      <c r="D192" s="501">
        <f>'[62]Sch C'!F203</f>
        <v>0</v>
      </c>
      <c r="E192" s="171">
        <f t="shared" si="37"/>
        <v>0</v>
      </c>
      <c r="F192" s="568">
        <v>0</v>
      </c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'[62]Sch C'!D204</f>
        <v>0</v>
      </c>
      <c r="D193" s="501">
        <f>'[62]Sch C'!F204</f>
        <v>0</v>
      </c>
      <c r="E193" s="171">
        <f t="shared" si="37"/>
        <v>0</v>
      </c>
      <c r="F193" s="568">
        <v>0</v>
      </c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'[62]Sch C'!D205</f>
        <v>529634.11</v>
      </c>
      <c r="D194" s="501">
        <f>'[62]Sch C'!F205</f>
        <v>-287582.49</v>
      </c>
      <c r="E194" s="171">
        <f t="shared" si="37"/>
        <v>242051.62</v>
      </c>
      <c r="F194" s="568">
        <v>22472.6</v>
      </c>
      <c r="G194" s="171">
        <f t="shared" si="38"/>
        <v>264524.21999999997</v>
      </c>
      <c r="H194" s="172">
        <f t="shared" si="39"/>
        <v>4.4775774212764304E-2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'[62]Sch C'!D206</f>
        <v>14677.39</v>
      </c>
      <c r="D195" s="501">
        <f>'[62]Sch C'!F206</f>
        <v>0</v>
      </c>
      <c r="E195" s="171">
        <f t="shared" si="37"/>
        <v>14677.39</v>
      </c>
      <c r="F195" s="568">
        <v>469.73</v>
      </c>
      <c r="G195" s="171">
        <f t="shared" si="38"/>
        <v>15147.119999999999</v>
      </c>
      <c r="H195" s="172">
        <f t="shared" si="39"/>
        <v>2.5639392305689306E-3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'[62]Sch C'!D207</f>
        <v>-14680.81</v>
      </c>
      <c r="D196" s="501">
        <f>'[62]Sch C'!F207</f>
        <v>0</v>
      </c>
      <c r="E196" s="171">
        <f t="shared" si="37"/>
        <v>-14680.81</v>
      </c>
      <c r="F196" s="568">
        <v>3594</v>
      </c>
      <c r="G196" s="171">
        <f t="shared" si="38"/>
        <v>-11086.81</v>
      </c>
      <c r="H196" s="172">
        <f t="shared" si="39"/>
        <v>-1.8766542485214302E-3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1804838.7099999997</v>
      </c>
      <c r="D197" s="501">
        <f>SUM(D164:D196)</f>
        <v>-294566.95</v>
      </c>
      <c r="E197" s="171">
        <f t="shared" ref="E197:F197" si="40">SUM(E164:E196)</f>
        <v>1510271.76</v>
      </c>
      <c r="F197" s="171">
        <f t="shared" si="40"/>
        <v>146228.80000000005</v>
      </c>
      <c r="G197" s="171">
        <f>SUM(G164:G196)</f>
        <v>1656500.56</v>
      </c>
      <c r="H197" s="172">
        <f>IF($G$208=0,0,G197/$G$208)</f>
        <v>0.28039434369328314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'[62]Sch C'!D211</f>
        <v>23284.66</v>
      </c>
      <c r="D200" s="501">
        <f>'[62]Sch C'!F211</f>
        <v>0</v>
      </c>
      <c r="E200" s="171">
        <f t="shared" ref="E200:E205" si="41">C200+D200</f>
        <v>23284.66</v>
      </c>
      <c r="F200" s="171">
        <v>2681.03</v>
      </c>
      <c r="G200" s="171">
        <f t="shared" ref="G200:G205" si="42">E200+F200</f>
        <v>25965.69</v>
      </c>
      <c r="H200" s="172">
        <f t="shared" ref="H200:H206" si="43">IF($G$208=0,0,G200/$G$208)</f>
        <v>4.3951887381754005E-3</v>
      </c>
      <c r="I200" s="473"/>
      <c r="J200" s="183">
        <f>1591.07+149</f>
        <v>1740.07</v>
      </c>
      <c r="K200" s="183">
        <f>1741.07+165</f>
        <v>1906.07</v>
      </c>
    </row>
    <row r="201" spans="1:14" s="167" customFormat="1">
      <c r="A201" s="169" t="s">
        <v>86</v>
      </c>
      <c r="B201" s="170" t="s">
        <v>45</v>
      </c>
      <c r="C201" s="501">
        <f>'[62]Sch C'!D212</f>
        <v>17106.75</v>
      </c>
      <c r="D201" s="501">
        <f>'[62]Sch C'!F212</f>
        <v>0</v>
      </c>
      <c r="E201" s="171">
        <f t="shared" si="41"/>
        <v>17106.75</v>
      </c>
      <c r="F201" s="171">
        <v>2310.4</v>
      </c>
      <c r="G201" s="171">
        <f t="shared" si="42"/>
        <v>19417.150000000001</v>
      </c>
      <c r="H201" s="172">
        <f t="shared" si="43"/>
        <v>3.2867233263380443E-3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'[62]Sch C'!D213</f>
        <v>32111.95</v>
      </c>
      <c r="D202" s="501">
        <f>'[62]Sch C'!F213</f>
        <v>0</v>
      </c>
      <c r="E202" s="171">
        <f t="shared" si="41"/>
        <v>32111.95</v>
      </c>
      <c r="F202" s="171">
        <v>4063.66</v>
      </c>
      <c r="G202" s="171">
        <f t="shared" si="42"/>
        <v>36175.61</v>
      </c>
      <c r="H202" s="172">
        <f t="shared" si="43"/>
        <v>6.1234126136692464E-3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'[62]Sch C'!D214</f>
        <v>0</v>
      </c>
      <c r="D203" s="501">
        <f>'[62]Sch C'!F214</f>
        <v>0</v>
      </c>
      <c r="E203" s="171">
        <f t="shared" si="41"/>
        <v>0</v>
      </c>
      <c r="F203" s="171">
        <v>0</v>
      </c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'[62]Sch C'!D215</f>
        <v>0</v>
      </c>
      <c r="D204" s="501">
        <f>'[62]Sch C'!F215</f>
        <v>0</v>
      </c>
      <c r="E204" s="171">
        <f t="shared" si="41"/>
        <v>0</v>
      </c>
      <c r="F204" s="171">
        <v>0</v>
      </c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'[62]Sch C'!D216</f>
        <v>957.74</v>
      </c>
      <c r="D205" s="501">
        <f>'[62]Sch C'!F216</f>
        <v>0</v>
      </c>
      <c r="E205" s="171">
        <f t="shared" si="41"/>
        <v>957.74</v>
      </c>
      <c r="F205" s="171">
        <v>0</v>
      </c>
      <c r="G205" s="171">
        <f t="shared" si="42"/>
        <v>957.74</v>
      </c>
      <c r="H205" s="172">
        <f t="shared" si="43"/>
        <v>1.6211577901839344E-4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73461.100000000006</v>
      </c>
      <c r="D206" s="501">
        <f>SUM(D200:D205)</f>
        <v>0</v>
      </c>
      <c r="E206" s="171">
        <f t="shared" ref="E206:F206" si="44">SUM(E200:E205)</f>
        <v>73461.100000000006</v>
      </c>
      <c r="F206" s="171">
        <f t="shared" si="44"/>
        <v>9055.09</v>
      </c>
      <c r="G206" s="171">
        <f>SUM(G200:G205)</f>
        <v>82516.19</v>
      </c>
      <c r="H206" s="172">
        <f t="shared" si="43"/>
        <v>1.3967440457201085E-2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5987598.3999999985</v>
      </c>
      <c r="D208" s="501">
        <f>SUM(D25:D206)/2</f>
        <v>-527432.25566448527</v>
      </c>
      <c r="E208" s="171">
        <f t="shared" ref="E208:F208" si="45">SUM(E25:E206)/2</f>
        <v>5460166.1443355139</v>
      </c>
      <c r="F208" s="171">
        <f t="shared" si="45"/>
        <v>447586.9800000001</v>
      </c>
      <c r="G208" s="171">
        <f>SUM(G25:G206)/2</f>
        <v>5907753.1243355162</v>
      </c>
      <c r="H208" s="172">
        <f>IF($G$208=0,0,G208/$G$208)</f>
        <v>1</v>
      </c>
      <c r="I208" s="473"/>
      <c r="J208" s="183">
        <f>SUM(J25:J200)</f>
        <v>87695.12000000001</v>
      </c>
      <c r="K208" s="183">
        <f>SUM(K25:K200)</f>
        <v>94134.080000000016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'[62]Sch C'!D221</f>
        <v>5987598.4699999997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-7.0000001229345798E-2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-15547.099999996834</v>
      </c>
      <c r="D215" s="501">
        <f>D21-D208</f>
        <v>527432.25566448527</v>
      </c>
      <c r="E215" s="171">
        <f t="shared" ref="E215:F215" si="46">E21-E208</f>
        <v>511885.15566448681</v>
      </c>
      <c r="F215" s="171">
        <f t="shared" si="46"/>
        <v>-525631.63000000012</v>
      </c>
      <c r="G215" s="171">
        <f>G21-G208</f>
        <v>-13746.474335515872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'[62]Sch D'!C9</f>
        <v>1619</v>
      </c>
      <c r="D219" s="530"/>
      <c r="E219" s="234">
        <f t="shared" ref="E219:G227" si="47">C219+D219</f>
        <v>1619</v>
      </c>
      <c r="F219" s="233">
        <v>143</v>
      </c>
      <c r="G219" s="234">
        <f t="shared" si="47"/>
        <v>1762</v>
      </c>
      <c r="H219" s="172">
        <f t="shared" ref="H219:H228" si="48">IF($G$228=0,0,G219/$G$228)</f>
        <v>0.14356717998859284</v>
      </c>
      <c r="I219" s="473"/>
      <c r="J219" s="168"/>
      <c r="K219" s="168"/>
    </row>
    <row r="220" spans="1:11">
      <c r="A220" s="163"/>
      <c r="B220" s="170" t="s">
        <v>217</v>
      </c>
      <c r="C220" s="530">
        <f>'[62]Sch D'!D9</f>
        <v>0</v>
      </c>
      <c r="D220" s="530"/>
      <c r="E220" s="234">
        <f t="shared" ref="E220:E227" si="49">C220+D220</f>
        <v>0</v>
      </c>
      <c r="F220" s="233">
        <v>0</v>
      </c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'[62]Sch D'!E9</f>
        <v>4231</v>
      </c>
      <c r="D221" s="530"/>
      <c r="E221" s="234">
        <f t="shared" si="49"/>
        <v>4231</v>
      </c>
      <c r="F221" s="233">
        <v>395</v>
      </c>
      <c r="G221" s="234">
        <f t="shared" si="47"/>
        <v>4626</v>
      </c>
      <c r="H221" s="172">
        <f t="shared" si="48"/>
        <v>0.37692495722317282</v>
      </c>
      <c r="I221" s="473"/>
      <c r="J221" s="168"/>
      <c r="K221" s="168"/>
    </row>
    <row r="222" spans="1:11">
      <c r="A222" s="163"/>
      <c r="B222" s="202" t="s">
        <v>334</v>
      </c>
      <c r="C222" s="530">
        <f>'[62]Sch D'!F9</f>
        <v>2797</v>
      </c>
      <c r="D222" s="530"/>
      <c r="E222" s="234">
        <f>C222+D222</f>
        <v>2797</v>
      </c>
      <c r="F222" s="233">
        <v>315</v>
      </c>
      <c r="G222" s="234">
        <f>E222+F222</f>
        <v>3112</v>
      </c>
      <c r="H222" s="172">
        <f t="shared" si="48"/>
        <v>0.2535647355984682</v>
      </c>
      <c r="I222" s="473"/>
      <c r="J222" s="168"/>
      <c r="K222" s="168"/>
    </row>
    <row r="223" spans="1:11">
      <c r="A223" s="163"/>
      <c r="B223" s="170" t="s">
        <v>73</v>
      </c>
      <c r="C223" s="530">
        <f>'[62]Sch D'!G9</f>
        <v>0</v>
      </c>
      <c r="D223" s="530"/>
      <c r="E223" s="234">
        <f t="shared" si="49"/>
        <v>0</v>
      </c>
      <c r="F223" s="233">
        <v>0</v>
      </c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'[62]Sch D'!H9</f>
        <v>1911</v>
      </c>
      <c r="D224" s="530"/>
      <c r="E224" s="234">
        <f t="shared" si="49"/>
        <v>1911</v>
      </c>
      <c r="F224" s="233">
        <v>0</v>
      </c>
      <c r="G224" s="234">
        <f t="shared" si="47"/>
        <v>1911</v>
      </c>
      <c r="H224" s="172">
        <f t="shared" si="48"/>
        <v>0.15570765094109021</v>
      </c>
      <c r="I224" s="473"/>
      <c r="J224" s="168"/>
      <c r="K224" s="168"/>
    </row>
    <row r="225" spans="1:11">
      <c r="A225" s="163"/>
      <c r="B225" s="170" t="s">
        <v>236</v>
      </c>
      <c r="C225" s="530">
        <f>'[62]Sch D'!I9</f>
        <v>343</v>
      </c>
      <c r="D225" s="530"/>
      <c r="E225" s="234">
        <f t="shared" si="49"/>
        <v>343</v>
      </c>
      <c r="F225" s="233">
        <v>79</v>
      </c>
      <c r="G225" s="234">
        <f t="shared" si="47"/>
        <v>422</v>
      </c>
      <c r="H225" s="172">
        <f t="shared" si="48"/>
        <v>3.4384421086938809E-2</v>
      </c>
      <c r="I225" s="473"/>
      <c r="J225" s="168"/>
      <c r="K225" s="168"/>
    </row>
    <row r="226" spans="1:11">
      <c r="A226" s="163"/>
      <c r="B226" s="170" t="s">
        <v>235</v>
      </c>
      <c r="C226" s="530">
        <f>'[62]Sch D'!J9</f>
        <v>348</v>
      </c>
      <c r="D226" s="530"/>
      <c r="E226" s="234">
        <f>C226+D226</f>
        <v>348</v>
      </c>
      <c r="F226" s="233">
        <v>0</v>
      </c>
      <c r="G226" s="234">
        <f>E226+F226</f>
        <v>348</v>
      </c>
      <c r="H226" s="172">
        <f t="shared" si="48"/>
        <v>2.8354925446101197E-2</v>
      </c>
      <c r="I226" s="473"/>
      <c r="J226" s="168"/>
      <c r="K226" s="168"/>
    </row>
    <row r="227" spans="1:11">
      <c r="A227" s="163"/>
      <c r="B227" s="170" t="s">
        <v>179</v>
      </c>
      <c r="C227" s="530">
        <f>'[62]Sch D'!K9</f>
        <v>0</v>
      </c>
      <c r="D227" s="530"/>
      <c r="E227" s="234">
        <f t="shared" si="49"/>
        <v>0</v>
      </c>
      <c r="F227" s="233">
        <v>92</v>
      </c>
      <c r="G227" s="234">
        <f t="shared" si="47"/>
        <v>92</v>
      </c>
      <c r="H227" s="172">
        <f t="shared" si="48"/>
        <v>7.4961297156359488E-3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11249</v>
      </c>
      <c r="D228" s="530">
        <f>SUM(D219:D227)</f>
        <v>0</v>
      </c>
      <c r="E228" s="236">
        <f>SUM(E219:E227)</f>
        <v>11249</v>
      </c>
      <c r="F228" s="236">
        <f>SUM(F219:F227)</f>
        <v>1024</v>
      </c>
      <c r="G228" s="236">
        <f>SUM(G219:G227)</f>
        <v>12273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'[62]Sch D'!N22</f>
        <v>40</v>
      </c>
      <c r="D231" s="502"/>
      <c r="E231" s="234">
        <f>C231+D231</f>
        <v>40</v>
      </c>
      <c r="F231" s="234"/>
      <c r="G231" s="234">
        <f>E231+F231</f>
        <v>40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'[62]Sch D'!N24</f>
        <v>10</v>
      </c>
      <c r="D232" s="502"/>
      <c r="E232" s="234">
        <f>C232+D232</f>
        <v>10</v>
      </c>
      <c r="F232" s="234"/>
      <c r="G232" s="234">
        <f>E232+F232</f>
        <v>10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336</v>
      </c>
      <c r="D233" s="438"/>
      <c r="E233" s="234">
        <f>C233+D233</f>
        <v>336</v>
      </c>
      <c r="F233" s="540">
        <v>29</v>
      </c>
      <c r="G233" s="234">
        <f>E233+F233</f>
        <v>365</v>
      </c>
      <c r="H233" s="167" t="s">
        <v>544</v>
      </c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'[62]Sch D'!N28</f>
        <v>13440</v>
      </c>
      <c r="D235" s="438"/>
      <c r="E235" s="233">
        <f>E231*E233</f>
        <v>13440</v>
      </c>
      <c r="F235" s="238"/>
      <c r="G235" s="233">
        <f>G231*G233</f>
        <v>14600</v>
      </c>
      <c r="H235" s="167" t="s">
        <v>545</v>
      </c>
      <c r="I235" s="475"/>
      <c r="J235" s="168"/>
      <c r="K235" s="168"/>
    </row>
    <row r="236" spans="1:11" ht="26">
      <c r="A236" s="163"/>
      <c r="B236" s="241" t="s">
        <v>336</v>
      </c>
      <c r="C236" s="532">
        <f>'[62]Sch D'!N30</f>
        <v>0.83697916666666672</v>
      </c>
      <c r="D236" s="238"/>
      <c r="E236" s="242">
        <f>E228/E235</f>
        <v>0.83697916666666672</v>
      </c>
      <c r="F236" s="243"/>
      <c r="G236" s="242">
        <f>G228/G235</f>
        <v>0.8406164383561644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'[62]Sch D'!N32</f>
        <v>0.12046130952380953</v>
      </c>
      <c r="D237" s="238"/>
      <c r="E237" s="242">
        <f>(E219+E220)/E235</f>
        <v>0.12046130952380953</v>
      </c>
      <c r="F237" s="243"/>
      <c r="G237" s="242">
        <f>(G219+G220)/G235</f>
        <v>0.12068493150684932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'[62]Sch D'!N34</f>
        <v>0.14392390434705307</v>
      </c>
      <c r="D238" s="238"/>
      <c r="E238" s="242">
        <f>(E237/E236)</f>
        <v>0.14392390434705307</v>
      </c>
      <c r="F238" s="243"/>
      <c r="G238" s="242">
        <f>(G237/G236)</f>
        <v>0.14356717998859286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v>442.04011428571425</v>
      </c>
      <c r="I241" s="475"/>
    </row>
    <row r="242" spans="2:9">
      <c r="F242" s="142" t="s">
        <v>341</v>
      </c>
      <c r="G242" s="501">
        <v>541.37400494437588</v>
      </c>
      <c r="I242" s="475"/>
    </row>
    <row r="243" spans="2:9">
      <c r="F243" s="142" t="s">
        <v>342</v>
      </c>
      <c r="G243" s="501">
        <v>544.58814671814673</v>
      </c>
      <c r="I243" s="475"/>
    </row>
    <row r="244" spans="2:9">
      <c r="F244" s="142" t="s">
        <v>343</v>
      </c>
      <c r="G244" s="501">
        <v>543.24807692307695</v>
      </c>
      <c r="H244" s="140" t="s">
        <v>608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E28CAB"/>
  </sheetPr>
  <dimension ref="A1:AA246"/>
  <sheetViews>
    <sheetView showGridLines="0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434</v>
      </c>
      <c r="D2" s="244"/>
      <c r="E2" s="144"/>
      <c r="F2" s="421"/>
    </row>
    <row r="3" spans="1:11" ht="15.5">
      <c r="A3" s="145"/>
      <c r="B3" s="140" t="s">
        <v>79</v>
      </c>
      <c r="C3" s="146">
        <v>42552</v>
      </c>
      <c r="D3" s="144"/>
      <c r="E3" s="147"/>
      <c r="F3"/>
    </row>
    <row r="4" spans="1:11" ht="15.5">
      <c r="A4" s="145"/>
      <c r="B4" s="148" t="s">
        <v>80</v>
      </c>
      <c r="C4" s="146">
        <v>42916</v>
      </c>
      <c r="D4" s="144"/>
      <c r="E4" s="149"/>
      <c r="F4"/>
      <c r="G4" s="150"/>
    </row>
    <row r="5" spans="1:11" ht="15.5">
      <c r="A5" s="145"/>
      <c r="B5" s="148"/>
      <c r="C5" s="151"/>
      <c r="D5" s="144"/>
      <c r="F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5.5" thickBot="1">
      <c r="A10" s="163" t="s">
        <v>245</v>
      </c>
      <c r="B10" s="164" t="s">
        <v>246</v>
      </c>
      <c r="C10" s="165"/>
      <c r="D10" s="165"/>
      <c r="E10" s="165"/>
      <c r="F10" s="416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'[63]Sch B'!E10</f>
        <v>2653993.7800000003</v>
      </c>
      <c r="D11" s="501">
        <f>'[63]Sch B'!G10</f>
        <v>718948.93</v>
      </c>
      <c r="E11" s="171">
        <f>C11+D11</f>
        <v>3372942.7100000004</v>
      </c>
      <c r="F11" s="171">
        <v>1445661</v>
      </c>
      <c r="G11" s="171">
        <f t="shared" ref="G11:G20" si="0">E11+F11</f>
        <v>4818603.7100000009</v>
      </c>
      <c r="H11" s="172">
        <f t="shared" ref="H11:H21" si="1">IF($G$21=0,0,G11/$G$21)</f>
        <v>0.81636401371257383</v>
      </c>
      <c r="I11" s="472"/>
      <c r="J11" s="336" t="s">
        <v>344</v>
      </c>
      <c r="K11" s="337">
        <f>G21</f>
        <v>5902518.5199999996</v>
      </c>
    </row>
    <row r="12" spans="1:11" s="167" customFormat="1">
      <c r="A12" s="169" t="s">
        <v>15</v>
      </c>
      <c r="B12" s="170" t="s">
        <v>212</v>
      </c>
      <c r="C12" s="501">
        <f>'[63]Sch B'!E15</f>
        <v>0</v>
      </c>
      <c r="D12" s="501">
        <f>'[63]Sch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6349678.6400000006</v>
      </c>
    </row>
    <row r="13" spans="1:11" s="167" customFormat="1">
      <c r="A13" s="169" t="s">
        <v>16</v>
      </c>
      <c r="B13" s="170" t="s">
        <v>170</v>
      </c>
      <c r="C13" s="501">
        <f>'[63]Sch B'!E21</f>
        <v>2810549.9799999995</v>
      </c>
      <c r="D13" s="501">
        <f>'[63]Sch B'!G21</f>
        <v>0</v>
      </c>
      <c r="E13" s="171">
        <f t="shared" si="2"/>
        <v>2810549.9799999995</v>
      </c>
      <c r="F13" s="171"/>
      <c r="G13" s="171">
        <f t="shared" si="0"/>
        <v>2810549.9799999995</v>
      </c>
      <c r="H13" s="172">
        <f t="shared" si="1"/>
        <v>0.47616114553080635</v>
      </c>
      <c r="I13" s="473"/>
      <c r="J13" s="338" t="s">
        <v>346</v>
      </c>
      <c r="K13" s="339">
        <f>G228</f>
        <v>22548</v>
      </c>
    </row>
    <row r="14" spans="1:11" s="167" customFormat="1">
      <c r="A14" s="173" t="s">
        <v>18</v>
      </c>
      <c r="B14" s="174" t="s">
        <v>306</v>
      </c>
      <c r="C14" s="501">
        <f>'[63]Sch B'!E27</f>
        <v>478125.13</v>
      </c>
      <c r="D14" s="501">
        <f>'[63]Sch B'!G27</f>
        <v>0</v>
      </c>
      <c r="E14" s="171">
        <f t="shared" si="2"/>
        <v>478125.13</v>
      </c>
      <c r="F14" s="171"/>
      <c r="G14" s="175">
        <f>E14+F14</f>
        <v>478125.13</v>
      </c>
      <c r="H14" s="176">
        <f t="shared" si="1"/>
        <v>8.1003579807488693E-2</v>
      </c>
      <c r="I14" s="479"/>
      <c r="J14" s="338" t="s">
        <v>347</v>
      </c>
      <c r="K14" s="339">
        <f>G231</f>
        <v>104</v>
      </c>
    </row>
    <row r="15" spans="1:11" s="167" customFormat="1">
      <c r="A15" s="169" t="s">
        <v>19</v>
      </c>
      <c r="B15" s="170" t="s">
        <v>171</v>
      </c>
      <c r="C15" s="501">
        <f>'[63]Sch B'!E32</f>
        <v>0</v>
      </c>
      <c r="D15" s="501">
        <f>'[63]Sch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37960</v>
      </c>
    </row>
    <row r="16" spans="1:11" s="167" customFormat="1">
      <c r="A16" s="169" t="s">
        <v>21</v>
      </c>
      <c r="B16" s="170" t="s">
        <v>172</v>
      </c>
      <c r="C16" s="501">
        <f>'[63]Sch B'!E37</f>
        <v>465576.51</v>
      </c>
      <c r="D16" s="501">
        <f>'[63]Sch B'!G37</f>
        <v>0</v>
      </c>
      <c r="E16" s="171">
        <f t="shared" si="2"/>
        <v>465576.51</v>
      </c>
      <c r="F16" s="171"/>
      <c r="G16" s="171">
        <f t="shared" si="0"/>
        <v>465576.51</v>
      </c>
      <c r="H16" s="172">
        <f t="shared" si="1"/>
        <v>7.8877602572943739E-2</v>
      </c>
      <c r="I16" s="473"/>
      <c r="J16" s="340"/>
      <c r="K16" s="339"/>
    </row>
    <row r="17" spans="1:24" s="167" customFormat="1">
      <c r="A17" s="169" t="s">
        <v>215</v>
      </c>
      <c r="B17" s="170" t="s">
        <v>228</v>
      </c>
      <c r="C17" s="501">
        <f>'[63]Sch B'!E42</f>
        <v>0</v>
      </c>
      <c r="D17" s="501">
        <f>'[63]Sch B'!G42</f>
        <v>110167.26</v>
      </c>
      <c r="E17" s="171">
        <f t="shared" si="2"/>
        <v>110167.26</v>
      </c>
      <c r="F17" s="171"/>
      <c r="G17" s="171">
        <f>E17+F17</f>
        <v>110167.26</v>
      </c>
      <c r="H17" s="172">
        <f t="shared" si="1"/>
        <v>1.86644496966356E-2</v>
      </c>
      <c r="I17" s="473"/>
      <c r="J17" s="338" t="s">
        <v>156</v>
      </c>
      <c r="K17" s="339">
        <f>J208</f>
        <v>158378.85</v>
      </c>
    </row>
    <row r="18" spans="1:24" s="167" customFormat="1" ht="13.5" thickBot="1">
      <c r="A18" s="169" t="s">
        <v>216</v>
      </c>
      <c r="B18" s="170" t="s">
        <v>229</v>
      </c>
      <c r="C18" s="501">
        <f>'[63]Sch B'!E47</f>
        <v>164161.11000000002</v>
      </c>
      <c r="D18" s="501">
        <f>'[63]Sch B'!G47</f>
        <v>-110167.26</v>
      </c>
      <c r="E18" s="171">
        <f t="shared" si="2"/>
        <v>53993.85000000002</v>
      </c>
      <c r="F18" s="171"/>
      <c r="G18" s="171">
        <f>E18+F18</f>
        <v>53993.85000000002</v>
      </c>
      <c r="H18" s="172">
        <f t="shared" si="1"/>
        <v>9.1475951861985892E-3</v>
      </c>
      <c r="I18" s="473"/>
      <c r="J18" s="341" t="s">
        <v>252</v>
      </c>
      <c r="K18" s="342">
        <f>K208</f>
        <v>168082.63999999998</v>
      </c>
    </row>
    <row r="19" spans="1:24" s="167" customFormat="1">
      <c r="A19" s="169" t="s">
        <v>227</v>
      </c>
      <c r="B19" s="177" t="s">
        <v>173</v>
      </c>
      <c r="C19" s="501">
        <f>'[63]Sch B'!E52</f>
        <v>0</v>
      </c>
      <c r="D19" s="501">
        <f>'[63]Sch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24" s="167" customFormat="1">
      <c r="A20" s="169" t="s">
        <v>183</v>
      </c>
      <c r="B20" s="23" t="s">
        <v>180</v>
      </c>
      <c r="C20" s="501">
        <f>'[63]Sch B'!E67</f>
        <v>-2834497.92</v>
      </c>
      <c r="D20" s="501">
        <f>'[63]Sch B'!G67</f>
        <v>0</v>
      </c>
      <c r="E20" s="171">
        <f t="shared" si="2"/>
        <v>-2834497.92</v>
      </c>
      <c r="F20" s="171"/>
      <c r="G20" s="171">
        <f t="shared" si="0"/>
        <v>-2834497.92</v>
      </c>
      <c r="H20" s="172">
        <f t="shared" si="1"/>
        <v>-0.48021838650664667</v>
      </c>
      <c r="I20" s="473"/>
      <c r="J20" s="168"/>
      <c r="K20" s="168"/>
    </row>
    <row r="21" spans="1:24" s="167" customFormat="1">
      <c r="A21" s="169"/>
      <c r="B21" s="178" t="s">
        <v>77</v>
      </c>
      <c r="C21" s="501">
        <f>SUM(C11:C20)</f>
        <v>3737908.59</v>
      </c>
      <c r="D21" s="501">
        <f>SUM(D11:D20)</f>
        <v>718948.93</v>
      </c>
      <c r="E21" s="171">
        <f>SUM(E11:E20)</f>
        <v>4456857.5199999986</v>
      </c>
      <c r="F21" s="171">
        <f>SUM(F11:F20)</f>
        <v>1445661</v>
      </c>
      <c r="G21" s="171">
        <f>SUM(G11:G20)</f>
        <v>5902518.5199999996</v>
      </c>
      <c r="H21" s="172">
        <f t="shared" si="1"/>
        <v>1</v>
      </c>
      <c r="I21" s="473"/>
      <c r="J21" s="168"/>
      <c r="K21" s="168"/>
    </row>
    <row r="22" spans="1:24" ht="12" customHeight="1">
      <c r="A22" s="145"/>
      <c r="B22" s="179"/>
      <c r="C22" s="151"/>
      <c r="D22" s="144"/>
      <c r="F22" s="144"/>
      <c r="G22" s="144"/>
      <c r="I22" s="475"/>
      <c r="J22" s="491"/>
    </row>
    <row r="23" spans="1:24" ht="26">
      <c r="A23" s="180" t="s">
        <v>231</v>
      </c>
      <c r="B23" s="179" t="s">
        <v>222</v>
      </c>
      <c r="C23" s="151"/>
      <c r="D23" s="144"/>
      <c r="F23" s="144"/>
      <c r="G23" s="144"/>
      <c r="I23" s="475"/>
      <c r="U23" s="140" t="s">
        <v>393</v>
      </c>
      <c r="W23" s="140" t="s">
        <v>414</v>
      </c>
    </row>
    <row r="24" spans="1:24">
      <c r="A24" s="181" t="s">
        <v>161</v>
      </c>
      <c r="B24" s="148" t="s">
        <v>12</v>
      </c>
      <c r="I24" s="475"/>
      <c r="U24" s="140" t="s">
        <v>412</v>
      </c>
      <c r="V24" s="140" t="s">
        <v>413</v>
      </c>
      <c r="W24" s="140" t="s">
        <v>406</v>
      </c>
      <c r="X24" s="140" t="s">
        <v>407</v>
      </c>
    </row>
    <row r="25" spans="1:24" s="167" customFormat="1">
      <c r="A25" s="169" t="s">
        <v>83</v>
      </c>
      <c r="B25" s="170" t="s">
        <v>14</v>
      </c>
      <c r="C25" s="501">
        <f>'[63]Sch C'!D10</f>
        <v>0</v>
      </c>
      <c r="D25" s="501">
        <f>'[63]Sch C'!F10</f>
        <v>65548.62</v>
      </c>
      <c r="E25" s="171">
        <f t="shared" ref="E25:E60" si="3">C25+D25</f>
        <v>65548.62</v>
      </c>
      <c r="F25" s="171"/>
      <c r="G25" s="182">
        <f>E25+F25</f>
        <v>65548.62</v>
      </c>
      <c r="H25" s="172">
        <f>IF($G$208=0,0,G25/$G$208)</f>
        <v>1.0323139754990811E-2</v>
      </c>
      <c r="I25" s="473"/>
      <c r="J25" s="183">
        <v>1984</v>
      </c>
      <c r="K25" s="183">
        <v>2080</v>
      </c>
      <c r="U25" s="183">
        <v>1077.1600000000001</v>
      </c>
      <c r="V25" s="183">
        <v>1178.76</v>
      </c>
      <c r="W25" s="439">
        <v>665.64</v>
      </c>
      <c r="X25" s="439">
        <v>728</v>
      </c>
    </row>
    <row r="26" spans="1:24" s="167" customFormat="1">
      <c r="A26" s="169" t="s">
        <v>84</v>
      </c>
      <c r="B26" s="170" t="s">
        <v>176</v>
      </c>
      <c r="C26" s="501">
        <f>'[63]Sch C'!D11</f>
        <v>0</v>
      </c>
      <c r="D26" s="501">
        <f>'[63]Sch C'!F11</f>
        <v>6934.15</v>
      </c>
      <c r="E26" s="171">
        <f t="shared" si="3"/>
        <v>6934.15</v>
      </c>
      <c r="F26" s="171"/>
      <c r="G26" s="171">
        <f t="shared" ref="G26:G60" si="4">E26+F26</f>
        <v>6934.15</v>
      </c>
      <c r="H26" s="184">
        <f t="shared" ref="H26:H61" si="5">IF($G$208=0,0,G26/$G$208)</f>
        <v>1.0920473921810945E-3</v>
      </c>
      <c r="I26" s="473"/>
      <c r="J26" s="183">
        <v>0</v>
      </c>
      <c r="K26" s="183">
        <v>0</v>
      </c>
      <c r="U26" s="183">
        <v>0</v>
      </c>
      <c r="V26" s="183">
        <v>0</v>
      </c>
      <c r="W26" s="439">
        <v>0</v>
      </c>
      <c r="X26" s="439">
        <v>0</v>
      </c>
    </row>
    <row r="27" spans="1:24" s="167" customFormat="1">
      <c r="A27" s="169" t="s">
        <v>85</v>
      </c>
      <c r="B27" s="170" t="s">
        <v>17</v>
      </c>
      <c r="C27" s="501">
        <f>'[63]Sch C'!D12</f>
        <v>155681.93</v>
      </c>
      <c r="D27" s="501">
        <f>'[63]Sch C'!F12</f>
        <v>0</v>
      </c>
      <c r="E27" s="171">
        <f t="shared" si="3"/>
        <v>155681.93</v>
      </c>
      <c r="F27" s="171"/>
      <c r="G27" s="171">
        <f t="shared" si="4"/>
        <v>155681.93</v>
      </c>
      <c r="H27" s="172">
        <f t="shared" si="5"/>
        <v>2.4518080177991494E-2</v>
      </c>
      <c r="I27" s="473"/>
      <c r="J27" s="183">
        <v>6124.14</v>
      </c>
      <c r="K27" s="183">
        <v>7607.8</v>
      </c>
      <c r="U27" s="185">
        <v>2121.12</v>
      </c>
      <c r="V27" s="185">
        <v>2346.66</v>
      </c>
      <c r="W27" s="439">
        <v>1820.596</v>
      </c>
      <c r="X27" s="439">
        <v>2141.6819999999998</v>
      </c>
    </row>
    <row r="28" spans="1:24" s="167" customFormat="1">
      <c r="A28" s="169" t="s">
        <v>86</v>
      </c>
      <c r="B28" s="170" t="s">
        <v>45</v>
      </c>
      <c r="C28" s="501">
        <f>'[63]Sch C'!D13</f>
        <v>54017.77</v>
      </c>
      <c r="D28" s="501">
        <f>'[63]Sch C'!F13</f>
        <v>0</v>
      </c>
      <c r="E28" s="171">
        <f t="shared" si="3"/>
        <v>54017.77</v>
      </c>
      <c r="F28" s="171"/>
      <c r="G28" s="171">
        <f t="shared" si="4"/>
        <v>54017.77</v>
      </c>
      <c r="H28" s="172">
        <f t="shared" si="5"/>
        <v>8.5071659626541341E-3</v>
      </c>
      <c r="I28" s="473"/>
      <c r="J28" s="168"/>
      <c r="K28" s="168"/>
      <c r="U28" s="168"/>
      <c r="V28" s="168"/>
      <c r="W28" s="461"/>
      <c r="X28" s="461"/>
    </row>
    <row r="29" spans="1:24" s="167" customFormat="1">
      <c r="A29" s="169" t="s">
        <v>175</v>
      </c>
      <c r="B29" s="170" t="s">
        <v>20</v>
      </c>
      <c r="C29" s="501">
        <f>'[63]Sch C'!D14</f>
        <v>0</v>
      </c>
      <c r="D29" s="501">
        <f>'[63]Sch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  <c r="U29" s="168"/>
      <c r="V29" s="168"/>
      <c r="W29" s="461"/>
      <c r="X29" s="461"/>
    </row>
    <row r="30" spans="1:24" s="167" customFormat="1">
      <c r="A30" s="169" t="s">
        <v>88</v>
      </c>
      <c r="B30" s="170" t="s">
        <v>22</v>
      </c>
      <c r="C30" s="501">
        <f>'[63]Sch C'!D15</f>
        <v>0</v>
      </c>
      <c r="D30" s="501">
        <f>'[63]Sch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  <c r="U30" s="168"/>
      <c r="V30" s="168"/>
      <c r="W30" s="461"/>
      <c r="X30" s="461"/>
    </row>
    <row r="31" spans="1:24" s="167" customFormat="1">
      <c r="A31" s="169" t="s">
        <v>89</v>
      </c>
      <c r="B31" s="170" t="s">
        <v>148</v>
      </c>
      <c r="C31" s="501">
        <f>'[63]Sch C'!D16</f>
        <v>444017.71</v>
      </c>
      <c r="D31" s="501">
        <f>'[63]Sch C'!F16</f>
        <v>-135405</v>
      </c>
      <c r="E31" s="171">
        <f t="shared" si="3"/>
        <v>308612.71000000002</v>
      </c>
      <c r="F31" s="171"/>
      <c r="G31" s="171">
        <f t="shared" si="4"/>
        <v>308612.71000000002</v>
      </c>
      <c r="H31" s="172">
        <f t="shared" si="5"/>
        <v>4.8602886460408334E-2</v>
      </c>
      <c r="I31" s="473"/>
      <c r="J31" s="168"/>
      <c r="K31" s="168"/>
      <c r="U31" s="168"/>
      <c r="V31" s="168"/>
      <c r="W31" s="461"/>
      <c r="X31" s="461"/>
    </row>
    <row r="32" spans="1:24" s="167" customFormat="1">
      <c r="A32" s="169" t="s">
        <v>90</v>
      </c>
      <c r="B32" s="170" t="s">
        <v>23</v>
      </c>
      <c r="C32" s="501">
        <f>'[63]Sch C'!D17</f>
        <v>15172.48</v>
      </c>
      <c r="D32" s="501">
        <f>'[63]Sch C'!F17</f>
        <v>-15172.48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  <c r="U32" s="168"/>
      <c r="V32" s="168"/>
      <c r="W32" s="461"/>
      <c r="X32" s="461"/>
    </row>
    <row r="33" spans="1:24" s="167" customFormat="1">
      <c r="A33" s="169" t="s">
        <v>91</v>
      </c>
      <c r="B33" s="170" t="s">
        <v>24</v>
      </c>
      <c r="C33" s="501">
        <f>'[63]Sch C'!D18</f>
        <v>10152.719999999999</v>
      </c>
      <c r="D33" s="501">
        <f>'[63]Sch C'!F18</f>
        <v>0</v>
      </c>
      <c r="E33" s="171">
        <f t="shared" si="3"/>
        <v>10152.719999999999</v>
      </c>
      <c r="F33" s="171"/>
      <c r="G33" s="171">
        <f t="shared" si="4"/>
        <v>10152.719999999999</v>
      </c>
      <c r="H33" s="172">
        <f t="shared" si="5"/>
        <v>1.5989344619808978E-3</v>
      </c>
      <c r="I33" s="473"/>
      <c r="J33" s="168"/>
      <c r="K33" s="168"/>
      <c r="U33" s="168"/>
      <c r="V33" s="168"/>
      <c r="W33" s="461"/>
      <c r="X33" s="461"/>
    </row>
    <row r="34" spans="1:24" s="167" customFormat="1">
      <c r="A34" s="169" t="s">
        <v>92</v>
      </c>
      <c r="B34" s="170" t="s">
        <v>25</v>
      </c>
      <c r="C34" s="501">
        <f>'[63]Sch C'!D19</f>
        <v>24730.99</v>
      </c>
      <c r="D34" s="501">
        <f>'[63]Sch C'!F19</f>
        <v>0</v>
      </c>
      <c r="E34" s="171">
        <f t="shared" si="3"/>
        <v>24730.99</v>
      </c>
      <c r="F34" s="171"/>
      <c r="G34" s="171">
        <f t="shared" si="4"/>
        <v>24730.99</v>
      </c>
      <c r="H34" s="172">
        <f t="shared" si="5"/>
        <v>3.8948412041211584E-3</v>
      </c>
      <c r="I34" s="473"/>
      <c r="J34" s="168"/>
      <c r="K34" s="168"/>
      <c r="U34" s="168"/>
      <c r="V34" s="168"/>
      <c r="W34" s="461"/>
      <c r="X34" s="461"/>
    </row>
    <row r="35" spans="1:24" s="167" customFormat="1">
      <c r="A35" s="169" t="s">
        <v>93</v>
      </c>
      <c r="B35" s="170" t="s">
        <v>26</v>
      </c>
      <c r="C35" s="501">
        <f>'[63]Sch C'!D20</f>
        <v>24915.360000000001</v>
      </c>
      <c r="D35" s="501">
        <f>'[63]Sch C'!F20</f>
        <v>0</v>
      </c>
      <c r="E35" s="171">
        <f t="shared" si="3"/>
        <v>24915.360000000001</v>
      </c>
      <c r="F35" s="171"/>
      <c r="G35" s="171">
        <f t="shared" si="4"/>
        <v>24915.360000000001</v>
      </c>
      <c r="H35" s="172">
        <f t="shared" si="5"/>
        <v>3.9238773192465061E-3</v>
      </c>
      <c r="I35" s="473"/>
      <c r="J35" s="168"/>
      <c r="K35" s="168"/>
      <c r="U35" s="168"/>
      <c r="V35" s="168"/>
      <c r="W35" s="461"/>
      <c r="X35" s="461"/>
    </row>
    <row r="36" spans="1:24" s="167" customFormat="1">
      <c r="A36" s="169" t="s">
        <v>94</v>
      </c>
      <c r="B36" s="170" t="s">
        <v>27</v>
      </c>
      <c r="C36" s="501">
        <f>'[63]Sch C'!D21</f>
        <v>40245.120000000003</v>
      </c>
      <c r="D36" s="501">
        <f>'[63]Sch C'!F21</f>
        <v>0</v>
      </c>
      <c r="E36" s="171">
        <f t="shared" si="3"/>
        <v>40245.120000000003</v>
      </c>
      <c r="F36" s="171"/>
      <c r="G36" s="171">
        <f t="shared" si="4"/>
        <v>40245.120000000003</v>
      </c>
      <c r="H36" s="172">
        <f t="shared" si="5"/>
        <v>6.3381349327625187E-3</v>
      </c>
      <c r="I36" s="473"/>
      <c r="J36" s="168"/>
      <c r="K36" s="168"/>
      <c r="U36" s="168"/>
      <c r="V36" s="168"/>
      <c r="W36" s="461"/>
      <c r="X36" s="461"/>
    </row>
    <row r="37" spans="1:24" s="167" customFormat="1">
      <c r="A37" s="163">
        <v>130</v>
      </c>
      <c r="B37" s="170" t="s">
        <v>28</v>
      </c>
      <c r="C37" s="501">
        <f>'[63]Sch C'!D22</f>
        <v>0</v>
      </c>
      <c r="D37" s="501">
        <f>'[63]Sch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  <c r="U37" s="168"/>
      <c r="V37" s="168"/>
      <c r="W37" s="461"/>
      <c r="X37" s="461"/>
    </row>
    <row r="38" spans="1:24" s="167" customFormat="1">
      <c r="A38" s="163">
        <v>140</v>
      </c>
      <c r="B38" s="170" t="s">
        <v>149</v>
      </c>
      <c r="C38" s="501">
        <f>'[63]Sch C'!D23</f>
        <v>19635.95</v>
      </c>
      <c r="D38" s="501">
        <f>'[63]Sch C'!F23</f>
        <v>0</v>
      </c>
      <c r="E38" s="171">
        <f t="shared" si="3"/>
        <v>19635.95</v>
      </c>
      <c r="F38" s="171"/>
      <c r="G38" s="171">
        <f t="shared" si="4"/>
        <v>19635.95</v>
      </c>
      <c r="H38" s="172">
        <f t="shared" si="5"/>
        <v>3.0924320919648932E-3</v>
      </c>
      <c r="I38" s="473"/>
      <c r="J38" s="168"/>
      <c r="K38" s="168"/>
      <c r="U38" s="168"/>
      <c r="V38" s="168"/>
      <c r="W38" s="461"/>
      <c r="X38" s="461"/>
    </row>
    <row r="39" spans="1:24" s="167" customFormat="1">
      <c r="A39" s="163">
        <v>150</v>
      </c>
      <c r="B39" s="170" t="s">
        <v>29</v>
      </c>
      <c r="C39" s="501">
        <f>'[63]Sch C'!D24</f>
        <v>112940.14</v>
      </c>
      <c r="D39" s="501">
        <f>'[63]Sch C'!F24</f>
        <v>-9572.2900000000009</v>
      </c>
      <c r="E39" s="171">
        <f t="shared" si="3"/>
        <v>103367.85</v>
      </c>
      <c r="F39" s="171"/>
      <c r="G39" s="171">
        <f t="shared" si="4"/>
        <v>103367.85</v>
      </c>
      <c r="H39" s="172">
        <f t="shared" si="5"/>
        <v>1.6279225431792874E-2</v>
      </c>
      <c r="I39" s="473"/>
      <c r="J39" s="168"/>
      <c r="K39" s="168"/>
      <c r="U39" s="168"/>
      <c r="V39" s="168"/>
      <c r="W39" s="461"/>
      <c r="X39" s="461"/>
    </row>
    <row r="40" spans="1:24" s="167" customFormat="1">
      <c r="A40" s="163">
        <v>160</v>
      </c>
      <c r="B40" s="170" t="s">
        <v>30</v>
      </c>
      <c r="C40" s="501">
        <f>'[63]Sch C'!D25</f>
        <v>0</v>
      </c>
      <c r="D40" s="501">
        <f>'[63]Sch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  <c r="U40" s="168"/>
      <c r="V40" s="168"/>
      <c r="W40" s="461"/>
      <c r="X40" s="461"/>
    </row>
    <row r="41" spans="1:24" s="167" customFormat="1">
      <c r="A41" s="163">
        <v>170</v>
      </c>
      <c r="B41" s="170" t="s">
        <v>31</v>
      </c>
      <c r="C41" s="501">
        <f>'[63]Sch C'!D26</f>
        <v>315525.38</v>
      </c>
      <c r="D41" s="501">
        <f>'[63]Sch C'!F26</f>
        <v>0</v>
      </c>
      <c r="E41" s="171">
        <f t="shared" si="3"/>
        <v>315525.38</v>
      </c>
      <c r="F41" s="171"/>
      <c r="G41" s="171">
        <f t="shared" si="4"/>
        <v>315525.38</v>
      </c>
      <c r="H41" s="172">
        <f t="shared" si="5"/>
        <v>4.9691551004225308E-2</v>
      </c>
      <c r="I41" s="473"/>
      <c r="J41" s="168"/>
      <c r="K41" s="168"/>
      <c r="U41" s="168"/>
      <c r="V41" s="168"/>
      <c r="W41" s="461"/>
      <c r="X41" s="461"/>
    </row>
    <row r="42" spans="1:24" s="167" customFormat="1">
      <c r="A42" s="163">
        <v>180</v>
      </c>
      <c r="B42" s="170" t="s">
        <v>32</v>
      </c>
      <c r="C42" s="501">
        <f>'[63]Sch C'!D27</f>
        <v>18301.46</v>
      </c>
      <c r="D42" s="501">
        <f>'[63]Sch C'!F27</f>
        <v>0</v>
      </c>
      <c r="E42" s="171">
        <f t="shared" si="3"/>
        <v>18301.46</v>
      </c>
      <c r="F42" s="171"/>
      <c r="G42" s="171">
        <f t="shared" si="4"/>
        <v>18301.46</v>
      </c>
      <c r="H42" s="172">
        <f t="shared" si="5"/>
        <v>2.8822655503712227E-3</v>
      </c>
      <c r="I42" s="473"/>
      <c r="J42" s="168"/>
      <c r="K42" s="168"/>
      <c r="U42" s="168"/>
      <c r="V42" s="168"/>
      <c r="W42" s="461"/>
      <c r="X42" s="461"/>
    </row>
    <row r="43" spans="1:24" s="167" customFormat="1">
      <c r="A43" s="163">
        <v>190</v>
      </c>
      <c r="B43" s="170" t="s">
        <v>33</v>
      </c>
      <c r="C43" s="501">
        <f>'[63]Sch C'!D28</f>
        <v>0</v>
      </c>
      <c r="D43" s="501">
        <f>'[63]Sch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  <c r="U43" s="168"/>
      <c r="V43" s="168"/>
      <c r="W43" s="461"/>
      <c r="X43" s="461"/>
    </row>
    <row r="44" spans="1:24" s="167" customFormat="1">
      <c r="A44" s="163">
        <v>200</v>
      </c>
      <c r="B44" s="170" t="s">
        <v>34</v>
      </c>
      <c r="C44" s="501">
        <f>'[63]Sch C'!D29</f>
        <v>120383.28</v>
      </c>
      <c r="D44" s="501">
        <f>'[63]Sch C'!F29</f>
        <v>-120383.28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  <c r="U44" s="168"/>
      <c r="V44" s="168"/>
      <c r="W44" s="461"/>
      <c r="X44" s="461"/>
    </row>
    <row r="45" spans="1:24" s="167" customFormat="1">
      <c r="A45" s="163">
        <v>210</v>
      </c>
      <c r="B45" s="170" t="s">
        <v>35</v>
      </c>
      <c r="C45" s="501">
        <f>'[63]Sch C'!D30</f>
        <v>0</v>
      </c>
      <c r="D45" s="501">
        <f>'[63]Sch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  <c r="U45" s="168"/>
      <c r="V45" s="168"/>
      <c r="W45" s="461"/>
      <c r="X45" s="461"/>
    </row>
    <row r="46" spans="1:24" s="167" customFormat="1">
      <c r="A46" s="163">
        <v>220</v>
      </c>
      <c r="B46" s="170" t="s">
        <v>190</v>
      </c>
      <c r="C46" s="501">
        <f>'[63]Sch C'!D31</f>
        <v>335.18</v>
      </c>
      <c r="D46" s="501">
        <f>'[63]Sch C'!F31</f>
        <v>0</v>
      </c>
      <c r="E46" s="171">
        <f t="shared" si="3"/>
        <v>335.18</v>
      </c>
      <c r="F46" s="171"/>
      <c r="G46" s="171">
        <f t="shared" si="4"/>
        <v>335.18</v>
      </c>
      <c r="H46" s="172">
        <f t="shared" si="5"/>
        <v>5.2786923402473164E-5</v>
      </c>
      <c r="I46" s="473"/>
      <c r="J46" s="168"/>
      <c r="K46" s="168"/>
      <c r="U46" s="168"/>
      <c r="V46" s="168"/>
      <c r="W46" s="461"/>
      <c r="X46" s="461"/>
    </row>
    <row r="47" spans="1:24" s="167" customFormat="1">
      <c r="A47" s="163">
        <v>230</v>
      </c>
      <c r="B47" s="170" t="s">
        <v>191</v>
      </c>
      <c r="C47" s="501">
        <f>'[63]Sch C'!D32</f>
        <v>500</v>
      </c>
      <c r="D47" s="501">
        <f>'[63]Sch C'!F32</f>
        <v>20608.88</v>
      </c>
      <c r="E47" s="171">
        <f t="shared" si="3"/>
        <v>21108.880000000001</v>
      </c>
      <c r="F47" s="171"/>
      <c r="G47" s="171">
        <f t="shared" si="4"/>
        <v>21108.880000000001</v>
      </c>
      <c r="H47" s="172">
        <f t="shared" si="5"/>
        <v>3.3244013117489043E-3</v>
      </c>
      <c r="I47" s="473"/>
      <c r="J47" s="168"/>
      <c r="K47" s="168"/>
      <c r="U47" s="168"/>
      <c r="V47" s="168"/>
      <c r="W47" s="461"/>
      <c r="X47" s="461"/>
    </row>
    <row r="48" spans="1:24" s="167" customFormat="1">
      <c r="A48" s="163">
        <v>240</v>
      </c>
      <c r="B48" s="170" t="s">
        <v>201</v>
      </c>
      <c r="C48" s="501">
        <f>'[63]Sch C'!D33</f>
        <v>-0.05</v>
      </c>
      <c r="D48" s="501">
        <f>'[63]Sch C'!F33</f>
        <v>0.05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  <c r="U48" s="168"/>
      <c r="V48" s="168"/>
      <c r="W48" s="461"/>
      <c r="X48" s="461"/>
    </row>
    <row r="49" spans="1:24" s="167" customFormat="1">
      <c r="A49" s="163">
        <v>250</v>
      </c>
      <c r="B49" s="170" t="s">
        <v>202</v>
      </c>
      <c r="C49" s="501">
        <f>'[63]Sch C'!D34</f>
        <v>0</v>
      </c>
      <c r="D49" s="501">
        <f>'[63]Sch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  <c r="U49" s="168"/>
      <c r="V49" s="168"/>
      <c r="W49" s="461"/>
      <c r="X49" s="461"/>
    </row>
    <row r="50" spans="1:24" s="167" customFormat="1">
      <c r="A50" s="163">
        <v>270</v>
      </c>
      <c r="B50" s="170" t="s">
        <v>203</v>
      </c>
      <c r="C50" s="501">
        <f>'[63]Sch C'!D35</f>
        <v>6401.86</v>
      </c>
      <c r="D50" s="501">
        <f>'[63]Sch C'!F35</f>
        <v>-6401.86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  <c r="U50" s="168"/>
      <c r="V50" s="168"/>
      <c r="W50" s="461"/>
      <c r="X50" s="461"/>
    </row>
    <row r="51" spans="1:24" s="167" customFormat="1">
      <c r="A51" s="163">
        <v>280</v>
      </c>
      <c r="B51" s="170" t="s">
        <v>204</v>
      </c>
      <c r="C51" s="501">
        <f>'[63]Sch C'!D36</f>
        <v>0</v>
      </c>
      <c r="D51" s="501">
        <f>'[63]Sch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2881.43</v>
      </c>
      <c r="K51" s="183">
        <v>3050.43</v>
      </c>
      <c r="U51" s="183">
        <v>0</v>
      </c>
      <c r="V51" s="183">
        <v>0</v>
      </c>
      <c r="W51" s="439">
        <v>0</v>
      </c>
      <c r="X51" s="439">
        <v>0</v>
      </c>
    </row>
    <row r="52" spans="1:24" s="167" customFormat="1">
      <c r="A52" s="163">
        <v>290</v>
      </c>
      <c r="B52" s="170" t="s">
        <v>205</v>
      </c>
      <c r="C52" s="501">
        <f>'[63]Sch C'!D37</f>
        <v>0</v>
      </c>
      <c r="D52" s="501">
        <f>'[63]Sch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  <c r="U52" s="168"/>
      <c r="V52" s="168"/>
      <c r="W52" s="461"/>
      <c r="X52" s="461"/>
    </row>
    <row r="53" spans="1:24" s="167" customFormat="1">
      <c r="A53" s="163">
        <v>300</v>
      </c>
      <c r="B53" s="170" t="s">
        <v>206</v>
      </c>
      <c r="C53" s="501">
        <f>'[63]Sch C'!D38</f>
        <v>0</v>
      </c>
      <c r="D53" s="501">
        <f>'[63]Sch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  <c r="U53" s="168"/>
      <c r="V53" s="168"/>
      <c r="W53" s="461"/>
      <c r="X53" s="461"/>
    </row>
    <row r="54" spans="1:24" s="167" customFormat="1">
      <c r="A54" s="163">
        <v>310</v>
      </c>
      <c r="B54" s="170" t="s">
        <v>207</v>
      </c>
      <c r="C54" s="501">
        <f>'[63]Sch C'!D39</f>
        <v>4035.1</v>
      </c>
      <c r="D54" s="501">
        <f>'[63]Sch C'!F39</f>
        <v>0</v>
      </c>
      <c r="E54" s="171">
        <f t="shared" si="3"/>
        <v>4035.1</v>
      </c>
      <c r="F54" s="171"/>
      <c r="G54" s="171">
        <f t="shared" si="4"/>
        <v>4035.1</v>
      </c>
      <c r="H54" s="172">
        <f t="shared" si="5"/>
        <v>6.3548097923897442E-4</v>
      </c>
      <c r="I54" s="473"/>
      <c r="J54" s="168"/>
      <c r="K54" s="168"/>
      <c r="U54" s="168"/>
      <c r="V54" s="168"/>
      <c r="W54" s="461"/>
      <c r="X54" s="461"/>
    </row>
    <row r="55" spans="1:24" s="167" customFormat="1">
      <c r="A55" s="163">
        <v>320</v>
      </c>
      <c r="B55" s="170" t="s">
        <v>208</v>
      </c>
      <c r="C55" s="501">
        <f>'[63]Sch C'!D40</f>
        <v>13600.97</v>
      </c>
      <c r="D55" s="501">
        <f>'[63]Sch C'!F40</f>
        <v>0</v>
      </c>
      <c r="E55" s="171">
        <f t="shared" si="3"/>
        <v>13600.97</v>
      </c>
      <c r="F55" s="171"/>
      <c r="G55" s="171">
        <f t="shared" si="4"/>
        <v>13600.97</v>
      </c>
      <c r="H55" s="172">
        <f t="shared" si="5"/>
        <v>2.1419934411042885E-3</v>
      </c>
      <c r="I55" s="473"/>
      <c r="J55" s="168"/>
      <c r="K55" s="168"/>
      <c r="U55" s="168"/>
      <c r="V55" s="168"/>
      <c r="W55" s="461"/>
      <c r="X55" s="461"/>
    </row>
    <row r="56" spans="1:24" s="167" customFormat="1">
      <c r="A56" s="163">
        <v>330</v>
      </c>
      <c r="B56" s="170" t="s">
        <v>48</v>
      </c>
      <c r="C56" s="501">
        <f>'[63]Sch C'!D41</f>
        <v>72886.720000000001</v>
      </c>
      <c r="D56" s="501">
        <f>'[63]Sch C'!F41</f>
        <v>-6935.69</v>
      </c>
      <c r="E56" s="171">
        <f t="shared" si="3"/>
        <v>65951.03</v>
      </c>
      <c r="F56" s="171"/>
      <c r="G56" s="171">
        <f t="shared" si="4"/>
        <v>65951.03</v>
      </c>
      <c r="H56" s="172">
        <f t="shared" si="5"/>
        <v>1.038651461580109E-2</v>
      </c>
      <c r="I56" s="473"/>
      <c r="J56" s="168"/>
      <c r="K56" s="168"/>
      <c r="U56" s="168"/>
      <c r="V56" s="168"/>
      <c r="W56" s="461"/>
      <c r="X56" s="461"/>
    </row>
    <row r="57" spans="1:24" s="167" customFormat="1">
      <c r="A57" s="163">
        <v>340</v>
      </c>
      <c r="B57" s="170" t="s">
        <v>209</v>
      </c>
      <c r="C57" s="501">
        <f>'[63]Sch C'!D42</f>
        <v>4026.23</v>
      </c>
      <c r="D57" s="501">
        <f>'[63]Sch C'!F42</f>
        <v>0</v>
      </c>
      <c r="E57" s="171">
        <f t="shared" si="3"/>
        <v>4026.23</v>
      </c>
      <c r="F57" s="171"/>
      <c r="G57" s="171">
        <f t="shared" si="4"/>
        <v>4026.23</v>
      </c>
      <c r="H57" s="172">
        <f t="shared" si="5"/>
        <v>6.3408405815006715E-4</v>
      </c>
      <c r="I57" s="473"/>
      <c r="J57" s="168"/>
      <c r="K57" s="168"/>
      <c r="U57" s="168"/>
      <c r="V57" s="168"/>
      <c r="W57" s="461"/>
      <c r="X57" s="461"/>
    </row>
    <row r="58" spans="1:24" s="167" customFormat="1">
      <c r="A58" s="163">
        <v>350</v>
      </c>
      <c r="B58" s="170" t="s">
        <v>210</v>
      </c>
      <c r="C58" s="501">
        <f>'[63]Sch C'!D43</f>
        <v>0</v>
      </c>
      <c r="D58" s="501">
        <f>'[63]Sch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  <c r="U58" s="168"/>
      <c r="V58" s="168"/>
      <c r="W58" s="461"/>
      <c r="X58" s="461"/>
    </row>
    <row r="59" spans="1:24" s="167" customFormat="1">
      <c r="A59" s="163">
        <v>360</v>
      </c>
      <c r="B59" s="170" t="s">
        <v>211</v>
      </c>
      <c r="C59" s="501">
        <f>'[63]Sch C'!D44</f>
        <v>0</v>
      </c>
      <c r="D59" s="501">
        <f>'[63]Sch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  <c r="U59" s="168"/>
      <c r="V59" s="168"/>
      <c r="W59" s="461"/>
      <c r="X59" s="461"/>
    </row>
    <row r="60" spans="1:24" s="167" customFormat="1">
      <c r="A60" s="163">
        <v>490</v>
      </c>
      <c r="B60" s="170" t="s">
        <v>36</v>
      </c>
      <c r="C60" s="501">
        <f>'[63]Sch C'!D45</f>
        <v>72991.3</v>
      </c>
      <c r="D60" s="501">
        <f>'[63]Sch C'!F45</f>
        <v>-72991</v>
      </c>
      <c r="E60" s="171">
        <f t="shared" si="3"/>
        <v>0.30000000000291038</v>
      </c>
      <c r="F60" s="171"/>
      <c r="G60" s="171">
        <f t="shared" si="4"/>
        <v>0.30000000000291038</v>
      </c>
      <c r="H60" s="172">
        <f t="shared" si="5"/>
        <v>4.7246485532834834E-8</v>
      </c>
      <c r="I60" s="473"/>
      <c r="J60" s="168"/>
      <c r="K60" s="168"/>
      <c r="U60" s="168"/>
      <c r="V60" s="168"/>
      <c r="W60" s="461"/>
      <c r="X60" s="461"/>
    </row>
    <row r="61" spans="1:24" s="167" customFormat="1">
      <c r="A61" s="163"/>
      <c r="B61" s="170" t="s">
        <v>177</v>
      </c>
      <c r="C61" s="501">
        <f>SUM(C25:C60)</f>
        <v>1530497.5999999999</v>
      </c>
      <c r="D61" s="501">
        <f>SUM(D25:D60)</f>
        <v>-273769.90000000002</v>
      </c>
      <c r="E61" s="171">
        <f t="shared" ref="E61:F61" si="6">SUM(E25:E60)</f>
        <v>1256727.6999999997</v>
      </c>
      <c r="F61" s="171">
        <f t="shared" si="6"/>
        <v>0</v>
      </c>
      <c r="G61" s="171">
        <f>SUM(G25:G60)</f>
        <v>1256727.6999999997</v>
      </c>
      <c r="H61" s="186">
        <f t="shared" si="5"/>
        <v>0.19791989032062252</v>
      </c>
      <c r="I61" s="480"/>
      <c r="J61" s="168"/>
      <c r="K61" s="168"/>
      <c r="U61" s="168"/>
      <c r="V61" s="168"/>
      <c r="W61" s="461"/>
      <c r="X61" s="461"/>
    </row>
    <row r="62" spans="1:24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  <c r="U62" s="168"/>
      <c r="V62" s="168"/>
      <c r="W62" s="461"/>
      <c r="X62" s="461"/>
    </row>
    <row r="63" spans="1:2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  <c r="U63" s="168"/>
      <c r="V63" s="168"/>
      <c r="W63" s="461"/>
      <c r="X63" s="461"/>
    </row>
    <row r="64" spans="1:24" s="167" customFormat="1">
      <c r="A64" s="188">
        <v>230</v>
      </c>
      <c r="B64" s="189" t="s">
        <v>253</v>
      </c>
      <c r="C64" s="501">
        <f>'[63]Sch C'!D57</f>
        <v>467000</v>
      </c>
      <c r="D64" s="501">
        <f>'[63]Sch C'!F57</f>
        <v>-467000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  <c r="U64" s="190"/>
      <c r="V64" s="168"/>
      <c r="W64" s="462"/>
      <c r="X64" s="461"/>
    </row>
    <row r="65" spans="1:24" s="167" customFormat="1">
      <c r="A65" s="191">
        <v>240</v>
      </c>
      <c r="B65" s="189" t="s">
        <v>254</v>
      </c>
      <c r="C65" s="501">
        <f>'[63]Sch C'!D58</f>
        <v>33893.4</v>
      </c>
      <c r="D65" s="501">
        <f>'[63]Sch C'!F58</f>
        <v>0</v>
      </c>
      <c r="E65" s="171">
        <f t="shared" si="7"/>
        <v>33893.4</v>
      </c>
      <c r="F65" s="171"/>
      <c r="G65" s="171">
        <f t="shared" si="8"/>
        <v>33893.4</v>
      </c>
      <c r="H65" s="172">
        <f t="shared" si="9"/>
        <v>5.3378134424768306E-3</v>
      </c>
      <c r="I65" s="473"/>
      <c r="J65" s="190"/>
      <c r="K65" s="168"/>
      <c r="U65" s="190"/>
      <c r="V65" s="168"/>
      <c r="W65" s="462"/>
      <c r="X65" s="461"/>
    </row>
    <row r="66" spans="1:24" s="167" customFormat="1">
      <c r="A66" s="142">
        <v>250</v>
      </c>
      <c r="B66" s="189" t="s">
        <v>307</v>
      </c>
      <c r="C66" s="501">
        <f>'[63]Sch C'!D59</f>
        <v>0</v>
      </c>
      <c r="D66" s="501">
        <f>'[63]Sch C'!F59</f>
        <v>125672.84</v>
      </c>
      <c r="E66" s="171">
        <f t="shared" si="7"/>
        <v>125672.84</v>
      </c>
      <c r="F66" s="171"/>
      <c r="G66" s="171">
        <f t="shared" si="8"/>
        <v>125672.84</v>
      </c>
      <c r="H66" s="172">
        <f t="shared" si="9"/>
        <v>1.9792000056242213E-2</v>
      </c>
      <c r="I66" s="473"/>
      <c r="J66" s="190"/>
      <c r="K66" s="168"/>
      <c r="U66" s="190"/>
      <c r="V66" s="168"/>
      <c r="W66" s="462"/>
      <c r="X66" s="461"/>
    </row>
    <row r="67" spans="1:24" s="167" customFormat="1">
      <c r="A67" s="142">
        <v>260</v>
      </c>
      <c r="B67" s="192" t="s">
        <v>308</v>
      </c>
      <c r="C67" s="501">
        <f>'[63]Sch C'!D60</f>
        <v>2303.04</v>
      </c>
      <c r="D67" s="501">
        <f>'[63]Sch C'!F60</f>
        <v>0</v>
      </c>
      <c r="E67" s="171">
        <f t="shared" si="7"/>
        <v>2303.04</v>
      </c>
      <c r="F67" s="171"/>
      <c r="G67" s="171">
        <f t="shared" si="8"/>
        <v>2303.04</v>
      </c>
      <c r="H67" s="172">
        <f t="shared" si="9"/>
        <v>3.6270182013494774E-4</v>
      </c>
      <c r="I67" s="473"/>
      <c r="J67" s="193"/>
      <c r="K67" s="168"/>
      <c r="U67" s="193"/>
      <c r="V67" s="168"/>
      <c r="W67" s="463"/>
      <c r="X67" s="461"/>
    </row>
    <row r="68" spans="1:24" s="167" customFormat="1">
      <c r="A68" s="142">
        <v>270</v>
      </c>
      <c r="B68" s="192" t="s">
        <v>309</v>
      </c>
      <c r="C68" s="501">
        <f>'[63]Sch C'!D61</f>
        <v>20608.88</v>
      </c>
      <c r="D68" s="501">
        <f>'[63]Sch C'!F61</f>
        <v>-20608.88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  <c r="U68" s="193"/>
      <c r="V68" s="168"/>
      <c r="W68" s="463"/>
      <c r="X68" s="461"/>
    </row>
    <row r="69" spans="1:24" s="167" customFormat="1">
      <c r="A69" s="142">
        <v>280</v>
      </c>
      <c r="B69" s="194" t="s">
        <v>258</v>
      </c>
      <c r="C69" s="501">
        <f>'[63]Sch C'!D62</f>
        <v>8946.68</v>
      </c>
      <c r="D69" s="501">
        <f>'[63]Sch C'!F62</f>
        <v>0</v>
      </c>
      <c r="E69" s="171">
        <f t="shared" si="7"/>
        <v>8946.68</v>
      </c>
      <c r="F69" s="171"/>
      <c r="G69" s="171">
        <f t="shared" si="8"/>
        <v>8946.68</v>
      </c>
      <c r="H69" s="172">
        <f t="shared" si="9"/>
        <v>1.4089972906093401E-3</v>
      </c>
      <c r="I69" s="473"/>
      <c r="J69" s="195"/>
      <c r="K69" s="168"/>
      <c r="U69" s="195"/>
      <c r="V69" s="168"/>
      <c r="W69" s="464"/>
      <c r="X69" s="461"/>
    </row>
    <row r="70" spans="1:24" s="167" customFormat="1">
      <c r="A70" s="142">
        <v>290</v>
      </c>
      <c r="B70" s="194" t="s">
        <v>259</v>
      </c>
      <c r="C70" s="501">
        <f>'[63]Sch C'!D63</f>
        <v>0</v>
      </c>
      <c r="D70" s="501">
        <f>'[63]Sch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  <c r="U70" s="195"/>
      <c r="V70" s="168"/>
      <c r="W70" s="464"/>
      <c r="X70" s="461"/>
    </row>
    <row r="71" spans="1:24" s="167" customFormat="1">
      <c r="A71" s="142">
        <v>300</v>
      </c>
      <c r="B71" s="194" t="s">
        <v>260</v>
      </c>
      <c r="C71" s="501">
        <f>'[63]Sch C'!D64</f>
        <v>0</v>
      </c>
      <c r="D71" s="501">
        <f>'[63]Sch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  <c r="U71" s="195"/>
      <c r="V71" s="168"/>
      <c r="W71" s="464"/>
      <c r="X71" s="461"/>
    </row>
    <row r="72" spans="1:24" s="167" customFormat="1">
      <c r="A72" s="142">
        <v>310</v>
      </c>
      <c r="B72" s="194" t="s">
        <v>310</v>
      </c>
      <c r="C72" s="501">
        <f>'[63]Sch C'!D65</f>
        <v>0</v>
      </c>
      <c r="D72" s="501">
        <f>'[63]Sch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  <c r="U72" s="195"/>
      <c r="V72" s="168"/>
      <c r="W72" s="464"/>
      <c r="X72" s="461"/>
    </row>
    <row r="73" spans="1:24" s="167" customFormat="1">
      <c r="A73" s="142">
        <v>320</v>
      </c>
      <c r="B73" s="194" t="s">
        <v>262</v>
      </c>
      <c r="C73" s="501">
        <f>'[63]Sch C'!D66</f>
        <v>9004.1299999999992</v>
      </c>
      <c r="D73" s="501">
        <f>'[63]Sch C'!F66</f>
        <v>0</v>
      </c>
      <c r="E73" s="171">
        <f t="shared" si="7"/>
        <v>9004.1299999999992</v>
      </c>
      <c r="F73" s="171"/>
      <c r="G73" s="171">
        <f t="shared" si="8"/>
        <v>9004.1299999999992</v>
      </c>
      <c r="H73" s="172">
        <f t="shared" si="9"/>
        <v>1.4180449925887901E-3</v>
      </c>
      <c r="I73" s="473"/>
      <c r="J73" s="195"/>
      <c r="K73" s="168"/>
      <c r="U73" s="195"/>
      <c r="V73" s="168"/>
      <c r="W73" s="464"/>
      <c r="X73" s="461"/>
    </row>
    <row r="74" spans="1:24" s="167" customFormat="1">
      <c r="A74" s="142">
        <v>330</v>
      </c>
      <c r="B74" s="194" t="s">
        <v>263</v>
      </c>
      <c r="C74" s="501">
        <f>'[63]Sch C'!D67</f>
        <v>46269.63</v>
      </c>
      <c r="D74" s="501">
        <f>'[63]Sch C'!F67</f>
        <v>0</v>
      </c>
      <c r="E74" s="171">
        <f t="shared" si="7"/>
        <v>46269.63</v>
      </c>
      <c r="F74" s="171"/>
      <c r="G74" s="171">
        <f t="shared" si="8"/>
        <v>46269.63</v>
      </c>
      <c r="H74" s="172">
        <f t="shared" si="9"/>
        <v>7.286924681278042E-3</v>
      </c>
      <c r="I74" s="473"/>
      <c r="J74" s="195"/>
      <c r="K74" s="168"/>
      <c r="U74" s="195"/>
      <c r="V74" s="168"/>
      <c r="W74" s="464"/>
      <c r="X74" s="461"/>
    </row>
    <row r="75" spans="1:24" s="167" customFormat="1">
      <c r="A75" s="142">
        <v>340</v>
      </c>
      <c r="B75" s="194" t="s">
        <v>264</v>
      </c>
      <c r="C75" s="501">
        <f>'[63]Sch C'!D68</f>
        <v>0</v>
      </c>
      <c r="D75" s="501">
        <f>'[63]Sch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  <c r="U75" s="195"/>
      <c r="V75" s="168"/>
      <c r="W75" s="464"/>
      <c r="X75" s="461"/>
    </row>
    <row r="76" spans="1:24" s="167" customFormat="1">
      <c r="A76" s="167">
        <v>350</v>
      </c>
      <c r="B76" s="194" t="s">
        <v>311</v>
      </c>
      <c r="C76" s="501">
        <f>'[63]Sch C'!D69</f>
        <v>14184.23</v>
      </c>
      <c r="D76" s="501">
        <f>'[63]Sch C'!F69</f>
        <v>0</v>
      </c>
      <c r="E76" s="171">
        <f t="shared" si="7"/>
        <v>14184.23</v>
      </c>
      <c r="F76" s="171"/>
      <c r="G76" s="171">
        <f t="shared" si="8"/>
        <v>14184.23</v>
      </c>
      <c r="H76" s="172">
        <f t="shared" si="9"/>
        <v>2.2338500582763346E-3</v>
      </c>
      <c r="I76" s="473"/>
      <c r="J76" s="195"/>
      <c r="K76" s="168"/>
      <c r="U76" s="195"/>
      <c r="V76" s="168"/>
      <c r="W76" s="464"/>
      <c r="X76" s="461"/>
    </row>
    <row r="77" spans="1:24" s="167" customFormat="1">
      <c r="A77" s="142">
        <v>360</v>
      </c>
      <c r="B77" s="194" t="s">
        <v>192</v>
      </c>
      <c r="C77" s="501">
        <f>'[63]Sch C'!D70</f>
        <v>0</v>
      </c>
      <c r="D77" s="501">
        <f>'[63]Sch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  <c r="U77" s="195"/>
      <c r="V77" s="168"/>
      <c r="W77" s="464"/>
      <c r="X77" s="461"/>
    </row>
    <row r="78" spans="1:24" s="167" customFormat="1">
      <c r="A78" s="142">
        <v>490</v>
      </c>
      <c r="B78" s="194" t="s">
        <v>312</v>
      </c>
      <c r="C78" s="501">
        <f>'[63]Sch C'!D71</f>
        <v>0</v>
      </c>
      <c r="D78" s="501">
        <f>'[63]Sch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  <c r="U78" s="195"/>
      <c r="V78" s="168"/>
      <c r="W78" s="464"/>
      <c r="X78" s="461"/>
    </row>
    <row r="79" spans="1:24" s="167" customFormat="1">
      <c r="A79" s="163"/>
      <c r="B79" s="170" t="s">
        <v>150</v>
      </c>
      <c r="C79" s="501">
        <f>SUM(C64:C78)</f>
        <v>602209.99</v>
      </c>
      <c r="D79" s="501">
        <f>SUM(D64:D78)</f>
        <v>-361936.04000000004</v>
      </c>
      <c r="E79" s="171">
        <f t="shared" ref="E79:F79" si="10">SUM(E64:E78)</f>
        <v>240273.95</v>
      </c>
      <c r="F79" s="171">
        <f t="shared" si="10"/>
        <v>0</v>
      </c>
      <c r="G79" s="171">
        <f>SUM(G64:G78)</f>
        <v>240273.95</v>
      </c>
      <c r="H79" s="172">
        <f t="shared" si="9"/>
        <v>3.7840332341606504E-2</v>
      </c>
      <c r="I79" s="473"/>
      <c r="J79" s="195"/>
      <c r="K79" s="168"/>
      <c r="U79" s="195"/>
      <c r="V79" s="168"/>
      <c r="W79" s="464"/>
      <c r="X79" s="461"/>
    </row>
    <row r="80" spans="1:24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  <c r="U80" s="168"/>
      <c r="V80" s="168"/>
      <c r="W80" s="461"/>
      <c r="X80" s="461"/>
    </row>
    <row r="81" spans="1:2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  <c r="U81" s="168"/>
      <c r="V81" s="168"/>
      <c r="W81" s="461"/>
      <c r="X81" s="461"/>
    </row>
    <row r="82" spans="1:24" s="167" customFormat="1">
      <c r="A82" s="169" t="s">
        <v>85</v>
      </c>
      <c r="B82" s="148" t="s">
        <v>44</v>
      </c>
      <c r="C82" s="501">
        <f>'[63]Sch C'!D75</f>
        <v>53761.74</v>
      </c>
      <c r="D82" s="501">
        <f>'[63]Sch C'!F75</f>
        <v>0</v>
      </c>
      <c r="E82" s="171">
        <f t="shared" ref="E82:E92" si="11">C82+D82</f>
        <v>53761.74</v>
      </c>
      <c r="F82" s="171"/>
      <c r="G82" s="171">
        <f t="shared" ref="G82:G92" si="12">E82+F82</f>
        <v>53761.74</v>
      </c>
      <c r="H82" s="172">
        <f t="shared" ref="H82:H93" si="13">IF($G$208=0,0,G82/$G$208)</f>
        <v>8.4668442370179533E-3</v>
      </c>
      <c r="I82" s="473"/>
      <c r="J82" s="183">
        <v>3183.76</v>
      </c>
      <c r="K82" s="183">
        <v>3405.57</v>
      </c>
      <c r="U82" s="183">
        <v>2153.4699999999998</v>
      </c>
      <c r="V82" s="183">
        <v>2437.88</v>
      </c>
      <c r="W82" s="439">
        <v>1341.51</v>
      </c>
      <c r="X82" s="439">
        <v>1518.808</v>
      </c>
    </row>
    <row r="83" spans="1:24" s="167" customFormat="1">
      <c r="A83" s="169" t="s">
        <v>86</v>
      </c>
      <c r="B83" s="199" t="s">
        <v>45</v>
      </c>
      <c r="C83" s="501">
        <f>'[63]Sch C'!D76</f>
        <v>15457.84</v>
      </c>
      <c r="D83" s="501">
        <f>'[63]Sch C'!F76</f>
        <v>0</v>
      </c>
      <c r="E83" s="171">
        <f t="shared" si="11"/>
        <v>15457.84</v>
      </c>
      <c r="F83" s="171"/>
      <c r="G83" s="171">
        <f t="shared" si="12"/>
        <v>15457.84</v>
      </c>
      <c r="H83" s="172">
        <f t="shared" si="13"/>
        <v>2.434428713072635E-3</v>
      </c>
      <c r="I83" s="473"/>
      <c r="J83" s="168"/>
      <c r="K83" s="168"/>
      <c r="U83" s="168"/>
      <c r="V83" s="168"/>
      <c r="W83" s="461"/>
      <c r="X83" s="461"/>
    </row>
    <row r="84" spans="1:24" s="167" customFormat="1">
      <c r="A84" s="169" t="s">
        <v>93</v>
      </c>
      <c r="B84" s="199" t="s">
        <v>47</v>
      </c>
      <c r="C84" s="501">
        <f>'[63]Sch C'!D77</f>
        <v>7398.56</v>
      </c>
      <c r="D84" s="501">
        <f>'[63]Sch C'!F77</f>
        <v>0</v>
      </c>
      <c r="E84" s="171">
        <f t="shared" si="11"/>
        <v>7398.56</v>
      </c>
      <c r="F84" s="171"/>
      <c r="G84" s="171">
        <f t="shared" si="12"/>
        <v>7398.56</v>
      </c>
      <c r="H84" s="172">
        <f t="shared" si="13"/>
        <v>1.1651865266680645E-3</v>
      </c>
      <c r="I84" s="473"/>
      <c r="J84" s="168"/>
      <c r="K84" s="168"/>
      <c r="U84" s="168"/>
      <c r="V84" s="168"/>
      <c r="W84" s="461"/>
      <c r="X84" s="461"/>
    </row>
    <row r="85" spans="1:24" s="167" customFormat="1">
      <c r="A85" s="169">
        <v>230</v>
      </c>
      <c r="B85" s="199" t="s">
        <v>46</v>
      </c>
      <c r="C85" s="501">
        <f>'[63]Sch C'!D78</f>
        <v>218.22</v>
      </c>
      <c r="D85" s="501">
        <f>'[63]Sch C'!F78</f>
        <v>0</v>
      </c>
      <c r="E85" s="171">
        <f t="shared" si="11"/>
        <v>218.22</v>
      </c>
      <c r="F85" s="171"/>
      <c r="G85" s="171">
        <f t="shared" si="12"/>
        <v>218.22</v>
      </c>
      <c r="H85" s="172">
        <f t="shared" si="13"/>
        <v>3.4367093576250655E-5</v>
      </c>
      <c r="I85" s="473"/>
      <c r="J85" s="168"/>
      <c r="K85" s="168"/>
      <c r="U85" s="168"/>
      <c r="V85" s="168"/>
      <c r="W85" s="461"/>
      <c r="X85" s="461"/>
    </row>
    <row r="86" spans="1:24" s="167" customFormat="1">
      <c r="A86" s="169">
        <v>240</v>
      </c>
      <c r="B86" s="200" t="s">
        <v>267</v>
      </c>
      <c r="C86" s="501">
        <f>'[63]Sch C'!D79</f>
        <v>5841.4</v>
      </c>
      <c r="D86" s="501">
        <f>'[63]Sch C'!F79</f>
        <v>0</v>
      </c>
      <c r="E86" s="171">
        <f t="shared" si="11"/>
        <v>5841.4</v>
      </c>
      <c r="F86" s="171"/>
      <c r="G86" s="171">
        <f>E86+F86</f>
        <v>5841.4</v>
      </c>
      <c r="H86" s="172">
        <f t="shared" si="13"/>
        <v>9.1995206862941316E-4</v>
      </c>
      <c r="I86" s="473"/>
      <c r="J86" s="168"/>
      <c r="K86" s="168"/>
      <c r="U86" s="168"/>
      <c r="V86" s="168"/>
      <c r="W86" s="461"/>
      <c r="X86" s="461"/>
    </row>
    <row r="87" spans="1:24" s="167" customFormat="1">
      <c r="A87" s="169">
        <v>310</v>
      </c>
      <c r="B87" s="199" t="s">
        <v>54</v>
      </c>
      <c r="C87" s="501">
        <f>'[63]Sch C'!D80</f>
        <v>18058.3</v>
      </c>
      <c r="D87" s="501">
        <f>'[63]Sch C'!F80</f>
        <v>0</v>
      </c>
      <c r="E87" s="171">
        <f t="shared" si="11"/>
        <v>18058.3</v>
      </c>
      <c r="F87" s="171"/>
      <c r="G87" s="171">
        <f t="shared" si="12"/>
        <v>18058.3</v>
      </c>
      <c r="H87" s="172">
        <f t="shared" si="13"/>
        <v>2.8439706989643807E-3</v>
      </c>
      <c r="I87" s="473"/>
      <c r="J87" s="168"/>
      <c r="K87" s="168"/>
      <c r="U87" s="168"/>
      <c r="V87" s="168"/>
      <c r="W87" s="461"/>
      <c r="X87" s="461"/>
    </row>
    <row r="88" spans="1:24" s="167" customFormat="1">
      <c r="A88" s="169">
        <v>320</v>
      </c>
      <c r="B88" s="201" t="s">
        <v>313</v>
      </c>
      <c r="C88" s="501">
        <f>'[63]Sch C'!D81</f>
        <v>4185.92</v>
      </c>
      <c r="D88" s="501">
        <f>'[63]Sch C'!F81</f>
        <v>0</v>
      </c>
      <c r="E88" s="171">
        <f t="shared" si="11"/>
        <v>4185.92</v>
      </c>
      <c r="F88" s="171"/>
      <c r="G88" s="171">
        <f t="shared" si="12"/>
        <v>4185.92</v>
      </c>
      <c r="H88" s="172">
        <f t="shared" si="13"/>
        <v>6.5923336239895119E-4</v>
      </c>
      <c r="I88" s="473"/>
      <c r="J88" s="168"/>
      <c r="K88" s="168"/>
      <c r="U88" s="168"/>
      <c r="V88" s="168"/>
      <c r="W88" s="461"/>
      <c r="X88" s="461"/>
    </row>
    <row r="89" spans="1:24" s="167" customFormat="1">
      <c r="A89" s="169">
        <v>330</v>
      </c>
      <c r="B89" s="201" t="s">
        <v>314</v>
      </c>
      <c r="C89" s="501">
        <f>'[63]Sch C'!D82</f>
        <v>4557.8900000000003</v>
      </c>
      <c r="D89" s="501">
        <f>'[63]Sch C'!F82</f>
        <v>0</v>
      </c>
      <c r="E89" s="171">
        <f t="shared" si="11"/>
        <v>4557.8900000000003</v>
      </c>
      <c r="F89" s="171"/>
      <c r="G89" s="171">
        <f t="shared" si="12"/>
        <v>4557.8900000000003</v>
      </c>
      <c r="H89" s="172">
        <f t="shared" si="13"/>
        <v>7.1781427981054485E-4</v>
      </c>
      <c r="I89" s="473"/>
      <c r="J89" s="168"/>
      <c r="K89" s="168"/>
      <c r="U89" s="168"/>
      <c r="V89" s="168"/>
      <c r="W89" s="461"/>
      <c r="X89" s="461"/>
    </row>
    <row r="90" spans="1:24" s="167" customFormat="1">
      <c r="A90" s="163">
        <v>340</v>
      </c>
      <c r="B90" s="201" t="s">
        <v>300</v>
      </c>
      <c r="C90" s="501">
        <f>'[63]Sch C'!D83</f>
        <v>0</v>
      </c>
      <c r="D90" s="501">
        <f>'[63]Sch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  <c r="U90" s="168"/>
      <c r="V90" s="168"/>
      <c r="W90" s="461"/>
      <c r="X90" s="461"/>
    </row>
    <row r="91" spans="1:24" s="167" customFormat="1">
      <c r="A91" s="163">
        <v>350</v>
      </c>
      <c r="B91" s="199" t="s">
        <v>49</v>
      </c>
      <c r="C91" s="501">
        <f>'[63]Sch C'!D84</f>
        <v>159437.39000000001</v>
      </c>
      <c r="D91" s="501">
        <f>'[63]Sch C'!F84</f>
        <v>0</v>
      </c>
      <c r="E91" s="171">
        <f t="shared" si="11"/>
        <v>159437.39000000001</v>
      </c>
      <c r="F91" s="171"/>
      <c r="G91" s="171">
        <f t="shared" si="12"/>
        <v>159437.39000000001</v>
      </c>
      <c r="H91" s="172">
        <f t="shared" si="13"/>
        <v>2.5109521133182891E-2</v>
      </c>
      <c r="I91" s="473"/>
      <c r="J91" s="168"/>
      <c r="K91" s="168"/>
      <c r="U91" s="168"/>
      <c r="V91" s="168"/>
      <c r="W91" s="461"/>
      <c r="X91" s="461"/>
    </row>
    <row r="92" spans="1:24" s="167" customFormat="1">
      <c r="A92" s="163">
        <v>490</v>
      </c>
      <c r="B92" s="148" t="s">
        <v>312</v>
      </c>
      <c r="C92" s="501">
        <f>'[63]Sch C'!D85</f>
        <v>160</v>
      </c>
      <c r="D92" s="501">
        <f>'[63]Sch C'!F85</f>
        <v>0</v>
      </c>
      <c r="E92" s="171">
        <f t="shared" si="11"/>
        <v>160</v>
      </c>
      <c r="F92" s="171"/>
      <c r="G92" s="171">
        <f t="shared" si="12"/>
        <v>160</v>
      </c>
      <c r="H92" s="172">
        <f t="shared" si="13"/>
        <v>2.5198125617267458E-5</v>
      </c>
      <c r="I92" s="473"/>
      <c r="J92" s="168"/>
      <c r="K92" s="168"/>
      <c r="U92" s="168"/>
      <c r="V92" s="168"/>
      <c r="W92" s="461"/>
      <c r="X92" s="461"/>
    </row>
    <row r="93" spans="1:24" s="167" customFormat="1">
      <c r="A93" s="163"/>
      <c r="B93" s="170" t="s">
        <v>50</v>
      </c>
      <c r="C93" s="501">
        <f>SUM(C82:C92)</f>
        <v>269077.26</v>
      </c>
      <c r="D93" s="501">
        <f>SUM(D82:D92)</f>
        <v>0</v>
      </c>
      <c r="E93" s="171">
        <f t="shared" ref="E93:F93" si="14">SUM(E82:E92)</f>
        <v>269077.26</v>
      </c>
      <c r="F93" s="171">
        <f t="shared" si="14"/>
        <v>0</v>
      </c>
      <c r="G93" s="171">
        <f>SUM(G82:G92)</f>
        <v>269077.26</v>
      </c>
      <c r="H93" s="172">
        <f t="shared" si="13"/>
        <v>4.2376516238938351E-2</v>
      </c>
      <c r="I93" s="473"/>
      <c r="J93" s="168"/>
      <c r="K93" s="168"/>
      <c r="U93" s="168"/>
      <c r="V93" s="168"/>
      <c r="W93" s="461"/>
      <c r="X93" s="461"/>
    </row>
    <row r="94" spans="1:24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  <c r="U94" s="168"/>
      <c r="V94" s="168"/>
      <c r="W94" s="461"/>
      <c r="X94" s="461"/>
    </row>
    <row r="95" spans="1:2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  <c r="U95" s="168"/>
      <c r="V95" s="168"/>
      <c r="W95" s="461"/>
      <c r="X95" s="461"/>
    </row>
    <row r="96" spans="1:24" s="167" customFormat="1">
      <c r="A96" s="169" t="s">
        <v>85</v>
      </c>
      <c r="B96" s="170" t="s">
        <v>44</v>
      </c>
      <c r="C96" s="501">
        <f>'[63]Sch C'!D89</f>
        <v>235122.44</v>
      </c>
      <c r="D96" s="501">
        <f>'[63]Sch C'!F89</f>
        <v>0</v>
      </c>
      <c r="E96" s="171">
        <f t="shared" ref="E96:E101" si="15">C96+D96</f>
        <v>235122.44</v>
      </c>
      <c r="F96" s="171"/>
      <c r="G96" s="171">
        <f t="shared" ref="G96:G101" si="16">E96+F96</f>
        <v>235122.44</v>
      </c>
      <c r="H96" s="172">
        <f t="shared" ref="H96:H102" si="17">IF($G$208=0,0,G96/$G$208)</f>
        <v>3.7029029865990194E-2</v>
      </c>
      <c r="I96" s="473"/>
      <c r="J96" s="183">
        <v>23206.57</v>
      </c>
      <c r="K96" s="183">
        <v>23950.02</v>
      </c>
      <c r="U96" s="183">
        <v>7328.02</v>
      </c>
      <c r="V96" s="183">
        <v>8119.45</v>
      </c>
      <c r="W96" s="439">
        <v>4083.3980000000001</v>
      </c>
      <c r="X96" s="439">
        <v>4760.6559999999999</v>
      </c>
    </row>
    <row r="97" spans="1:24" s="167" customFormat="1">
      <c r="A97" s="169" t="s">
        <v>86</v>
      </c>
      <c r="B97" s="170" t="s">
        <v>45</v>
      </c>
      <c r="C97" s="501">
        <f>'[63]Sch C'!D90</f>
        <v>42204.13</v>
      </c>
      <c r="D97" s="501">
        <f>'[63]Sch C'!F90</f>
        <v>0</v>
      </c>
      <c r="E97" s="171">
        <f t="shared" si="15"/>
        <v>42204.13</v>
      </c>
      <c r="F97" s="171"/>
      <c r="G97" s="171">
        <f t="shared" si="16"/>
        <v>42204.13</v>
      </c>
      <c r="H97" s="172">
        <f t="shared" si="17"/>
        <v>6.6466560581717868E-3</v>
      </c>
      <c r="I97" s="473"/>
      <c r="J97" s="168"/>
      <c r="K97" s="168"/>
      <c r="U97" s="168"/>
      <c r="V97" s="168"/>
      <c r="W97" s="461"/>
      <c r="X97" s="461"/>
    </row>
    <row r="98" spans="1:24" s="167" customFormat="1">
      <c r="A98" s="169">
        <v>310</v>
      </c>
      <c r="B98" s="170" t="s">
        <v>54</v>
      </c>
      <c r="C98" s="501">
        <f>'[63]Sch C'!D91</f>
        <v>23008.6</v>
      </c>
      <c r="D98" s="501">
        <f>'[63]Sch C'!F91</f>
        <v>0</v>
      </c>
      <c r="E98" s="171">
        <f t="shared" si="15"/>
        <v>23008.6</v>
      </c>
      <c r="F98" s="171"/>
      <c r="G98" s="171">
        <f t="shared" si="16"/>
        <v>23008.6</v>
      </c>
      <c r="H98" s="172">
        <f t="shared" si="17"/>
        <v>3.6235849567341247E-3</v>
      </c>
      <c r="I98" s="473"/>
      <c r="J98" s="168"/>
      <c r="K98" s="168"/>
      <c r="U98" s="168"/>
      <c r="V98" s="168"/>
      <c r="W98" s="461"/>
      <c r="X98" s="461"/>
    </row>
    <row r="99" spans="1:24" s="167" customFormat="1">
      <c r="A99" s="169">
        <v>380</v>
      </c>
      <c r="B99" s="170" t="s">
        <v>52</v>
      </c>
      <c r="C99" s="501">
        <f>'[63]Sch C'!D92</f>
        <v>181711.73</v>
      </c>
      <c r="D99" s="501">
        <f>'[63]Sch C'!F92</f>
        <v>0</v>
      </c>
      <c r="E99" s="171">
        <f t="shared" si="15"/>
        <v>181711.73</v>
      </c>
      <c r="F99" s="171"/>
      <c r="G99" s="171">
        <f t="shared" si="16"/>
        <v>181711.73</v>
      </c>
      <c r="H99" s="172">
        <f t="shared" si="17"/>
        <v>2.8617468741693672E-2</v>
      </c>
      <c r="I99" s="473"/>
      <c r="J99" s="168"/>
      <c r="K99" s="168"/>
      <c r="U99" s="168"/>
      <c r="V99" s="168"/>
      <c r="W99" s="461"/>
      <c r="X99" s="461"/>
    </row>
    <row r="100" spans="1:24" s="167" customFormat="1">
      <c r="A100" s="169">
        <v>390</v>
      </c>
      <c r="B100" s="170" t="s">
        <v>53</v>
      </c>
      <c r="C100" s="501">
        <f>'[63]Sch C'!D93</f>
        <v>17519.89</v>
      </c>
      <c r="D100" s="501">
        <f>'[63]Sch C'!F93</f>
        <v>0</v>
      </c>
      <c r="E100" s="171">
        <f t="shared" si="15"/>
        <v>17519.89</v>
      </c>
      <c r="F100" s="171"/>
      <c r="G100" s="171">
        <f t="shared" si="16"/>
        <v>17519.89</v>
      </c>
      <c r="H100" s="172">
        <f t="shared" si="17"/>
        <v>2.7591774313794246E-3</v>
      </c>
      <c r="I100" s="473"/>
      <c r="J100" s="168"/>
      <c r="K100" s="168"/>
      <c r="U100" s="168"/>
      <c r="V100" s="168"/>
      <c r="W100" s="461"/>
      <c r="X100" s="461"/>
    </row>
    <row r="101" spans="1:24" s="167" customFormat="1">
      <c r="A101" s="169">
        <v>490</v>
      </c>
      <c r="B101" s="202" t="s">
        <v>312</v>
      </c>
      <c r="C101" s="501">
        <f>'[63]Sch C'!D94</f>
        <v>1388.14</v>
      </c>
      <c r="D101" s="501">
        <f>'[63]Sch C'!F94</f>
        <v>0</v>
      </c>
      <c r="E101" s="171">
        <f t="shared" si="15"/>
        <v>1388.14</v>
      </c>
      <c r="F101" s="171"/>
      <c r="G101" s="171">
        <f t="shared" si="16"/>
        <v>1388.14</v>
      </c>
      <c r="H101" s="172">
        <f t="shared" si="17"/>
        <v>2.1861578808971032E-4</v>
      </c>
      <c r="I101" s="473"/>
      <c r="J101" s="168"/>
      <c r="K101" s="168"/>
      <c r="U101" s="168"/>
      <c r="V101" s="168"/>
      <c r="W101" s="461"/>
      <c r="X101" s="461"/>
    </row>
    <row r="102" spans="1:24" s="167" customFormat="1">
      <c r="A102" s="169"/>
      <c r="B102" s="170" t="s">
        <v>55</v>
      </c>
      <c r="C102" s="501">
        <f>SUM(C96:C101)</f>
        <v>500954.93000000005</v>
      </c>
      <c r="D102" s="501">
        <f>SUM(D96:D101)</f>
        <v>0</v>
      </c>
      <c r="E102" s="171">
        <f t="shared" ref="E102:F102" si="18">SUM(E96:E101)</f>
        <v>500954.93000000005</v>
      </c>
      <c r="F102" s="171">
        <f t="shared" si="18"/>
        <v>0</v>
      </c>
      <c r="G102" s="171">
        <f>SUM(G96:G101)</f>
        <v>500954.93000000005</v>
      </c>
      <c r="H102" s="172">
        <f t="shared" si="17"/>
        <v>7.8894532842058912E-2</v>
      </c>
      <c r="I102" s="473"/>
      <c r="J102" s="168"/>
      <c r="K102" s="168"/>
      <c r="U102" s="168"/>
      <c r="V102" s="168"/>
      <c r="W102" s="461"/>
      <c r="X102" s="461"/>
    </row>
    <row r="103" spans="1:24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  <c r="U103" s="168"/>
      <c r="V103" s="168"/>
      <c r="W103" s="461"/>
      <c r="X103" s="461"/>
    </row>
    <row r="104" spans="1:2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  <c r="U104" s="168"/>
      <c r="V104" s="168"/>
      <c r="W104" s="461"/>
      <c r="X104" s="461"/>
    </row>
    <row r="105" spans="1:24" s="167" customFormat="1">
      <c r="A105" s="169" t="s">
        <v>85</v>
      </c>
      <c r="B105" s="170" t="s">
        <v>44</v>
      </c>
      <c r="C105" s="501">
        <f>'[63]Sch C'!D98</f>
        <v>83715.199999999997</v>
      </c>
      <c r="D105" s="501">
        <f>'[63]Sch C'!F98</f>
        <v>0</v>
      </c>
      <c r="E105" s="171">
        <f t="shared" ref="E105:E110" si="19">C105+D105</f>
        <v>83715.199999999997</v>
      </c>
      <c r="F105" s="171"/>
      <c r="G105" s="171">
        <f t="shared" ref="G105:G110" si="20">E105+F105</f>
        <v>83715.199999999997</v>
      </c>
      <c r="H105" s="172">
        <f t="shared" ref="H105:H111" si="21">IF($G$208=0,0,G105/$G$208)</f>
        <v>1.3184163285466679E-2</v>
      </c>
      <c r="I105" s="473"/>
      <c r="J105" s="183">
        <v>8343.5</v>
      </c>
      <c r="K105" s="183">
        <v>9025.2099999999991</v>
      </c>
      <c r="U105" s="183">
        <v>3198.91</v>
      </c>
      <c r="V105" s="183">
        <v>3409.56</v>
      </c>
      <c r="W105" s="439">
        <v>1684.9559999999999</v>
      </c>
      <c r="X105" s="439">
        <v>1842.8420000000001</v>
      </c>
    </row>
    <row r="106" spans="1:24" s="167" customFormat="1">
      <c r="A106" s="169" t="s">
        <v>86</v>
      </c>
      <c r="B106" s="170" t="s">
        <v>45</v>
      </c>
      <c r="C106" s="501">
        <f>'[63]Sch C'!D99</f>
        <v>18678.189999999999</v>
      </c>
      <c r="D106" s="501">
        <f>'[63]Sch C'!F99</f>
        <v>0</v>
      </c>
      <c r="E106" s="171">
        <f t="shared" si="19"/>
        <v>18678.189999999999</v>
      </c>
      <c r="F106" s="171"/>
      <c r="G106" s="171">
        <f t="shared" si="20"/>
        <v>18678.189999999999</v>
      </c>
      <c r="H106" s="172">
        <f t="shared" si="21"/>
        <v>2.9415961120199301E-3</v>
      </c>
      <c r="I106" s="473"/>
      <c r="J106" s="168"/>
      <c r="K106" s="168"/>
      <c r="U106" s="168"/>
      <c r="V106" s="168"/>
      <c r="W106" s="461"/>
      <c r="X106" s="461"/>
    </row>
    <row r="107" spans="1:24" s="167" customFormat="1">
      <c r="A107" s="169">
        <v>110</v>
      </c>
      <c r="B107" s="170" t="s">
        <v>47</v>
      </c>
      <c r="C107" s="501">
        <f>'[63]Sch C'!D100</f>
        <v>5881.71</v>
      </c>
      <c r="D107" s="501">
        <f>'[63]Sch C'!F100</f>
        <v>0</v>
      </c>
      <c r="E107" s="171">
        <f t="shared" si="19"/>
        <v>5881.71</v>
      </c>
      <c r="F107" s="171"/>
      <c r="G107" s="171">
        <f t="shared" si="20"/>
        <v>5881.71</v>
      </c>
      <c r="H107" s="172">
        <f t="shared" si="21"/>
        <v>9.2630042140211363E-4</v>
      </c>
      <c r="I107" s="473"/>
      <c r="J107" s="168"/>
      <c r="K107" s="168"/>
      <c r="U107" s="168"/>
      <c r="V107" s="168"/>
      <c r="W107" s="461"/>
      <c r="X107" s="461"/>
    </row>
    <row r="108" spans="1:24" s="167" customFormat="1">
      <c r="A108" s="169">
        <v>310</v>
      </c>
      <c r="B108" s="170" t="s">
        <v>54</v>
      </c>
      <c r="C108" s="501">
        <f>'[63]Sch C'!D101</f>
        <v>0</v>
      </c>
      <c r="D108" s="501">
        <f>'[63]Sch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  <c r="U108" s="168"/>
      <c r="V108" s="168"/>
      <c r="W108" s="461"/>
      <c r="X108" s="461"/>
    </row>
    <row r="109" spans="1:24" s="167" customFormat="1">
      <c r="A109" s="169">
        <v>410</v>
      </c>
      <c r="B109" s="170" t="s">
        <v>57</v>
      </c>
      <c r="C109" s="501">
        <f>'[63]Sch C'!D102</f>
        <v>1334.64</v>
      </c>
      <c r="D109" s="501">
        <f>'[63]Sch C'!F102</f>
        <v>0</v>
      </c>
      <c r="E109" s="171">
        <f t="shared" si="19"/>
        <v>1334.64</v>
      </c>
      <c r="F109" s="171"/>
      <c r="G109" s="171">
        <f t="shared" si="20"/>
        <v>1334.64</v>
      </c>
      <c r="H109" s="172">
        <f t="shared" si="21"/>
        <v>2.1019016483643651E-4</v>
      </c>
      <c r="I109" s="473"/>
      <c r="J109" s="168"/>
      <c r="K109" s="168"/>
      <c r="U109" s="168"/>
      <c r="V109" s="168"/>
      <c r="W109" s="461"/>
      <c r="X109" s="461"/>
    </row>
    <row r="110" spans="1:24" s="167" customFormat="1">
      <c r="A110" s="169">
        <v>490</v>
      </c>
      <c r="B110" s="202" t="s">
        <v>312</v>
      </c>
      <c r="C110" s="501">
        <f>'[63]Sch C'!D103</f>
        <v>1540.88</v>
      </c>
      <c r="D110" s="501">
        <f>'[63]Sch C'!F103</f>
        <v>0</v>
      </c>
      <c r="E110" s="171">
        <f t="shared" si="19"/>
        <v>1540.88</v>
      </c>
      <c r="F110" s="171"/>
      <c r="G110" s="171">
        <f t="shared" si="20"/>
        <v>1540.88</v>
      </c>
      <c r="H110" s="172">
        <f t="shared" si="21"/>
        <v>2.4267054875709427E-4</v>
      </c>
      <c r="I110" s="473"/>
      <c r="J110" s="168"/>
      <c r="K110" s="168"/>
      <c r="U110" s="168"/>
      <c r="V110" s="168"/>
      <c r="W110" s="461"/>
      <c r="X110" s="461"/>
    </row>
    <row r="111" spans="1:24" s="167" customFormat="1">
      <c r="A111" s="163"/>
      <c r="B111" s="170" t="s">
        <v>58</v>
      </c>
      <c r="C111" s="501">
        <f>SUM(C105:C110)</f>
        <v>111150.62000000001</v>
      </c>
      <c r="D111" s="501">
        <f>SUM(D105:D110)</f>
        <v>0</v>
      </c>
      <c r="E111" s="171">
        <f t="shared" ref="E111:F111" si="22">SUM(E105:E110)</f>
        <v>111150.62000000001</v>
      </c>
      <c r="F111" s="171">
        <f t="shared" si="22"/>
        <v>0</v>
      </c>
      <c r="G111" s="171">
        <f>SUM(G105:G110)</f>
        <v>111150.62000000001</v>
      </c>
      <c r="H111" s="172">
        <f t="shared" si="21"/>
        <v>1.7504920532482256E-2</v>
      </c>
      <c r="I111" s="473"/>
      <c r="J111" s="168"/>
      <c r="K111" s="168"/>
      <c r="U111" s="168"/>
      <c r="V111" s="168"/>
      <c r="W111" s="461"/>
      <c r="X111" s="461"/>
    </row>
    <row r="112" spans="1:24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  <c r="U112" s="168"/>
      <c r="V112" s="168"/>
      <c r="W112" s="461"/>
      <c r="X112" s="461"/>
    </row>
    <row r="113" spans="1:2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  <c r="U113" s="168"/>
      <c r="V113" s="168"/>
      <c r="W113" s="461"/>
      <c r="X113" s="461"/>
    </row>
    <row r="114" spans="1:27" s="167" customFormat="1">
      <c r="A114" s="169" t="s">
        <v>85</v>
      </c>
      <c r="B114" s="170" t="s">
        <v>44</v>
      </c>
      <c r="C114" s="501">
        <f>'[63]Sch C'!D115</f>
        <v>113476.5</v>
      </c>
      <c r="D114" s="501">
        <f>'[63]Sch C'!F115</f>
        <v>0</v>
      </c>
      <c r="E114" s="171">
        <f t="shared" ref="E114:E118" si="23">C114+D114</f>
        <v>113476.5</v>
      </c>
      <c r="F114" s="171"/>
      <c r="G114" s="171">
        <f>E114+F114</f>
        <v>113476.5</v>
      </c>
      <c r="H114" s="172">
        <f t="shared" ref="H114:H119" si="24">IF($G$208=0,0,G114/$G$208)</f>
        <v>1.7871219385049066E-2</v>
      </c>
      <c r="I114" s="473"/>
      <c r="J114" s="183">
        <v>10904.83</v>
      </c>
      <c r="K114" s="183">
        <v>11609.23</v>
      </c>
      <c r="U114" s="183">
        <v>5051.7</v>
      </c>
      <c r="V114" s="183">
        <v>5308.41</v>
      </c>
      <c r="W114" s="439">
        <v>2838.76</v>
      </c>
      <c r="X114" s="439">
        <v>3221.5039999999999</v>
      </c>
    </row>
    <row r="115" spans="1:27" s="167" customFormat="1">
      <c r="A115" s="169" t="s">
        <v>86</v>
      </c>
      <c r="B115" s="170" t="s">
        <v>151</v>
      </c>
      <c r="C115" s="501">
        <f>'[63]Sch C'!D116</f>
        <v>20381.7</v>
      </c>
      <c r="D115" s="501">
        <f>'[63]Sch C'!F116</f>
        <v>0</v>
      </c>
      <c r="E115" s="171">
        <f t="shared" si="23"/>
        <v>20381.7</v>
      </c>
      <c r="F115" s="171"/>
      <c r="G115" s="171">
        <f>E115+F115</f>
        <v>20381.7</v>
      </c>
      <c r="H115" s="172">
        <f t="shared" si="24"/>
        <v>3.2098789805841258E-3</v>
      </c>
      <c r="I115" s="473"/>
      <c r="J115" s="168"/>
      <c r="K115" s="168"/>
      <c r="U115" s="168"/>
      <c r="V115" s="168"/>
      <c r="W115" s="461"/>
      <c r="X115" s="461"/>
    </row>
    <row r="116" spans="1:27" s="167" customFormat="1">
      <c r="A116" s="169" t="s">
        <v>93</v>
      </c>
      <c r="B116" s="170" t="s">
        <v>47</v>
      </c>
      <c r="C116" s="501">
        <f>'[63]Sch C'!D117</f>
        <v>12007.06</v>
      </c>
      <c r="D116" s="501">
        <f>'[63]Sch C'!F117</f>
        <v>0</v>
      </c>
      <c r="E116" s="171">
        <f t="shared" si="23"/>
        <v>12007.06</v>
      </c>
      <c r="F116" s="171"/>
      <c r="G116" s="171">
        <f>E116+F116</f>
        <v>12007.06</v>
      </c>
      <c r="H116" s="172">
        <f t="shared" si="24"/>
        <v>1.8909712885879211E-3</v>
      </c>
      <c r="I116" s="473"/>
      <c r="J116" s="168"/>
      <c r="K116" s="168"/>
      <c r="U116" s="168"/>
      <c r="V116" s="168"/>
      <c r="W116" s="461"/>
      <c r="X116" s="461"/>
    </row>
    <row r="117" spans="1:27" s="167" customFormat="1">
      <c r="A117" s="169">
        <v>310</v>
      </c>
      <c r="B117" s="170" t="s">
        <v>60</v>
      </c>
      <c r="C117" s="501">
        <f>'[63]Sch C'!D118</f>
        <v>0</v>
      </c>
      <c r="D117" s="501">
        <f>'[63]Sch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  <c r="U117" s="168"/>
      <c r="V117" s="168"/>
      <c r="W117" s="461"/>
      <c r="X117" s="461"/>
    </row>
    <row r="118" spans="1:27" s="167" customFormat="1">
      <c r="A118" s="169">
        <v>490</v>
      </c>
      <c r="B118" s="202" t="s">
        <v>312</v>
      </c>
      <c r="C118" s="501">
        <f>'[63]Sch C'!D119</f>
        <v>803.49</v>
      </c>
      <c r="D118" s="501">
        <f>'[63]Sch C'!F119</f>
        <v>0</v>
      </c>
      <c r="E118" s="171">
        <f t="shared" si="23"/>
        <v>803.49</v>
      </c>
      <c r="F118" s="171"/>
      <c r="G118" s="171">
        <f>E118+F118</f>
        <v>803.49</v>
      </c>
      <c r="H118" s="172">
        <f t="shared" si="24"/>
        <v>1.2654026220136394E-4</v>
      </c>
      <c r="I118" s="473"/>
      <c r="J118" s="168"/>
      <c r="K118" s="168"/>
      <c r="U118" s="168"/>
      <c r="V118" s="168"/>
      <c r="W118" s="461"/>
      <c r="X118" s="461"/>
    </row>
    <row r="119" spans="1:27" s="167" customFormat="1">
      <c r="A119" s="163"/>
      <c r="B119" s="170" t="s">
        <v>61</v>
      </c>
      <c r="C119" s="501">
        <f>SUM(C114:C118)</f>
        <v>146668.75</v>
      </c>
      <c r="D119" s="501">
        <f>SUM(D114:D118)</f>
        <v>0</v>
      </c>
      <c r="E119" s="171">
        <f t="shared" ref="E119:F119" si="25">SUM(E114:E118)</f>
        <v>146668.75</v>
      </c>
      <c r="F119" s="171">
        <f t="shared" si="25"/>
        <v>0</v>
      </c>
      <c r="G119" s="171">
        <f>SUM(G114:G118)</f>
        <v>146668.75</v>
      </c>
      <c r="H119" s="172">
        <f t="shared" si="24"/>
        <v>2.3098609916422475E-2</v>
      </c>
      <c r="I119" s="473"/>
      <c r="J119" s="168"/>
      <c r="K119" s="168"/>
      <c r="U119" s="168"/>
      <c r="V119" s="168"/>
      <c r="W119" s="461"/>
      <c r="X119" s="461"/>
    </row>
    <row r="120" spans="1:27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  <c r="U120" s="203"/>
      <c r="V120" s="203"/>
      <c r="W120" s="203"/>
      <c r="X120" s="203"/>
    </row>
    <row r="121" spans="1:2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  <c r="U121" s="204"/>
      <c r="V121" s="204"/>
      <c r="W121" s="438"/>
      <c r="X121" s="438"/>
    </row>
    <row r="122" spans="1:2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  <c r="U122" s="204"/>
      <c r="V122" s="204"/>
      <c r="W122" s="438"/>
      <c r="X122" s="438"/>
    </row>
    <row r="123" spans="1:27" s="167" customFormat="1">
      <c r="B123" s="163" t="s">
        <v>232</v>
      </c>
      <c r="C123" s="501">
        <f>'[63]Sch C'!D124</f>
        <v>0</v>
      </c>
      <c r="D123" s="501">
        <f>'[63]Sch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  <c r="U123" s="183">
        <v>0</v>
      </c>
      <c r="V123" s="183">
        <v>0</v>
      </c>
      <c r="W123" s="490">
        <v>0</v>
      </c>
      <c r="X123" s="490">
        <v>0</v>
      </c>
    </row>
    <row r="124" spans="1:27" s="167" customFormat="1">
      <c r="B124" s="163" t="s">
        <v>194</v>
      </c>
      <c r="C124" s="501">
        <f>'[63]Sch C'!D125</f>
        <v>237332.37</v>
      </c>
      <c r="D124" s="501">
        <f>'[63]Sch C'!F125</f>
        <v>0</v>
      </c>
      <c r="E124" s="171">
        <f t="shared" si="26"/>
        <v>237332.37</v>
      </c>
      <c r="F124" s="171"/>
      <c r="G124" s="171">
        <f>E124+F124</f>
        <v>237332.37</v>
      </c>
      <c r="H124" s="172">
        <f>IF($G$208=0,0,G124/$G$208)</f>
        <v>3.737706795189874E-2</v>
      </c>
      <c r="I124" s="473"/>
      <c r="J124" s="183">
        <v>6138.53</v>
      </c>
      <c r="K124" s="183">
        <v>6250.53</v>
      </c>
      <c r="U124" s="183">
        <v>0</v>
      </c>
      <c r="V124" s="183">
        <v>0</v>
      </c>
      <c r="W124" s="490">
        <v>0</v>
      </c>
      <c r="X124" s="490">
        <v>0</v>
      </c>
    </row>
    <row r="125" spans="1:27" s="167" customFormat="1">
      <c r="A125" s="163" t="s">
        <v>198</v>
      </c>
      <c r="B125" s="163" t="s">
        <v>195</v>
      </c>
      <c r="C125" s="501">
        <f>'[63]Sch C'!D126</f>
        <v>0</v>
      </c>
      <c r="D125" s="501">
        <f>'[63]Sch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  <c r="U125" s="183">
        <v>0</v>
      </c>
      <c r="V125" s="183">
        <v>0</v>
      </c>
      <c r="W125" s="490">
        <v>0</v>
      </c>
      <c r="X125" s="490">
        <v>0</v>
      </c>
    </row>
    <row r="126" spans="1:27" s="167" customFormat="1" ht="15.5">
      <c r="A126" s="169"/>
      <c r="B126" s="163" t="s">
        <v>196</v>
      </c>
      <c r="C126" s="501">
        <f>'[63]Sch C'!D127</f>
        <v>15189.46</v>
      </c>
      <c r="D126" s="501">
        <f>'[63]Sch C'!F127</f>
        <v>0</v>
      </c>
      <c r="E126" s="171">
        <f t="shared" si="26"/>
        <v>15189.46</v>
      </c>
      <c r="F126" s="171"/>
      <c r="G126" s="171">
        <f>E126+F126</f>
        <v>15189.46</v>
      </c>
      <c r="H126" s="172">
        <f>IF($G$208=0,0,G126/$G$208)</f>
        <v>2.3921620071153706E-3</v>
      </c>
      <c r="I126" s="473"/>
      <c r="J126" s="183">
        <v>937.87</v>
      </c>
      <c r="K126" s="183">
        <v>999.87</v>
      </c>
      <c r="U126" s="183">
        <v>0</v>
      </c>
      <c r="V126" s="183">
        <v>0</v>
      </c>
      <c r="W126" s="490">
        <v>0</v>
      </c>
      <c r="X126" s="490">
        <v>0</v>
      </c>
      <c r="Z126"/>
      <c r="AA126"/>
    </row>
    <row r="127" spans="1:27" s="167" customFormat="1" ht="15.5">
      <c r="A127" s="169"/>
      <c r="B127" s="163" t="s">
        <v>197</v>
      </c>
      <c r="C127" s="501">
        <f>'[63]Sch C'!D128</f>
        <v>27110.37</v>
      </c>
      <c r="D127" s="501">
        <f>'[63]Sch C'!F128</f>
        <v>0</v>
      </c>
      <c r="E127" s="171">
        <f t="shared" si="26"/>
        <v>27110.37</v>
      </c>
      <c r="F127" s="171"/>
      <c r="G127" s="171">
        <f>E127+F127</f>
        <v>27110.37</v>
      </c>
      <c r="H127" s="172">
        <f>IF($G$208=0,0,G127/$G$208)</f>
        <v>4.2695656799412443E-3</v>
      </c>
      <c r="I127" s="473"/>
      <c r="J127" s="183">
        <v>1877.1</v>
      </c>
      <c r="K127" s="183">
        <v>2013.1</v>
      </c>
      <c r="U127" s="183">
        <v>0</v>
      </c>
      <c r="V127" s="183">
        <v>0</v>
      </c>
      <c r="W127" s="490">
        <v>0</v>
      </c>
      <c r="X127" s="490">
        <v>0</v>
      </c>
      <c r="Z127"/>
      <c r="AA127"/>
    </row>
    <row r="128" spans="1:27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  <c r="U128" s="207"/>
      <c r="V128" s="207"/>
      <c r="W128" s="465"/>
      <c r="X128" s="465"/>
    </row>
    <row r="129" spans="1:24" s="167" customFormat="1">
      <c r="A129" s="169"/>
      <c r="B129" s="163" t="s">
        <v>232</v>
      </c>
      <c r="C129" s="501">
        <f>'[63]Sch C'!D130</f>
        <v>0</v>
      </c>
      <c r="D129" s="501">
        <f>'[63]Sch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  <c r="U129" s="204"/>
      <c r="V129" s="204"/>
      <c r="W129" s="438"/>
      <c r="X129" s="438"/>
    </row>
    <row r="130" spans="1:24" s="167" customFormat="1">
      <c r="A130" s="169"/>
      <c r="B130" s="163" t="s">
        <v>194</v>
      </c>
      <c r="C130" s="501">
        <f>'[63]Sch C'!D131</f>
        <v>44088.57</v>
      </c>
      <c r="D130" s="501">
        <f>'[63]Sch C'!F131</f>
        <v>0</v>
      </c>
      <c r="E130" s="171">
        <f t="shared" si="27"/>
        <v>44088.57</v>
      </c>
      <c r="F130" s="171"/>
      <c r="G130" s="171">
        <f>E130+F130</f>
        <v>44088.57</v>
      </c>
      <c r="H130" s="172">
        <f>IF($G$208=0,0,G130/$G$208)</f>
        <v>6.9434332821605594E-3</v>
      </c>
      <c r="I130" s="473"/>
      <c r="J130" s="204"/>
      <c r="K130" s="204"/>
      <c r="U130" s="204"/>
      <c r="V130" s="204"/>
      <c r="W130" s="438"/>
      <c r="X130" s="438"/>
    </row>
    <row r="131" spans="1:24" s="167" customFormat="1">
      <c r="B131" s="163" t="s">
        <v>195</v>
      </c>
      <c r="C131" s="501">
        <f>'[63]Sch C'!D132</f>
        <v>0</v>
      </c>
      <c r="D131" s="501">
        <f>'[63]Sch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  <c r="U131" s="168"/>
      <c r="V131" s="168"/>
      <c r="W131" s="461"/>
      <c r="X131" s="461"/>
    </row>
    <row r="132" spans="1:24" s="167" customFormat="1">
      <c r="B132" s="163" t="s">
        <v>196</v>
      </c>
      <c r="C132" s="501">
        <f>'[63]Sch C'!D133</f>
        <v>12285.5</v>
      </c>
      <c r="D132" s="501">
        <f>'[63]Sch C'!F133</f>
        <v>0</v>
      </c>
      <c r="E132" s="171">
        <f t="shared" si="27"/>
        <v>12285.5</v>
      </c>
      <c r="F132" s="171"/>
      <c r="G132" s="171">
        <f>E132+F132</f>
        <v>12285.5</v>
      </c>
      <c r="H132" s="172">
        <f>IF($G$208=0,0,G132/$G$208)</f>
        <v>1.9348223266933708E-3</v>
      </c>
      <c r="I132" s="473"/>
      <c r="J132" s="168"/>
      <c r="K132" s="168"/>
      <c r="U132" s="168"/>
      <c r="V132" s="168"/>
      <c r="W132" s="461"/>
      <c r="X132" s="461"/>
    </row>
    <row r="133" spans="1:24" s="167" customFormat="1">
      <c r="B133" s="163" t="s">
        <v>197</v>
      </c>
      <c r="C133" s="501">
        <f>'[63]Sch C'!D134</f>
        <v>3862.7</v>
      </c>
      <c r="D133" s="501">
        <f>'[63]Sch C'!F134</f>
        <v>0</v>
      </c>
      <c r="E133" s="171">
        <f t="shared" si="27"/>
        <v>3862.7</v>
      </c>
      <c r="F133" s="171"/>
      <c r="G133" s="171">
        <f>E133+F133</f>
        <v>3862.7</v>
      </c>
      <c r="H133" s="172">
        <f>IF($G$208=0,0,G133/$G$208)</f>
        <v>6.083299988863687E-4</v>
      </c>
      <c r="I133" s="473"/>
      <c r="J133" s="168"/>
      <c r="K133" s="168"/>
      <c r="U133" s="168"/>
      <c r="V133" s="168"/>
      <c r="W133" s="461"/>
      <c r="X133" s="461"/>
    </row>
    <row r="134" spans="1:2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  <c r="U134" s="204"/>
      <c r="V134" s="204"/>
      <c r="W134" s="438"/>
      <c r="X134" s="438"/>
    </row>
    <row r="135" spans="1:24" s="167" customFormat="1">
      <c r="A135" s="169"/>
      <c r="B135" s="163" t="s">
        <v>194</v>
      </c>
      <c r="C135" s="501">
        <f>'[63]Sch C'!D136</f>
        <v>509922.39</v>
      </c>
      <c r="D135" s="501">
        <f>'[63]Sch C'!F136</f>
        <v>0</v>
      </c>
      <c r="E135" s="171">
        <f t="shared" ref="E135:E138" si="28">C135+D135</f>
        <v>509922.39</v>
      </c>
      <c r="F135" s="171"/>
      <c r="G135" s="171">
        <f>E135+F135</f>
        <v>509922.39</v>
      </c>
      <c r="H135" s="172">
        <f>IF($G$208=0,0,G135/$G$208)</f>
        <v>8.0306802739232797E-2</v>
      </c>
      <c r="I135" s="473"/>
      <c r="J135" s="183">
        <v>17504.27</v>
      </c>
      <c r="K135" s="183">
        <v>18294.02</v>
      </c>
      <c r="U135" s="183">
        <v>6554.21</v>
      </c>
      <c r="V135" s="183">
        <v>7350.96</v>
      </c>
      <c r="W135" s="439">
        <v>4078.32</v>
      </c>
      <c r="X135" s="439">
        <v>4588.3500000000004</v>
      </c>
    </row>
    <row r="136" spans="1:24" s="167" customFormat="1">
      <c r="A136" s="169"/>
      <c r="B136" s="163" t="s">
        <v>195</v>
      </c>
      <c r="C136" s="501">
        <f>'[63]Sch C'!D137</f>
        <v>230487.02</v>
      </c>
      <c r="D136" s="501">
        <f>'[63]Sch C'!F137</f>
        <v>0</v>
      </c>
      <c r="E136" s="171">
        <f t="shared" si="28"/>
        <v>230487.02</v>
      </c>
      <c r="F136" s="171"/>
      <c r="G136" s="171">
        <f>E136+F136</f>
        <v>230487.02</v>
      </c>
      <c r="H136" s="172">
        <f>IF($G$208=0,0,G136/$G$208)</f>
        <v>3.6299005519435226E-2</v>
      </c>
      <c r="I136" s="473"/>
      <c r="J136" s="183">
        <v>8165.44</v>
      </c>
      <c r="K136" s="183">
        <v>8869.34</v>
      </c>
      <c r="U136" s="183">
        <v>5292.28</v>
      </c>
      <c r="V136" s="183">
        <v>5633.23</v>
      </c>
      <c r="W136" s="439">
        <v>2796.18</v>
      </c>
      <c r="X136" s="439">
        <v>3064.47</v>
      </c>
    </row>
    <row r="137" spans="1:24" s="167" customFormat="1">
      <c r="A137" s="169"/>
      <c r="B137" s="163" t="s">
        <v>196</v>
      </c>
      <c r="C137" s="501">
        <f>'[63]Sch C'!D138</f>
        <v>643446.21</v>
      </c>
      <c r="D137" s="501">
        <f>'[63]Sch C'!F138</f>
        <v>0</v>
      </c>
      <c r="E137" s="171">
        <f t="shared" si="28"/>
        <v>643446.21</v>
      </c>
      <c r="F137" s="171"/>
      <c r="G137" s="171">
        <f>E137+F137</f>
        <v>643446.21</v>
      </c>
      <c r="H137" s="172">
        <f>IF($G$208=0,0,G137/$G$208)</f>
        <v>0.1013352401720916</v>
      </c>
      <c r="I137" s="473"/>
      <c r="J137" s="183">
        <v>55832.480000000003</v>
      </c>
      <c r="K137" s="183">
        <v>58686.79</v>
      </c>
      <c r="U137" s="183">
        <v>25614.94</v>
      </c>
      <c r="V137" s="183">
        <v>30363.26</v>
      </c>
      <c r="W137" s="439">
        <v>12887.57</v>
      </c>
      <c r="X137" s="439">
        <v>13782.18</v>
      </c>
    </row>
    <row r="138" spans="1:24" s="167" customFormat="1">
      <c r="A138" s="169"/>
      <c r="B138" s="163" t="s">
        <v>197</v>
      </c>
      <c r="C138" s="501">
        <f>'[63]Sch C'!D139</f>
        <v>206722.33</v>
      </c>
      <c r="D138" s="501">
        <f>'[63]Sch C'!F139</f>
        <v>0</v>
      </c>
      <c r="E138" s="171">
        <f t="shared" si="28"/>
        <v>206722.33</v>
      </c>
      <c r="F138" s="171"/>
      <c r="G138" s="171">
        <f>E138+F138</f>
        <v>206722.33</v>
      </c>
      <c r="H138" s="172">
        <f>IF($G$208=0,0,G138/$G$208)</f>
        <v>3.2556345245213857E-2</v>
      </c>
      <c r="I138" s="473"/>
      <c r="J138" s="183">
        <v>3271.71</v>
      </c>
      <c r="K138" s="183">
        <v>3779.21</v>
      </c>
      <c r="U138" s="183">
        <v>4033</v>
      </c>
      <c r="V138" s="183">
        <v>4358.59</v>
      </c>
      <c r="W138" s="439">
        <v>1615.05</v>
      </c>
      <c r="X138" s="439">
        <v>1778.6</v>
      </c>
    </row>
    <row r="139" spans="1:2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  <c r="U139" s="372"/>
      <c r="V139" s="372"/>
      <c r="W139" s="466"/>
      <c r="X139" s="466"/>
    </row>
    <row r="140" spans="1:24" s="167" customFormat="1">
      <c r="A140" s="169"/>
      <c r="B140" s="163" t="s">
        <v>194</v>
      </c>
      <c r="C140" s="501">
        <f>'[63]Sch C'!D141</f>
        <v>101820.92</v>
      </c>
      <c r="D140" s="501">
        <f>'[63]Sch C'!F141</f>
        <v>0</v>
      </c>
      <c r="E140" s="171">
        <f t="shared" ref="E140:E143" si="29">C140+D140</f>
        <v>101820.92</v>
      </c>
      <c r="F140" s="171"/>
      <c r="G140" s="171">
        <f>E140+F140</f>
        <v>101820.92</v>
      </c>
      <c r="H140" s="172">
        <f>IF($G$208=0,0,G140/$G$208)</f>
        <v>1.6035602078910877E-2</v>
      </c>
      <c r="I140" s="473"/>
      <c r="J140" s="168"/>
      <c r="K140" s="168"/>
      <c r="U140" s="168"/>
      <c r="V140" s="168"/>
      <c r="W140" s="461"/>
      <c r="X140" s="461"/>
    </row>
    <row r="141" spans="1:24" s="167" customFormat="1">
      <c r="A141" s="169"/>
      <c r="B141" s="163" t="s">
        <v>195</v>
      </c>
      <c r="C141" s="501">
        <f>'[63]Sch C'!D142</f>
        <v>44546.65</v>
      </c>
      <c r="D141" s="501">
        <f>'[63]Sch C'!F142</f>
        <v>0</v>
      </c>
      <c r="E141" s="171">
        <f t="shared" si="29"/>
        <v>44546.65</v>
      </c>
      <c r="F141" s="171"/>
      <c r="G141" s="171">
        <f>E141+F141</f>
        <v>44546.65</v>
      </c>
      <c r="H141" s="172">
        <f>IF($G$208=0,0,G141/$G$208)</f>
        <v>7.0155755158027959E-3</v>
      </c>
      <c r="I141" s="473"/>
      <c r="J141" s="168"/>
      <c r="K141" s="168"/>
      <c r="U141" s="168"/>
      <c r="V141" s="168"/>
      <c r="W141" s="461"/>
      <c r="X141" s="461"/>
    </row>
    <row r="142" spans="1:24" s="167" customFormat="1">
      <c r="A142" s="169"/>
      <c r="B142" s="163" t="s">
        <v>196</v>
      </c>
      <c r="C142" s="501">
        <f>'[63]Sch C'!D143</f>
        <v>127276.16</v>
      </c>
      <c r="D142" s="501">
        <f>'[63]Sch C'!F143</f>
        <v>0</v>
      </c>
      <c r="E142" s="171">
        <f t="shared" si="29"/>
        <v>127276.16</v>
      </c>
      <c r="F142" s="171"/>
      <c r="G142" s="171">
        <f>E142+F142</f>
        <v>127276.16</v>
      </c>
      <c r="H142" s="172">
        <f>IF($G$208=0,0,G142/$G$208)</f>
        <v>2.0044504173521448E-2</v>
      </c>
      <c r="I142" s="473"/>
      <c r="J142" s="168"/>
      <c r="K142" s="168"/>
      <c r="U142" s="168"/>
      <c r="V142" s="168"/>
      <c r="W142" s="461"/>
      <c r="X142" s="461"/>
    </row>
    <row r="143" spans="1:24" s="167" customFormat="1">
      <c r="A143" s="169"/>
      <c r="B143" s="163" t="s">
        <v>197</v>
      </c>
      <c r="C143" s="501">
        <f>'[63]Sch C'!D144</f>
        <v>50733.51</v>
      </c>
      <c r="D143" s="501">
        <f>'[63]Sch C'!F144</f>
        <v>0</v>
      </c>
      <c r="E143" s="171">
        <f t="shared" si="29"/>
        <v>50733.51</v>
      </c>
      <c r="F143" s="171"/>
      <c r="G143" s="171">
        <f>E143+F143</f>
        <v>50733.51</v>
      </c>
      <c r="H143" s="172">
        <f>IF($G$208=0,0,G143/$G$208)</f>
        <v>7.9899334874055927E-3</v>
      </c>
      <c r="I143" s="473"/>
      <c r="J143" s="168"/>
      <c r="K143" s="168"/>
      <c r="U143" s="168"/>
      <c r="V143" s="168"/>
      <c r="W143" s="461"/>
      <c r="X143" s="461"/>
    </row>
    <row r="144" spans="1:2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  <c r="U144" s="204"/>
      <c r="V144" s="204"/>
      <c r="W144" s="438"/>
      <c r="X144" s="438"/>
    </row>
    <row r="145" spans="1:24" s="167" customFormat="1">
      <c r="A145" s="169"/>
      <c r="B145" s="163" t="s">
        <v>232</v>
      </c>
      <c r="C145" s="501">
        <f>'[63]Sch C'!D146</f>
        <v>32400</v>
      </c>
      <c r="D145" s="501">
        <f>'[63]Sch C'!F146</f>
        <v>0</v>
      </c>
      <c r="E145" s="171">
        <f t="shared" ref="E145:E153" si="30">C145+D145</f>
        <v>32400</v>
      </c>
      <c r="F145" s="171"/>
      <c r="G145" s="171">
        <f t="shared" ref="G145:G153" si="31">E145+F145</f>
        <v>32400</v>
      </c>
      <c r="H145" s="172">
        <f t="shared" ref="H145:H153" si="32">IF($G$208=0,0,G145/$G$208)</f>
        <v>5.10262043749666E-3</v>
      </c>
      <c r="I145" s="473"/>
      <c r="J145" s="183">
        <v>0</v>
      </c>
      <c r="K145" s="183">
        <v>0</v>
      </c>
      <c r="U145" s="183">
        <v>0</v>
      </c>
      <c r="V145" s="183">
        <v>0</v>
      </c>
      <c r="W145" s="439">
        <v>0</v>
      </c>
      <c r="X145" s="439">
        <v>0</v>
      </c>
    </row>
    <row r="146" spans="1:24" s="167" customFormat="1">
      <c r="A146" s="169"/>
      <c r="B146" s="163" t="s">
        <v>194</v>
      </c>
      <c r="C146" s="501">
        <f>'[63]Sch C'!D147</f>
        <v>0</v>
      </c>
      <c r="D146" s="501">
        <f>'[63]Sch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  <c r="U146" s="183">
        <v>0</v>
      </c>
      <c r="V146" s="183">
        <v>0</v>
      </c>
      <c r="W146" s="439">
        <v>0</v>
      </c>
      <c r="X146" s="439">
        <v>0</v>
      </c>
    </row>
    <row r="147" spans="1:24" s="167" customFormat="1">
      <c r="A147" s="169"/>
      <c r="B147" s="163" t="s">
        <v>195</v>
      </c>
      <c r="C147" s="501">
        <f>'[63]Sch C'!D148</f>
        <v>0</v>
      </c>
      <c r="D147" s="501">
        <f>'[63]Sch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  <c r="U147" s="183">
        <v>0</v>
      </c>
      <c r="V147" s="183">
        <v>0</v>
      </c>
      <c r="W147" s="439">
        <v>0</v>
      </c>
      <c r="X147" s="439">
        <v>0</v>
      </c>
    </row>
    <row r="148" spans="1:24" s="167" customFormat="1">
      <c r="A148" s="169"/>
      <c r="B148" s="163" t="s">
        <v>196</v>
      </c>
      <c r="C148" s="501">
        <f>'[63]Sch C'!D149</f>
        <v>0</v>
      </c>
      <c r="D148" s="501">
        <f>'[63]Sch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  <c r="U148" s="183">
        <v>0</v>
      </c>
      <c r="V148" s="183">
        <v>0</v>
      </c>
      <c r="W148" s="439">
        <v>0</v>
      </c>
      <c r="X148" s="439">
        <v>0</v>
      </c>
    </row>
    <row r="149" spans="1:24" s="167" customFormat="1">
      <c r="A149" s="169"/>
      <c r="B149" s="163" t="s">
        <v>197</v>
      </c>
      <c r="C149" s="501">
        <f>'[63]Sch C'!D150</f>
        <v>7992.5</v>
      </c>
      <c r="D149" s="501">
        <f>'[63]Sch C'!F150</f>
        <v>0</v>
      </c>
      <c r="E149" s="171">
        <f t="shared" si="30"/>
        <v>7992.5</v>
      </c>
      <c r="F149" s="171"/>
      <c r="G149" s="171">
        <f t="shared" si="31"/>
        <v>7992.5</v>
      </c>
      <c r="H149" s="172">
        <f t="shared" si="32"/>
        <v>1.2587251187250635E-3</v>
      </c>
      <c r="I149" s="473"/>
      <c r="J149" s="183">
        <v>0</v>
      </c>
      <c r="K149" s="183">
        <v>0</v>
      </c>
      <c r="U149" s="183">
        <v>0</v>
      </c>
      <c r="V149" s="183">
        <v>0</v>
      </c>
      <c r="W149" s="439">
        <v>0</v>
      </c>
      <c r="X149" s="439">
        <v>0</v>
      </c>
    </row>
    <row r="150" spans="1:24" s="167" customFormat="1">
      <c r="A150" s="169">
        <v>110</v>
      </c>
      <c r="B150" s="167" t="s">
        <v>65</v>
      </c>
      <c r="C150" s="501">
        <f>'[63]Sch C'!D151</f>
        <v>241800.53</v>
      </c>
      <c r="D150" s="501">
        <f>'[63]Sch C'!F151</f>
        <v>0</v>
      </c>
      <c r="E150" s="171">
        <f t="shared" si="30"/>
        <v>241800.53</v>
      </c>
      <c r="F150" s="171"/>
      <c r="G150" s="171">
        <f t="shared" si="31"/>
        <v>241800.53</v>
      </c>
      <c r="H150" s="172">
        <f t="shared" si="32"/>
        <v>3.8080750807886553E-2</v>
      </c>
      <c r="I150" s="473"/>
      <c r="J150" s="168"/>
      <c r="K150" s="168"/>
      <c r="U150" s="168"/>
      <c r="V150" s="168"/>
      <c r="W150" s="461"/>
      <c r="X150" s="461"/>
    </row>
    <row r="151" spans="1:24" s="167" customFormat="1">
      <c r="A151" s="169">
        <v>111</v>
      </c>
      <c r="B151" s="170" t="s">
        <v>97</v>
      </c>
      <c r="C151" s="501">
        <f>'[63]Sch C'!D152</f>
        <v>1865.3</v>
      </c>
      <c r="D151" s="501">
        <f>'[63]Sch C'!F152</f>
        <v>0</v>
      </c>
      <c r="E151" s="171">
        <f t="shared" si="30"/>
        <v>1865.3</v>
      </c>
      <c r="F151" s="171"/>
      <c r="G151" s="171">
        <f t="shared" si="31"/>
        <v>1865.3</v>
      </c>
      <c r="H151" s="172">
        <f t="shared" si="32"/>
        <v>2.9376289821180619E-4</v>
      </c>
      <c r="I151" s="473"/>
      <c r="J151" s="168"/>
      <c r="K151" s="168"/>
      <c r="U151" s="168"/>
      <c r="V151" s="168"/>
      <c r="W151" s="461"/>
      <c r="X151" s="461"/>
    </row>
    <row r="152" spans="1:24" s="167" customFormat="1">
      <c r="A152" s="169">
        <v>230</v>
      </c>
      <c r="B152" s="170" t="s">
        <v>66</v>
      </c>
      <c r="C152" s="501">
        <f>'[63]Sch C'!D153</f>
        <v>3603.37</v>
      </c>
      <c r="D152" s="501">
        <f>'[63]Sch C'!F153</f>
        <v>0</v>
      </c>
      <c r="E152" s="171">
        <f t="shared" si="30"/>
        <v>3603.37</v>
      </c>
      <c r="F152" s="171"/>
      <c r="G152" s="171">
        <f t="shared" si="31"/>
        <v>3603.37</v>
      </c>
      <c r="H152" s="172">
        <f t="shared" si="32"/>
        <v>5.6748856190933145E-4</v>
      </c>
      <c r="I152" s="473"/>
      <c r="J152" s="168"/>
      <c r="K152" s="168"/>
      <c r="U152" s="168"/>
      <c r="V152" s="168"/>
      <c r="W152" s="461"/>
      <c r="X152" s="461"/>
    </row>
    <row r="153" spans="1:24" s="167" customFormat="1">
      <c r="A153" s="169">
        <v>430</v>
      </c>
      <c r="B153" s="170" t="s">
        <v>99</v>
      </c>
      <c r="C153" s="501">
        <f>'[63]Sch C'!D154</f>
        <v>963</v>
      </c>
      <c r="D153" s="501">
        <f>'[63]Sch C'!F154</f>
        <v>0</v>
      </c>
      <c r="E153" s="171">
        <f t="shared" si="30"/>
        <v>963</v>
      </c>
      <c r="F153" s="171"/>
      <c r="G153" s="171">
        <f t="shared" si="31"/>
        <v>963</v>
      </c>
      <c r="H153" s="172">
        <f t="shared" si="32"/>
        <v>1.5166121855892851E-4</v>
      </c>
      <c r="I153" s="473"/>
      <c r="J153" s="168"/>
      <c r="K153" s="168"/>
      <c r="U153" s="168"/>
      <c r="V153" s="168"/>
      <c r="W153" s="461"/>
      <c r="X153" s="461"/>
    </row>
    <row r="154" spans="1:24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  <c r="U154" s="168"/>
      <c r="V154" s="168"/>
      <c r="W154" s="461"/>
      <c r="X154" s="461"/>
    </row>
    <row r="155" spans="1:24" s="167" customFormat="1">
      <c r="A155" s="169">
        <v>440.1</v>
      </c>
      <c r="B155" s="163" t="s">
        <v>223</v>
      </c>
      <c r="C155" s="501">
        <f>'[63]Sch C'!D156</f>
        <v>0</v>
      </c>
      <c r="D155" s="501">
        <f>'[63]Sch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  <c r="U155" s="168"/>
      <c r="V155" s="168"/>
      <c r="W155" s="461"/>
      <c r="X155" s="461"/>
    </row>
    <row r="156" spans="1:24" s="167" customFormat="1">
      <c r="A156" s="169">
        <v>440.2</v>
      </c>
      <c r="B156" s="163" t="s">
        <v>224</v>
      </c>
      <c r="C156" s="501">
        <f>'[63]Sch C'!D157</f>
        <v>0</v>
      </c>
      <c r="D156" s="501">
        <f>'[63]Sch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  <c r="U156" s="168"/>
      <c r="V156" s="168"/>
      <c r="W156" s="461"/>
      <c r="X156" s="461"/>
    </row>
    <row r="157" spans="1:24" s="167" customFormat="1">
      <c r="A157" s="169">
        <v>440.3</v>
      </c>
      <c r="B157" s="163" t="s">
        <v>225</v>
      </c>
      <c r="C157" s="501">
        <f>'[63]Sch C'!D158</f>
        <v>0</v>
      </c>
      <c r="D157" s="501">
        <f>'[63]Sch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  <c r="U157" s="168"/>
      <c r="V157" s="168"/>
      <c r="W157" s="461"/>
      <c r="X157" s="461"/>
    </row>
    <row r="158" spans="1:24" s="167" customFormat="1">
      <c r="A158" s="169">
        <v>440.4</v>
      </c>
      <c r="B158" s="163" t="s">
        <v>226</v>
      </c>
      <c r="C158" s="501">
        <f>'[63]Sch C'!D159</f>
        <v>0</v>
      </c>
      <c r="D158" s="501">
        <f>'[63]Sch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  <c r="U158" s="168"/>
      <c r="V158" s="168"/>
      <c r="W158" s="461"/>
      <c r="X158" s="461"/>
    </row>
    <row r="159" spans="1:24" s="167" customFormat="1">
      <c r="A159" s="169">
        <v>440.5</v>
      </c>
      <c r="B159" s="163" t="s">
        <v>301</v>
      </c>
      <c r="C159" s="501">
        <f>'[63]Sch C'!D160</f>
        <v>883.3</v>
      </c>
      <c r="D159" s="501">
        <f>'[63]Sch C'!F160</f>
        <v>0</v>
      </c>
      <c r="E159" s="171">
        <f t="shared" si="33"/>
        <v>883.3</v>
      </c>
      <c r="F159" s="171"/>
      <c r="G159" s="171">
        <f t="shared" si="34"/>
        <v>883.3</v>
      </c>
      <c r="H159" s="172">
        <f>IF($G$208=0,0,G159/$G$208)</f>
        <v>1.3910940223582714E-4</v>
      </c>
      <c r="I159" s="473"/>
      <c r="J159" s="168"/>
      <c r="K159" s="168"/>
      <c r="U159" s="168"/>
      <c r="V159" s="168"/>
      <c r="W159" s="461"/>
      <c r="X159" s="461"/>
    </row>
    <row r="160" spans="1:24" s="167" customFormat="1">
      <c r="A160" s="169">
        <v>490</v>
      </c>
      <c r="B160" s="202" t="s">
        <v>315</v>
      </c>
      <c r="C160" s="501">
        <f>'[63]Sch C'!D161</f>
        <v>40833.93</v>
      </c>
      <c r="D160" s="501">
        <f>'[63]Sch C'!F161</f>
        <v>0</v>
      </c>
      <c r="E160" s="171">
        <f t="shared" si="33"/>
        <v>40833.93</v>
      </c>
      <c r="F160" s="171"/>
      <c r="G160" s="171">
        <f t="shared" si="34"/>
        <v>40833.93</v>
      </c>
      <c r="H160" s="172">
        <f t="shared" si="35"/>
        <v>6.430865609916913E-3</v>
      </c>
      <c r="I160" s="473"/>
      <c r="J160" s="168"/>
      <c r="K160" s="168"/>
      <c r="U160" s="168"/>
      <c r="V160" s="168"/>
      <c r="W160" s="461"/>
      <c r="X160" s="461"/>
    </row>
    <row r="161" spans="1:24" s="167" customFormat="1">
      <c r="A161" s="169"/>
      <c r="B161" s="170" t="s">
        <v>233</v>
      </c>
      <c r="C161" s="501">
        <f>SUM(C123:C160)</f>
        <v>2585166.0899999994</v>
      </c>
      <c r="D161" s="501">
        <f>SUM(D123:D160)</f>
        <v>0</v>
      </c>
      <c r="E161" s="171">
        <f t="shared" ref="E161:F161" si="36">SUM(E123:E160)</f>
        <v>2585166.0899999994</v>
      </c>
      <c r="F161" s="171">
        <f t="shared" si="36"/>
        <v>0</v>
      </c>
      <c r="G161" s="171">
        <f>SUM(G123:G160)</f>
        <v>2585166.0899999994</v>
      </c>
      <c r="H161" s="172">
        <f t="shared" si="35"/>
        <v>0.4071333742332508</v>
      </c>
      <c r="I161" s="473"/>
      <c r="J161" s="168"/>
      <c r="K161" s="168"/>
      <c r="U161" s="168"/>
      <c r="V161" s="168"/>
      <c r="W161" s="461"/>
      <c r="X161" s="461"/>
    </row>
    <row r="162" spans="1:24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  <c r="U162" s="168"/>
      <c r="V162" s="168"/>
      <c r="W162" s="461"/>
      <c r="X162" s="461"/>
    </row>
    <row r="163" spans="1:24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  <c r="U163" s="168"/>
      <c r="V163" s="168"/>
      <c r="W163" s="461"/>
      <c r="X163" s="461"/>
    </row>
    <row r="164" spans="1:24" s="221" customFormat="1">
      <c r="A164" s="215" t="s">
        <v>95</v>
      </c>
      <c r="B164" s="148" t="s">
        <v>102</v>
      </c>
      <c r="C164" s="501">
        <f>'[63]Sch C'!D175</f>
        <v>0</v>
      </c>
      <c r="D164" s="501">
        <f>'[63]Sch C'!F175</f>
        <v>0</v>
      </c>
      <c r="E164" s="171">
        <f t="shared" ref="E164:E196" si="37">C164+D164</f>
        <v>0</v>
      </c>
      <c r="F164" s="171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  <c r="U164" s="217">
        <v>0</v>
      </c>
      <c r="V164" s="217">
        <v>0</v>
      </c>
      <c r="W164" s="439">
        <v>0</v>
      </c>
      <c r="X164" s="439">
        <v>0</v>
      </c>
    </row>
    <row r="165" spans="1:24" s="221" customFormat="1">
      <c r="A165" s="215" t="s">
        <v>123</v>
      </c>
      <c r="B165" s="148" t="s">
        <v>103</v>
      </c>
      <c r="C165" s="501">
        <f>'[63]Sch C'!D176</f>
        <v>0</v>
      </c>
      <c r="D165" s="501">
        <f>'[63]Sch C'!F176</f>
        <v>0</v>
      </c>
      <c r="E165" s="171">
        <f t="shared" si="37"/>
        <v>0</v>
      </c>
      <c r="F165" s="171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  <c r="U165" s="222"/>
      <c r="V165" s="222"/>
      <c r="W165" s="467"/>
      <c r="X165" s="467"/>
    </row>
    <row r="166" spans="1:24" s="221" customFormat="1">
      <c r="A166" s="215" t="s">
        <v>124</v>
      </c>
      <c r="B166" s="148" t="s">
        <v>104</v>
      </c>
      <c r="C166" s="501">
        <f>'[63]Sch C'!D177</f>
        <v>0</v>
      </c>
      <c r="D166" s="501">
        <f>'[63]Sch C'!F177</f>
        <v>0</v>
      </c>
      <c r="E166" s="171">
        <f t="shared" si="37"/>
        <v>0</v>
      </c>
      <c r="F166" s="171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  <c r="U166" s="217">
        <v>0</v>
      </c>
      <c r="V166" s="217">
        <v>0</v>
      </c>
      <c r="W166" s="439">
        <v>0</v>
      </c>
      <c r="X166" s="439">
        <v>0</v>
      </c>
    </row>
    <row r="167" spans="1:24" s="221" customFormat="1">
      <c r="A167" s="215" t="s">
        <v>157</v>
      </c>
      <c r="B167" s="148" t="s">
        <v>105</v>
      </c>
      <c r="C167" s="501">
        <f>'[63]Sch C'!D178</f>
        <v>0</v>
      </c>
      <c r="D167" s="501">
        <f>'[63]Sch C'!F178</f>
        <v>0</v>
      </c>
      <c r="E167" s="171">
        <f t="shared" si="37"/>
        <v>0</v>
      </c>
      <c r="F167" s="171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  <c r="U167" s="222"/>
      <c r="V167" s="222"/>
      <c r="W167" s="467"/>
      <c r="X167" s="467"/>
    </row>
    <row r="168" spans="1:24" s="221" customFormat="1">
      <c r="A168" s="215" t="s">
        <v>158</v>
      </c>
      <c r="B168" s="148" t="s">
        <v>316</v>
      </c>
      <c r="C168" s="501">
        <f>'[63]Sch C'!D179</f>
        <v>0</v>
      </c>
      <c r="D168" s="501">
        <f>'[63]Sch C'!F179</f>
        <v>0</v>
      </c>
      <c r="E168" s="171">
        <f t="shared" si="37"/>
        <v>0</v>
      </c>
      <c r="F168" s="171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  <c r="U168" s="217">
        <v>0</v>
      </c>
      <c r="V168" s="217">
        <v>0</v>
      </c>
      <c r="W168" s="439">
        <v>0</v>
      </c>
      <c r="X168" s="439">
        <v>0</v>
      </c>
    </row>
    <row r="169" spans="1:24" s="221" customFormat="1">
      <c r="A169" s="215" t="s">
        <v>86</v>
      </c>
      <c r="B169" s="148" t="s">
        <v>317</v>
      </c>
      <c r="C169" s="501">
        <f>'[63]Sch C'!D180</f>
        <v>0</v>
      </c>
      <c r="D169" s="501">
        <f>'[63]Sch C'!F180</f>
        <v>0</v>
      </c>
      <c r="E169" s="171">
        <f t="shared" si="37"/>
        <v>0</v>
      </c>
      <c r="F169" s="171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  <c r="U169" s="222"/>
      <c r="V169" s="222"/>
      <c r="W169" s="467"/>
      <c r="X169" s="467"/>
    </row>
    <row r="170" spans="1:24" s="221" customFormat="1">
      <c r="A170" s="215" t="s">
        <v>96</v>
      </c>
      <c r="B170" s="148" t="s">
        <v>318</v>
      </c>
      <c r="C170" s="501">
        <f>'[63]Sch C'!D181</f>
        <v>0</v>
      </c>
      <c r="D170" s="501">
        <f>'[63]Sch C'!F181</f>
        <v>0</v>
      </c>
      <c r="E170" s="171">
        <f t="shared" si="37"/>
        <v>0</v>
      </c>
      <c r="F170" s="171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  <c r="U170" s="217">
        <v>0</v>
      </c>
      <c r="V170" s="217">
        <v>0</v>
      </c>
      <c r="W170" s="439">
        <v>0</v>
      </c>
      <c r="X170" s="439">
        <v>0</v>
      </c>
    </row>
    <row r="171" spans="1:24" s="221" customFormat="1">
      <c r="A171" s="215" t="s">
        <v>125</v>
      </c>
      <c r="B171" s="148" t="s">
        <v>109</v>
      </c>
      <c r="C171" s="501">
        <f>'[63]Sch C'!D182</f>
        <v>0</v>
      </c>
      <c r="D171" s="501">
        <f>'[63]Sch C'!F182</f>
        <v>0</v>
      </c>
      <c r="E171" s="171">
        <f t="shared" si="37"/>
        <v>0</v>
      </c>
      <c r="F171" s="171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  <c r="U171" s="222"/>
      <c r="V171" s="222"/>
      <c r="W171" s="467"/>
      <c r="X171" s="467"/>
    </row>
    <row r="172" spans="1:24" s="221" customFormat="1">
      <c r="A172" s="215" t="s">
        <v>126</v>
      </c>
      <c r="B172" s="148" t="s">
        <v>319</v>
      </c>
      <c r="C172" s="501">
        <f>'[63]Sch C'!D183</f>
        <v>0</v>
      </c>
      <c r="D172" s="501">
        <f>'[63]Sch C'!F183</f>
        <v>0</v>
      </c>
      <c r="E172" s="171">
        <f t="shared" si="37"/>
        <v>0</v>
      </c>
      <c r="F172" s="171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  <c r="U172" s="217">
        <v>0</v>
      </c>
      <c r="V172" s="217">
        <v>0</v>
      </c>
      <c r="W172" s="439">
        <v>0</v>
      </c>
      <c r="X172" s="439">
        <v>0</v>
      </c>
    </row>
    <row r="173" spans="1:24" s="221" customFormat="1">
      <c r="A173" s="215" t="s">
        <v>127</v>
      </c>
      <c r="B173" s="148" t="s">
        <v>111</v>
      </c>
      <c r="C173" s="501">
        <f>'[63]Sch C'!D184</f>
        <v>0</v>
      </c>
      <c r="D173" s="501">
        <f>'[63]Sch C'!F184</f>
        <v>0</v>
      </c>
      <c r="E173" s="171">
        <f t="shared" si="37"/>
        <v>0</v>
      </c>
      <c r="F173" s="171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  <c r="U173" s="222"/>
      <c r="V173" s="222"/>
      <c r="W173" s="467"/>
      <c r="X173" s="467"/>
    </row>
    <row r="174" spans="1:24" s="221" customFormat="1">
      <c r="A174" s="215" t="s">
        <v>128</v>
      </c>
      <c r="B174" s="148" t="s">
        <v>320</v>
      </c>
      <c r="C174" s="501">
        <f>'[63]Sch C'!D185</f>
        <v>0</v>
      </c>
      <c r="D174" s="501">
        <f>'[63]Sch C'!F185</f>
        <v>0</v>
      </c>
      <c r="E174" s="171">
        <f t="shared" si="37"/>
        <v>0</v>
      </c>
      <c r="F174" s="171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  <c r="U174" s="217">
        <v>0</v>
      </c>
      <c r="V174" s="217">
        <v>0</v>
      </c>
      <c r="W174" s="439">
        <v>0</v>
      </c>
      <c r="X174" s="439">
        <v>0</v>
      </c>
    </row>
    <row r="175" spans="1:24" s="221" customFormat="1">
      <c r="A175" s="215" t="s">
        <v>129</v>
      </c>
      <c r="B175" s="148" t="s">
        <v>321</v>
      </c>
      <c r="C175" s="501">
        <f>'[63]Sch C'!D186</f>
        <v>0</v>
      </c>
      <c r="D175" s="501">
        <f>'[63]Sch C'!F186</f>
        <v>0</v>
      </c>
      <c r="E175" s="171">
        <f t="shared" si="37"/>
        <v>0</v>
      </c>
      <c r="F175" s="171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  <c r="U175" s="223"/>
      <c r="V175" s="218"/>
      <c r="W175" s="468"/>
      <c r="X175" s="469"/>
    </row>
    <row r="176" spans="1:24" s="221" customFormat="1">
      <c r="A176" s="224" t="s">
        <v>293</v>
      </c>
      <c r="B176" s="148" t="s">
        <v>154</v>
      </c>
      <c r="C176" s="501">
        <f>'[63]Sch C'!D187</f>
        <v>0</v>
      </c>
      <c r="D176" s="501">
        <f>'[63]Sch C'!F187</f>
        <v>0</v>
      </c>
      <c r="E176" s="171">
        <f t="shared" si="37"/>
        <v>0</v>
      </c>
      <c r="F176" s="171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  <c r="U176" s="223"/>
      <c r="V176" s="218"/>
      <c r="W176" s="468"/>
      <c r="X176" s="469"/>
    </row>
    <row r="177" spans="1:24" s="221" customFormat="1">
      <c r="A177" s="224" t="s">
        <v>294</v>
      </c>
      <c r="B177" s="148" t="s">
        <v>322</v>
      </c>
      <c r="C177" s="501">
        <f>'[63]Sch C'!D188</f>
        <v>0</v>
      </c>
      <c r="D177" s="501">
        <f>'[63]Sch C'!F188</f>
        <v>0</v>
      </c>
      <c r="E177" s="171">
        <f t="shared" si="37"/>
        <v>0</v>
      </c>
      <c r="F177" s="171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  <c r="U177" s="223"/>
      <c r="V177" s="218"/>
      <c r="W177" s="468"/>
      <c r="X177" s="469"/>
    </row>
    <row r="178" spans="1:24" s="221" customFormat="1">
      <c r="A178" s="224" t="s">
        <v>295</v>
      </c>
      <c r="B178" s="148" t="s">
        <v>323</v>
      </c>
      <c r="C178" s="501">
        <f>'[63]Sch C'!D189</f>
        <v>0</v>
      </c>
      <c r="D178" s="501">
        <f>'[63]Sch C'!F189</f>
        <v>0</v>
      </c>
      <c r="E178" s="171">
        <f t="shared" si="37"/>
        <v>0</v>
      </c>
      <c r="F178" s="171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  <c r="U178" s="223"/>
      <c r="V178" s="218"/>
      <c r="W178" s="468"/>
      <c r="X178" s="469"/>
    </row>
    <row r="179" spans="1:24" s="221" customFormat="1">
      <c r="A179" s="224" t="s">
        <v>296</v>
      </c>
      <c r="B179" s="148" t="s">
        <v>324</v>
      </c>
      <c r="C179" s="501">
        <f>'[63]Sch C'!D190</f>
        <v>0</v>
      </c>
      <c r="D179" s="501">
        <f>'[63]Sch C'!F190</f>
        <v>0</v>
      </c>
      <c r="E179" s="171">
        <f t="shared" si="37"/>
        <v>0</v>
      </c>
      <c r="F179" s="171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  <c r="U179" s="223"/>
      <c r="V179" s="218"/>
      <c r="W179" s="468"/>
      <c r="X179" s="469"/>
    </row>
    <row r="180" spans="1:24" s="221" customFormat="1">
      <c r="A180" s="224" t="s">
        <v>297</v>
      </c>
      <c r="B180" s="148" t="s">
        <v>325</v>
      </c>
      <c r="C180" s="501">
        <f>'[63]Sch C'!D191</f>
        <v>0</v>
      </c>
      <c r="D180" s="501">
        <f>'[63]Sch C'!F191</f>
        <v>0</v>
      </c>
      <c r="E180" s="171">
        <f t="shared" si="37"/>
        <v>0</v>
      </c>
      <c r="F180" s="171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  <c r="U180" s="223"/>
      <c r="V180" s="218"/>
      <c r="W180" s="468"/>
      <c r="X180" s="469"/>
    </row>
    <row r="181" spans="1:24" s="221" customFormat="1">
      <c r="A181" s="224" t="s">
        <v>298</v>
      </c>
      <c r="B181" s="148" t="s">
        <v>117</v>
      </c>
      <c r="C181" s="501">
        <f>'[63]Sch C'!D192</f>
        <v>0</v>
      </c>
      <c r="D181" s="501">
        <f>'[63]Sch C'!F192</f>
        <v>0</v>
      </c>
      <c r="E181" s="171">
        <f t="shared" si="37"/>
        <v>0</v>
      </c>
      <c r="F181" s="171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  <c r="U181" s="223"/>
      <c r="V181" s="218"/>
      <c r="W181" s="468"/>
      <c r="X181" s="469"/>
    </row>
    <row r="182" spans="1:24" s="221" customFormat="1">
      <c r="A182" s="224" t="s">
        <v>132</v>
      </c>
      <c r="B182" s="148" t="s">
        <v>118</v>
      </c>
      <c r="C182" s="501">
        <f>'[63]Sch C'!D193</f>
        <v>0</v>
      </c>
      <c r="D182" s="501">
        <f>'[63]Sch C'!F193</f>
        <v>0</v>
      </c>
      <c r="E182" s="171">
        <f t="shared" si="37"/>
        <v>0</v>
      </c>
      <c r="F182" s="171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  <c r="U182" s="223"/>
      <c r="V182" s="218"/>
      <c r="W182" s="468"/>
      <c r="X182" s="469"/>
    </row>
    <row r="183" spans="1:24" s="221" customFormat="1">
      <c r="A183" s="224" t="s">
        <v>133</v>
      </c>
      <c r="B183" s="148" t="s">
        <v>119</v>
      </c>
      <c r="C183" s="501">
        <f>'[63]Sch C'!D194</f>
        <v>423944.71</v>
      </c>
      <c r="D183" s="501">
        <f>'[63]Sch C'!F194</f>
        <v>-2111.36</v>
      </c>
      <c r="E183" s="171">
        <f t="shared" si="37"/>
        <v>421833.35000000003</v>
      </c>
      <c r="F183" s="171"/>
      <c r="G183" s="171">
        <f t="shared" si="38"/>
        <v>421833.35000000003</v>
      </c>
      <c r="H183" s="172">
        <f t="shared" si="39"/>
        <v>6.6433810892829681E-2</v>
      </c>
      <c r="I183" s="473"/>
      <c r="J183" s="223"/>
      <c r="K183" s="218"/>
      <c r="M183" s="220"/>
      <c r="N183" s="220"/>
      <c r="U183" s="223"/>
      <c r="V183" s="218"/>
      <c r="W183" s="468"/>
      <c r="X183" s="469"/>
    </row>
    <row r="184" spans="1:24" s="221" customFormat="1">
      <c r="A184" s="224" t="s">
        <v>134</v>
      </c>
      <c r="B184" s="148" t="s">
        <v>326</v>
      </c>
      <c r="C184" s="501">
        <f>'[63]Sch C'!D195</f>
        <v>73320.08</v>
      </c>
      <c r="D184" s="501">
        <f>'[63]Sch C'!F195</f>
        <v>-375.35</v>
      </c>
      <c r="E184" s="171">
        <f t="shared" si="37"/>
        <v>72944.73</v>
      </c>
      <c r="F184" s="171"/>
      <c r="G184" s="171">
        <f t="shared" si="38"/>
        <v>72944.73</v>
      </c>
      <c r="H184" s="172">
        <f t="shared" si="39"/>
        <v>1.1487940435360361E-2</v>
      </c>
      <c r="I184" s="473"/>
      <c r="J184" s="223"/>
      <c r="K184" s="218"/>
      <c r="M184" s="220"/>
      <c r="N184" s="220"/>
      <c r="U184" s="223"/>
      <c r="V184" s="218"/>
      <c r="W184" s="468"/>
      <c r="X184" s="469"/>
    </row>
    <row r="185" spans="1:24" s="221" customFormat="1">
      <c r="A185" s="224" t="s">
        <v>135</v>
      </c>
      <c r="B185" s="148" t="s">
        <v>327</v>
      </c>
      <c r="C185" s="501">
        <f>'[63]Sch C'!D196</f>
        <v>436531.67</v>
      </c>
      <c r="D185" s="501">
        <f>'[63]Sch C'!F196</f>
        <v>-2205.1999999999998</v>
      </c>
      <c r="E185" s="171">
        <f t="shared" si="37"/>
        <v>434326.47</v>
      </c>
      <c r="F185" s="171"/>
      <c r="G185" s="171">
        <f t="shared" si="38"/>
        <v>434326.47</v>
      </c>
      <c r="H185" s="172">
        <f t="shared" si="39"/>
        <v>6.8401330937277155E-2</v>
      </c>
      <c r="I185" s="473"/>
      <c r="J185" s="223"/>
      <c r="K185" s="218"/>
      <c r="M185" s="220"/>
      <c r="N185" s="220"/>
      <c r="U185" s="223"/>
      <c r="V185" s="218"/>
      <c r="W185" s="468"/>
      <c r="X185" s="469"/>
    </row>
    <row r="186" spans="1:24" s="221" customFormat="1">
      <c r="A186" s="224" t="s">
        <v>136</v>
      </c>
      <c r="B186" s="148" t="s">
        <v>328</v>
      </c>
      <c r="C186" s="501">
        <f>'[63]Sch C'!D197</f>
        <v>0</v>
      </c>
      <c r="D186" s="501">
        <f>'[63]Sch C'!F197</f>
        <v>0</v>
      </c>
      <c r="E186" s="171">
        <f t="shared" si="37"/>
        <v>0</v>
      </c>
      <c r="F186" s="171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  <c r="U186" s="223"/>
      <c r="V186" s="218"/>
      <c r="W186" s="468"/>
      <c r="X186" s="469"/>
    </row>
    <row r="187" spans="1:24" s="221" customFormat="1">
      <c r="A187" s="224" t="s">
        <v>137</v>
      </c>
      <c r="B187" s="148" t="s">
        <v>122</v>
      </c>
      <c r="C187" s="501">
        <f>'[63]Sch C'!D198</f>
        <v>14952.3</v>
      </c>
      <c r="D187" s="501">
        <f>'[63]Sch C'!F198</f>
        <v>0</v>
      </c>
      <c r="E187" s="171">
        <f t="shared" si="37"/>
        <v>14952.3</v>
      </c>
      <c r="F187" s="171"/>
      <c r="G187" s="171">
        <f t="shared" si="38"/>
        <v>14952.3</v>
      </c>
      <c r="H187" s="172">
        <f t="shared" si="39"/>
        <v>2.354812085419176E-3</v>
      </c>
      <c r="I187" s="473"/>
      <c r="J187" s="223"/>
      <c r="K187" s="218"/>
      <c r="M187" s="220"/>
      <c r="N187" s="220"/>
      <c r="U187" s="223"/>
      <c r="V187" s="218"/>
      <c r="W187" s="468"/>
      <c r="X187" s="469"/>
    </row>
    <row r="188" spans="1:24" s="221" customFormat="1">
      <c r="A188" s="224" t="s">
        <v>275</v>
      </c>
      <c r="B188" s="148" t="s">
        <v>329</v>
      </c>
      <c r="C188" s="501">
        <f>'[63]Sch C'!D199</f>
        <v>0</v>
      </c>
      <c r="D188" s="501">
        <f>'[63]Sch C'!F199</f>
        <v>0</v>
      </c>
      <c r="E188" s="171">
        <f t="shared" si="37"/>
        <v>0</v>
      </c>
      <c r="F188" s="171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  <c r="U188" s="223"/>
      <c r="V188" s="218"/>
      <c r="W188" s="468"/>
      <c r="X188" s="469"/>
    </row>
    <row r="189" spans="1:24" s="221" customFormat="1">
      <c r="A189" s="224" t="s">
        <v>277</v>
      </c>
      <c r="B189" s="148" t="s">
        <v>278</v>
      </c>
      <c r="C189" s="501">
        <f>'[63]Sch C'!D200</f>
        <v>0</v>
      </c>
      <c r="D189" s="501">
        <f>'[63]Sch C'!F200</f>
        <v>0</v>
      </c>
      <c r="E189" s="171">
        <f t="shared" si="37"/>
        <v>0</v>
      </c>
      <c r="F189" s="171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  <c r="U189" s="223"/>
      <c r="V189" s="218"/>
      <c r="W189" s="468"/>
      <c r="X189" s="469"/>
    </row>
    <row r="190" spans="1:24" s="221" customFormat="1">
      <c r="A190" s="225" t="s">
        <v>279</v>
      </c>
      <c r="B190" s="226" t="s">
        <v>280</v>
      </c>
      <c r="C190" s="501">
        <f>'[63]Sch C'!D201</f>
        <v>0</v>
      </c>
      <c r="D190" s="501">
        <f>'[63]Sch C'!F201</f>
        <v>0</v>
      </c>
      <c r="E190" s="171">
        <f t="shared" si="37"/>
        <v>0</v>
      </c>
      <c r="F190" s="171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  <c r="U190" s="223"/>
      <c r="V190" s="218"/>
      <c r="W190" s="468"/>
      <c r="X190" s="469"/>
    </row>
    <row r="191" spans="1:24" s="221" customFormat="1">
      <c r="A191" s="225" t="s">
        <v>281</v>
      </c>
      <c r="B191" s="226" t="s">
        <v>282</v>
      </c>
      <c r="C191" s="501">
        <f>'[63]Sch C'!D202</f>
        <v>0</v>
      </c>
      <c r="D191" s="501">
        <f>'[63]Sch C'!F202</f>
        <v>0</v>
      </c>
      <c r="E191" s="171">
        <f t="shared" si="37"/>
        <v>0</v>
      </c>
      <c r="F191" s="171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  <c r="U191" s="223"/>
      <c r="V191" s="218"/>
      <c r="W191" s="468"/>
      <c r="X191" s="469"/>
    </row>
    <row r="192" spans="1:24" s="221" customFormat="1">
      <c r="A192" s="225" t="s">
        <v>283</v>
      </c>
      <c r="B192" s="226" t="s">
        <v>330</v>
      </c>
      <c r="C192" s="501">
        <f>'[63]Sch C'!D203</f>
        <v>0</v>
      </c>
      <c r="D192" s="501">
        <f>'[63]Sch C'!F203</f>
        <v>0</v>
      </c>
      <c r="E192" s="171">
        <f t="shared" si="37"/>
        <v>0</v>
      </c>
      <c r="F192" s="171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  <c r="U192" s="223"/>
      <c r="V192" s="218"/>
      <c r="W192" s="468"/>
      <c r="X192" s="469"/>
    </row>
    <row r="193" spans="1:24" s="221" customFormat="1">
      <c r="A193" s="225" t="s">
        <v>285</v>
      </c>
      <c r="B193" s="226" t="s">
        <v>331</v>
      </c>
      <c r="C193" s="501">
        <f>'[63]Sch C'!D204</f>
        <v>0</v>
      </c>
      <c r="D193" s="501">
        <f>'[63]Sch C'!F204</f>
        <v>0</v>
      </c>
      <c r="E193" s="171">
        <f t="shared" si="37"/>
        <v>0</v>
      </c>
      <c r="F193" s="171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  <c r="U193" s="223"/>
      <c r="V193" s="218"/>
      <c r="W193" s="468"/>
      <c r="X193" s="469"/>
    </row>
    <row r="194" spans="1:24" s="221" customFormat="1">
      <c r="A194" s="224" t="s">
        <v>138</v>
      </c>
      <c r="B194" s="148" t="s">
        <v>332</v>
      </c>
      <c r="C194" s="501">
        <f>'[63]Sch C'!D205</f>
        <v>314468.99</v>
      </c>
      <c r="D194" s="501">
        <f>'[63]Sch C'!F205</f>
        <v>-182472.58</v>
      </c>
      <c r="E194" s="171">
        <f t="shared" si="37"/>
        <v>131996.41</v>
      </c>
      <c r="F194" s="171"/>
      <c r="G194" s="171">
        <f t="shared" si="38"/>
        <v>131996.41</v>
      </c>
      <c r="H194" s="172">
        <f t="shared" si="39"/>
        <v>2.0787888251302115E-2</v>
      </c>
      <c r="I194" s="473"/>
      <c r="J194" s="223"/>
      <c r="K194" s="218"/>
      <c r="M194" s="220"/>
      <c r="N194" s="220"/>
      <c r="U194" s="223"/>
      <c r="V194" s="218"/>
      <c r="W194" s="468"/>
      <c r="X194" s="469"/>
    </row>
    <row r="195" spans="1:24" s="221" customFormat="1">
      <c r="A195" s="224" t="s">
        <v>139</v>
      </c>
      <c r="B195" s="148" t="s">
        <v>67</v>
      </c>
      <c r="C195" s="501">
        <f>'[63]Sch C'!D206</f>
        <v>30044.53</v>
      </c>
      <c r="D195" s="501">
        <f>'[63]Sch C'!F206</f>
        <v>0</v>
      </c>
      <c r="E195" s="171">
        <f t="shared" si="37"/>
        <v>30044.53</v>
      </c>
      <c r="F195" s="171"/>
      <c r="G195" s="171">
        <f t="shared" si="38"/>
        <v>30044.53</v>
      </c>
      <c r="H195" s="172">
        <f t="shared" si="39"/>
        <v>4.7316615065735035E-3</v>
      </c>
      <c r="I195" s="473"/>
      <c r="J195" s="223"/>
      <c r="K195" s="218"/>
      <c r="M195" s="220"/>
      <c r="N195" s="220"/>
      <c r="U195" s="223"/>
      <c r="V195" s="218"/>
      <c r="W195" s="468"/>
      <c r="X195" s="469"/>
    </row>
    <row r="196" spans="1:24" s="221" customFormat="1">
      <c r="A196" s="225" t="s">
        <v>143</v>
      </c>
      <c r="B196" s="194" t="s">
        <v>333</v>
      </c>
      <c r="C196" s="501">
        <f>'[63]Sch C'!D207</f>
        <v>-40296.61</v>
      </c>
      <c r="D196" s="501">
        <f>'[63]Sch C'!F207</f>
        <v>0</v>
      </c>
      <c r="E196" s="171">
        <f t="shared" si="37"/>
        <v>-40296.61</v>
      </c>
      <c r="F196" s="171"/>
      <c r="G196" s="171">
        <f t="shared" si="38"/>
        <v>-40296.61</v>
      </c>
      <c r="H196" s="172">
        <f t="shared" si="39"/>
        <v>-6.3462440045627252E-3</v>
      </c>
      <c r="I196" s="473"/>
      <c r="J196" s="223"/>
      <c r="K196" s="218"/>
      <c r="M196" s="220"/>
      <c r="N196" s="220"/>
      <c r="U196" s="223"/>
      <c r="V196" s="218"/>
      <c r="W196" s="468"/>
      <c r="X196" s="469"/>
    </row>
    <row r="197" spans="1:24" s="167" customFormat="1">
      <c r="A197" s="163"/>
      <c r="B197" s="212" t="s">
        <v>130</v>
      </c>
      <c r="C197" s="501">
        <f>SUM(C164:C196)</f>
        <v>1252965.67</v>
      </c>
      <c r="D197" s="501">
        <f>SUM(D164:D196)</f>
        <v>-187164.49</v>
      </c>
      <c r="E197" s="171">
        <f t="shared" ref="E197:F197" si="40">SUM(E164:E196)</f>
        <v>1065801.18</v>
      </c>
      <c r="F197" s="171">
        <f t="shared" si="40"/>
        <v>0</v>
      </c>
      <c r="G197" s="171">
        <f>SUM(G164:G196)</f>
        <v>1065801.18</v>
      </c>
      <c r="H197" s="172">
        <f>IF($G$208=0,0,G197/$G$208)</f>
        <v>0.16785120010419927</v>
      </c>
      <c r="I197" s="473"/>
      <c r="J197" s="168"/>
      <c r="K197" s="168"/>
      <c r="U197" s="168"/>
      <c r="V197" s="168"/>
      <c r="W197" s="461"/>
      <c r="X197" s="461"/>
    </row>
    <row r="198" spans="1:2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  <c r="U198" s="168"/>
      <c r="V198" s="168"/>
      <c r="W198" s="461"/>
      <c r="X198" s="461"/>
    </row>
    <row r="199" spans="1:2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  <c r="U199" s="168"/>
      <c r="V199" s="168"/>
      <c r="W199" s="461"/>
      <c r="X199" s="461"/>
    </row>
    <row r="200" spans="1:24" s="167" customFormat="1">
      <c r="A200" s="169" t="s">
        <v>85</v>
      </c>
      <c r="B200" s="170" t="s">
        <v>69</v>
      </c>
      <c r="C200" s="501">
        <f>'[63]Sch C'!D211</f>
        <v>122829.23</v>
      </c>
      <c r="D200" s="501">
        <f>'[63]Sch C'!F211</f>
        <v>0</v>
      </c>
      <c r="E200" s="171">
        <f t="shared" ref="E200:E205" si="41">C200+D200</f>
        <v>122829.23</v>
      </c>
      <c r="F200" s="171"/>
      <c r="G200" s="171">
        <f t="shared" ref="G200:G205" si="42">E200+F200</f>
        <v>122829.23</v>
      </c>
      <c r="H200" s="172">
        <f t="shared" ref="H200:H206" si="43">IF($G$208=0,0,G200/$G$208)</f>
        <v>1.9344164793826477E-2</v>
      </c>
      <c r="I200" s="473"/>
      <c r="J200" s="183">
        <v>8023.22</v>
      </c>
      <c r="K200" s="183">
        <v>8461.52</v>
      </c>
      <c r="U200" s="183">
        <v>3989.52</v>
      </c>
      <c r="V200" s="183">
        <v>4385.8100000000004</v>
      </c>
      <c r="W200" s="439">
        <v>2297.54</v>
      </c>
      <c r="X200" s="439">
        <v>2746.2460000000001</v>
      </c>
    </row>
    <row r="201" spans="1:24" s="167" customFormat="1">
      <c r="A201" s="169" t="s">
        <v>86</v>
      </c>
      <c r="B201" s="170" t="s">
        <v>45</v>
      </c>
      <c r="C201" s="501">
        <f>'[63]Sch C'!D212</f>
        <v>23268.02</v>
      </c>
      <c r="D201" s="501">
        <f>'[63]Sch C'!F212</f>
        <v>0</v>
      </c>
      <c r="E201" s="171">
        <f t="shared" si="41"/>
        <v>23268.02</v>
      </c>
      <c r="F201" s="171"/>
      <c r="G201" s="171">
        <f t="shared" si="42"/>
        <v>23268.02</v>
      </c>
      <c r="H201" s="172">
        <f t="shared" si="43"/>
        <v>3.6644405676568223E-3</v>
      </c>
      <c r="I201" s="473"/>
      <c r="J201" s="168"/>
      <c r="K201" s="168"/>
      <c r="U201" s="168"/>
      <c r="V201" s="168"/>
      <c r="W201" s="461"/>
      <c r="X201" s="461"/>
    </row>
    <row r="202" spans="1:24" s="167" customFormat="1">
      <c r="A202" s="169" t="s">
        <v>140</v>
      </c>
      <c r="B202" s="170" t="s">
        <v>54</v>
      </c>
      <c r="C202" s="501">
        <f>'[63]Sch C'!D213</f>
        <v>26340.75</v>
      </c>
      <c r="D202" s="501">
        <f>'[63]Sch C'!F213</f>
        <v>0</v>
      </c>
      <c r="E202" s="171">
        <f t="shared" si="41"/>
        <v>26340.75</v>
      </c>
      <c r="F202" s="171"/>
      <c r="G202" s="171">
        <f t="shared" si="42"/>
        <v>26340.75</v>
      </c>
      <c r="H202" s="172">
        <f t="shared" si="43"/>
        <v>4.1483595459564857E-3</v>
      </c>
      <c r="I202" s="473"/>
      <c r="J202" s="168"/>
      <c r="K202" s="168"/>
      <c r="U202" s="168"/>
      <c r="V202" s="168"/>
      <c r="W202" s="461"/>
      <c r="X202" s="461"/>
    </row>
    <row r="203" spans="1:24" s="167" customFormat="1">
      <c r="A203" s="169" t="s">
        <v>141</v>
      </c>
      <c r="B203" s="170" t="s">
        <v>70</v>
      </c>
      <c r="C203" s="501">
        <f>'[63]Sch C'!D214</f>
        <v>0</v>
      </c>
      <c r="D203" s="501">
        <f>'[63]Sch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  <c r="U203" s="168"/>
      <c r="V203" s="168"/>
      <c r="W203" s="461"/>
      <c r="X203" s="461"/>
    </row>
    <row r="204" spans="1:24" s="167" customFormat="1">
      <c r="A204" s="169" t="s">
        <v>142</v>
      </c>
      <c r="B204" s="202" t="s">
        <v>71</v>
      </c>
      <c r="C204" s="501">
        <f>'[63]Sch C'!D215</f>
        <v>0</v>
      </c>
      <c r="D204" s="501">
        <f>'[63]Sch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  <c r="U204" s="168"/>
      <c r="V204" s="168"/>
      <c r="W204" s="461"/>
      <c r="X204" s="461"/>
    </row>
    <row r="205" spans="1:24" s="167" customFormat="1">
      <c r="A205" s="169" t="s">
        <v>143</v>
      </c>
      <c r="B205" s="170" t="s">
        <v>312</v>
      </c>
      <c r="C205" s="501">
        <f>'[63]Sch C'!D216</f>
        <v>1420.16</v>
      </c>
      <c r="D205" s="501">
        <f>'[63]Sch C'!F216</f>
        <v>0</v>
      </c>
      <c r="E205" s="171">
        <f t="shared" si="41"/>
        <v>1420.16</v>
      </c>
      <c r="F205" s="171"/>
      <c r="G205" s="171">
        <f t="shared" si="42"/>
        <v>1420.16</v>
      </c>
      <c r="H205" s="172">
        <f t="shared" si="43"/>
        <v>2.2365856297886595E-4</v>
      </c>
      <c r="I205" s="473"/>
      <c r="J205" s="168"/>
      <c r="K205" s="168"/>
      <c r="U205" s="168"/>
      <c r="V205" s="168"/>
    </row>
    <row r="206" spans="1:24" s="167" customFormat="1">
      <c r="A206" s="163"/>
      <c r="B206" s="170" t="s">
        <v>144</v>
      </c>
      <c r="C206" s="501">
        <f>SUM(C200:C205)</f>
        <v>173858.16</v>
      </c>
      <c r="D206" s="501">
        <f>SUM(D200:D205)</f>
        <v>0</v>
      </c>
      <c r="E206" s="171">
        <f t="shared" ref="E206:F206" si="44">SUM(E200:E205)</f>
        <v>173858.16</v>
      </c>
      <c r="F206" s="171">
        <f t="shared" si="44"/>
        <v>0</v>
      </c>
      <c r="G206" s="171">
        <f>SUM(G200:G205)</f>
        <v>173858.16</v>
      </c>
      <c r="H206" s="172">
        <f t="shared" si="43"/>
        <v>2.7380623470418652E-2</v>
      </c>
      <c r="I206" s="473"/>
      <c r="J206" s="168"/>
      <c r="K206" s="168"/>
      <c r="U206" s="168"/>
      <c r="V206" s="168"/>
    </row>
    <row r="207" spans="1:2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24" s="167" customFormat="1">
      <c r="A208" s="227"/>
      <c r="B208" s="228" t="s">
        <v>145</v>
      </c>
      <c r="C208" s="501">
        <f>SUM(C25:C206)/2</f>
        <v>7172549.0699999994</v>
      </c>
      <c r="D208" s="501">
        <f>SUM(D25:D206)/2</f>
        <v>-822870.43000000017</v>
      </c>
      <c r="E208" s="171">
        <f t="shared" ref="E208:F208" si="45">SUM(E25:E206)/2</f>
        <v>6349678.6400000006</v>
      </c>
      <c r="F208" s="171">
        <f t="shared" si="45"/>
        <v>0</v>
      </c>
      <c r="G208" s="171">
        <f>SUM(G25:G206)/2</f>
        <v>6349678.6400000006</v>
      </c>
      <c r="H208" s="172">
        <f>IF($G$208=0,0,G208/$G$208)</f>
        <v>1</v>
      </c>
      <c r="I208" s="473"/>
      <c r="J208" s="183">
        <f>SUM(J25:J200)</f>
        <v>158378.85</v>
      </c>
      <c r="K208" s="183">
        <f>SUM(K25:K200)</f>
        <v>168082.63999999998</v>
      </c>
      <c r="U208" s="489">
        <f t="shared" ref="U208:X208" si="46">SUM(U25:U200)</f>
        <v>66414.33</v>
      </c>
      <c r="V208" s="489">
        <f t="shared" si="46"/>
        <v>74892.569999999992</v>
      </c>
      <c r="W208" s="489">
        <f t="shared" si="46"/>
        <v>36109.520000000004</v>
      </c>
      <c r="X208" s="489">
        <f t="shared" si="46"/>
        <v>40173.338000000003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'[63]Sch C'!D221</f>
        <v>7172548.8200000003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0.24999999906867743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-3434640.4799999995</v>
      </c>
      <c r="D215" s="501">
        <f>D21-D208</f>
        <v>1541819.3600000003</v>
      </c>
      <c r="E215" s="171">
        <f t="shared" ref="E215:F215" si="47">E21-E208</f>
        <v>-1892821.120000002</v>
      </c>
      <c r="F215" s="171">
        <f t="shared" si="47"/>
        <v>1445661</v>
      </c>
      <c r="G215" s="171">
        <f>G21-G208</f>
        <v>-447160.12000000104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'[63]Sch D'!C9</f>
        <v>13625</v>
      </c>
      <c r="D219" s="530"/>
      <c r="E219" s="234">
        <f t="shared" ref="E219:G227" si="48">C219+D219</f>
        <v>13625</v>
      </c>
      <c r="F219" s="234"/>
      <c r="G219" s="234">
        <f t="shared" si="48"/>
        <v>13625</v>
      </c>
      <c r="H219" s="172">
        <f t="shared" ref="H219:H228" si="49">IF($G$228=0,0,G219/$G$228)</f>
        <v>0.60426645378747557</v>
      </c>
      <c r="I219" s="473"/>
      <c r="J219" s="168"/>
      <c r="K219" s="168"/>
    </row>
    <row r="220" spans="1:11">
      <c r="A220" s="163"/>
      <c r="B220" s="170" t="s">
        <v>217</v>
      </c>
      <c r="C220" s="530">
        <f>'[63]Sch D'!D9</f>
        <v>0</v>
      </c>
      <c r="D220" s="530"/>
      <c r="E220" s="234">
        <f t="shared" ref="E220:E227" si="50">C220+D220</f>
        <v>0</v>
      </c>
      <c r="F220" s="234"/>
      <c r="G220" s="234">
        <f t="shared" si="48"/>
        <v>0</v>
      </c>
      <c r="H220" s="172">
        <f t="shared" si="49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'[63]Sch D'!E9</f>
        <v>4648</v>
      </c>
      <c r="D221" s="530"/>
      <c r="E221" s="234">
        <f t="shared" si="50"/>
        <v>4648</v>
      </c>
      <c r="F221" s="234"/>
      <c r="G221" s="234">
        <f t="shared" si="48"/>
        <v>4648</v>
      </c>
      <c r="H221" s="172">
        <f t="shared" si="49"/>
        <v>0.20613801667553663</v>
      </c>
      <c r="I221" s="473"/>
      <c r="J221" s="168"/>
      <c r="K221" s="168"/>
    </row>
    <row r="222" spans="1:11">
      <c r="A222" s="163"/>
      <c r="B222" s="202" t="s">
        <v>334</v>
      </c>
      <c r="C222" s="530">
        <f>'[63]Sch D'!F9</f>
        <v>1120</v>
      </c>
      <c r="D222" s="530"/>
      <c r="E222" s="234">
        <f>C222+D222</f>
        <v>1120</v>
      </c>
      <c r="F222" s="234"/>
      <c r="G222" s="234">
        <f>E222+F222</f>
        <v>1120</v>
      </c>
      <c r="H222" s="172">
        <f t="shared" si="49"/>
        <v>4.967181124711726E-2</v>
      </c>
      <c r="I222" s="473"/>
      <c r="J222" s="168"/>
      <c r="K222" s="168"/>
    </row>
    <row r="223" spans="1:11">
      <c r="A223" s="163"/>
      <c r="B223" s="170" t="s">
        <v>73</v>
      </c>
      <c r="C223" s="530">
        <f>'[63]Sch D'!G9</f>
        <v>0</v>
      </c>
      <c r="D223" s="530"/>
      <c r="E223" s="234">
        <f t="shared" si="50"/>
        <v>0</v>
      </c>
      <c r="F223" s="234"/>
      <c r="G223" s="234">
        <f t="shared" si="48"/>
        <v>0</v>
      </c>
      <c r="H223" s="172">
        <f t="shared" si="49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'[63]Sch D'!H9</f>
        <v>2138</v>
      </c>
      <c r="D224" s="530"/>
      <c r="E224" s="234">
        <f t="shared" si="50"/>
        <v>2138</v>
      </c>
      <c r="F224" s="234"/>
      <c r="G224" s="234">
        <f t="shared" si="48"/>
        <v>2138</v>
      </c>
      <c r="H224" s="172">
        <f t="shared" si="49"/>
        <v>9.4819939684229193E-2</v>
      </c>
      <c r="I224" s="473"/>
      <c r="J224" s="168"/>
      <c r="K224" s="168"/>
    </row>
    <row r="225" spans="1:11">
      <c r="A225" s="163"/>
      <c r="B225" s="170" t="s">
        <v>236</v>
      </c>
      <c r="C225" s="530">
        <f>'[63]Sch D'!I9</f>
        <v>524</v>
      </c>
      <c r="D225" s="530"/>
      <c r="E225" s="234">
        <f t="shared" si="50"/>
        <v>524</v>
      </c>
      <c r="F225" s="234"/>
      <c r="G225" s="234">
        <f t="shared" si="48"/>
        <v>524</v>
      </c>
      <c r="H225" s="172">
        <f t="shared" si="49"/>
        <v>2.3239311690615577E-2</v>
      </c>
      <c r="I225" s="473"/>
      <c r="J225" s="168"/>
      <c r="K225" s="168"/>
    </row>
    <row r="226" spans="1:11">
      <c r="A226" s="163"/>
      <c r="B226" s="170" t="s">
        <v>235</v>
      </c>
      <c r="C226" s="530">
        <f>'[63]Sch D'!J9</f>
        <v>333</v>
      </c>
      <c r="D226" s="530"/>
      <c r="E226" s="234">
        <f>C226+D226</f>
        <v>333</v>
      </c>
      <c r="F226" s="234"/>
      <c r="G226" s="234">
        <f>E226+F226</f>
        <v>333</v>
      </c>
      <c r="H226" s="172">
        <f t="shared" si="49"/>
        <v>1.4768493879723257E-2</v>
      </c>
      <c r="I226" s="473"/>
      <c r="J226" s="168"/>
      <c r="K226" s="168"/>
    </row>
    <row r="227" spans="1:11">
      <c r="A227" s="163"/>
      <c r="B227" s="170" t="s">
        <v>179</v>
      </c>
      <c r="C227" s="530">
        <f>'[63]Sch D'!K9</f>
        <v>160</v>
      </c>
      <c r="D227" s="530"/>
      <c r="E227" s="234">
        <f t="shared" si="50"/>
        <v>160</v>
      </c>
      <c r="F227" s="234"/>
      <c r="G227" s="234">
        <f t="shared" si="48"/>
        <v>160</v>
      </c>
      <c r="H227" s="172">
        <f t="shared" si="49"/>
        <v>7.095973035302466E-3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22548</v>
      </c>
      <c r="D228" s="530">
        <f>SUM(D219:D227)</f>
        <v>0</v>
      </c>
      <c r="E228" s="236">
        <f>SUM(E219:E227)</f>
        <v>22548</v>
      </c>
      <c r="F228" s="236">
        <f>SUM(F219:F227)</f>
        <v>0</v>
      </c>
      <c r="G228" s="236">
        <f>SUM(G219:G227)</f>
        <v>22548</v>
      </c>
      <c r="H228" s="172">
        <f t="shared" si="49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'[63]Sch D'!N22</f>
        <v>120</v>
      </c>
      <c r="D231" s="502"/>
      <c r="E231" s="234">
        <f>C231+D231</f>
        <v>120</v>
      </c>
      <c r="F231" s="456">
        <v>-16</v>
      </c>
      <c r="G231" s="234">
        <f>E231+F231</f>
        <v>104</v>
      </c>
      <c r="H231" s="457" t="s">
        <v>605</v>
      </c>
      <c r="I231" s="475"/>
      <c r="J231" s="168"/>
      <c r="K231" s="168"/>
    </row>
    <row r="232" spans="1:11">
      <c r="A232" s="163"/>
      <c r="B232" s="202" t="s">
        <v>290</v>
      </c>
      <c r="C232" s="531">
        <f>'[63]Sch D'!N24</f>
        <v>120</v>
      </c>
      <c r="D232" s="502"/>
      <c r="E232" s="234">
        <f>C232+D232</f>
        <v>120</v>
      </c>
      <c r="F232" s="456">
        <v>-16</v>
      </c>
      <c r="G232" s="234">
        <f>E232+F232</f>
        <v>104</v>
      </c>
      <c r="H232" s="457" t="s">
        <v>606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 t="s">
        <v>607</v>
      </c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'[63]Sch D'!N28</f>
        <v>43800</v>
      </c>
      <c r="D235" s="438"/>
      <c r="E235" s="233">
        <f>E231*E233</f>
        <v>43800</v>
      </c>
      <c r="F235" s="238"/>
      <c r="G235" s="233">
        <f>G231*G233</f>
        <v>37960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'[63]Sch D'!N30</f>
        <v>0.51479452054794517</v>
      </c>
      <c r="D236" s="238"/>
      <c r="E236" s="242">
        <f>E228/E235</f>
        <v>0.51479452054794517</v>
      </c>
      <c r="F236" s="243"/>
      <c r="G236" s="242">
        <f>G228/G235</f>
        <v>0.5939936775553214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'[63]Sch D'!N32</f>
        <v>0.3110730593607306</v>
      </c>
      <c r="D237" s="238"/>
      <c r="E237" s="242">
        <f>(E219+E220)/E235</f>
        <v>0.3110730593607306</v>
      </c>
      <c r="F237" s="243"/>
      <c r="G237" s="242">
        <f>(G219+G220)/G235</f>
        <v>0.35893045310853527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'[63]Sch D'!N34</f>
        <v>0.60426645378747568</v>
      </c>
      <c r="D238" s="238"/>
      <c r="E238" s="242">
        <f>(E237/E236)</f>
        <v>0.60426645378747568</v>
      </c>
      <c r="F238" s="243"/>
      <c r="G238" s="242">
        <f>(G237/G236)</f>
        <v>0.60426645378747557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'[63]Sch B'!C85</f>
        <v>182.03871212121211</v>
      </c>
      <c r="I241" s="475"/>
    </row>
    <row r="242" spans="2:9">
      <c r="F242" s="142" t="s">
        <v>341</v>
      </c>
      <c r="G242" s="501">
        <f>'[63]Sch B'!E85</f>
        <v>244.02570564516122</v>
      </c>
      <c r="I242" s="475"/>
    </row>
    <row r="243" spans="2:9">
      <c r="F243" s="142" t="s">
        <v>342</v>
      </c>
      <c r="G243" s="501">
        <f>'[63]Sch B'!G85</f>
        <v>209.08069679849342</v>
      </c>
      <c r="I243" s="475"/>
    </row>
    <row r="244" spans="2:9">
      <c r="F244" s="142" t="s">
        <v>343</v>
      </c>
      <c r="G244" s="501">
        <f>'[63]Sch B'!I85</f>
        <v>235.68005145797599</v>
      </c>
      <c r="I244" s="475"/>
    </row>
    <row r="245" spans="2:9">
      <c r="F245" s="142"/>
      <c r="I245" s="475"/>
    </row>
    <row r="246" spans="2:9">
      <c r="G246" s="421"/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4">
    <tabColor rgb="FFE28CAB"/>
  </sheetPr>
  <dimension ref="A1:O246"/>
  <sheetViews>
    <sheetView showGridLines="0" topLeftCell="A5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391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31"/>
      <c r="G1" s="432"/>
      <c r="H1" s="432"/>
      <c r="I1" s="430"/>
    </row>
    <row r="2" spans="1:11" ht="23">
      <c r="B2" s="143" t="s">
        <v>189</v>
      </c>
      <c r="C2" s="244" t="s">
        <v>445</v>
      </c>
      <c r="D2" s="244"/>
      <c r="E2" s="144"/>
      <c r="F2" s="411"/>
      <c r="G2"/>
      <c r="H2"/>
    </row>
    <row r="3" spans="1:11" ht="13.25" customHeight="1">
      <c r="A3" s="145"/>
      <c r="B3" s="140" t="s">
        <v>79</v>
      </c>
      <c r="C3" s="441">
        <v>42552</v>
      </c>
      <c r="D3"/>
      <c r="E3" s="147"/>
      <c r="F3" s="411"/>
      <c r="G3"/>
      <c r="H3"/>
    </row>
    <row r="4" spans="1:11" ht="13.25" customHeight="1">
      <c r="A4" s="145"/>
      <c r="B4" s="148" t="s">
        <v>80</v>
      </c>
      <c r="C4" s="441">
        <v>42916</v>
      </c>
      <c r="D4"/>
      <c r="E4" s="149"/>
      <c r="F4"/>
      <c r="G4"/>
      <c r="H4"/>
    </row>
    <row r="5" spans="1:11" ht="13.25" customHeight="1">
      <c r="A5" s="145"/>
      <c r="B5" s="148"/>
      <c r="C5" s="151"/>
      <c r="D5" s="144"/>
      <c r="F5"/>
      <c r="G5"/>
      <c r="H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380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381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382" t="s">
        <v>9</v>
      </c>
      <c r="G8" s="160" t="s">
        <v>10</v>
      </c>
      <c r="H8" s="161" t="s">
        <v>11</v>
      </c>
      <c r="I8" s="477"/>
      <c r="J8" s="162"/>
      <c r="K8" s="162"/>
    </row>
    <row r="9" spans="1:11" ht="13.25" customHeight="1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'[64]Sch B'!E10</f>
        <v>5194553.3899999997</v>
      </c>
      <c r="D11" s="501">
        <f>'[64]Sch B'!G10</f>
        <v>0</v>
      </c>
      <c r="E11" s="171">
        <f>C11+D11</f>
        <v>5194553.3899999997</v>
      </c>
      <c r="F11" s="379">
        <v>925206</v>
      </c>
      <c r="G11" s="171">
        <f t="shared" ref="G11:G20" si="0">E11+F11</f>
        <v>6119759.3899999997</v>
      </c>
      <c r="H11" s="172">
        <f t="shared" ref="H11:H21" si="1">IF($G$21=0,0,G11/$G$21)</f>
        <v>0.46679591955508626</v>
      </c>
      <c r="I11" s="473"/>
      <c r="J11" s="336" t="s">
        <v>344</v>
      </c>
      <c r="K11" s="337">
        <f>G21</f>
        <v>13110139.000000002</v>
      </c>
    </row>
    <row r="12" spans="1:11" s="167" customFormat="1">
      <c r="A12" s="169" t="s">
        <v>15</v>
      </c>
      <c r="B12" s="170" t="s">
        <v>212</v>
      </c>
      <c r="C12" s="501">
        <f>'[64]Sch B'!E15</f>
        <v>0</v>
      </c>
      <c r="D12" s="501">
        <f>'[64]Sch B'!G15</f>
        <v>0</v>
      </c>
      <c r="E12" s="171">
        <f t="shared" ref="E12:E20" si="2">C12+D12</f>
        <v>0</v>
      </c>
      <c r="F12" s="379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11276934.939999999</v>
      </c>
    </row>
    <row r="13" spans="1:11" s="167" customFormat="1">
      <c r="A13" s="169" t="s">
        <v>16</v>
      </c>
      <c r="B13" s="170" t="s">
        <v>170</v>
      </c>
      <c r="C13" s="501">
        <f>'[64]Sch B'!E21</f>
        <v>2355332.27</v>
      </c>
      <c r="D13" s="501">
        <f>'[64]Sch B'!G21</f>
        <v>0</v>
      </c>
      <c r="E13" s="171">
        <f t="shared" si="2"/>
        <v>2355332.27</v>
      </c>
      <c r="F13" s="379"/>
      <c r="G13" s="171">
        <f t="shared" si="0"/>
        <v>2355332.27</v>
      </c>
      <c r="H13" s="172">
        <f t="shared" si="1"/>
        <v>0.1796573072184818</v>
      </c>
      <c r="I13" s="473"/>
      <c r="J13" s="338" t="s">
        <v>346</v>
      </c>
      <c r="K13" s="339">
        <f>G228</f>
        <v>38827</v>
      </c>
    </row>
    <row r="14" spans="1:11" s="167" customFormat="1">
      <c r="A14" s="173" t="s">
        <v>18</v>
      </c>
      <c r="B14" s="174" t="s">
        <v>306</v>
      </c>
      <c r="C14" s="501">
        <f>'[64]Sch B'!E27</f>
        <v>1509756.48</v>
      </c>
      <c r="D14" s="501">
        <f>'[64]Sch B'!G27</f>
        <v>0</v>
      </c>
      <c r="E14" s="171">
        <f t="shared" si="2"/>
        <v>1509756.48</v>
      </c>
      <c r="F14" s="379"/>
      <c r="G14" s="175">
        <f>E14+F14</f>
        <v>1509756.48</v>
      </c>
      <c r="H14" s="176">
        <f t="shared" si="1"/>
        <v>0.11515945635664121</v>
      </c>
      <c r="I14" s="479"/>
      <c r="J14" s="338" t="s">
        <v>347</v>
      </c>
      <c r="K14" s="339">
        <f>G231</f>
        <v>154</v>
      </c>
    </row>
    <row r="15" spans="1:11" s="167" customFormat="1">
      <c r="A15" s="169" t="s">
        <v>19</v>
      </c>
      <c r="B15" s="170" t="s">
        <v>171</v>
      </c>
      <c r="C15" s="501">
        <f>'[64]Sch B'!E32</f>
        <v>1137323.42</v>
      </c>
      <c r="D15" s="501">
        <f>'[64]Sch B'!G32</f>
        <v>0</v>
      </c>
      <c r="E15" s="171">
        <f t="shared" si="2"/>
        <v>1137323.42</v>
      </c>
      <c r="F15" s="379"/>
      <c r="G15" s="171">
        <f t="shared" si="0"/>
        <v>1137323.42</v>
      </c>
      <c r="H15" s="172">
        <f t="shared" si="1"/>
        <v>8.6751438714722989E-2</v>
      </c>
      <c r="I15" s="473"/>
      <c r="J15" s="338" t="s">
        <v>348</v>
      </c>
      <c r="K15" s="339">
        <f>G235</f>
        <v>56210</v>
      </c>
    </row>
    <row r="16" spans="1:11" s="167" customFormat="1">
      <c r="A16" s="169" t="s">
        <v>21</v>
      </c>
      <c r="B16" s="170" t="s">
        <v>172</v>
      </c>
      <c r="C16" s="501">
        <f>'[64]Sch B'!E37</f>
        <v>1078509.56</v>
      </c>
      <c r="D16" s="501">
        <f>'[64]Sch B'!G37</f>
        <v>0</v>
      </c>
      <c r="E16" s="171">
        <f t="shared" si="2"/>
        <v>1078509.56</v>
      </c>
      <c r="F16" s="379"/>
      <c r="G16" s="171">
        <f t="shared" si="0"/>
        <v>1078509.56</v>
      </c>
      <c r="H16" s="172">
        <f t="shared" si="1"/>
        <v>8.2265303213032284E-2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'[64]Sch B'!E42</f>
        <v>481885.31999999995</v>
      </c>
      <c r="D17" s="501">
        <f>'[64]Sch B'!G42</f>
        <v>0</v>
      </c>
      <c r="E17" s="171">
        <f t="shared" si="2"/>
        <v>481885.31999999995</v>
      </c>
      <c r="F17" s="379"/>
      <c r="G17" s="171">
        <f>E17+F17</f>
        <v>481885.31999999995</v>
      </c>
      <c r="H17" s="172">
        <f t="shared" si="1"/>
        <v>3.675669037528892E-2</v>
      </c>
      <c r="I17" s="473"/>
      <c r="J17" s="338" t="s">
        <v>156</v>
      </c>
      <c r="K17" s="339">
        <f>J208</f>
        <v>265380.91860262741</v>
      </c>
    </row>
    <row r="18" spans="1:11" s="167" customFormat="1" ht="13.5" thickBot="1">
      <c r="A18" s="169" t="s">
        <v>216</v>
      </c>
      <c r="B18" s="170" t="s">
        <v>229</v>
      </c>
      <c r="C18" s="501">
        <f>'[64]Sch B'!E47</f>
        <v>32421.829999999994</v>
      </c>
      <c r="D18" s="501">
        <f>'[64]Sch B'!G47</f>
        <v>0</v>
      </c>
      <c r="E18" s="171">
        <f t="shared" si="2"/>
        <v>32421.829999999994</v>
      </c>
      <c r="F18" s="379"/>
      <c r="G18" s="171">
        <f>E18+F18</f>
        <v>32421.829999999994</v>
      </c>
      <c r="H18" s="172">
        <f t="shared" si="1"/>
        <v>2.4730348015379539E-3</v>
      </c>
      <c r="I18" s="473"/>
      <c r="J18" s="341" t="s">
        <v>252</v>
      </c>
      <c r="K18" s="342">
        <f>K208</f>
        <v>277893.54894262744</v>
      </c>
    </row>
    <row r="19" spans="1:11" s="167" customFormat="1">
      <c r="A19" s="169" t="s">
        <v>227</v>
      </c>
      <c r="B19" s="177" t="s">
        <v>173</v>
      </c>
      <c r="C19" s="501">
        <f>'[64]Sch B'!E52</f>
        <v>0</v>
      </c>
      <c r="D19" s="501">
        <f>'[64]Sch B'!G52</f>
        <v>0</v>
      </c>
      <c r="E19" s="171">
        <f t="shared" si="2"/>
        <v>0</v>
      </c>
      <c r="F19" s="379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'[64]Sch B'!E67</f>
        <v>396267.41</v>
      </c>
      <c r="D20" s="501">
        <f>'[64]Sch B'!G67</f>
        <v>-1116.6799999999998</v>
      </c>
      <c r="E20" s="171">
        <f t="shared" si="2"/>
        <v>395150.73</v>
      </c>
      <c r="F20" s="379"/>
      <c r="G20" s="171">
        <f t="shared" si="0"/>
        <v>395150.73</v>
      </c>
      <c r="H20" s="172">
        <f t="shared" si="1"/>
        <v>3.0140849765208432E-2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12186049.680000002</v>
      </c>
      <c r="D21" s="501">
        <f>SUM(D11:D20)</f>
        <v>-1116.6799999999998</v>
      </c>
      <c r="E21" s="171">
        <f>SUM(E11:E20)</f>
        <v>12184933.000000002</v>
      </c>
      <c r="F21" s="379">
        <f>SUM(F11:F20)</f>
        <v>925206</v>
      </c>
      <c r="G21" s="171">
        <f>SUM(G11:G20)</f>
        <v>13110139.000000002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395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'[64]Sch C'!D10</f>
        <v>119557.20999999999</v>
      </c>
      <c r="D25" s="501">
        <f>'[64]Sch C'!F10</f>
        <v>0</v>
      </c>
      <c r="E25" s="171">
        <f t="shared" ref="E25:E60" si="3">C25+D25</f>
        <v>119557.20999999999</v>
      </c>
      <c r="F25" s="379"/>
      <c r="G25" s="182">
        <f>E25+F25</f>
        <v>119557.20999999999</v>
      </c>
      <c r="H25" s="172">
        <f>IF($G$208=0,0,G25/$G$208)</f>
        <v>1.060192424946277E-2</v>
      </c>
      <c r="I25" s="473"/>
      <c r="J25" s="183">
        <v>1831.04</v>
      </c>
      <c r="K25" s="183">
        <v>1831.04</v>
      </c>
    </row>
    <row r="26" spans="1:11" s="167" customFormat="1">
      <c r="A26" s="169" t="s">
        <v>84</v>
      </c>
      <c r="B26" s="170" t="s">
        <v>176</v>
      </c>
      <c r="C26" s="501">
        <f>'[64]Sch C'!D11</f>
        <v>0</v>
      </c>
      <c r="D26" s="501">
        <f>'[64]Sch C'!F11</f>
        <v>0</v>
      </c>
      <c r="E26" s="171">
        <f t="shared" si="3"/>
        <v>0</v>
      </c>
      <c r="F26" s="379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'[64]Sch C'!D12</f>
        <v>348254.14</v>
      </c>
      <c r="D27" s="501">
        <f>'[64]Sch C'!F12</f>
        <v>-68022</v>
      </c>
      <c r="E27" s="171">
        <f t="shared" si="3"/>
        <v>280232.14</v>
      </c>
      <c r="F27" s="379"/>
      <c r="G27" s="171">
        <f t="shared" si="4"/>
        <v>280232.14</v>
      </c>
      <c r="H27" s="172">
        <f t="shared" si="5"/>
        <v>2.4850027200742194E-2</v>
      </c>
      <c r="I27" s="473"/>
      <c r="J27" s="183">
        <v>15738.849999999999</v>
      </c>
      <c r="K27" s="183">
        <v>16673.342592999998</v>
      </c>
    </row>
    <row r="28" spans="1:11" s="167" customFormat="1">
      <c r="A28" s="169" t="s">
        <v>86</v>
      </c>
      <c r="B28" s="170" t="s">
        <v>45</v>
      </c>
      <c r="C28" s="501">
        <f>'[64]Sch C'!D13</f>
        <v>148117.76999999999</v>
      </c>
      <c r="D28" s="501">
        <f>'[64]Sch C'!F13</f>
        <v>-19733.27</v>
      </c>
      <c r="E28" s="171">
        <f t="shared" si="3"/>
        <v>128384.49999999999</v>
      </c>
      <c r="F28" s="379"/>
      <c r="G28" s="171">
        <f t="shared" si="4"/>
        <v>128384.49999999999</v>
      </c>
      <c r="H28" s="172">
        <f t="shared" si="5"/>
        <v>1.1384698119044037E-2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'[64]Sch C'!D14</f>
        <v>0</v>
      </c>
      <c r="D29" s="501">
        <f>'[64]Sch C'!F14</f>
        <v>0</v>
      </c>
      <c r="E29" s="171">
        <f t="shared" si="3"/>
        <v>0</v>
      </c>
      <c r="F29" s="379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'[64]Sch C'!D15</f>
        <v>759380.97</v>
      </c>
      <c r="D30" s="501">
        <f>'[64]Sch C'!F15</f>
        <v>-759380.97</v>
      </c>
      <c r="E30" s="171">
        <f t="shared" si="3"/>
        <v>0</v>
      </c>
      <c r="F30" s="379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'[64]Sch C'!D16</f>
        <v>0</v>
      </c>
      <c r="D31" s="501">
        <f>'[64]Sch C'!F16</f>
        <v>491974</v>
      </c>
      <c r="E31" s="171">
        <f t="shared" si="3"/>
        <v>491974</v>
      </c>
      <c r="F31" s="379"/>
      <c r="G31" s="171">
        <f t="shared" si="4"/>
        <v>491974</v>
      </c>
      <c r="H31" s="172">
        <f t="shared" si="5"/>
        <v>4.3626570749728914E-2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'[64]Sch C'!D17</f>
        <v>0</v>
      </c>
      <c r="D32" s="501">
        <f>'[64]Sch C'!F17</f>
        <v>0</v>
      </c>
      <c r="E32" s="171">
        <f t="shared" si="3"/>
        <v>0</v>
      </c>
      <c r="F32" s="379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'[64]Sch C'!D18</f>
        <v>28928.920000000002</v>
      </c>
      <c r="D33" s="501">
        <f>'[64]Sch C'!F18</f>
        <v>0</v>
      </c>
      <c r="E33" s="171">
        <f t="shared" si="3"/>
        <v>28928.920000000002</v>
      </c>
      <c r="F33" s="379"/>
      <c r="G33" s="171">
        <f t="shared" si="4"/>
        <v>28928.920000000002</v>
      </c>
      <c r="H33" s="172">
        <f t="shared" si="5"/>
        <v>2.565317628763406E-3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'[64]Sch C'!D19</f>
        <v>30513.119999999999</v>
      </c>
      <c r="D34" s="501">
        <f>'[64]Sch C'!F19</f>
        <v>0</v>
      </c>
      <c r="E34" s="171">
        <f t="shared" si="3"/>
        <v>30513.119999999999</v>
      </c>
      <c r="F34" s="379"/>
      <c r="G34" s="171">
        <f t="shared" si="4"/>
        <v>30513.119999999999</v>
      </c>
      <c r="H34" s="172">
        <f t="shared" si="5"/>
        <v>2.7057990635175199E-3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'[64]Sch C'!D20</f>
        <v>31254.59</v>
      </c>
      <c r="D35" s="501">
        <f>'[64]Sch C'!F20</f>
        <v>0</v>
      </c>
      <c r="E35" s="171">
        <f t="shared" si="3"/>
        <v>31254.59</v>
      </c>
      <c r="F35" s="379"/>
      <c r="G35" s="171">
        <f t="shared" si="4"/>
        <v>31254.59</v>
      </c>
      <c r="H35" s="172">
        <f t="shared" si="5"/>
        <v>2.7715500857540642E-3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'[64]Sch C'!D21</f>
        <v>27643.669999999991</v>
      </c>
      <c r="D36" s="501">
        <f>'[64]Sch C'!F21</f>
        <v>83177</v>
      </c>
      <c r="E36" s="171">
        <f t="shared" si="3"/>
        <v>110820.66999999998</v>
      </c>
      <c r="F36" s="379"/>
      <c r="G36" s="171">
        <f t="shared" si="4"/>
        <v>110820.66999999998</v>
      </c>
      <c r="H36" s="172">
        <f t="shared" si="5"/>
        <v>9.8271977793285021E-3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'[64]Sch C'!D22</f>
        <v>0</v>
      </c>
      <c r="D37" s="501">
        <f>'[64]Sch C'!F22</f>
        <v>0</v>
      </c>
      <c r="E37" s="171">
        <f t="shared" si="3"/>
        <v>0</v>
      </c>
      <c r="F37" s="379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'[64]Sch C'!D23</f>
        <v>40926.800000000003</v>
      </c>
      <c r="D38" s="501">
        <f>'[64]Sch C'!F23</f>
        <v>38731</v>
      </c>
      <c r="E38" s="171">
        <f t="shared" si="3"/>
        <v>79657.8</v>
      </c>
      <c r="F38" s="379"/>
      <c r="G38" s="171">
        <f t="shared" si="4"/>
        <v>79657.8</v>
      </c>
      <c r="H38" s="172">
        <f t="shared" si="5"/>
        <v>7.0637811093020291E-3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'[64]Sch C'!D24</f>
        <v>58352.62</v>
      </c>
      <c r="D39" s="501">
        <f>'[64]Sch C'!F24</f>
        <v>0</v>
      </c>
      <c r="E39" s="171">
        <f t="shared" si="3"/>
        <v>58352.62</v>
      </c>
      <c r="F39" s="379"/>
      <c r="G39" s="171">
        <f t="shared" si="4"/>
        <v>58352.62</v>
      </c>
      <c r="H39" s="172">
        <f t="shared" si="5"/>
        <v>5.1745106547542077E-3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'[64]Sch C'!D25</f>
        <v>0</v>
      </c>
      <c r="D40" s="501">
        <f>'[64]Sch C'!F25</f>
        <v>0</v>
      </c>
      <c r="E40" s="171">
        <f t="shared" si="3"/>
        <v>0</v>
      </c>
      <c r="F40" s="379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'[64]Sch C'!D26</f>
        <v>584294.88</v>
      </c>
      <c r="D41" s="501">
        <f>'[64]Sch C'!F26</f>
        <v>18.32</v>
      </c>
      <c r="E41" s="171">
        <f t="shared" si="3"/>
        <v>584313.19999999995</v>
      </c>
      <c r="F41" s="379"/>
      <c r="G41" s="171">
        <f t="shared" si="4"/>
        <v>584313.19999999995</v>
      </c>
      <c r="H41" s="172">
        <f t="shared" si="5"/>
        <v>5.1814895014371698E-2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'[64]Sch C'!D27</f>
        <v>0</v>
      </c>
      <c r="D42" s="501">
        <f>'[64]Sch C'!F27</f>
        <v>22911.360000000001</v>
      </c>
      <c r="E42" s="171">
        <f t="shared" si="3"/>
        <v>22911.360000000001</v>
      </c>
      <c r="F42" s="379"/>
      <c r="G42" s="171">
        <f t="shared" si="4"/>
        <v>22911.360000000001</v>
      </c>
      <c r="H42" s="172">
        <f t="shared" si="5"/>
        <v>2.0317010004848005E-3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'[64]Sch C'!D28</f>
        <v>0</v>
      </c>
      <c r="D43" s="501">
        <f>'[64]Sch C'!F28</f>
        <v>0</v>
      </c>
      <c r="E43" s="171">
        <f t="shared" si="3"/>
        <v>0</v>
      </c>
      <c r="F43" s="379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'[64]Sch C'!D29</f>
        <v>253993.11</v>
      </c>
      <c r="D44" s="501">
        <f>'[64]Sch C'!F29</f>
        <v>-253993.11</v>
      </c>
      <c r="E44" s="171">
        <f t="shared" si="3"/>
        <v>0</v>
      </c>
      <c r="F44" s="379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'[64]Sch C'!D30</f>
        <v>0</v>
      </c>
      <c r="D45" s="501">
        <f>'[64]Sch C'!F30</f>
        <v>0</v>
      </c>
      <c r="E45" s="171">
        <f t="shared" si="3"/>
        <v>0</v>
      </c>
      <c r="F45" s="379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'[64]Sch C'!D31</f>
        <v>9016.31</v>
      </c>
      <c r="D46" s="501">
        <f>'[64]Sch C'!F31</f>
        <v>0</v>
      </c>
      <c r="E46" s="171">
        <f t="shared" si="3"/>
        <v>9016.31</v>
      </c>
      <c r="F46" s="379"/>
      <c r="G46" s="171">
        <f t="shared" si="4"/>
        <v>9016.31</v>
      </c>
      <c r="H46" s="172">
        <f t="shared" si="5"/>
        <v>7.9953551634128698E-4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'[64]Sch C'!D32</f>
        <v>190963.44</v>
      </c>
      <c r="D47" s="501">
        <f>'[64]Sch C'!F32</f>
        <v>0</v>
      </c>
      <c r="E47" s="171">
        <f t="shared" si="3"/>
        <v>190963.44</v>
      </c>
      <c r="F47" s="379"/>
      <c r="G47" s="171">
        <f t="shared" si="4"/>
        <v>190963.44</v>
      </c>
      <c r="H47" s="172">
        <f t="shared" si="5"/>
        <v>1.693398436862845E-2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'[64]Sch C'!D33</f>
        <v>0</v>
      </c>
      <c r="D48" s="501">
        <f>'[64]Sch C'!F33</f>
        <v>0</v>
      </c>
      <c r="E48" s="171">
        <f t="shared" si="3"/>
        <v>0</v>
      </c>
      <c r="F48" s="379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'[64]Sch C'!D34</f>
        <v>0</v>
      </c>
      <c r="D49" s="501">
        <f>'[64]Sch C'!F34</f>
        <v>2455</v>
      </c>
      <c r="E49" s="171">
        <f t="shared" si="3"/>
        <v>2455</v>
      </c>
      <c r="F49" s="379"/>
      <c r="G49" s="171">
        <f t="shared" si="4"/>
        <v>2455</v>
      </c>
      <c r="H49" s="172">
        <f t="shared" si="5"/>
        <v>2.1770099881413346E-4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'[64]Sch C'!D35</f>
        <v>1730.5900000000001</v>
      </c>
      <c r="D50" s="501">
        <f>'[64]Sch C'!F35</f>
        <v>-1730.5900000000001</v>
      </c>
      <c r="E50" s="171">
        <f t="shared" si="3"/>
        <v>0</v>
      </c>
      <c r="F50" s="379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'[64]Sch C'!D36</f>
        <v>0</v>
      </c>
      <c r="D51" s="501">
        <f>'[64]Sch C'!F36</f>
        <v>0</v>
      </c>
      <c r="E51" s="171">
        <f t="shared" si="3"/>
        <v>0</v>
      </c>
      <c r="F51" s="379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'[64]Sch C'!D37</f>
        <v>0</v>
      </c>
      <c r="D52" s="501">
        <f>'[64]Sch C'!F37</f>
        <v>0</v>
      </c>
      <c r="E52" s="171">
        <f t="shared" si="3"/>
        <v>0</v>
      </c>
      <c r="F52" s="379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'[64]Sch C'!D38</f>
        <v>0</v>
      </c>
      <c r="D53" s="501">
        <f>'[64]Sch C'!F38</f>
        <v>0</v>
      </c>
      <c r="E53" s="171">
        <f t="shared" si="3"/>
        <v>0</v>
      </c>
      <c r="F53" s="379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'[64]Sch C'!D39</f>
        <v>27647.279999999999</v>
      </c>
      <c r="D54" s="501">
        <f>'[64]Sch C'!F39</f>
        <v>8953</v>
      </c>
      <c r="E54" s="171">
        <f t="shared" si="3"/>
        <v>36600.28</v>
      </c>
      <c r="F54" s="379"/>
      <c r="G54" s="171">
        <f t="shared" si="4"/>
        <v>36600.28</v>
      </c>
      <c r="H54" s="172">
        <f t="shared" si="5"/>
        <v>3.2455875816199396E-3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'[64]Sch C'!D40</f>
        <v>47775.68</v>
      </c>
      <c r="D55" s="501">
        <f>'[64]Sch C'!F40</f>
        <v>-47775.68</v>
      </c>
      <c r="E55" s="171">
        <f t="shared" si="3"/>
        <v>0</v>
      </c>
      <c r="F55" s="379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'[64]Sch C'!D41</f>
        <v>43520.160000000003</v>
      </c>
      <c r="D56" s="501">
        <f>'[64]Sch C'!F41</f>
        <v>0</v>
      </c>
      <c r="E56" s="171">
        <f t="shared" si="3"/>
        <v>43520.160000000003</v>
      </c>
      <c r="F56" s="379"/>
      <c r="G56" s="171">
        <f t="shared" si="4"/>
        <v>43520.160000000003</v>
      </c>
      <c r="H56" s="172">
        <f t="shared" si="5"/>
        <v>3.8592188596948671E-3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'[64]Sch C'!D42</f>
        <v>0</v>
      </c>
      <c r="D57" s="501">
        <f>'[64]Sch C'!F42</f>
        <v>4875</v>
      </c>
      <c r="E57" s="171">
        <f t="shared" si="3"/>
        <v>4875</v>
      </c>
      <c r="F57" s="379"/>
      <c r="G57" s="171">
        <f t="shared" si="4"/>
        <v>4875</v>
      </c>
      <c r="H57" s="172">
        <f t="shared" si="5"/>
        <v>4.3229831740077419E-4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'[64]Sch C'!D43</f>
        <v>0</v>
      </c>
      <c r="D58" s="501">
        <f>'[64]Sch C'!F43</f>
        <v>0</v>
      </c>
      <c r="E58" s="171">
        <f t="shared" si="3"/>
        <v>0</v>
      </c>
      <c r="F58" s="379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'[64]Sch C'!D44</f>
        <v>0</v>
      </c>
      <c r="D59" s="501">
        <f>'[64]Sch C'!F44</f>
        <v>0</v>
      </c>
      <c r="E59" s="171">
        <f t="shared" si="3"/>
        <v>0</v>
      </c>
      <c r="F59" s="379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'[64]Sch C'!D45</f>
        <v>10736.229999999998</v>
      </c>
      <c r="D60" s="501">
        <f>'[64]Sch C'!F45</f>
        <v>9683</v>
      </c>
      <c r="E60" s="171">
        <f t="shared" si="3"/>
        <v>20419.229999999996</v>
      </c>
      <c r="F60" s="379">
        <v>45337.83</v>
      </c>
      <c r="G60" s="171">
        <f t="shared" si="4"/>
        <v>65757.06</v>
      </c>
      <c r="H60" s="172">
        <f t="shared" si="5"/>
        <v>5.8311110554301023E-3</v>
      </c>
      <c r="I60" s="473" t="s">
        <v>676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2762607.4899999998</v>
      </c>
      <c r="D61" s="501">
        <f>SUM(D25:D60)</f>
        <v>-487857.94</v>
      </c>
      <c r="E61" s="171">
        <f t="shared" ref="E61:F61" si="6">SUM(E25:E60)</f>
        <v>2274749.5500000003</v>
      </c>
      <c r="F61" s="171">
        <f t="shared" si="6"/>
        <v>45337.83</v>
      </c>
      <c r="G61" s="171">
        <f>SUM(G25:G60)</f>
        <v>2320087.3800000004</v>
      </c>
      <c r="H61" s="186">
        <f t="shared" si="5"/>
        <v>0.20573740935318374</v>
      </c>
      <c r="I61" s="480"/>
      <c r="J61" s="168"/>
      <c r="K61" s="168"/>
    </row>
    <row r="62" spans="1:11" s="167" customFormat="1" ht="15.5">
      <c r="A62" s="163"/>
      <c r="C62" s="165"/>
      <c r="D62" s="165"/>
      <c r="E62" s="165"/>
      <c r="F62"/>
      <c r="G62" s="165"/>
      <c r="H62" s="187"/>
      <c r="I62" s="481"/>
      <c r="J62" s="168"/>
      <c r="K62" s="168"/>
    </row>
    <row r="63" spans="1:11" s="167" customFormat="1" ht="15.5">
      <c r="A63" s="169" t="s">
        <v>162</v>
      </c>
      <c r="B63" s="170" t="s">
        <v>178</v>
      </c>
      <c r="C63" s="165"/>
      <c r="D63" s="165"/>
      <c r="E63" s="165"/>
      <c r="F63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'[64]Sch C'!D57</f>
        <v>1405250.04</v>
      </c>
      <c r="D64" s="501">
        <f>'[64]Sch C'!F57</f>
        <v>-1405250.04</v>
      </c>
      <c r="E64" s="171">
        <f t="shared" ref="E64:E78" si="7">C64+D64</f>
        <v>0</v>
      </c>
      <c r="F64" s="379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'[64]Sch C'!D58</f>
        <v>5189.7299999999996</v>
      </c>
      <c r="D65" s="501">
        <f>'[64]Sch C'!F58</f>
        <v>160983.5</v>
      </c>
      <c r="E65" s="171">
        <f t="shared" si="7"/>
        <v>166173.23000000001</v>
      </c>
      <c r="F65" s="379"/>
      <c r="G65" s="171">
        <f t="shared" si="8"/>
        <v>166173.23000000001</v>
      </c>
      <c r="H65" s="172">
        <f t="shared" si="9"/>
        <v>1.4735673379702944E-2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'[64]Sch C'!D59</f>
        <v>0</v>
      </c>
      <c r="D66" s="501">
        <f>'[64]Sch C'!F59</f>
        <v>374687.37</v>
      </c>
      <c r="E66" s="171">
        <f t="shared" si="7"/>
        <v>374687.37</v>
      </c>
      <c r="F66" s="379"/>
      <c r="G66" s="171">
        <f t="shared" si="8"/>
        <v>374687.37</v>
      </c>
      <c r="H66" s="172">
        <f t="shared" si="9"/>
        <v>3.3225993764578729E-2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'[64]Sch C'!D60</f>
        <v>101338.85</v>
      </c>
      <c r="D67" s="501">
        <f>'[64]Sch C'!F60</f>
        <v>-3445.34</v>
      </c>
      <c r="E67" s="171">
        <f t="shared" si="7"/>
        <v>97893.510000000009</v>
      </c>
      <c r="F67" s="379"/>
      <c r="G67" s="171">
        <f t="shared" si="8"/>
        <v>97893.510000000009</v>
      </c>
      <c r="H67" s="172">
        <f t="shared" si="9"/>
        <v>8.6808614681960754E-3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'[64]Sch C'!D61</f>
        <v>20918.349999999999</v>
      </c>
      <c r="D68" s="501">
        <f>'[64]Sch C'!F61</f>
        <v>3319</v>
      </c>
      <c r="E68" s="171">
        <f t="shared" si="7"/>
        <v>24237.35</v>
      </c>
      <c r="F68" s="379"/>
      <c r="G68" s="171">
        <f t="shared" si="8"/>
        <v>24237.35</v>
      </c>
      <c r="H68" s="172">
        <f t="shared" si="9"/>
        <v>2.1492852560520315E-3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'[64]Sch C'!D62</f>
        <v>13250.04</v>
      </c>
      <c r="D69" s="501">
        <f>'[64]Sch C'!F62</f>
        <v>0</v>
      </c>
      <c r="E69" s="171">
        <f t="shared" si="7"/>
        <v>13250.04</v>
      </c>
      <c r="F69" s="379"/>
      <c r="G69" s="171">
        <f t="shared" si="8"/>
        <v>13250.04</v>
      </c>
      <c r="H69" s="172">
        <f t="shared" si="9"/>
        <v>1.1749682046139393E-3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'[64]Sch C'!D63</f>
        <v>0</v>
      </c>
      <c r="D70" s="501">
        <f>'[64]Sch C'!F63</f>
        <v>0</v>
      </c>
      <c r="E70" s="171">
        <f t="shared" si="7"/>
        <v>0</v>
      </c>
      <c r="F70" s="379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'[64]Sch C'!D64</f>
        <v>0</v>
      </c>
      <c r="D71" s="501">
        <f>'[64]Sch C'!F64</f>
        <v>0</v>
      </c>
      <c r="E71" s="171">
        <f t="shared" si="7"/>
        <v>0</v>
      </c>
      <c r="F71" s="379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'[64]Sch C'!D65</f>
        <v>0</v>
      </c>
      <c r="D72" s="501">
        <f>'[64]Sch C'!F65</f>
        <v>0</v>
      </c>
      <c r="E72" s="171">
        <f t="shared" si="7"/>
        <v>0</v>
      </c>
      <c r="F72" s="379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'[64]Sch C'!D66</f>
        <v>0</v>
      </c>
      <c r="D73" s="501">
        <f>'[64]Sch C'!F66</f>
        <v>0</v>
      </c>
      <c r="E73" s="171">
        <f t="shared" si="7"/>
        <v>0</v>
      </c>
      <c r="F73" s="379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'[64]Sch C'!D67</f>
        <v>13542.119999999999</v>
      </c>
      <c r="D74" s="501">
        <f>'[64]Sch C'!F67</f>
        <v>53581.18</v>
      </c>
      <c r="E74" s="171">
        <f t="shared" si="7"/>
        <v>67123.3</v>
      </c>
      <c r="F74" s="379"/>
      <c r="G74" s="171">
        <f t="shared" si="8"/>
        <v>67123.3</v>
      </c>
      <c r="H74" s="172">
        <f t="shared" si="9"/>
        <v>5.9522645432589514E-3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'[64]Sch C'!D68</f>
        <v>0</v>
      </c>
      <c r="D75" s="501">
        <f>'[64]Sch C'!F68</f>
        <v>0</v>
      </c>
      <c r="E75" s="171">
        <f t="shared" si="7"/>
        <v>0</v>
      </c>
      <c r="F75" s="379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'[64]Sch C'!D69</f>
        <v>0</v>
      </c>
      <c r="D76" s="501">
        <f>'[64]Sch C'!F69</f>
        <v>3653</v>
      </c>
      <c r="E76" s="171">
        <f t="shared" si="7"/>
        <v>3653</v>
      </c>
      <c r="F76" s="379"/>
      <c r="G76" s="171">
        <f t="shared" si="8"/>
        <v>3653</v>
      </c>
      <c r="H76" s="172">
        <f t="shared" si="9"/>
        <v>3.2393553917231343E-4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'[64]Sch C'!D70</f>
        <v>0</v>
      </c>
      <c r="D77" s="501">
        <f>'[64]Sch C'!F70</f>
        <v>0</v>
      </c>
      <c r="E77" s="171">
        <f t="shared" si="7"/>
        <v>0</v>
      </c>
      <c r="F77" s="379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'[64]Sch C'!D71</f>
        <v>0</v>
      </c>
      <c r="D78" s="501">
        <f>'[64]Sch C'!F71</f>
        <v>0</v>
      </c>
      <c r="E78" s="171">
        <f t="shared" si="7"/>
        <v>0</v>
      </c>
      <c r="F78" s="379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1559489.1300000004</v>
      </c>
      <c r="D79" s="501">
        <f>SUM(D64:D78)</f>
        <v>-812471.33</v>
      </c>
      <c r="E79" s="171">
        <f t="shared" ref="E79:F79" si="10">SUM(E64:E78)</f>
        <v>747017.8</v>
      </c>
      <c r="F79" s="171">
        <f t="shared" si="10"/>
        <v>0</v>
      </c>
      <c r="G79" s="171">
        <f>SUM(G64:G78)</f>
        <v>747017.8</v>
      </c>
      <c r="H79" s="172">
        <f t="shared" si="9"/>
        <v>6.6242982155574989E-2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383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386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'[64]Sch C'!D75</f>
        <v>95511.16</v>
      </c>
      <c r="D82" s="501">
        <f>'[64]Sch C'!F75</f>
        <v>0</v>
      </c>
      <c r="E82" s="171">
        <f t="shared" ref="E82:E92" si="11">C82+D82</f>
        <v>95511.16</v>
      </c>
      <c r="F82" s="379"/>
      <c r="G82" s="171">
        <f t="shared" ref="G82:G92" si="12">E82+F82</f>
        <v>95511.16</v>
      </c>
      <c r="H82" s="172">
        <f t="shared" ref="H82:H93" si="13">IF($G$208=0,0,G82/$G$208)</f>
        <v>8.4696028227684364E-3</v>
      </c>
      <c r="I82" s="473"/>
      <c r="J82" s="183">
        <v>4748.74</v>
      </c>
      <c r="K82" s="183">
        <v>4940.74</v>
      </c>
    </row>
    <row r="83" spans="1:11" s="167" customFormat="1">
      <c r="A83" s="169" t="s">
        <v>86</v>
      </c>
      <c r="B83" s="199" t="s">
        <v>45</v>
      </c>
      <c r="C83" s="501">
        <f>'[64]Sch C'!D76</f>
        <v>19076.489999999998</v>
      </c>
      <c r="D83" s="501">
        <f>'[64]Sch C'!F76</f>
        <v>0</v>
      </c>
      <c r="E83" s="171">
        <f t="shared" si="11"/>
        <v>19076.489999999998</v>
      </c>
      <c r="F83" s="379"/>
      <c r="G83" s="171">
        <f t="shared" si="12"/>
        <v>19076.489999999998</v>
      </c>
      <c r="H83" s="172">
        <f t="shared" si="13"/>
        <v>1.6916378520846552E-3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'[64]Sch C'!D77</f>
        <v>79955.12</v>
      </c>
      <c r="D84" s="501">
        <f>'[64]Sch C'!F77</f>
        <v>0</v>
      </c>
      <c r="E84" s="171">
        <f t="shared" si="11"/>
        <v>79955.12</v>
      </c>
      <c r="F84" s="379"/>
      <c r="G84" s="171">
        <f t="shared" si="12"/>
        <v>79955.12</v>
      </c>
      <c r="H84" s="172">
        <f t="shared" si="13"/>
        <v>7.0901464294516889E-3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'[64]Sch C'!D78</f>
        <v>50750.18</v>
      </c>
      <c r="D85" s="501">
        <f>'[64]Sch C'!F78</f>
        <v>2141</v>
      </c>
      <c r="E85" s="171">
        <f t="shared" si="11"/>
        <v>52891.18</v>
      </c>
      <c r="F85" s="379"/>
      <c r="G85" s="171">
        <f t="shared" si="12"/>
        <v>52891.18</v>
      </c>
      <c r="H85" s="172">
        <f t="shared" si="13"/>
        <v>4.6902088449931236E-3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'[64]Sch C'!D79</f>
        <v>60247.05</v>
      </c>
      <c r="D86" s="501">
        <f>'[64]Sch C'!F79</f>
        <v>0</v>
      </c>
      <c r="E86" s="171">
        <f t="shared" si="11"/>
        <v>60247.05</v>
      </c>
      <c r="F86" s="379"/>
      <c r="G86" s="171">
        <f>E86+F86</f>
        <v>60247.05</v>
      </c>
      <c r="H86" s="172">
        <f t="shared" si="13"/>
        <v>5.3425022242790388E-3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'[64]Sch C'!D80</f>
        <v>87122.700000000012</v>
      </c>
      <c r="D87" s="501">
        <f>'[64]Sch C'!F80</f>
        <v>0</v>
      </c>
      <c r="E87" s="171">
        <f t="shared" si="11"/>
        <v>87122.700000000012</v>
      </c>
      <c r="F87" s="379"/>
      <c r="G87" s="171">
        <f t="shared" si="12"/>
        <v>87122.700000000012</v>
      </c>
      <c r="H87" s="172">
        <f t="shared" si="13"/>
        <v>7.7257428958794738E-3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'[64]Sch C'!D81</f>
        <v>1570.49</v>
      </c>
      <c r="D88" s="501">
        <f>'[64]Sch C'!F81</f>
        <v>0</v>
      </c>
      <c r="E88" s="171">
        <f t="shared" si="11"/>
        <v>1570.49</v>
      </c>
      <c r="F88" s="379"/>
      <c r="G88" s="171">
        <f t="shared" si="12"/>
        <v>1570.49</v>
      </c>
      <c r="H88" s="172">
        <f t="shared" si="13"/>
        <v>1.3926567887071628E-4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'[64]Sch C'!D82</f>
        <v>0</v>
      </c>
      <c r="D89" s="501">
        <f>'[64]Sch C'!F82</f>
        <v>0</v>
      </c>
      <c r="E89" s="171">
        <f t="shared" si="11"/>
        <v>0</v>
      </c>
      <c r="F89" s="379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'[64]Sch C'!D83</f>
        <v>0</v>
      </c>
      <c r="D90" s="501">
        <f>'[64]Sch C'!F83</f>
        <v>0</v>
      </c>
      <c r="E90" s="171">
        <f t="shared" si="11"/>
        <v>0</v>
      </c>
      <c r="F90" s="379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'[64]Sch C'!D84</f>
        <v>251704.32000000001</v>
      </c>
      <c r="D91" s="501">
        <f>'[64]Sch C'!F84</f>
        <v>812.96</v>
      </c>
      <c r="E91" s="171">
        <f t="shared" si="11"/>
        <v>252517.28</v>
      </c>
      <c r="F91" s="379"/>
      <c r="G91" s="171">
        <f t="shared" si="12"/>
        <v>252517.28</v>
      </c>
      <c r="H91" s="172">
        <f t="shared" si="13"/>
        <v>2.2392368258178495E-2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'[64]Sch C'!D85</f>
        <v>2222.12</v>
      </c>
      <c r="D92" s="501">
        <f>'[64]Sch C'!F85</f>
        <v>0</v>
      </c>
      <c r="E92" s="171">
        <f t="shared" si="11"/>
        <v>2222.12</v>
      </c>
      <c r="F92" s="379"/>
      <c r="G92" s="171">
        <f t="shared" si="12"/>
        <v>2222.12</v>
      </c>
      <c r="H92" s="172">
        <f t="shared" si="13"/>
        <v>1.9704999734617605E-4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648159.63</v>
      </c>
      <c r="D93" s="501">
        <f>SUM(D82:D92)</f>
        <v>2953.96</v>
      </c>
      <c r="E93" s="171">
        <f t="shared" ref="E93:F93" si="14">SUM(E82:E92)</f>
        <v>651113.59</v>
      </c>
      <c r="F93" s="171">
        <f t="shared" si="14"/>
        <v>0</v>
      </c>
      <c r="G93" s="171">
        <f>SUM(G82:G92)</f>
        <v>651113.59</v>
      </c>
      <c r="H93" s="172">
        <f t="shared" si="13"/>
        <v>5.77385250038518E-2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386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386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'[64]Sch C'!D89</f>
        <v>428386.42000000004</v>
      </c>
      <c r="D96" s="501">
        <f>'[64]Sch C'!F89</f>
        <v>0</v>
      </c>
      <c r="E96" s="171">
        <f t="shared" ref="E96:E101" si="15">C96+D96</f>
        <v>428386.42000000004</v>
      </c>
      <c r="F96" s="379"/>
      <c r="G96" s="171">
        <f t="shared" ref="G96:G101" si="16">E96+F96</f>
        <v>428386.42000000004</v>
      </c>
      <c r="H96" s="172">
        <f t="shared" ref="H96:H102" si="17">IF($G$208=0,0,G96/$G$208)</f>
        <v>3.7987841756582846E-2</v>
      </c>
      <c r="I96" s="473"/>
      <c r="J96" s="183">
        <v>26845.021833999999</v>
      </c>
      <c r="K96" s="183">
        <v>27637.021833999999</v>
      </c>
    </row>
    <row r="97" spans="1:11" s="167" customFormat="1">
      <c r="A97" s="169" t="s">
        <v>86</v>
      </c>
      <c r="B97" s="170" t="s">
        <v>45</v>
      </c>
      <c r="C97" s="501">
        <f>'[64]Sch C'!D90</f>
        <v>95582.900000000009</v>
      </c>
      <c r="D97" s="501">
        <f>'[64]Sch C'!F90</f>
        <v>0</v>
      </c>
      <c r="E97" s="171">
        <f t="shared" si="15"/>
        <v>95582.900000000009</v>
      </c>
      <c r="F97" s="379"/>
      <c r="G97" s="171">
        <f t="shared" si="16"/>
        <v>95582.900000000009</v>
      </c>
      <c r="H97" s="172">
        <f t="shared" si="17"/>
        <v>8.4759644804690178E-3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'[64]Sch C'!D91</f>
        <v>907.34999999999991</v>
      </c>
      <c r="D98" s="501">
        <f>'[64]Sch C'!F91</f>
        <v>0</v>
      </c>
      <c r="E98" s="171">
        <f t="shared" si="15"/>
        <v>907.34999999999991</v>
      </c>
      <c r="F98" s="379"/>
      <c r="G98" s="171">
        <f t="shared" si="16"/>
        <v>907.34999999999991</v>
      </c>
      <c r="H98" s="172">
        <f t="shared" si="17"/>
        <v>8.0460692983301004E-5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'[64]Sch C'!D92</f>
        <v>347526.07</v>
      </c>
      <c r="D99" s="501">
        <f>'[64]Sch C'!F92</f>
        <v>-368</v>
      </c>
      <c r="E99" s="171">
        <f t="shared" si="15"/>
        <v>347158.07</v>
      </c>
      <c r="F99" s="379"/>
      <c r="G99" s="171">
        <f t="shared" si="16"/>
        <v>347158.07</v>
      </c>
      <c r="H99" s="172">
        <f t="shared" si="17"/>
        <v>3.0784789647815423E-2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'[64]Sch C'!D93</f>
        <v>24246.16</v>
      </c>
      <c r="D100" s="501">
        <f>'[64]Sch C'!F93</f>
        <v>0</v>
      </c>
      <c r="E100" s="171">
        <f t="shared" si="15"/>
        <v>24246.16</v>
      </c>
      <c r="F100" s="379"/>
      <c r="G100" s="171">
        <f t="shared" si="16"/>
        <v>24246.16</v>
      </c>
      <c r="H100" s="172">
        <f t="shared" si="17"/>
        <v>2.1500664967035806E-3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'[64]Sch C'!D94</f>
        <v>14505.22</v>
      </c>
      <c r="D101" s="501">
        <f>'[64]Sch C'!F94</f>
        <v>0</v>
      </c>
      <c r="E101" s="171">
        <f t="shared" si="15"/>
        <v>14505.22</v>
      </c>
      <c r="F101" s="379"/>
      <c r="G101" s="171">
        <f t="shared" si="16"/>
        <v>14505.22</v>
      </c>
      <c r="H101" s="172">
        <f t="shared" si="17"/>
        <v>1.286273271698063E-3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911154.12</v>
      </c>
      <c r="D102" s="501">
        <f>SUM(D96:D101)</f>
        <v>-368</v>
      </c>
      <c r="E102" s="171">
        <f t="shared" ref="E102:F102" si="18">SUM(E96:E101)</f>
        <v>910786.12</v>
      </c>
      <c r="F102" s="171">
        <f t="shared" si="18"/>
        <v>0</v>
      </c>
      <c r="G102" s="171">
        <f>SUM(G96:G101)</f>
        <v>910786.12</v>
      </c>
      <c r="H102" s="172">
        <f t="shared" si="17"/>
        <v>8.0765396346252225E-2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386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386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'[64]Sch C'!D98</f>
        <v>112958.96</v>
      </c>
      <c r="D105" s="501">
        <f>'[64]Sch C'!F98</f>
        <v>0</v>
      </c>
      <c r="E105" s="171">
        <f t="shared" ref="E105:E110" si="19">C105+D105</f>
        <v>112958.96</v>
      </c>
      <c r="F105" s="379"/>
      <c r="G105" s="171">
        <f t="shared" ref="G105:G110" si="20">E105+F105</f>
        <v>112958.96</v>
      </c>
      <c r="H105" s="172">
        <f t="shared" ref="H105:H111" si="21">IF($G$208=0,0,G105/$G$208)</f>
        <v>1.0016814019146945E-2</v>
      </c>
      <c r="I105" s="473"/>
      <c r="J105" s="183">
        <v>9119.64</v>
      </c>
      <c r="K105" s="183">
        <v>9415.64</v>
      </c>
    </row>
    <row r="106" spans="1:11" s="167" customFormat="1">
      <c r="A106" s="169" t="s">
        <v>86</v>
      </c>
      <c r="B106" s="170" t="s">
        <v>45</v>
      </c>
      <c r="C106" s="501">
        <f>'[64]Sch C'!D99</f>
        <v>24875.399999999998</v>
      </c>
      <c r="D106" s="501">
        <f>'[64]Sch C'!F99</f>
        <v>0</v>
      </c>
      <c r="E106" s="171">
        <f t="shared" si="19"/>
        <v>24875.399999999998</v>
      </c>
      <c r="F106" s="379"/>
      <c r="G106" s="171">
        <f t="shared" si="20"/>
        <v>24875.399999999998</v>
      </c>
      <c r="H106" s="172">
        <f t="shared" si="21"/>
        <v>2.2058653465992241E-3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'[64]Sch C'!D100</f>
        <v>18201.949999999997</v>
      </c>
      <c r="D107" s="501">
        <f>'[64]Sch C'!F100</f>
        <v>0</v>
      </c>
      <c r="E107" s="171">
        <f t="shared" si="19"/>
        <v>18201.949999999997</v>
      </c>
      <c r="F107" s="379"/>
      <c r="G107" s="171">
        <f t="shared" si="20"/>
        <v>18201.949999999997</v>
      </c>
      <c r="H107" s="172">
        <f t="shared" si="21"/>
        <v>1.6140866376231837E-3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'[64]Sch C'!D101</f>
        <v>0</v>
      </c>
      <c r="D108" s="501">
        <f>'[64]Sch C'!F101</f>
        <v>0</v>
      </c>
      <c r="E108" s="171">
        <f t="shared" si="19"/>
        <v>0</v>
      </c>
      <c r="F108" s="379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'[64]Sch C'!D102</f>
        <v>14246.23</v>
      </c>
      <c r="D109" s="501">
        <f>'[64]Sch C'!F102</f>
        <v>0</v>
      </c>
      <c r="E109" s="171">
        <f t="shared" si="19"/>
        <v>14246.23</v>
      </c>
      <c r="F109" s="379"/>
      <c r="G109" s="171">
        <f t="shared" si="20"/>
        <v>14246.23</v>
      </c>
      <c r="H109" s="172">
        <f t="shared" si="21"/>
        <v>1.263306924780396E-3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'[64]Sch C'!D103</f>
        <v>801.5</v>
      </c>
      <c r="D110" s="501">
        <f>'[64]Sch C'!F103</f>
        <v>0</v>
      </c>
      <c r="E110" s="171">
        <f t="shared" si="19"/>
        <v>801.5</v>
      </c>
      <c r="F110" s="379"/>
      <c r="G110" s="171">
        <f t="shared" si="20"/>
        <v>801.5</v>
      </c>
      <c r="H110" s="172">
        <f t="shared" si="21"/>
        <v>7.1074277209583688E-5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171084.04</v>
      </c>
      <c r="D111" s="501">
        <f>SUM(D105:D110)</f>
        <v>0</v>
      </c>
      <c r="E111" s="171">
        <f t="shared" ref="E111:F111" si="22">SUM(E105:E110)</f>
        <v>171084.04</v>
      </c>
      <c r="F111" s="171">
        <f t="shared" si="22"/>
        <v>0</v>
      </c>
      <c r="G111" s="171">
        <f>SUM(G105:G110)</f>
        <v>171084.04</v>
      </c>
      <c r="H111" s="172">
        <f t="shared" si="21"/>
        <v>1.5171147205359333E-2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386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386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'[64]Sch C'!D115</f>
        <v>99671.26999999999</v>
      </c>
      <c r="D114" s="501">
        <f>'[64]Sch C'!F115</f>
        <v>0</v>
      </c>
      <c r="E114" s="171">
        <f t="shared" ref="E114:E118" si="23">C114+D114</f>
        <v>99671.26999999999</v>
      </c>
      <c r="F114" s="379"/>
      <c r="G114" s="171">
        <f>E114+F114</f>
        <v>99671.26999999999</v>
      </c>
      <c r="H114" s="172">
        <f t="shared" ref="H114:H119" si="24">IF($G$208=0,0,G114/$G$208)</f>
        <v>8.8385071413740017E-3</v>
      </c>
      <c r="I114" s="473"/>
      <c r="J114" s="183">
        <v>9745.6500000000015</v>
      </c>
      <c r="K114" s="183">
        <v>10448.650000000001</v>
      </c>
    </row>
    <row r="115" spans="1:11" s="167" customFormat="1">
      <c r="A115" s="169" t="s">
        <v>86</v>
      </c>
      <c r="B115" s="170" t="s">
        <v>151</v>
      </c>
      <c r="C115" s="501">
        <f>'[64]Sch C'!D116</f>
        <v>32273.199999999997</v>
      </c>
      <c r="D115" s="501">
        <f>'[64]Sch C'!F116</f>
        <v>0</v>
      </c>
      <c r="E115" s="171">
        <f t="shared" si="23"/>
        <v>32273.199999999997</v>
      </c>
      <c r="F115" s="379"/>
      <c r="G115" s="171">
        <f>E115+F115</f>
        <v>32273.199999999997</v>
      </c>
      <c r="H115" s="172">
        <f t="shared" si="24"/>
        <v>2.8618769347976748E-3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'[64]Sch C'!D117</f>
        <v>46143.86</v>
      </c>
      <c r="D116" s="501">
        <f>'[64]Sch C'!F117</f>
        <v>0</v>
      </c>
      <c r="E116" s="171">
        <f t="shared" si="23"/>
        <v>46143.86</v>
      </c>
      <c r="F116" s="379"/>
      <c r="G116" s="171">
        <f>E116+F116</f>
        <v>46143.86</v>
      </c>
      <c r="H116" s="172">
        <f t="shared" si="24"/>
        <v>4.0918795972055156E-3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'[64]Sch C'!D118</f>
        <v>148.75</v>
      </c>
      <c r="D117" s="501">
        <f>'[64]Sch C'!F118</f>
        <v>0</v>
      </c>
      <c r="E117" s="171">
        <f t="shared" si="23"/>
        <v>148.75</v>
      </c>
      <c r="F117" s="379"/>
      <c r="G117" s="171">
        <f>E117+F117</f>
        <v>148.75</v>
      </c>
      <c r="H117" s="172">
        <f t="shared" si="24"/>
        <v>1.3190640966844135E-5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'[64]Sch C'!D119</f>
        <v>596.25</v>
      </c>
      <c r="D118" s="501">
        <f>'[64]Sch C'!F119</f>
        <v>0</v>
      </c>
      <c r="E118" s="171">
        <f t="shared" si="23"/>
        <v>596.25</v>
      </c>
      <c r="F118" s="379"/>
      <c r="G118" s="171">
        <f>E118+F118</f>
        <v>596.25</v>
      </c>
      <c r="H118" s="172">
        <f t="shared" si="24"/>
        <v>5.2873409589786994E-5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178833.32999999996</v>
      </c>
      <c r="D119" s="501">
        <f>SUM(D114:D118)</f>
        <v>0</v>
      </c>
      <c r="E119" s="171">
        <f t="shared" ref="E119:F119" si="25">SUM(E114:E118)</f>
        <v>178833.32999999996</v>
      </c>
      <c r="F119" s="171">
        <f t="shared" si="25"/>
        <v>0</v>
      </c>
      <c r="G119" s="171">
        <f>SUM(G114:G118)</f>
        <v>178833.32999999996</v>
      </c>
      <c r="H119" s="172">
        <f t="shared" si="24"/>
        <v>1.5858327723933821E-2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383"/>
      <c r="G120" s="196"/>
      <c r="H120" s="197"/>
      <c r="I120" s="473"/>
      <c r="J120" s="203"/>
      <c r="K120" s="203"/>
    </row>
    <row r="121" spans="1:11" s="167" customFormat="1" ht="15.5">
      <c r="A121" s="169" t="s">
        <v>167</v>
      </c>
      <c r="B121" s="170" t="s">
        <v>62</v>
      </c>
      <c r="C121" s="165"/>
      <c r="D121" s="165"/>
      <c r="E121" s="165"/>
      <c r="F121"/>
      <c r="G121" s="165"/>
      <c r="H121" s="198"/>
      <c r="I121" s="475"/>
      <c r="J121" s="204"/>
      <c r="K121" s="204"/>
    </row>
    <row r="122" spans="1:11" s="167" customFormat="1" ht="15.5">
      <c r="A122" s="169" t="s">
        <v>85</v>
      </c>
      <c r="B122" s="170" t="s">
        <v>63</v>
      </c>
      <c r="C122" s="165"/>
      <c r="D122" s="165"/>
      <c r="E122" s="165"/>
      <c r="F122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'[64]Sch C'!D124</f>
        <v>245642.1</v>
      </c>
      <c r="D123" s="501">
        <f>'[64]Sch C'!F124</f>
        <v>0</v>
      </c>
      <c r="E123" s="171">
        <f t="shared" ref="E123:E127" si="26">C123+D123</f>
        <v>245642.1</v>
      </c>
      <c r="F123" s="379"/>
      <c r="G123" s="171">
        <f>E123+F123</f>
        <v>245642.1</v>
      </c>
      <c r="H123" s="172">
        <f>IF($G$208=0,0,G123/$G$208)</f>
        <v>2.1782700823136967E-2</v>
      </c>
      <c r="I123" s="473"/>
      <c r="J123" s="183">
        <v>5827.78</v>
      </c>
      <c r="K123" s="183">
        <v>6051.78</v>
      </c>
    </row>
    <row r="124" spans="1:11" s="167" customFormat="1">
      <c r="B124" s="163" t="s">
        <v>194</v>
      </c>
      <c r="C124" s="501">
        <f>'[64]Sch C'!D125</f>
        <v>140887.35</v>
      </c>
      <c r="D124" s="501">
        <f>'[64]Sch C'!F125</f>
        <v>0</v>
      </c>
      <c r="E124" s="171">
        <f t="shared" si="26"/>
        <v>140887.35</v>
      </c>
      <c r="F124" s="379"/>
      <c r="G124" s="171">
        <f>E124+F124</f>
        <v>140887.35</v>
      </c>
      <c r="H124" s="172">
        <f>IF($G$208=0,0,G124/$G$208)</f>
        <v>1.2493408071395685E-2</v>
      </c>
      <c r="I124" s="473"/>
      <c r="J124" s="183">
        <v>3856.3399999999997</v>
      </c>
      <c r="K124" s="183">
        <v>3974.3399999999997</v>
      </c>
    </row>
    <row r="125" spans="1:11" s="167" customFormat="1">
      <c r="A125" s="163" t="s">
        <v>198</v>
      </c>
      <c r="B125" s="163" t="s">
        <v>195</v>
      </c>
      <c r="C125" s="501">
        <f>'[64]Sch C'!D126</f>
        <v>0</v>
      </c>
      <c r="D125" s="501">
        <f>'[64]Sch C'!F126</f>
        <v>0</v>
      </c>
      <c r="E125" s="171">
        <f t="shared" si="26"/>
        <v>0</v>
      </c>
      <c r="F125" s="379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'[64]Sch C'!D127</f>
        <v>0</v>
      </c>
      <c r="D126" s="501">
        <f>'[64]Sch C'!F127</f>
        <v>0</v>
      </c>
      <c r="E126" s="171">
        <f t="shared" si="26"/>
        <v>0</v>
      </c>
      <c r="F126" s="379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'[64]Sch C'!D128</f>
        <v>72605.680000000008</v>
      </c>
      <c r="D127" s="501">
        <f>'[64]Sch C'!F128</f>
        <v>0</v>
      </c>
      <c r="E127" s="171">
        <f t="shared" si="26"/>
        <v>72605.680000000008</v>
      </c>
      <c r="F127" s="379"/>
      <c r="G127" s="171">
        <f>E127+F127</f>
        <v>72605.680000000008</v>
      </c>
      <c r="H127" s="172">
        <f>IF($G$208=0,0,G127/$G$208)</f>
        <v>6.4384232405618556E-3</v>
      </c>
      <c r="I127" s="473"/>
      <c r="J127" s="183">
        <v>3951.5399999999995</v>
      </c>
      <c r="K127" s="183">
        <v>4253.53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383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'[64]Sch C'!D130</f>
        <v>61797.062520474137</v>
      </c>
      <c r="D129" s="501">
        <f>'[64]Sch C'!F130</f>
        <v>0</v>
      </c>
      <c r="E129" s="171">
        <f t="shared" ref="E129:E133" si="27">C129+D129</f>
        <v>61797.062520474137</v>
      </c>
      <c r="F129" s="379"/>
      <c r="G129" s="171">
        <f>E129+F129</f>
        <v>61797.062520474137</v>
      </c>
      <c r="H129" s="172">
        <f>IF($G$208=0,0,G129/$G$208)</f>
        <v>5.4799520303408025E-3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'[64]Sch C'!D131</f>
        <v>35443.535030411811</v>
      </c>
      <c r="D130" s="501">
        <f>'[64]Sch C'!F131</f>
        <v>0</v>
      </c>
      <c r="E130" s="171">
        <f t="shared" si="27"/>
        <v>35443.535030411811</v>
      </c>
      <c r="F130" s="379"/>
      <c r="G130" s="171">
        <f>E130+F130</f>
        <v>35443.535030411811</v>
      </c>
      <c r="H130" s="172">
        <f>IF($G$208=0,0,G130/$G$208)</f>
        <v>3.1430113961810097E-3</v>
      </c>
      <c r="I130" s="473"/>
      <c r="J130" s="204"/>
      <c r="K130" s="204"/>
    </row>
    <row r="131" spans="1:11" s="167" customFormat="1">
      <c r="B131" s="163" t="s">
        <v>195</v>
      </c>
      <c r="C131" s="501">
        <f>'[64]Sch C'!D132</f>
        <v>0</v>
      </c>
      <c r="D131" s="501">
        <f>'[64]Sch C'!F132</f>
        <v>0</v>
      </c>
      <c r="E131" s="171">
        <f t="shared" si="27"/>
        <v>0</v>
      </c>
      <c r="F131" s="379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'[64]Sch C'!D133</f>
        <v>0</v>
      </c>
      <c r="D132" s="501">
        <f>'[64]Sch C'!F133</f>
        <v>0</v>
      </c>
      <c r="E132" s="171">
        <f t="shared" si="27"/>
        <v>0</v>
      </c>
      <c r="F132" s="379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'[64]Sch C'!D134</f>
        <v>26442.309999999998</v>
      </c>
      <c r="D133" s="501">
        <f>'[64]Sch C'!F134</f>
        <v>0</v>
      </c>
      <c r="E133" s="171">
        <f t="shared" si="27"/>
        <v>26442.309999999998</v>
      </c>
      <c r="F133" s="379"/>
      <c r="G133" s="171">
        <f>E133+F133</f>
        <v>26442.309999999998</v>
      </c>
      <c r="H133" s="172">
        <f>IF($G$208=0,0,G133/$G$208)</f>
        <v>2.3448135633209566E-3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383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'[64]Sch C'!D136</f>
        <v>630272.03</v>
      </c>
      <c r="D135" s="501">
        <f>'[64]Sch C'!F136</f>
        <v>0</v>
      </c>
      <c r="E135" s="171">
        <f t="shared" ref="E135:E138" si="28">C135+D135</f>
        <v>630272.03</v>
      </c>
      <c r="F135" s="379"/>
      <c r="G135" s="171">
        <f>E135+F135</f>
        <v>630272.03</v>
      </c>
      <c r="H135" s="172">
        <f>IF($G$208=0,0,G135/$G$208)</f>
        <v>5.5890366784363134E-2</v>
      </c>
      <c r="I135" s="473"/>
      <c r="J135" s="183">
        <v>20635.299999999996</v>
      </c>
      <c r="K135" s="183">
        <v>21598.009999999995</v>
      </c>
    </row>
    <row r="136" spans="1:11" s="167" customFormat="1">
      <c r="A136" s="169"/>
      <c r="B136" s="163" t="s">
        <v>195</v>
      </c>
      <c r="C136" s="501">
        <f>'[64]Sch C'!D137</f>
        <v>663879.34</v>
      </c>
      <c r="D136" s="501">
        <f>'[64]Sch C'!F137</f>
        <v>0</v>
      </c>
      <c r="E136" s="171">
        <f t="shared" si="28"/>
        <v>663879.34</v>
      </c>
      <c r="F136" s="379"/>
      <c r="G136" s="171">
        <f>E136+F136</f>
        <v>663879.34</v>
      </c>
      <c r="H136" s="172">
        <f>IF($G$208=0,0,G136/$G$208)</f>
        <v>5.887054802854081E-2</v>
      </c>
      <c r="I136" s="473"/>
      <c r="J136" s="183">
        <v>22888.280000000006</v>
      </c>
      <c r="K136" s="183">
        <v>24039.258246000005</v>
      </c>
    </row>
    <row r="137" spans="1:11" s="167" customFormat="1">
      <c r="A137" s="169"/>
      <c r="B137" s="163" t="s">
        <v>196</v>
      </c>
      <c r="C137" s="501">
        <f>'[64]Sch C'!D138</f>
        <v>1128377.1499999999</v>
      </c>
      <c r="D137" s="501">
        <f>'[64]Sch C'!F138</f>
        <v>0</v>
      </c>
      <c r="E137" s="171">
        <f t="shared" si="28"/>
        <v>1128377.1499999999</v>
      </c>
      <c r="F137" s="379"/>
      <c r="G137" s="171">
        <f>E137+F137</f>
        <v>1128377.1499999999</v>
      </c>
      <c r="H137" s="172">
        <f>IF($G$208=0,0,G137/$G$208)</f>
        <v>0.10006062427456019</v>
      </c>
      <c r="I137" s="473"/>
      <c r="J137" s="183">
        <v>79710.569999999978</v>
      </c>
      <c r="K137" s="183">
        <v>83474.031200999976</v>
      </c>
    </row>
    <row r="138" spans="1:11" s="167" customFormat="1">
      <c r="A138" s="169"/>
      <c r="B138" s="163" t="s">
        <v>197</v>
      </c>
      <c r="C138" s="501">
        <f>'[64]Sch C'!D139</f>
        <v>194916.85</v>
      </c>
      <c r="D138" s="501">
        <f>'[64]Sch C'!F139</f>
        <v>0</v>
      </c>
      <c r="E138" s="171">
        <f t="shared" si="28"/>
        <v>194916.85</v>
      </c>
      <c r="F138" s="379"/>
      <c r="G138" s="171">
        <f>E138+F138</f>
        <v>194916.85</v>
      </c>
      <c r="H138" s="172">
        <f>IF($G$208=0,0,G138/$G$208)</f>
        <v>1.7284559238576223E-2</v>
      </c>
      <c r="I138" s="473"/>
      <c r="J138" s="183">
        <v>14734.029999999999</v>
      </c>
      <c r="K138" s="183">
        <v>15513.029999999999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383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'[64]Sch C'!D141</f>
        <v>158559.79102448703</v>
      </c>
      <c r="D140" s="501">
        <f>'[64]Sch C'!F141</f>
        <v>0</v>
      </c>
      <c r="E140" s="171">
        <f t="shared" ref="E140:E143" si="29">C140+D140</f>
        <v>158559.79102448703</v>
      </c>
      <c r="F140" s="379"/>
      <c r="G140" s="171">
        <f>E140+F140</f>
        <v>158559.79102448703</v>
      </c>
      <c r="H140" s="172">
        <f>IF($G$208=0,0,G140/$G$208)</f>
        <v>1.4060539665088023E-2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'[64]Sch C'!D142</f>
        <v>167014.50231874382</v>
      </c>
      <c r="D141" s="501">
        <f>'[64]Sch C'!F142</f>
        <v>0</v>
      </c>
      <c r="E141" s="171">
        <f t="shared" si="29"/>
        <v>167014.50231874382</v>
      </c>
      <c r="F141" s="379"/>
      <c r="G141" s="171">
        <f>E141+F141</f>
        <v>167014.50231874382</v>
      </c>
      <c r="H141" s="172">
        <f>IF($G$208=0,0,G141/$G$208)</f>
        <v>1.4810274530035005E-2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'[64]Sch C'!D143</f>
        <v>283869.87932941626</v>
      </c>
      <c r="D142" s="501">
        <f>'[64]Sch C'!F143</f>
        <v>0</v>
      </c>
      <c r="E142" s="171">
        <f t="shared" si="29"/>
        <v>283869.87932941626</v>
      </c>
      <c r="F142" s="379"/>
      <c r="G142" s="171">
        <f>E142+F142</f>
        <v>283869.87932941626</v>
      </c>
      <c r="H142" s="172">
        <f>IF($G$208=0,0,G142/$G$208)</f>
        <v>2.5172609475870248E-2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'[64]Sch C'!D144</f>
        <v>49035.929776466968</v>
      </c>
      <c r="D143" s="501">
        <f>'[64]Sch C'!F144</f>
        <v>0</v>
      </c>
      <c r="E143" s="171">
        <f t="shared" si="29"/>
        <v>49035.929776466968</v>
      </c>
      <c r="F143" s="379"/>
      <c r="G143" s="171">
        <f>E143+F143</f>
        <v>49035.929776466968</v>
      </c>
      <c r="H143" s="172">
        <f>IF($G$208=0,0,G143/$G$208)</f>
        <v>4.3483384481126548E-3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383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'[64]Sch C'!D146</f>
        <v>60816.04</v>
      </c>
      <c r="D145" s="501">
        <f>'[64]Sch C'!F146</f>
        <v>0</v>
      </c>
      <c r="E145" s="171">
        <f t="shared" ref="E145:E153" si="30">C145+D145</f>
        <v>60816.04</v>
      </c>
      <c r="F145" s="379"/>
      <c r="G145" s="171">
        <f t="shared" ref="G145:G153" si="31">E145+F145</f>
        <v>60816.04</v>
      </c>
      <c r="H145" s="172">
        <f t="shared" ref="H145:H153" si="32">IF($G$208=0,0,G145/$G$208)</f>
        <v>5.392958310354498E-3</v>
      </c>
      <c r="I145" s="473"/>
      <c r="J145" s="183">
        <v>0</v>
      </c>
      <c r="K145" s="183" t="s">
        <v>539</v>
      </c>
    </row>
    <row r="146" spans="1:11" s="167" customFormat="1">
      <c r="A146" s="169"/>
      <c r="B146" s="163" t="s">
        <v>194</v>
      </c>
      <c r="C146" s="501">
        <f>'[64]Sch C'!D147</f>
        <v>3509.0999999999767</v>
      </c>
      <c r="D146" s="501">
        <f>'[64]Sch C'!F147</f>
        <v>0</v>
      </c>
      <c r="E146" s="171">
        <f t="shared" si="30"/>
        <v>3509.0999999999767</v>
      </c>
      <c r="F146" s="379"/>
      <c r="G146" s="171">
        <f t="shared" si="31"/>
        <v>3509.0999999999767</v>
      </c>
      <c r="H146" s="172">
        <f t="shared" si="32"/>
        <v>3.1117497960841983E-4</v>
      </c>
      <c r="I146" s="473"/>
      <c r="J146" s="183">
        <v>58.25</v>
      </c>
      <c r="K146" s="183">
        <v>58.25</v>
      </c>
    </row>
    <row r="147" spans="1:11" s="167" customFormat="1">
      <c r="A147" s="169"/>
      <c r="B147" s="163" t="s">
        <v>195</v>
      </c>
      <c r="C147" s="501">
        <f>'[64]Sch C'!D148</f>
        <v>110.84999999997672</v>
      </c>
      <c r="D147" s="501">
        <f>'[64]Sch C'!F148</f>
        <v>0</v>
      </c>
      <c r="E147" s="171">
        <f t="shared" si="30"/>
        <v>110.84999999997672</v>
      </c>
      <c r="F147" s="379"/>
      <c r="G147" s="171">
        <f t="shared" si="31"/>
        <v>110.84999999997672</v>
      </c>
      <c r="H147" s="172">
        <f t="shared" si="32"/>
        <v>9.829798663357078E-6</v>
      </c>
      <c r="I147" s="473"/>
      <c r="J147" s="183">
        <v>3</v>
      </c>
      <c r="K147" s="183">
        <v>3</v>
      </c>
    </row>
    <row r="148" spans="1:11" s="167" customFormat="1">
      <c r="A148" s="169"/>
      <c r="B148" s="163" t="s">
        <v>196</v>
      </c>
      <c r="C148" s="501">
        <f>'[64]Sch C'!D149</f>
        <v>136667.82000000007</v>
      </c>
      <c r="D148" s="501">
        <f>'[64]Sch C'!F149</f>
        <v>0</v>
      </c>
      <c r="E148" s="171">
        <f t="shared" si="30"/>
        <v>136667.82000000007</v>
      </c>
      <c r="F148" s="379"/>
      <c r="G148" s="171">
        <f t="shared" si="31"/>
        <v>136667.82000000007</v>
      </c>
      <c r="H148" s="172">
        <f t="shared" si="32"/>
        <v>1.2119234590529621E-2</v>
      </c>
      <c r="I148" s="473"/>
      <c r="J148" s="183">
        <v>5413.8867686274489</v>
      </c>
      <c r="K148" s="183">
        <v>5413.8867686274489</v>
      </c>
    </row>
    <row r="149" spans="1:11" s="167" customFormat="1">
      <c r="A149" s="169"/>
      <c r="B149" s="163" t="s">
        <v>197</v>
      </c>
      <c r="C149" s="501">
        <f>'[64]Sch C'!D150</f>
        <v>35758.160000000003</v>
      </c>
      <c r="D149" s="501">
        <f>'[64]Sch C'!F150</f>
        <v>80794</v>
      </c>
      <c r="E149" s="171">
        <f t="shared" si="30"/>
        <v>116552.16</v>
      </c>
      <c r="F149" s="379"/>
      <c r="G149" s="171">
        <f t="shared" si="31"/>
        <v>116552.16</v>
      </c>
      <c r="H149" s="172">
        <f t="shared" si="32"/>
        <v>1.0335446698959142E-2</v>
      </c>
      <c r="I149" s="473"/>
      <c r="J149" s="183">
        <v>0</v>
      </c>
      <c r="K149" s="183" t="s">
        <v>440</v>
      </c>
    </row>
    <row r="150" spans="1:11" s="167" customFormat="1">
      <c r="A150" s="169">
        <v>110</v>
      </c>
      <c r="B150" s="167" t="s">
        <v>65</v>
      </c>
      <c r="C150" s="501">
        <f>'[64]Sch C'!D151</f>
        <v>158640.09</v>
      </c>
      <c r="D150" s="501">
        <f>'[64]Sch C'!F151</f>
        <v>0</v>
      </c>
      <c r="E150" s="171">
        <f t="shared" si="30"/>
        <v>158640.09</v>
      </c>
      <c r="F150" s="379"/>
      <c r="G150" s="171">
        <f t="shared" si="31"/>
        <v>158640.09</v>
      </c>
      <c r="H150" s="172">
        <f t="shared" si="32"/>
        <v>1.4067660303447667E-2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'[64]Sch C'!D152</f>
        <v>10559.75</v>
      </c>
      <c r="D151" s="501">
        <f>'[64]Sch C'!F152</f>
        <v>0</v>
      </c>
      <c r="E151" s="171">
        <f t="shared" si="30"/>
        <v>10559.75</v>
      </c>
      <c r="F151" s="379"/>
      <c r="G151" s="171">
        <f t="shared" si="31"/>
        <v>10559.75</v>
      </c>
      <c r="H151" s="172">
        <f t="shared" si="32"/>
        <v>9.3640249377904101E-4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'[64]Sch C'!D153</f>
        <v>0</v>
      </c>
      <c r="D152" s="501">
        <f>'[64]Sch C'!F153</f>
        <v>0</v>
      </c>
      <c r="E152" s="171">
        <f t="shared" si="30"/>
        <v>0</v>
      </c>
      <c r="F152" s="379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'[64]Sch C'!D154</f>
        <v>0</v>
      </c>
      <c r="D153" s="501">
        <f>'[64]Sch C'!F154</f>
        <v>0</v>
      </c>
      <c r="E153" s="171">
        <f t="shared" si="30"/>
        <v>0</v>
      </c>
      <c r="F153" s="379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384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'[64]Sch C'!D156</f>
        <v>0</v>
      </c>
      <c r="D155" s="501">
        <f>'[64]Sch C'!F156</f>
        <v>0</v>
      </c>
      <c r="E155" s="171">
        <f t="shared" ref="E155:E160" si="33">C155+D155</f>
        <v>0</v>
      </c>
      <c r="F155" s="379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'[64]Sch C'!D157</f>
        <v>0</v>
      </c>
      <c r="D156" s="501">
        <f>'[64]Sch C'!F157</f>
        <v>0</v>
      </c>
      <c r="E156" s="171">
        <f t="shared" si="33"/>
        <v>0</v>
      </c>
      <c r="F156" s="379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'[64]Sch C'!D158</f>
        <v>0</v>
      </c>
      <c r="D157" s="501">
        <f>'[64]Sch C'!F158</f>
        <v>0</v>
      </c>
      <c r="E157" s="171">
        <f t="shared" si="33"/>
        <v>0</v>
      </c>
      <c r="F157" s="379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'[64]Sch C'!D159</f>
        <v>0</v>
      </c>
      <c r="D158" s="501">
        <f>'[64]Sch C'!F159</f>
        <v>0</v>
      </c>
      <c r="E158" s="171">
        <f t="shared" si="33"/>
        <v>0</v>
      </c>
      <c r="F158" s="379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'[64]Sch C'!D160</f>
        <v>3330.88</v>
      </c>
      <c r="D159" s="501">
        <f>'[64]Sch C'!F160</f>
        <v>0</v>
      </c>
      <c r="E159" s="171">
        <f t="shared" si="33"/>
        <v>3330.88</v>
      </c>
      <c r="F159" s="379"/>
      <c r="G159" s="171">
        <f t="shared" si="34"/>
        <v>3330.88</v>
      </c>
      <c r="H159" s="172">
        <f>IF($G$208=0,0,G159/$G$208)</f>
        <v>2.9537103989002889E-4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'[64]Sch C'!D161</f>
        <v>13118.01</v>
      </c>
      <c r="D160" s="501">
        <f>'[64]Sch C'!F161</f>
        <v>0</v>
      </c>
      <c r="E160" s="171">
        <f t="shared" si="33"/>
        <v>13118.01</v>
      </c>
      <c r="F160" s="379"/>
      <c r="G160" s="171">
        <f t="shared" si="34"/>
        <v>13118.01</v>
      </c>
      <c r="H160" s="172">
        <f t="shared" si="35"/>
        <v>1.1632602360300574E-3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4281254.21</v>
      </c>
      <c r="D161" s="501">
        <f>SUM(D123:D160)</f>
        <v>80794</v>
      </c>
      <c r="E161" s="171">
        <f t="shared" ref="E161:F161" si="36">SUM(E123:E160)</f>
        <v>4362048.21</v>
      </c>
      <c r="F161" s="171">
        <f t="shared" si="36"/>
        <v>0</v>
      </c>
      <c r="G161" s="171">
        <f>SUM(G123:G160)</f>
        <v>4362048.21</v>
      </c>
      <c r="H161" s="172">
        <f t="shared" si="35"/>
        <v>0.3868115080213454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383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396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'[64]Sch C'!D175</f>
        <v>0</v>
      </c>
      <c r="D164" s="501">
        <f>'[64]Sch C'!F175</f>
        <v>0</v>
      </c>
      <c r="E164" s="171">
        <f t="shared" ref="E164:E196" si="37">C164+D164</f>
        <v>0</v>
      </c>
      <c r="F164" s="379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'[64]Sch C'!D176</f>
        <v>0</v>
      </c>
      <c r="D165" s="501">
        <f>'[64]Sch C'!F176</f>
        <v>0</v>
      </c>
      <c r="E165" s="171">
        <f t="shared" si="37"/>
        <v>0</v>
      </c>
      <c r="F165" s="379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'[64]Sch C'!D177</f>
        <v>553704.26</v>
      </c>
      <c r="D166" s="501">
        <f>'[64]Sch C'!F177</f>
        <v>0</v>
      </c>
      <c r="E166" s="171">
        <f t="shared" si="37"/>
        <v>553704.26</v>
      </c>
      <c r="F166" s="379"/>
      <c r="G166" s="171">
        <f t="shared" si="38"/>
        <v>553704.26</v>
      </c>
      <c r="H166" s="172">
        <f t="shared" si="39"/>
        <v>4.9100598961157087E-2</v>
      </c>
      <c r="I166" s="483"/>
      <c r="J166" s="183">
        <v>15148.5</v>
      </c>
      <c r="K166" s="183">
        <v>15867.5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'[64]Sch C'!D178</f>
        <v>139896.21</v>
      </c>
      <c r="D167" s="501">
        <f>'[64]Sch C'!F178</f>
        <v>0</v>
      </c>
      <c r="E167" s="171">
        <f t="shared" si="37"/>
        <v>139896.21</v>
      </c>
      <c r="F167" s="379"/>
      <c r="G167" s="171">
        <f t="shared" si="38"/>
        <v>139896.21</v>
      </c>
      <c r="H167" s="172">
        <f t="shared" si="39"/>
        <v>1.2405517167947765E-2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'[64]Sch C'!D179</f>
        <v>118558.87</v>
      </c>
      <c r="D168" s="501">
        <f>'[64]Sch C'!F179</f>
        <v>0</v>
      </c>
      <c r="E168" s="171">
        <f t="shared" si="37"/>
        <v>118558.87</v>
      </c>
      <c r="F168" s="379"/>
      <c r="G168" s="171">
        <f t="shared" si="38"/>
        <v>118558.87</v>
      </c>
      <c r="H168" s="172">
        <f t="shared" si="39"/>
        <v>1.0513394874653768E-2</v>
      </c>
      <c r="I168" s="483"/>
      <c r="J168" s="183">
        <v>3321.9300000000003</v>
      </c>
      <c r="K168" s="183">
        <v>3451.9300000000003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'[64]Sch C'!D180</f>
        <v>25117.84</v>
      </c>
      <c r="D169" s="501">
        <f>'[64]Sch C'!F180</f>
        <v>0</v>
      </c>
      <c r="E169" s="171">
        <f t="shared" si="37"/>
        <v>25117.84</v>
      </c>
      <c r="F169" s="379"/>
      <c r="G169" s="171">
        <f t="shared" si="38"/>
        <v>25117.84</v>
      </c>
      <c r="H169" s="172">
        <f t="shared" si="39"/>
        <v>2.2273640961521768E-3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'[64]Sch C'!D181</f>
        <v>0</v>
      </c>
      <c r="D170" s="501">
        <f>'[64]Sch C'!F181</f>
        <v>0</v>
      </c>
      <c r="E170" s="171">
        <f t="shared" si="37"/>
        <v>0</v>
      </c>
      <c r="F170" s="379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'[64]Sch C'!D182</f>
        <v>0</v>
      </c>
      <c r="D171" s="501">
        <f>'[64]Sch C'!F182</f>
        <v>0</v>
      </c>
      <c r="E171" s="171">
        <f t="shared" si="37"/>
        <v>0</v>
      </c>
      <c r="F171" s="379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'[64]Sch C'!D183</f>
        <v>217412.18</v>
      </c>
      <c r="D172" s="501">
        <f>'[64]Sch C'!F183</f>
        <v>0</v>
      </c>
      <c r="E172" s="171">
        <f t="shared" si="37"/>
        <v>217412.18</v>
      </c>
      <c r="F172" s="379"/>
      <c r="G172" s="171">
        <f t="shared" si="38"/>
        <v>217412.18</v>
      </c>
      <c r="H172" s="172">
        <f t="shared" si="39"/>
        <v>1.9279368122345486E-2</v>
      </c>
      <c r="I172" s="483"/>
      <c r="J172" s="183">
        <v>7723.2200000000012</v>
      </c>
      <c r="K172" s="183">
        <v>8330.2200000000012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'[64]Sch C'!D184</f>
        <v>68234.549999999988</v>
      </c>
      <c r="D173" s="501">
        <f>'[64]Sch C'!F184</f>
        <v>0</v>
      </c>
      <c r="E173" s="171">
        <f t="shared" si="37"/>
        <v>68234.549999999988</v>
      </c>
      <c r="F173" s="379"/>
      <c r="G173" s="171">
        <f t="shared" si="38"/>
        <v>68234.549999999988</v>
      </c>
      <c r="H173" s="172">
        <f t="shared" si="39"/>
        <v>6.0508063904818445E-3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'[64]Sch C'!D185</f>
        <v>0</v>
      </c>
      <c r="D174" s="501">
        <f>'[64]Sch C'!F185</f>
        <v>0</v>
      </c>
      <c r="E174" s="171">
        <f t="shared" si="37"/>
        <v>0</v>
      </c>
      <c r="F174" s="379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'[64]Sch C'!D186</f>
        <v>0</v>
      </c>
      <c r="D175" s="501">
        <f>'[64]Sch C'!F186</f>
        <v>0</v>
      </c>
      <c r="E175" s="171">
        <f t="shared" si="37"/>
        <v>0</v>
      </c>
      <c r="F175" s="379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'[64]Sch C'!D187</f>
        <v>0</v>
      </c>
      <c r="D176" s="501">
        <f>'[64]Sch C'!F187</f>
        <v>0</v>
      </c>
      <c r="E176" s="171">
        <f t="shared" si="37"/>
        <v>0</v>
      </c>
      <c r="F176" s="379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'[64]Sch C'!D188</f>
        <v>135.72</v>
      </c>
      <c r="D177" s="501">
        <f>'[64]Sch C'!F188</f>
        <v>0</v>
      </c>
      <c r="E177" s="171">
        <f t="shared" si="37"/>
        <v>135.72</v>
      </c>
      <c r="F177" s="379"/>
      <c r="G177" s="171">
        <f t="shared" si="38"/>
        <v>135.72</v>
      </c>
      <c r="H177" s="172">
        <f t="shared" si="39"/>
        <v>1.2035185156437553E-5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'[64]Sch C'!D189</f>
        <v>18427.71</v>
      </c>
      <c r="D178" s="501">
        <f>'[64]Sch C'!F189</f>
        <v>0</v>
      </c>
      <c r="E178" s="171">
        <f t="shared" si="37"/>
        <v>18427.71</v>
      </c>
      <c r="F178" s="379"/>
      <c r="G178" s="171">
        <f t="shared" si="38"/>
        <v>18427.71</v>
      </c>
      <c r="H178" s="172">
        <f t="shared" si="39"/>
        <v>1.6341062618562912E-3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'[64]Sch C'!D190</f>
        <v>0</v>
      </c>
      <c r="D179" s="501">
        <f>'[64]Sch C'!F190</f>
        <v>0</v>
      </c>
      <c r="E179" s="171">
        <f t="shared" si="37"/>
        <v>0</v>
      </c>
      <c r="F179" s="379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'[64]Sch C'!D191</f>
        <v>5060.49</v>
      </c>
      <c r="D180" s="501">
        <f>'[64]Sch C'!F191</f>
        <v>0</v>
      </c>
      <c r="E180" s="171">
        <f t="shared" si="37"/>
        <v>5060.49</v>
      </c>
      <c r="F180" s="379"/>
      <c r="G180" s="171">
        <f t="shared" si="38"/>
        <v>5060.49</v>
      </c>
      <c r="H180" s="172">
        <f t="shared" si="39"/>
        <v>4.4874693584070639E-4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'[64]Sch C'!D192</f>
        <v>54701.539999999994</v>
      </c>
      <c r="D181" s="501">
        <f>'[64]Sch C'!F192</f>
        <v>0</v>
      </c>
      <c r="E181" s="171">
        <f t="shared" si="37"/>
        <v>54701.539999999994</v>
      </c>
      <c r="F181" s="379"/>
      <c r="G181" s="171">
        <f t="shared" si="38"/>
        <v>54701.539999999994</v>
      </c>
      <c r="H181" s="172">
        <f t="shared" si="39"/>
        <v>4.8507453746115163E-3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'[64]Sch C'!D193</f>
        <v>0</v>
      </c>
      <c r="D182" s="501">
        <f>'[64]Sch C'!F193</f>
        <v>0</v>
      </c>
      <c r="E182" s="171">
        <f t="shared" si="37"/>
        <v>0</v>
      </c>
      <c r="F182" s="379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'[64]Sch C'!D194</f>
        <v>0</v>
      </c>
      <c r="D183" s="501">
        <f>'[64]Sch C'!F194</f>
        <v>24866</v>
      </c>
      <c r="E183" s="171">
        <f t="shared" si="37"/>
        <v>24866</v>
      </c>
      <c r="F183" s="379"/>
      <c r="G183" s="171">
        <f t="shared" si="38"/>
        <v>24866</v>
      </c>
      <c r="H183" s="172">
        <f t="shared" si="39"/>
        <v>2.2050317867666975E-3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'[64]Sch C'!D195</f>
        <v>0</v>
      </c>
      <c r="D184" s="501">
        <f>'[64]Sch C'!F195</f>
        <v>0</v>
      </c>
      <c r="E184" s="171">
        <f t="shared" si="37"/>
        <v>0</v>
      </c>
      <c r="F184" s="379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'[64]Sch C'!D196</f>
        <v>0</v>
      </c>
      <c r="D185" s="501">
        <f>'[64]Sch C'!F196</f>
        <v>0</v>
      </c>
      <c r="E185" s="171">
        <f t="shared" si="37"/>
        <v>0</v>
      </c>
      <c r="F185" s="379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'[64]Sch C'!D197</f>
        <v>0</v>
      </c>
      <c r="D186" s="501">
        <f>'[64]Sch C'!F197</f>
        <v>0</v>
      </c>
      <c r="E186" s="171">
        <f t="shared" si="37"/>
        <v>0</v>
      </c>
      <c r="F186" s="379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'[64]Sch C'!D198</f>
        <v>0</v>
      </c>
      <c r="D187" s="501">
        <f>'[64]Sch C'!F198</f>
        <v>0</v>
      </c>
      <c r="E187" s="171">
        <f t="shared" si="37"/>
        <v>0</v>
      </c>
      <c r="F187" s="379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'[64]Sch C'!D199</f>
        <v>0</v>
      </c>
      <c r="D188" s="501">
        <f>'[64]Sch C'!F199</f>
        <v>0</v>
      </c>
      <c r="E188" s="171">
        <f t="shared" si="37"/>
        <v>0</v>
      </c>
      <c r="F188" s="379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'[64]Sch C'!D200</f>
        <v>0</v>
      </c>
      <c r="D189" s="501">
        <f>'[64]Sch C'!F200</f>
        <v>0</v>
      </c>
      <c r="E189" s="171">
        <f t="shared" si="37"/>
        <v>0</v>
      </c>
      <c r="F189" s="379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'[64]Sch C'!D201</f>
        <v>0</v>
      </c>
      <c r="D190" s="501">
        <f>'[64]Sch C'!F201</f>
        <v>0</v>
      </c>
      <c r="E190" s="171">
        <f t="shared" si="37"/>
        <v>0</v>
      </c>
      <c r="F190" s="379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'[64]Sch C'!D202</f>
        <v>0</v>
      </c>
      <c r="D191" s="501">
        <f>'[64]Sch C'!F202</f>
        <v>0</v>
      </c>
      <c r="E191" s="171">
        <f t="shared" si="37"/>
        <v>0</v>
      </c>
      <c r="F191" s="379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'[64]Sch C'!D203</f>
        <v>40925.64</v>
      </c>
      <c r="D192" s="501">
        <f>'[64]Sch C'!F203</f>
        <v>0</v>
      </c>
      <c r="E192" s="171">
        <f t="shared" si="37"/>
        <v>40925.64</v>
      </c>
      <c r="F192" s="379"/>
      <c r="G192" s="171">
        <f t="shared" si="38"/>
        <v>40925.64</v>
      </c>
      <c r="H192" s="172">
        <f t="shared" si="39"/>
        <v>3.629145704728168E-3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'[64]Sch C'!D204</f>
        <v>0</v>
      </c>
      <c r="D193" s="501">
        <f>'[64]Sch C'!F204</f>
        <v>0</v>
      </c>
      <c r="E193" s="171">
        <f t="shared" si="37"/>
        <v>0</v>
      </c>
      <c r="F193" s="379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'[64]Sch C'!D205</f>
        <v>325247.21999999997</v>
      </c>
      <c r="D194" s="501">
        <f>'[64]Sch C'!F205</f>
        <v>0</v>
      </c>
      <c r="E194" s="171">
        <f t="shared" si="37"/>
        <v>325247.21999999997</v>
      </c>
      <c r="F194" s="379"/>
      <c r="G194" s="171">
        <f t="shared" si="38"/>
        <v>325247.21999999997</v>
      </c>
      <c r="H194" s="172">
        <f t="shared" si="39"/>
        <v>2.8841810450313726E-2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'[64]Sch C'!D206</f>
        <v>14970.58</v>
      </c>
      <c r="D195" s="501">
        <f>'[64]Sch C'!F206</f>
        <v>0</v>
      </c>
      <c r="E195" s="171">
        <f t="shared" si="37"/>
        <v>14970.58</v>
      </c>
      <c r="F195" s="379"/>
      <c r="G195" s="171">
        <f t="shared" si="38"/>
        <v>14970.58</v>
      </c>
      <c r="H195" s="172">
        <f t="shared" si="39"/>
        <v>1.3275398040028066E-3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'[64]Sch C'!D207</f>
        <v>20519.559999999998</v>
      </c>
      <c r="D196" s="501">
        <f>'[64]Sch C'!F207</f>
        <v>0</v>
      </c>
      <c r="E196" s="171">
        <f t="shared" si="37"/>
        <v>20519.559999999998</v>
      </c>
      <c r="F196" s="379"/>
      <c r="G196" s="171">
        <f t="shared" si="38"/>
        <v>20519.559999999998</v>
      </c>
      <c r="H196" s="172">
        <f t="shared" si="39"/>
        <v>1.8196043613957391E-3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1602912.3699999999</v>
      </c>
      <c r="D197" s="501">
        <f>SUM(D164:D196)</f>
        <v>24866</v>
      </c>
      <c r="E197" s="171">
        <f t="shared" ref="E197:F197" si="40">SUM(E164:E196)</f>
        <v>1627778.3699999999</v>
      </c>
      <c r="F197" s="171">
        <f t="shared" si="40"/>
        <v>0</v>
      </c>
      <c r="G197" s="171">
        <f>SUM(G164:G196)</f>
        <v>1627778.3699999999</v>
      </c>
      <c r="H197" s="172">
        <f>IF($G$208=0,0,G197/$G$208)</f>
        <v>0.14434581547741021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386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386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'[64]Sch C'!D211</f>
        <v>221396.62</v>
      </c>
      <c r="D200" s="501">
        <f>'[64]Sch C'!F211</f>
        <v>0</v>
      </c>
      <c r="E200" s="171">
        <f t="shared" ref="E200:E205" si="41">C200+D200</f>
        <v>221396.62</v>
      </c>
      <c r="F200" s="379"/>
      <c r="G200" s="171">
        <f t="shared" ref="G200:G205" si="42">E200+F200</f>
        <v>221396.62</v>
      </c>
      <c r="H200" s="172">
        <f t="shared" ref="H200:H206" si="43">IF($G$208=0,0,G200/$G$208)</f>
        <v>1.9632694626506377E-2</v>
      </c>
      <c r="I200" s="473"/>
      <c r="J200" s="183">
        <v>14079.35</v>
      </c>
      <c r="K200" s="183">
        <v>14918.3483</v>
      </c>
    </row>
    <row r="201" spans="1:14" s="167" customFormat="1">
      <c r="A201" s="169" t="s">
        <v>86</v>
      </c>
      <c r="B201" s="170" t="s">
        <v>45</v>
      </c>
      <c r="C201" s="501">
        <f>'[64]Sch C'!D212</f>
        <v>58881.710000000006</v>
      </c>
      <c r="D201" s="501">
        <f>'[64]Sch C'!F212</f>
        <v>0</v>
      </c>
      <c r="E201" s="171">
        <f t="shared" si="41"/>
        <v>58881.710000000006</v>
      </c>
      <c r="F201" s="379"/>
      <c r="G201" s="171">
        <f t="shared" si="42"/>
        <v>58881.710000000006</v>
      </c>
      <c r="H201" s="172">
        <f t="shared" si="43"/>
        <v>5.2214285453703263E-3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'[64]Sch C'!D213</f>
        <v>4738</v>
      </c>
      <c r="D202" s="501">
        <f>'[64]Sch C'!F213</f>
        <v>0</v>
      </c>
      <c r="E202" s="171">
        <f t="shared" si="41"/>
        <v>4738</v>
      </c>
      <c r="F202" s="379"/>
      <c r="G202" s="171">
        <f t="shared" si="42"/>
        <v>4738</v>
      </c>
      <c r="H202" s="172">
        <f t="shared" si="43"/>
        <v>4.2014962622458833E-4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'[64]Sch C'!D214</f>
        <v>0</v>
      </c>
      <c r="D203" s="501">
        <f>'[64]Sch C'!F214</f>
        <v>0</v>
      </c>
      <c r="E203" s="171">
        <f t="shared" si="41"/>
        <v>0</v>
      </c>
      <c r="F203" s="379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'[64]Sch C'!D215</f>
        <v>0</v>
      </c>
      <c r="D204" s="501">
        <f>'[64]Sch C'!F215</f>
        <v>0</v>
      </c>
      <c r="E204" s="171">
        <f t="shared" si="41"/>
        <v>0</v>
      </c>
      <c r="F204" s="379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'[64]Sch C'!D216</f>
        <v>68507.600000000006</v>
      </c>
      <c r="D205" s="501">
        <f>'[64]Sch C'!F216</f>
        <v>0</v>
      </c>
      <c r="E205" s="171">
        <f t="shared" si="41"/>
        <v>68507.600000000006</v>
      </c>
      <c r="F205" s="379">
        <v>-45337.83</v>
      </c>
      <c r="G205" s="171">
        <f t="shared" si="42"/>
        <v>23169.770000000004</v>
      </c>
      <c r="H205" s="172">
        <f t="shared" si="43"/>
        <v>2.0546159149872692E-3</v>
      </c>
      <c r="I205" s="473" t="s">
        <v>677</v>
      </c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353523.93000000005</v>
      </c>
      <c r="D206" s="501">
        <f>SUM(D200:D205)</f>
        <v>0</v>
      </c>
      <c r="E206" s="171">
        <f t="shared" ref="E206:F206" si="44">SUM(E200:E205)</f>
        <v>353523.93000000005</v>
      </c>
      <c r="F206" s="171">
        <f t="shared" si="44"/>
        <v>-45337.83</v>
      </c>
      <c r="G206" s="171">
        <f>SUM(G200:G205)</f>
        <v>308186.10000000003</v>
      </c>
      <c r="H206" s="172">
        <f t="shared" si="43"/>
        <v>2.7328888713088563E-2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386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12469018.25</v>
      </c>
      <c r="D208" s="501">
        <f>SUM(D25:D206)/2</f>
        <v>-1192083.31</v>
      </c>
      <c r="E208" s="171">
        <f t="shared" ref="E208:F208" si="45">SUM(E25:E206)/2</f>
        <v>11276934.939999999</v>
      </c>
      <c r="F208" s="171">
        <f t="shared" si="45"/>
        <v>0</v>
      </c>
      <c r="G208" s="171">
        <f>SUM(G25:G206)/2</f>
        <v>11276934.939999999</v>
      </c>
      <c r="H208" s="172">
        <f>IF($G$208=0,0,G208/$G$208)</f>
        <v>1</v>
      </c>
      <c r="I208" s="473"/>
      <c r="J208" s="183">
        <f>SUM(J25:J200)</f>
        <v>265380.91860262741</v>
      </c>
      <c r="K208" s="183">
        <f>SUM(K25:K200)</f>
        <v>277893.54894262744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'[64]Sch C'!D221</f>
        <v>12469018.25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 ht="14" customHeight="1">
      <c r="A213" s="163"/>
      <c r="B213" s="230"/>
      <c r="C213" s="581"/>
      <c r="D213" s="231"/>
      <c r="E213" s="231"/>
      <c r="F213" s="525"/>
      <c r="G213" s="231"/>
      <c r="H213" s="166"/>
      <c r="I213" s="478"/>
      <c r="J213" s="168"/>
      <c r="K213" s="168"/>
    </row>
    <row r="214" spans="1:11" s="167" customFormat="1" ht="13.25" customHeight="1">
      <c r="A214" s="169"/>
      <c r="B214" s="228"/>
      <c r="C214" s="165"/>
      <c r="D214" s="165"/>
      <c r="E214" s="165"/>
      <c r="F214" s="52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-282968.56999999844</v>
      </c>
      <c r="D215" s="501">
        <f>D21-D208</f>
        <v>1190966.6300000001</v>
      </c>
      <c r="E215" s="171">
        <f t="shared" ref="E215:F215" si="46">E21-E208</f>
        <v>907998.06000000238</v>
      </c>
      <c r="F215" s="171">
        <f t="shared" si="46"/>
        <v>925206</v>
      </c>
      <c r="G215" s="171">
        <f>G21-G208</f>
        <v>1833204.0600000024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383"/>
      <c r="G216" s="196"/>
      <c r="I216" s="475"/>
      <c r="J216" s="168"/>
      <c r="K216" s="168"/>
    </row>
    <row r="217" spans="1:11" s="167" customFormat="1" ht="15.5">
      <c r="A217" s="163"/>
      <c r="B217" s="228"/>
      <c r="C217" s="196"/>
      <c r="D217" s="196"/>
      <c r="E217" s="196"/>
      <c r="F217"/>
      <c r="G217" s="196"/>
      <c r="I217" s="475"/>
      <c r="J217" s="168"/>
      <c r="K217" s="168"/>
    </row>
    <row r="218" spans="1:11" ht="15.5">
      <c r="A218" s="163"/>
      <c r="B218" s="232" t="s">
        <v>159</v>
      </c>
      <c r="C218" s="165"/>
      <c r="D218" s="165"/>
      <c r="E218" s="165"/>
      <c r="F218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'[64]Sch D'!C9</f>
        <v>18913</v>
      </c>
      <c r="D219" s="530"/>
      <c r="E219" s="234">
        <f t="shared" ref="E219:G227" si="47">C219+D219</f>
        <v>18913</v>
      </c>
      <c r="F219" s="393"/>
      <c r="G219" s="234">
        <f t="shared" si="47"/>
        <v>18913</v>
      </c>
      <c r="H219" s="172">
        <f t="shared" ref="H219:H228" si="48">IF($G$228=0,0,G219/$G$228)</f>
        <v>0.48710948566719037</v>
      </c>
      <c r="I219" s="473"/>
      <c r="J219" s="168"/>
      <c r="K219" s="168"/>
    </row>
    <row r="220" spans="1:11">
      <c r="A220" s="163"/>
      <c r="B220" s="170" t="s">
        <v>217</v>
      </c>
      <c r="C220" s="530">
        <f>'[64]Sch D'!D9</f>
        <v>0</v>
      </c>
      <c r="D220" s="530"/>
      <c r="E220" s="234">
        <f t="shared" ref="E220:E227" si="49">C220+D220</f>
        <v>0</v>
      </c>
      <c r="F220" s="39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'[64]Sch D'!E9</f>
        <v>4464</v>
      </c>
      <c r="D221" s="530"/>
      <c r="E221" s="234">
        <f t="shared" si="49"/>
        <v>4464</v>
      </c>
      <c r="F221" s="393"/>
      <c r="G221" s="234">
        <f t="shared" si="47"/>
        <v>4464</v>
      </c>
      <c r="H221" s="172">
        <f t="shared" si="48"/>
        <v>0.11497154042290159</v>
      </c>
      <c r="I221" s="473"/>
      <c r="J221" s="168"/>
      <c r="K221" s="168"/>
    </row>
    <row r="222" spans="1:11">
      <c r="A222" s="163"/>
      <c r="B222" s="202" t="s">
        <v>334</v>
      </c>
      <c r="C222" s="530">
        <f>'[64]Sch D'!F9</f>
        <v>3183</v>
      </c>
      <c r="D222" s="530"/>
      <c r="E222" s="234">
        <f>C222+D222</f>
        <v>3183</v>
      </c>
      <c r="F222" s="393"/>
      <c r="G222" s="234">
        <f>E222+F222</f>
        <v>3183</v>
      </c>
      <c r="H222" s="172">
        <f t="shared" si="48"/>
        <v>8.1979035207458723E-2</v>
      </c>
      <c r="I222" s="473"/>
      <c r="J222" s="168"/>
      <c r="K222" s="168"/>
    </row>
    <row r="223" spans="1:11">
      <c r="A223" s="163"/>
      <c r="B223" s="170" t="s">
        <v>73</v>
      </c>
      <c r="C223" s="530">
        <f>'[64]Sch D'!G9</f>
        <v>4736</v>
      </c>
      <c r="D223" s="530"/>
      <c r="E223" s="234">
        <f t="shared" si="49"/>
        <v>4736</v>
      </c>
      <c r="F223" s="393"/>
      <c r="G223" s="234">
        <f t="shared" si="47"/>
        <v>4736</v>
      </c>
      <c r="H223" s="172">
        <f t="shared" si="48"/>
        <v>0.12197697478558735</v>
      </c>
      <c r="I223" s="473"/>
      <c r="J223" s="168"/>
      <c r="K223" s="168"/>
    </row>
    <row r="224" spans="1:11">
      <c r="A224" s="163"/>
      <c r="B224" s="170" t="s">
        <v>74</v>
      </c>
      <c r="C224" s="530">
        <f>'[64]Sch D'!H9</f>
        <v>4837</v>
      </c>
      <c r="D224" s="530"/>
      <c r="E224" s="234">
        <f t="shared" si="49"/>
        <v>4837</v>
      </c>
      <c r="F224" s="393"/>
      <c r="G224" s="234">
        <f t="shared" si="47"/>
        <v>4837</v>
      </c>
      <c r="H224" s="172">
        <f t="shared" si="48"/>
        <v>0.12457825739820229</v>
      </c>
      <c r="I224" s="473"/>
      <c r="J224" s="168"/>
      <c r="K224" s="168"/>
    </row>
    <row r="225" spans="1:11">
      <c r="A225" s="163"/>
      <c r="B225" s="170" t="s">
        <v>377</v>
      </c>
      <c r="C225" s="530">
        <f>'[64]Sch D'!I9</f>
        <v>2540</v>
      </c>
      <c r="D225" s="530"/>
      <c r="E225" s="234">
        <f t="shared" si="49"/>
        <v>2540</v>
      </c>
      <c r="F225" s="233"/>
      <c r="G225" s="234">
        <f t="shared" si="47"/>
        <v>2540</v>
      </c>
      <c r="H225" s="172">
        <f t="shared" si="48"/>
        <v>6.5418394416256728E-2</v>
      </c>
      <c r="I225" s="473"/>
      <c r="J225" s="168"/>
      <c r="K225" s="168"/>
    </row>
    <row r="226" spans="1:11">
      <c r="A226" s="163"/>
      <c r="B226" s="170" t="s">
        <v>378</v>
      </c>
      <c r="C226" s="530">
        <f>'[64]Sch D'!J9</f>
        <v>154</v>
      </c>
      <c r="D226" s="530"/>
      <c r="E226" s="234">
        <f>C226+D226</f>
        <v>154</v>
      </c>
      <c r="F226" s="233"/>
      <c r="G226" s="234">
        <f>E226+F226</f>
        <v>154</v>
      </c>
      <c r="H226" s="172">
        <f t="shared" si="48"/>
        <v>3.9663121024029668E-3</v>
      </c>
      <c r="I226" s="473"/>
      <c r="J226" s="168"/>
      <c r="K226" s="168"/>
    </row>
    <row r="227" spans="1:11">
      <c r="A227" s="163"/>
      <c r="B227" s="170" t="s">
        <v>179</v>
      </c>
      <c r="C227" s="530">
        <f>'[64]Sch D'!K9</f>
        <v>0</v>
      </c>
      <c r="D227" s="530"/>
      <c r="E227" s="234">
        <f t="shared" si="49"/>
        <v>0</v>
      </c>
      <c r="F227" s="39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38827</v>
      </c>
      <c r="D228" s="530">
        <f>SUM(D219:D227)</f>
        <v>0</v>
      </c>
      <c r="E228" s="236">
        <f>SUM(E219:E227)</f>
        <v>38827</v>
      </c>
      <c r="F228" s="389">
        <f>SUM(F219:F227)</f>
        <v>0</v>
      </c>
      <c r="G228" s="236">
        <f>SUM(G219:G227)</f>
        <v>38827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392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387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'[64]Sch D'!N22</f>
        <v>154</v>
      </c>
      <c r="D231" s="502"/>
      <c r="E231" s="234">
        <f>C231+D231</f>
        <v>154</v>
      </c>
      <c r="F231" s="393"/>
      <c r="G231" s="234">
        <f>E231</f>
        <v>154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'[64]Sch D'!N24</f>
        <v>154</v>
      </c>
      <c r="D232" s="502"/>
      <c r="E232" s="234">
        <f>C232+D232</f>
        <v>154</v>
      </c>
      <c r="F232" s="393"/>
      <c r="G232" s="234">
        <f>E232</f>
        <v>154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390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390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'[64]Sch D'!N28</f>
        <v>56210</v>
      </c>
      <c r="D235" s="438"/>
      <c r="E235" s="233">
        <f>E231*E233</f>
        <v>56210</v>
      </c>
      <c r="F235" s="390"/>
      <c r="G235" s="233">
        <f>G231*G233</f>
        <v>56210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'[64]Sch D'!N30</f>
        <v>0.69074897705034688</v>
      </c>
      <c r="D236" s="238"/>
      <c r="E236" s="242">
        <f>E228/E235</f>
        <v>0.69074897705034688</v>
      </c>
      <c r="F236" s="394"/>
      <c r="G236" s="242">
        <f>G228/G235</f>
        <v>0.69074897705034688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'[64]Sch D'!N32</f>
        <v>0.33647037893613235</v>
      </c>
      <c r="D237" s="238"/>
      <c r="E237" s="242">
        <f>(E219+E220)/E235</f>
        <v>0.33647037893613235</v>
      </c>
      <c r="F237" s="394"/>
      <c r="G237" s="242">
        <f>(G219+G220)/G235</f>
        <v>0.33647037893613235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'[64]Sch D'!N34</f>
        <v>0.48710948566719037</v>
      </c>
      <c r="D238" s="238"/>
      <c r="E238" s="242">
        <f>(E237/E236)</f>
        <v>0.48710948566719037</v>
      </c>
      <c r="F238" s="394"/>
      <c r="G238" s="242">
        <f>(G237/G236)</f>
        <v>0.48710948566719037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374" t="s">
        <v>340</v>
      </c>
      <c r="G241" s="501">
        <f>'[64]Sch B'!C85</f>
        <v>215.26554408260526</v>
      </c>
      <c r="I241" s="475"/>
    </row>
    <row r="242" spans="2:9">
      <c r="F242" s="374" t="s">
        <v>341</v>
      </c>
      <c r="G242" s="501">
        <f>'[64]Sch B'!E85</f>
        <v>226.78983761840325</v>
      </c>
      <c r="I242" s="475"/>
    </row>
    <row r="243" spans="2:9">
      <c r="F243" s="374" t="s">
        <v>342</v>
      </c>
      <c r="G243" s="501">
        <f>'[64]Sch B'!G85</f>
        <v>219.94661417322837</v>
      </c>
      <c r="I243" s="475"/>
    </row>
    <row r="244" spans="2:9">
      <c r="F244" s="374" t="s">
        <v>343</v>
      </c>
      <c r="G244" s="501">
        <f>'[64]Sch B'!I85</f>
        <v>232.48537349397591</v>
      </c>
      <c r="I244" s="475"/>
    </row>
    <row r="245" spans="2:9">
      <c r="F245" s="374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6">
    <tabColor rgb="FFE28CAB"/>
  </sheetPr>
  <dimension ref="A1:O246"/>
  <sheetViews>
    <sheetView showGridLines="0" zoomScaleNormal="100" workbookViewId="0">
      <pane xSplit="2" ySplit="8" topLeftCell="C204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9140625" style="39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77" customHeight="1">
      <c r="A1" s="138" t="str">
        <f>'ALPINE MEADOW'!A1</f>
        <v>schedules revised 7/2017</v>
      </c>
      <c r="B1" s="139" t="s">
        <v>304</v>
      </c>
      <c r="C1" s="427"/>
      <c r="D1" s="426"/>
      <c r="E1" s="426"/>
      <c r="F1" s="431"/>
      <c r="G1" s="426"/>
      <c r="H1" s="426"/>
      <c r="I1" s="426"/>
    </row>
    <row r="2" spans="1:11" ht="23">
      <c r="B2" s="143" t="s">
        <v>189</v>
      </c>
      <c r="C2" s="244" t="s">
        <v>388</v>
      </c>
      <c r="D2" s="244"/>
      <c r="E2"/>
    </row>
    <row r="3" spans="1:11">
      <c r="A3" s="145"/>
      <c r="B3" s="140" t="s">
        <v>79</v>
      </c>
      <c r="C3" s="441">
        <v>42552</v>
      </c>
      <c r="D3" s="367"/>
      <c r="E3" s="147"/>
    </row>
    <row r="4" spans="1:11">
      <c r="A4" s="145"/>
      <c r="B4" s="148" t="s">
        <v>80</v>
      </c>
      <c r="C4" s="441">
        <v>42916</v>
      </c>
      <c r="D4" s="367"/>
      <c r="E4" s="149"/>
      <c r="G4" s="150"/>
    </row>
    <row r="5" spans="1:11" ht="69" customHeight="1">
      <c r="A5" s="145"/>
      <c r="B5" s="412"/>
      <c r="D5" s="144"/>
      <c r="F5" s="376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380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381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382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395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386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'[65]Sch B'!E10</f>
        <v>1780749.28</v>
      </c>
      <c r="D11" s="501">
        <f>'[65]Sch B'!G10</f>
        <v>0</v>
      </c>
      <c r="E11" s="171">
        <f>C11+D11</f>
        <v>1780749.28</v>
      </c>
      <c r="F11" s="379"/>
      <c r="G11" s="171">
        <f t="shared" ref="G11:G20" si="0">E11+F11</f>
        <v>1780749.28</v>
      </c>
      <c r="H11" s="172">
        <f t="shared" ref="H11:H21" si="1">IF($G$21=0,0,G11/$G$21)</f>
        <v>0.51289860662551268</v>
      </c>
      <c r="I11" s="473"/>
      <c r="J11" s="336" t="s">
        <v>344</v>
      </c>
      <c r="K11" s="337">
        <f>G21</f>
        <v>3471932.3800000004</v>
      </c>
    </row>
    <row r="12" spans="1:11" s="167" customFormat="1">
      <c r="A12" s="169" t="s">
        <v>15</v>
      </c>
      <c r="B12" s="170" t="s">
        <v>212</v>
      </c>
      <c r="C12" s="501">
        <f>'[65]Sch B'!E15</f>
        <v>0</v>
      </c>
      <c r="D12" s="501">
        <f>'[65]Sch B'!G15</f>
        <v>0</v>
      </c>
      <c r="E12" s="171">
        <f t="shared" ref="E12:E20" si="2">C12+D12</f>
        <v>0</v>
      </c>
      <c r="F12" s="379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3740914.9499999988</v>
      </c>
    </row>
    <row r="13" spans="1:11" s="167" customFormat="1">
      <c r="A13" s="169" t="s">
        <v>16</v>
      </c>
      <c r="B13" s="170" t="s">
        <v>170</v>
      </c>
      <c r="C13" s="501">
        <f>'[65]Sch B'!E21</f>
        <v>791695.33</v>
      </c>
      <c r="D13" s="501">
        <f>'[65]Sch B'!G21</f>
        <v>0</v>
      </c>
      <c r="E13" s="171">
        <f t="shared" si="2"/>
        <v>791695.33</v>
      </c>
      <c r="F13" s="379"/>
      <c r="G13" s="171">
        <f t="shared" si="0"/>
        <v>791695.33</v>
      </c>
      <c r="H13" s="172">
        <f t="shared" si="1"/>
        <v>0.22802728951766044</v>
      </c>
      <c r="I13" s="473"/>
      <c r="J13" s="338" t="s">
        <v>346</v>
      </c>
      <c r="K13" s="339">
        <f>G228</f>
        <v>17024</v>
      </c>
    </row>
    <row r="14" spans="1:11" s="167" customFormat="1">
      <c r="A14" s="173" t="s">
        <v>18</v>
      </c>
      <c r="B14" s="174" t="s">
        <v>306</v>
      </c>
      <c r="C14" s="501">
        <f>'[65]Sch B'!E27</f>
        <v>57852.49</v>
      </c>
      <c r="D14" s="501">
        <f>'[65]Sch B'!G27</f>
        <v>0</v>
      </c>
      <c r="E14" s="171">
        <f t="shared" si="2"/>
        <v>57852.49</v>
      </c>
      <c r="F14" s="379"/>
      <c r="G14" s="175">
        <f>E14+F14</f>
        <v>57852.49</v>
      </c>
      <c r="H14" s="176">
        <f t="shared" si="1"/>
        <v>1.66629080489177E-2</v>
      </c>
      <c r="I14" s="479"/>
      <c r="J14" s="338" t="s">
        <v>347</v>
      </c>
      <c r="K14" s="339">
        <f>G231</f>
        <v>53</v>
      </c>
    </row>
    <row r="15" spans="1:11" s="167" customFormat="1">
      <c r="A15" s="169" t="s">
        <v>19</v>
      </c>
      <c r="B15" s="170" t="s">
        <v>171</v>
      </c>
      <c r="C15" s="501">
        <f>'[65]Sch B'!E32</f>
        <v>0</v>
      </c>
      <c r="D15" s="501">
        <f>'[65]Sch B'!G32</f>
        <v>0</v>
      </c>
      <c r="E15" s="171">
        <f t="shared" si="2"/>
        <v>0</v>
      </c>
      <c r="F15" s="379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19345</v>
      </c>
    </row>
    <row r="16" spans="1:11" s="167" customFormat="1">
      <c r="A16" s="169" t="s">
        <v>21</v>
      </c>
      <c r="B16" s="170" t="s">
        <v>172</v>
      </c>
      <c r="C16" s="501">
        <f>'[65]Sch B'!E37</f>
        <v>550785.12</v>
      </c>
      <c r="D16" s="501">
        <f>'[65]Sch B'!G37</f>
        <v>0</v>
      </c>
      <c r="E16" s="171">
        <f t="shared" si="2"/>
        <v>550785.12</v>
      </c>
      <c r="F16" s="379"/>
      <c r="G16" s="171">
        <f t="shared" si="0"/>
        <v>550785.12</v>
      </c>
      <c r="H16" s="172">
        <f t="shared" si="1"/>
        <v>0.15863935691051678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'[65]Sch B'!E42</f>
        <v>227541.62</v>
      </c>
      <c r="D17" s="501">
        <f>'[65]Sch B'!G42</f>
        <v>0</v>
      </c>
      <c r="E17" s="171">
        <f t="shared" si="2"/>
        <v>227541.62</v>
      </c>
      <c r="F17" s="379"/>
      <c r="G17" s="171">
        <f>E17+F17</f>
        <v>227541.62</v>
      </c>
      <c r="H17" s="172">
        <f t="shared" si="1"/>
        <v>6.5537457270409161E-2</v>
      </c>
      <c r="I17" s="473"/>
      <c r="J17" s="338" t="s">
        <v>156</v>
      </c>
      <c r="K17" s="339">
        <f>J208</f>
        <v>105960.88</v>
      </c>
    </row>
    <row r="18" spans="1:11" s="167" customFormat="1" ht="13.5" thickBot="1">
      <c r="A18" s="169" t="s">
        <v>216</v>
      </c>
      <c r="B18" s="170" t="s">
        <v>229</v>
      </c>
      <c r="C18" s="501">
        <f>'[65]Sch B'!E47</f>
        <v>9580</v>
      </c>
      <c r="D18" s="501">
        <f>'[65]Sch B'!G47</f>
        <v>0</v>
      </c>
      <c r="E18" s="171">
        <f t="shared" si="2"/>
        <v>9580</v>
      </c>
      <c r="F18" s="379"/>
      <c r="G18" s="171">
        <f>E18+F18</f>
        <v>9580</v>
      </c>
      <c r="H18" s="172">
        <f t="shared" si="1"/>
        <v>2.7592703288766237E-3</v>
      </c>
      <c r="I18" s="473"/>
      <c r="J18" s="341" t="s">
        <v>252</v>
      </c>
      <c r="K18" s="342">
        <f>K208</f>
        <v>112604.56</v>
      </c>
    </row>
    <row r="19" spans="1:11" s="167" customFormat="1">
      <c r="A19" s="169" t="s">
        <v>227</v>
      </c>
      <c r="B19" s="177" t="s">
        <v>173</v>
      </c>
      <c r="C19" s="501">
        <f>'[65]Sch B'!E52</f>
        <v>0</v>
      </c>
      <c r="D19" s="501">
        <f>'[65]Sch B'!G52</f>
        <v>0</v>
      </c>
      <c r="E19" s="171">
        <f t="shared" si="2"/>
        <v>0</v>
      </c>
      <c r="F19" s="379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'[65]Sch B'!E67</f>
        <v>53728.54</v>
      </c>
      <c r="D20" s="501">
        <f>'[65]Sch B'!G67</f>
        <v>0</v>
      </c>
      <c r="E20" s="171">
        <f t="shared" si="2"/>
        <v>53728.54</v>
      </c>
      <c r="F20" s="379"/>
      <c r="G20" s="171">
        <f t="shared" si="0"/>
        <v>53728.54</v>
      </c>
      <c r="H20" s="172">
        <f t="shared" si="1"/>
        <v>1.547511129810656E-2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3471932.3800000004</v>
      </c>
      <c r="D21" s="501">
        <f>SUM(D11:D20)</f>
        <v>0</v>
      </c>
      <c r="E21" s="171">
        <f>SUM(E11:E20)</f>
        <v>3471932.3800000004</v>
      </c>
      <c r="F21" s="379">
        <f>SUM(F11:F20)</f>
        <v>0</v>
      </c>
      <c r="G21" s="171">
        <f>SUM(G11:G20)</f>
        <v>3471932.3800000004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395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395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'[65]Sch C'!D10</f>
        <v>70019.56</v>
      </c>
      <c r="D25" s="501">
        <f>'[65]Sch C'!F10</f>
        <v>0</v>
      </c>
      <c r="E25" s="171">
        <f t="shared" ref="E25:E60" si="3">C25+D25</f>
        <v>70019.56</v>
      </c>
      <c r="F25" s="379"/>
      <c r="G25" s="182">
        <f>E25+F25</f>
        <v>70019.56</v>
      </c>
      <c r="H25" s="172">
        <f>IF($G$208=0,0,G25/$G$208)</f>
        <v>1.8717228521862018E-2</v>
      </c>
      <c r="I25" s="473"/>
      <c r="J25" s="183">
        <v>2080.08</v>
      </c>
      <c r="K25" s="183">
        <v>2223.48</v>
      </c>
    </row>
    <row r="26" spans="1:11" s="167" customFormat="1">
      <c r="A26" s="169" t="s">
        <v>84</v>
      </c>
      <c r="B26" s="170" t="s">
        <v>176</v>
      </c>
      <c r="C26" s="501">
        <f>'[65]Sch C'!D11</f>
        <v>0</v>
      </c>
      <c r="D26" s="501">
        <f>'[65]Sch C'!F11</f>
        <v>0</v>
      </c>
      <c r="E26" s="171">
        <f t="shared" si="3"/>
        <v>0</v>
      </c>
      <c r="F26" s="379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'[65]Sch C'!D12</f>
        <v>55277.11</v>
      </c>
      <c r="D27" s="501">
        <f>'[65]Sch C'!F12</f>
        <v>0</v>
      </c>
      <c r="E27" s="171">
        <f t="shared" si="3"/>
        <v>55277.11</v>
      </c>
      <c r="F27" s="379"/>
      <c r="G27" s="171">
        <f t="shared" si="4"/>
        <v>55277.11</v>
      </c>
      <c r="H27" s="172">
        <f t="shared" si="5"/>
        <v>1.4776361061082134E-2</v>
      </c>
      <c r="I27" s="473"/>
      <c r="J27" s="183">
        <v>2768.24</v>
      </c>
      <c r="K27" s="183">
        <v>2946.74</v>
      </c>
    </row>
    <row r="28" spans="1:11" s="167" customFormat="1">
      <c r="A28" s="169" t="s">
        <v>86</v>
      </c>
      <c r="B28" s="170" t="s">
        <v>45</v>
      </c>
      <c r="C28" s="501">
        <f>'[65]Sch C'!D13</f>
        <v>242358.58</v>
      </c>
      <c r="D28" s="501">
        <f>'[65]Sch C'!F13</f>
        <v>-232219.33875262074</v>
      </c>
      <c r="E28" s="171">
        <f t="shared" si="3"/>
        <v>10139.24124737925</v>
      </c>
      <c r="F28" s="379"/>
      <c r="G28" s="171">
        <f t="shared" si="4"/>
        <v>10139.24124737925</v>
      </c>
      <c r="H28" s="172">
        <f t="shared" si="5"/>
        <v>2.7103640106491203E-3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'[65]Sch C'!D14</f>
        <v>0</v>
      </c>
      <c r="D29" s="501">
        <f>'[65]Sch C'!F14</f>
        <v>0</v>
      </c>
      <c r="E29" s="171">
        <f t="shared" si="3"/>
        <v>0</v>
      </c>
      <c r="F29" s="379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'[65]Sch C'!D15</f>
        <v>103315.45</v>
      </c>
      <c r="D30" s="501">
        <f>'[65]Sch C'!F15</f>
        <v>-103315</v>
      </c>
      <c r="E30" s="171">
        <f t="shared" si="3"/>
        <v>0.44999999999708962</v>
      </c>
      <c r="F30" s="379"/>
      <c r="G30" s="171">
        <f t="shared" si="4"/>
        <v>0.44999999999708962</v>
      </c>
      <c r="H30" s="172">
        <f t="shared" si="5"/>
        <v>1.20291427635127E-7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'[65]Sch C'!D16</f>
        <v>0</v>
      </c>
      <c r="D31" s="501">
        <f>'[65]Sch C'!F16</f>
        <v>157453</v>
      </c>
      <c r="E31" s="171">
        <f t="shared" si="3"/>
        <v>157453</v>
      </c>
      <c r="F31" s="379"/>
      <c r="G31" s="171">
        <f t="shared" si="4"/>
        <v>157453</v>
      </c>
      <c r="H31" s="172">
        <f t="shared" si="5"/>
        <v>4.2089435901235886E-2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'[65]Sch C'!D17</f>
        <v>2441.29</v>
      </c>
      <c r="D32" s="501">
        <f>'[65]Sch C'!F17</f>
        <v>-2441</v>
      </c>
      <c r="E32" s="171">
        <f t="shared" si="3"/>
        <v>0.28999999999996362</v>
      </c>
      <c r="F32" s="379"/>
      <c r="G32" s="171">
        <f t="shared" si="4"/>
        <v>0.28999999999996362</v>
      </c>
      <c r="H32" s="172">
        <f t="shared" si="5"/>
        <v>7.7521142254240164E-8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'[65]Sch C'!D18</f>
        <v>6306.95</v>
      </c>
      <c r="D33" s="501">
        <f>'[65]Sch C'!F18</f>
        <v>0</v>
      </c>
      <c r="E33" s="171">
        <f t="shared" si="3"/>
        <v>6306.95</v>
      </c>
      <c r="F33" s="379"/>
      <c r="G33" s="171">
        <f t="shared" si="4"/>
        <v>6306.95</v>
      </c>
      <c r="H33" s="172">
        <f t="shared" si="5"/>
        <v>1.6859378211739355E-3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'[65]Sch C'!D19</f>
        <v>8245.35</v>
      </c>
      <c r="D34" s="501">
        <f>'[65]Sch C'!F19</f>
        <v>0</v>
      </c>
      <c r="E34" s="171">
        <f t="shared" si="3"/>
        <v>8245.35</v>
      </c>
      <c r="F34" s="379"/>
      <c r="G34" s="171">
        <f t="shared" si="4"/>
        <v>8245.35</v>
      </c>
      <c r="H34" s="172">
        <f t="shared" si="5"/>
        <v>2.2040998285726872E-3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'[65]Sch C'!D20</f>
        <v>9277.0400000000009</v>
      </c>
      <c r="D35" s="501">
        <f>'[65]Sch C'!F20</f>
        <v>0</v>
      </c>
      <c r="E35" s="171">
        <f t="shared" si="3"/>
        <v>9277.0400000000009</v>
      </c>
      <c r="F35" s="379"/>
      <c r="G35" s="171">
        <f t="shared" si="4"/>
        <v>9277.0400000000009</v>
      </c>
      <c r="H35" s="172">
        <f t="shared" si="5"/>
        <v>2.4798853018564359E-3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'[65]Sch C'!D21</f>
        <v>8262.9500000000007</v>
      </c>
      <c r="D36" s="501">
        <f>'[65]Sch C'!F21</f>
        <v>0</v>
      </c>
      <c r="E36" s="171">
        <f t="shared" si="3"/>
        <v>8262.9500000000007</v>
      </c>
      <c r="F36" s="379"/>
      <c r="G36" s="171">
        <f t="shared" si="4"/>
        <v>8262.9500000000007</v>
      </c>
      <c r="H36" s="172">
        <f t="shared" si="5"/>
        <v>2.2088045599646697E-3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'[65]Sch C'!D22</f>
        <v>0</v>
      </c>
      <c r="D37" s="501">
        <f>'[65]Sch C'!F22</f>
        <v>0</v>
      </c>
      <c r="E37" s="171">
        <f t="shared" si="3"/>
        <v>0</v>
      </c>
      <c r="F37" s="379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'[65]Sch C'!D23</f>
        <v>7828.17</v>
      </c>
      <c r="D38" s="501">
        <f>'[65]Sch C'!F23</f>
        <v>0</v>
      </c>
      <c r="E38" s="171">
        <f t="shared" si="3"/>
        <v>7828.17</v>
      </c>
      <c r="F38" s="379"/>
      <c r="G38" s="171">
        <f t="shared" si="4"/>
        <v>7828.17</v>
      </c>
      <c r="H38" s="172">
        <f t="shared" si="5"/>
        <v>2.0925816557256943E-3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'[65]Sch C'!D24</f>
        <v>27101.96</v>
      </c>
      <c r="D39" s="501">
        <f>'[65]Sch C'!F24</f>
        <v>0</v>
      </c>
      <c r="E39" s="171">
        <f t="shared" si="3"/>
        <v>27101.96</v>
      </c>
      <c r="F39" s="379"/>
      <c r="G39" s="171">
        <f t="shared" si="4"/>
        <v>27101.96</v>
      </c>
      <c r="H39" s="172">
        <f t="shared" si="5"/>
        <v>7.2447410225137589E-3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'[65]Sch C'!D25</f>
        <v>0</v>
      </c>
      <c r="D40" s="501">
        <f>'[65]Sch C'!F25</f>
        <v>0</v>
      </c>
      <c r="E40" s="171">
        <f t="shared" si="3"/>
        <v>0</v>
      </c>
      <c r="F40" s="379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'[65]Sch C'!D26</f>
        <v>290459.71000000002</v>
      </c>
      <c r="D41" s="501">
        <f>'[65]Sch C'!F26</f>
        <v>0</v>
      </c>
      <c r="E41" s="171">
        <f t="shared" si="3"/>
        <v>290459.71000000002</v>
      </c>
      <c r="F41" s="379"/>
      <c r="G41" s="171">
        <f t="shared" si="4"/>
        <v>290459.71000000002</v>
      </c>
      <c r="H41" s="172">
        <f t="shared" si="5"/>
        <v>7.7644029303579901E-2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'[65]Sch C'!D27</f>
        <v>0</v>
      </c>
      <c r="D42" s="501">
        <f>'[65]Sch C'!F27</f>
        <v>0</v>
      </c>
      <c r="E42" s="171">
        <f t="shared" si="3"/>
        <v>0</v>
      </c>
      <c r="F42" s="379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'[65]Sch C'!D28</f>
        <v>0</v>
      </c>
      <c r="D43" s="501">
        <f>'[65]Sch C'!F28</f>
        <v>0</v>
      </c>
      <c r="E43" s="171">
        <f t="shared" si="3"/>
        <v>0</v>
      </c>
      <c r="F43" s="379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'[65]Sch C'!D29</f>
        <v>22366.36</v>
      </c>
      <c r="D44" s="501">
        <f>'[65]Sch C'!F29</f>
        <v>-22366.36</v>
      </c>
      <c r="E44" s="171">
        <f t="shared" si="3"/>
        <v>0</v>
      </c>
      <c r="F44" s="379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'[65]Sch C'!D30</f>
        <v>0</v>
      </c>
      <c r="D45" s="501">
        <f>'[65]Sch C'!F30</f>
        <v>0</v>
      </c>
      <c r="E45" s="171">
        <f t="shared" si="3"/>
        <v>0</v>
      </c>
      <c r="F45" s="379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'[65]Sch C'!D31</f>
        <v>17014.54</v>
      </c>
      <c r="D46" s="501">
        <f>'[65]Sch C'!F31</f>
        <v>0</v>
      </c>
      <c r="E46" s="171">
        <f t="shared" si="3"/>
        <v>17014.54</v>
      </c>
      <c r="F46" s="379"/>
      <c r="G46" s="171">
        <f t="shared" si="4"/>
        <v>17014.54</v>
      </c>
      <c r="H46" s="172">
        <f t="shared" si="5"/>
        <v>4.5482295714849132E-3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'[65]Sch C'!D32</f>
        <v>9690.76</v>
      </c>
      <c r="D47" s="501">
        <f>'[65]Sch C'!F32</f>
        <v>0</v>
      </c>
      <c r="E47" s="171">
        <f t="shared" si="3"/>
        <v>9690.76</v>
      </c>
      <c r="F47" s="379"/>
      <c r="G47" s="171">
        <f t="shared" si="4"/>
        <v>9690.76</v>
      </c>
      <c r="H47" s="172">
        <f t="shared" si="5"/>
        <v>2.5904785672820506E-3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'[65]Sch C'!D33</f>
        <v>0</v>
      </c>
      <c r="D48" s="501">
        <f>'[65]Sch C'!F33</f>
        <v>0</v>
      </c>
      <c r="E48" s="171">
        <f t="shared" si="3"/>
        <v>0</v>
      </c>
      <c r="F48" s="379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'[65]Sch C'!D34</f>
        <v>0</v>
      </c>
      <c r="D49" s="501">
        <f>'[65]Sch C'!F34</f>
        <v>0</v>
      </c>
      <c r="E49" s="171">
        <f t="shared" si="3"/>
        <v>0</v>
      </c>
      <c r="F49" s="379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'[65]Sch C'!D35</f>
        <v>0</v>
      </c>
      <c r="D50" s="501">
        <f>'[65]Sch C'!F35</f>
        <v>0</v>
      </c>
      <c r="E50" s="171">
        <f t="shared" si="3"/>
        <v>0</v>
      </c>
      <c r="F50" s="379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'[65]Sch C'!D36</f>
        <v>44406.29</v>
      </c>
      <c r="D51" s="501">
        <f>'[65]Sch C'!F36</f>
        <v>0</v>
      </c>
      <c r="E51" s="171">
        <f t="shared" si="3"/>
        <v>44406.29</v>
      </c>
      <c r="F51" s="379"/>
      <c r="G51" s="171">
        <f t="shared" si="4"/>
        <v>44406.29</v>
      </c>
      <c r="H51" s="172">
        <f t="shared" si="5"/>
        <v>1.187043560025336E-2</v>
      </c>
      <c r="I51" s="473"/>
      <c r="J51" s="183">
        <v>3347.88</v>
      </c>
      <c r="K51" s="183">
        <v>3640.81</v>
      </c>
    </row>
    <row r="52" spans="1:11" s="167" customFormat="1">
      <c r="A52" s="163">
        <v>290</v>
      </c>
      <c r="B52" s="170" t="s">
        <v>205</v>
      </c>
      <c r="C52" s="501">
        <f>'[65]Sch C'!D37</f>
        <v>0</v>
      </c>
      <c r="D52" s="501">
        <f>'[65]Sch C'!F37</f>
        <v>6430.2901533669292</v>
      </c>
      <c r="E52" s="171">
        <f t="shared" si="3"/>
        <v>6430.2901533669292</v>
      </c>
      <c r="F52" s="379"/>
      <c r="G52" s="171">
        <f t="shared" si="4"/>
        <v>6430.2901533669292</v>
      </c>
      <c r="H52" s="172">
        <f t="shared" si="5"/>
        <v>1.7189084059146898E-3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'[65]Sch C'!D38</f>
        <v>49.13</v>
      </c>
      <c r="D53" s="501">
        <f>'[65]Sch C'!F38</f>
        <v>0</v>
      </c>
      <c r="E53" s="171">
        <f t="shared" si="3"/>
        <v>49.13</v>
      </c>
      <c r="F53" s="379"/>
      <c r="G53" s="171">
        <f t="shared" si="4"/>
        <v>49.13</v>
      </c>
      <c r="H53" s="172">
        <f t="shared" si="5"/>
        <v>1.3133150755004472E-5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'[65]Sch C'!D39</f>
        <v>3133.4</v>
      </c>
      <c r="D54" s="501">
        <f>'[65]Sch C'!F39</f>
        <v>0</v>
      </c>
      <c r="E54" s="171">
        <f t="shared" si="3"/>
        <v>3133.4</v>
      </c>
      <c r="F54" s="379"/>
      <c r="G54" s="171">
        <f t="shared" si="4"/>
        <v>3133.4</v>
      </c>
      <c r="H54" s="172">
        <f t="shared" si="5"/>
        <v>8.3760257634298821E-4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'[65]Sch C'!D40</f>
        <v>2020.61</v>
      </c>
      <c r="D55" s="501">
        <f>'[65]Sch C'!F40</f>
        <v>-2021</v>
      </c>
      <c r="E55" s="171">
        <f t="shared" si="3"/>
        <v>-0.39000000000010004</v>
      </c>
      <c r="F55" s="379"/>
      <c r="G55" s="171">
        <f t="shared" si="4"/>
        <v>-0.39000000000010004</v>
      </c>
      <c r="H55" s="172">
        <f t="shared" si="5"/>
        <v>-1.0425257061781108E-7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'[65]Sch C'!D41</f>
        <v>579.95000000000005</v>
      </c>
      <c r="D56" s="501">
        <f>'[65]Sch C'!F41</f>
        <v>0</v>
      </c>
      <c r="E56" s="171">
        <f t="shared" si="3"/>
        <v>579.95000000000005</v>
      </c>
      <c r="F56" s="379"/>
      <c r="G56" s="171">
        <f t="shared" si="4"/>
        <v>579.95000000000005</v>
      </c>
      <c r="H56" s="172">
        <f t="shared" si="5"/>
        <v>1.5502891879431801E-4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'[65]Sch C'!D42</f>
        <v>847</v>
      </c>
      <c r="D57" s="501">
        <f>'[65]Sch C'!F42</f>
        <v>0</v>
      </c>
      <c r="E57" s="171">
        <f t="shared" si="3"/>
        <v>847</v>
      </c>
      <c r="F57" s="379"/>
      <c r="G57" s="171">
        <f t="shared" si="4"/>
        <v>847</v>
      </c>
      <c r="H57" s="172">
        <f t="shared" si="5"/>
        <v>2.2641519823913674E-4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'[65]Sch C'!D43</f>
        <v>14560.96</v>
      </c>
      <c r="D58" s="501">
        <f>'[65]Sch C'!F43</f>
        <v>0</v>
      </c>
      <c r="E58" s="171">
        <f t="shared" si="3"/>
        <v>14560.96</v>
      </c>
      <c r="F58" s="379"/>
      <c r="G58" s="171">
        <f t="shared" si="4"/>
        <v>14560.96</v>
      </c>
      <c r="H58" s="172">
        <f t="shared" si="5"/>
        <v>3.8923525914429046E-3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'[65]Sch C'!D44</f>
        <v>9445.19</v>
      </c>
      <c r="D59" s="501">
        <f>'[65]Sch C'!F44</f>
        <v>0</v>
      </c>
      <c r="E59" s="171">
        <f t="shared" si="3"/>
        <v>9445.19</v>
      </c>
      <c r="F59" s="379"/>
      <c r="G59" s="171">
        <f t="shared" si="4"/>
        <v>9445.19</v>
      </c>
      <c r="H59" s="172">
        <f t="shared" si="5"/>
        <v>2.5248341986497192E-3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'[65]Sch C'!D45</f>
        <v>2317.14</v>
      </c>
      <c r="D60" s="501">
        <f>'[65]Sch C'!F45</f>
        <v>-2317</v>
      </c>
      <c r="E60" s="171">
        <f t="shared" si="3"/>
        <v>0.13999999999987267</v>
      </c>
      <c r="F60" s="379"/>
      <c r="G60" s="171">
        <f t="shared" si="4"/>
        <v>0.13999999999987267</v>
      </c>
      <c r="H60" s="172">
        <f t="shared" si="5"/>
        <v>3.7423999708914181E-8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957325.44999999984</v>
      </c>
      <c r="D61" s="501">
        <f>SUM(D25:D60)</f>
        <v>-200796.4085992538</v>
      </c>
      <c r="E61" s="171">
        <f t="shared" ref="E61:F61" si="6">SUM(E25:E60)</f>
        <v>756529.04140074621</v>
      </c>
      <c r="F61" s="171">
        <f t="shared" si="6"/>
        <v>0</v>
      </c>
      <c r="G61" s="171">
        <f>SUM(G25:G60)</f>
        <v>756529.04140074621</v>
      </c>
      <c r="H61" s="186">
        <f t="shared" si="5"/>
        <v>0.20223101875137431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386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386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'[65]Sch C'!D57</f>
        <v>548944</v>
      </c>
      <c r="D64" s="501">
        <f>'[65]Sch C'!F57</f>
        <v>0</v>
      </c>
      <c r="E64" s="171">
        <f t="shared" ref="E64:E78" si="7">C64+D64</f>
        <v>548944</v>
      </c>
      <c r="F64" s="379"/>
      <c r="G64" s="171">
        <f t="shared" ref="G64:G78" si="8">E64+F64</f>
        <v>548944</v>
      </c>
      <c r="H64" s="172">
        <f t="shared" ref="H64:H79" si="9">IF($G$208=0,0,G64/$G$208)</f>
        <v>0.14674057211592051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'[65]Sch C'!D58</f>
        <v>133.74</v>
      </c>
      <c r="D65" s="501">
        <f>'[65]Sch C'!F58</f>
        <v>0</v>
      </c>
      <c r="E65" s="171">
        <f t="shared" si="7"/>
        <v>133.74</v>
      </c>
      <c r="F65" s="379"/>
      <c r="G65" s="171">
        <f t="shared" si="8"/>
        <v>133.74</v>
      </c>
      <c r="H65" s="172">
        <f t="shared" si="9"/>
        <v>3.5750612293390965E-5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'[65]Sch C'!D59</f>
        <v>0</v>
      </c>
      <c r="D66" s="501">
        <f>'[65]Sch C'!F59</f>
        <v>0</v>
      </c>
      <c r="E66" s="171">
        <f t="shared" si="7"/>
        <v>0</v>
      </c>
      <c r="F66" s="379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'[65]Sch C'!D60</f>
        <v>29006.51</v>
      </c>
      <c r="D67" s="501">
        <f>'[65]Sch C'!F60</f>
        <v>0</v>
      </c>
      <c r="E67" s="171">
        <f t="shared" si="7"/>
        <v>29006.51</v>
      </c>
      <c r="F67" s="379"/>
      <c r="G67" s="171">
        <f t="shared" si="8"/>
        <v>29006.51</v>
      </c>
      <c r="H67" s="172">
        <f t="shared" si="9"/>
        <v>7.7538544414114544E-3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'[65]Sch C'!D61</f>
        <v>1565</v>
      </c>
      <c r="D68" s="501">
        <f>'[65]Sch C'!F61</f>
        <v>0</v>
      </c>
      <c r="E68" s="171">
        <f t="shared" si="7"/>
        <v>1565</v>
      </c>
      <c r="F68" s="379"/>
      <c r="G68" s="171">
        <f t="shared" si="8"/>
        <v>1565</v>
      </c>
      <c r="H68" s="172">
        <f t="shared" si="9"/>
        <v>4.1834685388931402E-4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'[65]Sch C'!D62</f>
        <v>1066.72</v>
      </c>
      <c r="D69" s="501">
        <f>'[65]Sch C'!F62</f>
        <v>0</v>
      </c>
      <c r="E69" s="171">
        <f t="shared" si="7"/>
        <v>1066.72</v>
      </c>
      <c r="F69" s="379"/>
      <c r="G69" s="171">
        <f t="shared" si="8"/>
        <v>1066.72</v>
      </c>
      <c r="H69" s="172">
        <f t="shared" si="9"/>
        <v>2.8514949263949463E-4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'[65]Sch C'!D63</f>
        <v>0</v>
      </c>
      <c r="D70" s="501">
        <f>'[65]Sch C'!F63</f>
        <v>0</v>
      </c>
      <c r="E70" s="171">
        <f t="shared" si="7"/>
        <v>0</v>
      </c>
      <c r="F70" s="442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'[65]Sch C'!D64</f>
        <v>0</v>
      </c>
      <c r="D71" s="501">
        <f>'[65]Sch C'!F64</f>
        <v>0</v>
      </c>
      <c r="E71" s="171">
        <f t="shared" si="7"/>
        <v>0</v>
      </c>
      <c r="F71" s="379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'[65]Sch C'!D65</f>
        <v>1699</v>
      </c>
      <c r="D72" s="501">
        <f>'[65]Sch C'!F65</f>
        <v>0</v>
      </c>
      <c r="E72" s="171">
        <f t="shared" si="7"/>
        <v>1699</v>
      </c>
      <c r="F72" s="442"/>
      <c r="G72" s="171">
        <f t="shared" si="8"/>
        <v>1699</v>
      </c>
      <c r="H72" s="172">
        <f t="shared" si="9"/>
        <v>4.541669678964502E-4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'[65]Sch C'!D66</f>
        <v>2083.0500000000002</v>
      </c>
      <c r="D73" s="501">
        <f>'[65]Sch C'!F66</f>
        <v>0</v>
      </c>
      <c r="E73" s="171">
        <f t="shared" si="7"/>
        <v>2083.0500000000002</v>
      </c>
      <c r="F73" s="379"/>
      <c r="G73" s="171">
        <f t="shared" si="8"/>
        <v>2083.0500000000002</v>
      </c>
      <c r="H73" s="172">
        <f t="shared" si="9"/>
        <v>5.568290185266043E-4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'[65]Sch C'!D67</f>
        <v>8903.98</v>
      </c>
      <c r="D74" s="501">
        <f>'[65]Sch C'!F67</f>
        <v>0</v>
      </c>
      <c r="E74" s="171">
        <f t="shared" si="7"/>
        <v>8903.98</v>
      </c>
      <c r="F74" s="379"/>
      <c r="G74" s="171">
        <f t="shared" si="8"/>
        <v>8903.98</v>
      </c>
      <c r="H74" s="172">
        <f t="shared" si="9"/>
        <v>2.3801610352034339E-3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'[65]Sch C'!D68</f>
        <v>0</v>
      </c>
      <c r="D75" s="501">
        <f>'[65]Sch C'!F68</f>
        <v>0</v>
      </c>
      <c r="E75" s="171">
        <f t="shared" si="7"/>
        <v>0</v>
      </c>
      <c r="F75" s="379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'[65]Sch C'!D69</f>
        <v>5628.45</v>
      </c>
      <c r="D76" s="501">
        <f>'[65]Sch C'!F69</f>
        <v>0</v>
      </c>
      <c r="E76" s="171">
        <f t="shared" si="7"/>
        <v>5628.45</v>
      </c>
      <c r="F76" s="379"/>
      <c r="G76" s="171">
        <f t="shared" si="8"/>
        <v>5628.45</v>
      </c>
      <c r="H76" s="172">
        <f t="shared" si="9"/>
        <v>1.5045650797273543E-3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'[65]Sch C'!D70</f>
        <v>-1100</v>
      </c>
      <c r="D77" s="501">
        <f>'[65]Sch C'!F70</f>
        <v>0</v>
      </c>
      <c r="E77" s="171">
        <f t="shared" si="7"/>
        <v>-1100</v>
      </c>
      <c r="F77" s="379"/>
      <c r="G77" s="171">
        <f t="shared" si="8"/>
        <v>-1100</v>
      </c>
      <c r="H77" s="172">
        <f t="shared" si="9"/>
        <v>-2.9404571199887885E-4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'[65]Sch C'!D71</f>
        <v>0</v>
      </c>
      <c r="D78" s="501">
        <f>'[65]Sch C'!F71</f>
        <v>0</v>
      </c>
      <c r="E78" s="171">
        <f t="shared" si="7"/>
        <v>0</v>
      </c>
      <c r="F78" s="379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597930.44999999995</v>
      </c>
      <c r="D79" s="501">
        <f>SUM(D64:D78)</f>
        <v>0</v>
      </c>
      <c r="E79" s="171">
        <f t="shared" ref="E79:F79" si="10">SUM(E64:E78)</f>
        <v>597930.44999999995</v>
      </c>
      <c r="F79" s="171">
        <f t="shared" si="10"/>
        <v>0</v>
      </c>
      <c r="G79" s="171">
        <f>SUM(G64:G78)</f>
        <v>597930.44999999995</v>
      </c>
      <c r="H79" s="172">
        <f t="shared" si="9"/>
        <v>0.15983534990550913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383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386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'[65]Sch C'!D75</f>
        <v>29133.07</v>
      </c>
      <c r="D82" s="501">
        <f>'[65]Sch C'!F75</f>
        <v>0</v>
      </c>
      <c r="E82" s="171">
        <f t="shared" ref="E82:E92" si="11">C82+D82</f>
        <v>29133.07</v>
      </c>
      <c r="F82" s="379"/>
      <c r="G82" s="171">
        <f t="shared" ref="G82:G92" si="12">E82+F82</f>
        <v>29133.07</v>
      </c>
      <c r="H82" s="172">
        <f t="shared" ref="H82:H93" si="13">IF($G$208=0,0,G82/$G$208)</f>
        <v>7.787685737148344E-3</v>
      </c>
      <c r="I82" s="473"/>
      <c r="J82" s="183">
        <v>2027.57</v>
      </c>
      <c r="K82" s="183">
        <v>2146.9</v>
      </c>
    </row>
    <row r="83" spans="1:11" s="167" customFormat="1">
      <c r="A83" s="169" t="s">
        <v>86</v>
      </c>
      <c r="B83" s="199" t="s">
        <v>45</v>
      </c>
      <c r="C83" s="501">
        <f>'[65]Sch C'!D76</f>
        <v>0</v>
      </c>
      <c r="D83" s="501">
        <f>'[65]Sch C'!F76</f>
        <v>4218.638691913904</v>
      </c>
      <c r="E83" s="171">
        <f t="shared" si="11"/>
        <v>4218.638691913904</v>
      </c>
      <c r="F83" s="379"/>
      <c r="G83" s="171">
        <f t="shared" si="12"/>
        <v>4218.638691913904</v>
      </c>
      <c r="H83" s="172">
        <f t="shared" si="13"/>
        <v>1.1277023798453118E-3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'[65]Sch C'!D77</f>
        <v>1410.24</v>
      </c>
      <c r="D84" s="501">
        <f>'[65]Sch C'!F77</f>
        <v>0</v>
      </c>
      <c r="E84" s="171">
        <f t="shared" si="11"/>
        <v>1410.24</v>
      </c>
      <c r="F84" s="379"/>
      <c r="G84" s="171">
        <f t="shared" si="12"/>
        <v>1410.24</v>
      </c>
      <c r="H84" s="172">
        <f t="shared" si="13"/>
        <v>3.7697729535390813E-4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'[65]Sch C'!D78</f>
        <v>5041.75</v>
      </c>
      <c r="D85" s="501">
        <f>'[65]Sch C'!F78</f>
        <v>0</v>
      </c>
      <c r="E85" s="171">
        <f t="shared" si="11"/>
        <v>5041.75</v>
      </c>
      <c r="F85" s="379"/>
      <c r="G85" s="171">
        <f t="shared" si="12"/>
        <v>5041.75</v>
      </c>
      <c r="H85" s="172">
        <f t="shared" si="13"/>
        <v>1.3477317895184977E-3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'[65]Sch C'!D79</f>
        <v>8346.57</v>
      </c>
      <c r="D86" s="501">
        <f>'[65]Sch C'!F79</f>
        <v>0</v>
      </c>
      <c r="E86" s="171">
        <f t="shared" si="11"/>
        <v>8346.57</v>
      </c>
      <c r="F86" s="379"/>
      <c r="G86" s="171">
        <f>E86+F86</f>
        <v>8346.57</v>
      </c>
      <c r="H86" s="172">
        <f t="shared" si="13"/>
        <v>2.2311573803622566E-3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'[65]Sch C'!D80</f>
        <v>8821.86</v>
      </c>
      <c r="D87" s="501">
        <f>'[65]Sch C'!F80</f>
        <v>0</v>
      </c>
      <c r="E87" s="171">
        <f t="shared" si="11"/>
        <v>8821.86</v>
      </c>
      <c r="F87" s="379"/>
      <c r="G87" s="171">
        <f t="shared" si="12"/>
        <v>8821.86</v>
      </c>
      <c r="H87" s="172">
        <f t="shared" si="13"/>
        <v>2.3582091862312999E-3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'[65]Sch C'!D81</f>
        <v>8831.4500000000007</v>
      </c>
      <c r="D88" s="501">
        <f>'[65]Sch C'!F81</f>
        <v>0</v>
      </c>
      <c r="E88" s="171">
        <f t="shared" si="11"/>
        <v>8831.4500000000007</v>
      </c>
      <c r="F88" s="379"/>
      <c r="G88" s="171">
        <f t="shared" si="12"/>
        <v>8831.4500000000007</v>
      </c>
      <c r="H88" s="172">
        <f t="shared" si="13"/>
        <v>2.3607727302113629E-3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'[65]Sch C'!D82</f>
        <v>19717.689999999999</v>
      </c>
      <c r="D89" s="501">
        <f>'[65]Sch C'!F82</f>
        <v>0</v>
      </c>
      <c r="E89" s="171">
        <f t="shared" si="11"/>
        <v>19717.689999999999</v>
      </c>
      <c r="F89" s="379"/>
      <c r="G89" s="171">
        <f t="shared" si="12"/>
        <v>19717.689999999999</v>
      </c>
      <c r="H89" s="172">
        <f t="shared" si="13"/>
        <v>5.2708201772937941E-3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'[65]Sch C'!D83</f>
        <v>6417.27</v>
      </c>
      <c r="D90" s="501">
        <f>'[65]Sch C'!F83</f>
        <v>0</v>
      </c>
      <c r="E90" s="171">
        <f t="shared" si="11"/>
        <v>6417.27</v>
      </c>
      <c r="F90" s="379"/>
      <c r="G90" s="171">
        <f t="shared" si="12"/>
        <v>6417.27</v>
      </c>
      <c r="H90" s="172">
        <f t="shared" si="13"/>
        <v>1.7154279329445869E-3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'[65]Sch C'!D84</f>
        <v>65254.81</v>
      </c>
      <c r="D91" s="501">
        <f>'[65]Sch C'!F84</f>
        <v>0</v>
      </c>
      <c r="E91" s="171">
        <f t="shared" si="11"/>
        <v>65254.81</v>
      </c>
      <c r="F91" s="379"/>
      <c r="G91" s="171">
        <f t="shared" si="12"/>
        <v>65254.81</v>
      </c>
      <c r="H91" s="172">
        <f t="shared" si="13"/>
        <v>1.7443542788910509E-2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'[65]Sch C'!D85</f>
        <v>3.18</v>
      </c>
      <c r="D92" s="501">
        <f>'[65]Sch C'!F85</f>
        <v>0</v>
      </c>
      <c r="E92" s="171">
        <f t="shared" si="11"/>
        <v>3.18</v>
      </c>
      <c r="F92" s="379"/>
      <c r="G92" s="171">
        <f t="shared" si="12"/>
        <v>3.18</v>
      </c>
      <c r="H92" s="172">
        <f t="shared" si="13"/>
        <v>8.5005942196039528E-7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152977.89000000001</v>
      </c>
      <c r="D93" s="501">
        <f>SUM(D82:D92)</f>
        <v>4218.638691913904</v>
      </c>
      <c r="E93" s="171">
        <f t="shared" ref="E93:F93" si="14">SUM(E82:E92)</f>
        <v>157196.5286919139</v>
      </c>
      <c r="F93" s="171">
        <f t="shared" si="14"/>
        <v>0</v>
      </c>
      <c r="G93" s="171">
        <f>SUM(G82:G92)</f>
        <v>157196.5286919139</v>
      </c>
      <c r="H93" s="172">
        <f t="shared" si="13"/>
        <v>4.2020877457241833E-2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386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386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'[65]Sch C'!D89</f>
        <v>154153.46</v>
      </c>
      <c r="D96" s="501">
        <f>'[65]Sch C'!F89</f>
        <v>0</v>
      </c>
      <c r="E96" s="171">
        <f t="shared" ref="E96:E101" si="15">C96+D96</f>
        <v>154153.46</v>
      </c>
      <c r="F96" s="379"/>
      <c r="G96" s="171">
        <f t="shared" ref="G96:G101" si="16">E96+F96</f>
        <v>154153.46</v>
      </c>
      <c r="H96" s="172">
        <f t="shared" ref="H96:H102" si="17">IF($G$208=0,0,G96/$G$208)</f>
        <v>4.1207421729809721E-2</v>
      </c>
      <c r="I96" s="473"/>
      <c r="J96" s="183">
        <v>12946.66</v>
      </c>
      <c r="K96" s="183">
        <v>13834.98</v>
      </c>
    </row>
    <row r="97" spans="1:11" s="167" customFormat="1">
      <c r="A97" s="169" t="s">
        <v>86</v>
      </c>
      <c r="B97" s="170" t="s">
        <v>45</v>
      </c>
      <c r="C97" s="501">
        <f>'[65]Sch C'!D90</f>
        <v>0</v>
      </c>
      <c r="D97" s="501">
        <f>'[65]Sch C'!F90</f>
        <v>22322.321363605079</v>
      </c>
      <c r="E97" s="171">
        <f t="shared" si="15"/>
        <v>22322.321363605079</v>
      </c>
      <c r="F97" s="379"/>
      <c r="G97" s="171">
        <f t="shared" si="16"/>
        <v>22322.321363605079</v>
      </c>
      <c r="H97" s="172">
        <f t="shared" si="17"/>
        <v>5.9670753443900361E-3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'[65]Sch C'!D91</f>
        <v>6720</v>
      </c>
      <c r="D98" s="501">
        <f>'[65]Sch C'!F91</f>
        <v>0</v>
      </c>
      <c r="E98" s="171">
        <f t="shared" si="15"/>
        <v>6720</v>
      </c>
      <c r="F98" s="379"/>
      <c r="G98" s="171">
        <f t="shared" si="16"/>
        <v>6720</v>
      </c>
      <c r="H98" s="172">
        <f t="shared" si="17"/>
        <v>1.7963519860295146E-3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'[65]Sch C'!D92</f>
        <v>124399.13</v>
      </c>
      <c r="D99" s="501">
        <f>'[65]Sch C'!F92</f>
        <v>0</v>
      </c>
      <c r="E99" s="171">
        <f t="shared" si="15"/>
        <v>124399.13</v>
      </c>
      <c r="F99" s="379"/>
      <c r="G99" s="171">
        <f t="shared" si="16"/>
        <v>124399.13</v>
      </c>
      <c r="H99" s="172">
        <f t="shared" si="17"/>
        <v>3.3253664320810082E-2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'[65]Sch C'!D93</f>
        <v>20500.52</v>
      </c>
      <c r="D100" s="501">
        <f>'[65]Sch C'!F93</f>
        <v>0</v>
      </c>
      <c r="E100" s="171">
        <f t="shared" si="15"/>
        <v>20500.52</v>
      </c>
      <c r="F100" s="379"/>
      <c r="G100" s="171">
        <f t="shared" si="16"/>
        <v>20500.52</v>
      </c>
      <c r="H100" s="172">
        <f t="shared" si="17"/>
        <v>5.4800818179520511E-3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'[65]Sch C'!D94</f>
        <v>0</v>
      </c>
      <c r="D101" s="501">
        <f>'[65]Sch C'!F94</f>
        <v>0</v>
      </c>
      <c r="E101" s="171">
        <f t="shared" si="15"/>
        <v>0</v>
      </c>
      <c r="F101" s="379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305773.11</v>
      </c>
      <c r="D102" s="501">
        <f>SUM(D96:D101)</f>
        <v>22322.321363605079</v>
      </c>
      <c r="E102" s="171">
        <f t="shared" ref="E102:F102" si="18">SUM(E96:E101)</f>
        <v>328095.43136360508</v>
      </c>
      <c r="F102" s="171">
        <f t="shared" si="18"/>
        <v>0</v>
      </c>
      <c r="G102" s="171">
        <f>SUM(G96:G101)</f>
        <v>328095.43136360508</v>
      </c>
      <c r="H102" s="172">
        <f t="shared" si="17"/>
        <v>8.7704595198991403E-2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386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386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'[65]Sch C'!D98</f>
        <v>31668.77</v>
      </c>
      <c r="D105" s="501">
        <f>'[65]Sch C'!F98</f>
        <v>0</v>
      </c>
      <c r="E105" s="171">
        <f t="shared" ref="E105:E110" si="19">C105+D105</f>
        <v>31668.77</v>
      </c>
      <c r="F105" s="379"/>
      <c r="G105" s="171">
        <f t="shared" ref="G105:G110" si="20">E105+F105</f>
        <v>31668.77</v>
      </c>
      <c r="H105" s="172">
        <f t="shared" ref="H105:H111" si="21">IF($G$208=0,0,G105/$G$208)</f>
        <v>8.4655145661624871E-3</v>
      </c>
      <c r="I105" s="473"/>
      <c r="J105" s="183">
        <v>3008.52</v>
      </c>
      <c r="K105" s="183">
        <v>3273.14</v>
      </c>
    </row>
    <row r="106" spans="1:11" s="167" customFormat="1">
      <c r="A106" s="169" t="s">
        <v>86</v>
      </c>
      <c r="B106" s="170" t="s">
        <v>45</v>
      </c>
      <c r="C106" s="501">
        <f>'[65]Sch C'!D99</f>
        <v>0</v>
      </c>
      <c r="D106" s="501">
        <f>'[65]Sch C'!F99</f>
        <v>4585.8228620369318</v>
      </c>
      <c r="E106" s="171">
        <f t="shared" si="19"/>
        <v>4585.8228620369318</v>
      </c>
      <c r="F106" s="379"/>
      <c r="G106" s="171">
        <f t="shared" si="20"/>
        <v>4585.8228620369318</v>
      </c>
      <c r="H106" s="172">
        <f t="shared" si="21"/>
        <v>1.2258559532439873E-3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'[65]Sch C'!D100</f>
        <v>3931.86</v>
      </c>
      <c r="D107" s="501">
        <f>'[65]Sch C'!F100</f>
        <v>0</v>
      </c>
      <c r="E107" s="171">
        <f t="shared" si="19"/>
        <v>3931.86</v>
      </c>
      <c r="F107" s="379"/>
      <c r="G107" s="171">
        <f t="shared" si="20"/>
        <v>3931.86</v>
      </c>
      <c r="H107" s="172">
        <f t="shared" si="21"/>
        <v>1.0510423392544653E-3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'[65]Sch C'!D101</f>
        <v>0</v>
      </c>
      <c r="D108" s="501">
        <f>'[65]Sch C'!F101</f>
        <v>0</v>
      </c>
      <c r="E108" s="171">
        <f t="shared" si="19"/>
        <v>0</v>
      </c>
      <c r="F108" s="379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'[65]Sch C'!D102</f>
        <v>3800.83</v>
      </c>
      <c r="D109" s="501">
        <f>'[65]Sch C'!F102</f>
        <v>0</v>
      </c>
      <c r="E109" s="171">
        <f t="shared" si="19"/>
        <v>3800.83</v>
      </c>
      <c r="F109" s="379"/>
      <c r="G109" s="171">
        <f t="shared" si="20"/>
        <v>3800.83</v>
      </c>
      <c r="H109" s="172">
        <f t="shared" si="21"/>
        <v>1.0160161486697261E-3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'[65]Sch C'!D103</f>
        <v>0</v>
      </c>
      <c r="D110" s="501">
        <f>'[65]Sch C'!F103</f>
        <v>0</v>
      </c>
      <c r="E110" s="171">
        <f t="shared" si="19"/>
        <v>0</v>
      </c>
      <c r="F110" s="379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39401.46</v>
      </c>
      <c r="D111" s="501">
        <f>SUM(D105:D110)</f>
        <v>4585.8228620369318</v>
      </c>
      <c r="E111" s="171">
        <f t="shared" ref="E111:F111" si="22">SUM(E105:E110)</f>
        <v>43987.282862036933</v>
      </c>
      <c r="F111" s="171">
        <f t="shared" si="22"/>
        <v>0</v>
      </c>
      <c r="G111" s="171">
        <f>SUM(G105:G110)</f>
        <v>43987.282862036933</v>
      </c>
      <c r="H111" s="172">
        <f t="shared" si="21"/>
        <v>1.1758429007330666E-2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386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386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'[65]Sch C'!D115</f>
        <v>76461.570000000007</v>
      </c>
      <c r="D114" s="501">
        <f>'[65]Sch C'!F115</f>
        <v>0</v>
      </c>
      <c r="E114" s="171">
        <f t="shared" ref="E114:E118" si="23">C114+D114</f>
        <v>76461.570000000007</v>
      </c>
      <c r="F114" s="379"/>
      <c r="G114" s="171">
        <f>E114+F114</f>
        <v>76461.570000000007</v>
      </c>
      <c r="H114" s="172">
        <f t="shared" ref="H114:H119" si="24">IF($G$208=0,0,G114/$G$208)</f>
        <v>2.0439269810183746E-2</v>
      </c>
      <c r="I114" s="473"/>
      <c r="J114" s="183">
        <v>6909.31</v>
      </c>
      <c r="K114" s="183">
        <v>7360.23</v>
      </c>
    </row>
    <row r="115" spans="1:11" s="167" customFormat="1">
      <c r="A115" s="169" t="s">
        <v>86</v>
      </c>
      <c r="B115" s="170" t="s">
        <v>151</v>
      </c>
      <c r="C115" s="501">
        <f>'[65]Sch C'!D116</f>
        <v>0</v>
      </c>
      <c r="D115" s="501">
        <f>'[65]Sch C'!F116</f>
        <v>11072.081920871484</v>
      </c>
      <c r="E115" s="171">
        <f t="shared" si="23"/>
        <v>11072.081920871484</v>
      </c>
      <c r="F115" s="379"/>
      <c r="G115" s="171">
        <f>E115+F115</f>
        <v>11072.081920871484</v>
      </c>
      <c r="H115" s="172">
        <f t="shared" si="24"/>
        <v>2.959725647029609E-3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'[65]Sch C'!D117</f>
        <v>14393.67</v>
      </c>
      <c r="D116" s="501">
        <f>'[65]Sch C'!F117</f>
        <v>0</v>
      </c>
      <c r="E116" s="171">
        <f t="shared" si="23"/>
        <v>14393.67</v>
      </c>
      <c r="F116" s="379"/>
      <c r="G116" s="171">
        <f>E116+F116</f>
        <v>14393.67</v>
      </c>
      <c r="H116" s="172">
        <f t="shared" si="24"/>
        <v>3.8476335849335483E-3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'[65]Sch C'!D118</f>
        <v>40</v>
      </c>
      <c r="D117" s="501">
        <f>'[65]Sch C'!F118</f>
        <v>0</v>
      </c>
      <c r="E117" s="171">
        <f t="shared" si="23"/>
        <v>40</v>
      </c>
      <c r="F117" s="379"/>
      <c r="G117" s="171">
        <f>E117+F117</f>
        <v>40</v>
      </c>
      <c r="H117" s="172">
        <f t="shared" si="24"/>
        <v>1.0692571345413777E-5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'[65]Sch C'!D119</f>
        <v>86.48</v>
      </c>
      <c r="D118" s="501">
        <f>'[65]Sch C'!F119</f>
        <v>0</v>
      </c>
      <c r="E118" s="171">
        <f t="shared" si="23"/>
        <v>86.48</v>
      </c>
      <c r="F118" s="379"/>
      <c r="G118" s="171">
        <f>E118+F118</f>
        <v>86.48</v>
      </c>
      <c r="H118" s="172">
        <f t="shared" si="24"/>
        <v>2.3117339248784588E-5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90981.72</v>
      </c>
      <c r="D119" s="501">
        <f>SUM(D114:D118)</f>
        <v>11072.081920871484</v>
      </c>
      <c r="E119" s="171">
        <f t="shared" ref="E119:F119" si="25">SUM(E114:E118)</f>
        <v>102053.80192087148</v>
      </c>
      <c r="F119" s="171">
        <f t="shared" si="25"/>
        <v>0</v>
      </c>
      <c r="G119" s="171">
        <f>SUM(G114:G118)</f>
        <v>102053.80192087148</v>
      </c>
      <c r="H119" s="172">
        <f t="shared" si="24"/>
        <v>2.7280438952741098E-2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383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386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386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'[65]Sch C'!D124</f>
        <v>0</v>
      </c>
      <c r="D123" s="501">
        <f>'[65]Sch C'!F124</f>
        <v>0</v>
      </c>
      <c r="E123" s="171">
        <f t="shared" ref="E123:E127" si="26">C123+D123</f>
        <v>0</v>
      </c>
      <c r="F123" s="379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'[65]Sch C'!D125</f>
        <v>138473.39000000001</v>
      </c>
      <c r="D124" s="501">
        <f>'[65]Sch C'!F125</f>
        <v>0</v>
      </c>
      <c r="E124" s="171">
        <f t="shared" si="26"/>
        <v>138473.39000000001</v>
      </c>
      <c r="F124" s="379"/>
      <c r="G124" s="171">
        <f>E124+F124</f>
        <v>138473.39000000001</v>
      </c>
      <c r="H124" s="172">
        <f>IF($G$208=0,0,G124/$G$208)</f>
        <v>3.7015915050407668E-2</v>
      </c>
      <c r="I124" s="473"/>
      <c r="J124" s="183">
        <v>4277.93</v>
      </c>
      <c r="K124" s="183">
        <v>4427.93</v>
      </c>
    </row>
    <row r="125" spans="1:11" s="167" customFormat="1">
      <c r="A125" s="163" t="s">
        <v>198</v>
      </c>
      <c r="B125" s="163" t="s">
        <v>195</v>
      </c>
      <c r="C125" s="501">
        <f>'[65]Sch C'!D126</f>
        <v>0</v>
      </c>
      <c r="D125" s="501">
        <f>'[65]Sch C'!F126</f>
        <v>0</v>
      </c>
      <c r="E125" s="171">
        <f t="shared" si="26"/>
        <v>0</v>
      </c>
      <c r="F125" s="379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'[65]Sch C'!D127</f>
        <v>0</v>
      </c>
      <c r="D126" s="501">
        <f>'[65]Sch C'!F127</f>
        <v>0</v>
      </c>
      <c r="E126" s="171">
        <f t="shared" si="26"/>
        <v>0</v>
      </c>
      <c r="F126" s="379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'[65]Sch C'!D128</f>
        <v>42048.67</v>
      </c>
      <c r="D127" s="501">
        <f>'[65]Sch C'!F128</f>
        <v>0</v>
      </c>
      <c r="E127" s="171">
        <f t="shared" si="26"/>
        <v>42048.67</v>
      </c>
      <c r="F127" s="379"/>
      <c r="G127" s="171">
        <f>E127+F127</f>
        <v>42048.67</v>
      </c>
      <c r="H127" s="172">
        <f>IF($G$208=0,0,G127/$G$208)</f>
        <v>1.1240210098868999E-2</v>
      </c>
      <c r="I127" s="473"/>
      <c r="J127" s="183">
        <v>2215.12</v>
      </c>
      <c r="K127" s="183">
        <v>2427.4899999999998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383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'[65]Sch C'!D130</f>
        <v>0</v>
      </c>
      <c r="D129" s="501">
        <f>'[65]Sch C'!F130</f>
        <v>0</v>
      </c>
      <c r="E129" s="171">
        <f t="shared" ref="E129:E133" si="27">C129+D129</f>
        <v>0</v>
      </c>
      <c r="F129" s="379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'[65]Sch C'!D131</f>
        <v>0</v>
      </c>
      <c r="D130" s="501">
        <f>'[65]Sch C'!F131</f>
        <v>20051.755645885722</v>
      </c>
      <c r="E130" s="171">
        <f t="shared" si="27"/>
        <v>20051.755645885722</v>
      </c>
      <c r="F130" s="379"/>
      <c r="G130" s="171">
        <f>E130+F130</f>
        <v>20051.755645885722</v>
      </c>
      <c r="H130" s="172">
        <f>IF($G$208=0,0,G130/$G$208)</f>
        <v>5.3601206961109149E-3</v>
      </c>
      <c r="I130" s="473"/>
      <c r="J130" s="204"/>
      <c r="K130" s="204"/>
    </row>
    <row r="131" spans="1:11" s="167" customFormat="1">
      <c r="B131" s="163" t="s">
        <v>195</v>
      </c>
      <c r="C131" s="501">
        <f>'[65]Sch C'!D132</f>
        <v>0</v>
      </c>
      <c r="D131" s="501">
        <f>'[65]Sch C'!F132</f>
        <v>0</v>
      </c>
      <c r="E131" s="171">
        <f t="shared" si="27"/>
        <v>0</v>
      </c>
      <c r="F131" s="379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'[65]Sch C'!D133</f>
        <v>0</v>
      </c>
      <c r="D132" s="501">
        <f>'[65]Sch C'!F133</f>
        <v>0</v>
      </c>
      <c r="E132" s="171">
        <f t="shared" si="27"/>
        <v>0</v>
      </c>
      <c r="F132" s="379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'[65]Sch C'!D134</f>
        <v>0</v>
      </c>
      <c r="D133" s="501">
        <f>'[65]Sch C'!F134</f>
        <v>6088.8930073459269</v>
      </c>
      <c r="E133" s="171">
        <f t="shared" si="27"/>
        <v>6088.8930073459269</v>
      </c>
      <c r="F133" s="379"/>
      <c r="G133" s="171">
        <f>E133+F133</f>
        <v>6088.8930073459269</v>
      </c>
      <c r="H133" s="172">
        <f>IF($G$208=0,0,G133/$G$208)</f>
        <v>1.6276480723909344E-3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383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'[65]Sch C'!D136</f>
        <v>301392.03999999998</v>
      </c>
      <c r="D135" s="501">
        <f>'[65]Sch C'!F136</f>
        <v>0</v>
      </c>
      <c r="E135" s="171">
        <f t="shared" ref="E135:E138" si="28">C135+D135</f>
        <v>301392.03999999998</v>
      </c>
      <c r="F135" s="379"/>
      <c r="G135" s="171">
        <f>E135+F135</f>
        <v>301392.03999999998</v>
      </c>
      <c r="H135" s="172">
        <f>IF($G$208=0,0,G135/$G$208)</f>
        <v>8.0566397265995071E-2</v>
      </c>
      <c r="I135" s="473"/>
      <c r="J135" s="183">
        <v>9997.5499999999993</v>
      </c>
      <c r="K135" s="183">
        <v>10518.38</v>
      </c>
    </row>
    <row r="136" spans="1:11" s="167" customFormat="1">
      <c r="A136" s="169"/>
      <c r="B136" s="163" t="s">
        <v>195</v>
      </c>
      <c r="C136" s="501">
        <f>'[65]Sch C'!D137</f>
        <v>136848.18</v>
      </c>
      <c r="D136" s="501">
        <f>'[65]Sch C'!F137</f>
        <v>0</v>
      </c>
      <c r="E136" s="171">
        <f t="shared" si="28"/>
        <v>136848.18</v>
      </c>
      <c r="F136" s="379"/>
      <c r="G136" s="171">
        <f>E136+F136</f>
        <v>136848.18</v>
      </c>
      <c r="H136" s="172">
        <f>IF($G$208=0,0,G136/$G$208)</f>
        <v>3.6581473203500664E-2</v>
      </c>
      <c r="I136" s="473"/>
      <c r="J136" s="183">
        <v>5572.98</v>
      </c>
      <c r="K136" s="183">
        <v>5845.03</v>
      </c>
    </row>
    <row r="137" spans="1:11" s="167" customFormat="1">
      <c r="A137" s="169"/>
      <c r="B137" s="163" t="s">
        <v>196</v>
      </c>
      <c r="C137" s="501">
        <f>'[65]Sch C'!D138</f>
        <v>571163.30000000005</v>
      </c>
      <c r="D137" s="501">
        <f>'[65]Sch C'!F138</f>
        <v>0</v>
      </c>
      <c r="E137" s="171">
        <f t="shared" si="28"/>
        <v>571163.30000000005</v>
      </c>
      <c r="F137" s="379"/>
      <c r="G137" s="171">
        <f>E137+F137</f>
        <v>571163.30000000005</v>
      </c>
      <c r="H137" s="172">
        <f>IF($G$208=0,0,G137/$G$208)</f>
        <v>0.15268010837829935</v>
      </c>
      <c r="I137" s="473"/>
      <c r="J137" s="183">
        <v>45330.23</v>
      </c>
      <c r="K137" s="183">
        <v>48189.15</v>
      </c>
    </row>
    <row r="138" spans="1:11" s="167" customFormat="1">
      <c r="A138" s="169"/>
      <c r="B138" s="163" t="s">
        <v>197</v>
      </c>
      <c r="C138" s="501">
        <f>'[65]Sch C'!D139</f>
        <v>0</v>
      </c>
      <c r="D138" s="501">
        <f>'[65]Sch C'!F139</f>
        <v>0</v>
      </c>
      <c r="E138" s="171">
        <f t="shared" si="28"/>
        <v>0</v>
      </c>
      <c r="F138" s="379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383"/>
      <c r="G139" s="196"/>
      <c r="H139" s="197"/>
      <c r="I139" s="473"/>
      <c r="J139" s="208"/>
      <c r="K139" s="208"/>
    </row>
    <row r="140" spans="1:11" s="167" customFormat="1">
      <c r="A140" s="169"/>
      <c r="B140" s="163" t="s">
        <v>194</v>
      </c>
      <c r="C140" s="501">
        <f>'[65]Sch C'!D141</f>
        <v>0</v>
      </c>
      <c r="D140" s="501">
        <f>'[65]Sch C'!F141</f>
        <v>43643.327715852225</v>
      </c>
      <c r="E140" s="171">
        <f t="shared" ref="E140:E143" si="29">C140+D140</f>
        <v>43643.327715852225</v>
      </c>
      <c r="F140" s="379"/>
      <c r="G140" s="171">
        <f>E140+F140</f>
        <v>43643.327715852225</v>
      </c>
      <c r="H140" s="172">
        <f>IF($G$208=0,0,G140/$G$208)</f>
        <v>1.1666484883825611E-2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'[65]Sch C'!D142</f>
        <v>0</v>
      </c>
      <c r="D141" s="501">
        <f>'[65]Sch C'!F142</f>
        <v>19816.415745611379</v>
      </c>
      <c r="E141" s="171">
        <f t="shared" si="29"/>
        <v>19816.415745611379</v>
      </c>
      <c r="F141" s="379"/>
      <c r="G141" s="171">
        <f>E141+F141</f>
        <v>19816.415745611379</v>
      </c>
      <c r="H141" s="172">
        <f>IF($G$208=0,0,G141/$G$208)</f>
        <v>5.2972109792582657E-3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'[65]Sch C'!D143</f>
        <v>0</v>
      </c>
      <c r="D142" s="501">
        <f>'[65]Sch C'!F143</f>
        <v>82707.781801960067</v>
      </c>
      <c r="E142" s="171">
        <f t="shared" si="29"/>
        <v>82707.781801960067</v>
      </c>
      <c r="F142" s="379"/>
      <c r="G142" s="171">
        <f>E142+F142</f>
        <v>82707.781801960067</v>
      </c>
      <c r="H142" s="172">
        <f>IF($G$208=0,0,G142/$G$208)</f>
        <v>2.2108971443459333E-2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'[65]Sch C'!D144</f>
        <v>0</v>
      </c>
      <c r="D143" s="501">
        <f>'[65]Sch C'!F144</f>
        <v>0</v>
      </c>
      <c r="E143" s="171">
        <f t="shared" si="29"/>
        <v>0</v>
      </c>
      <c r="F143" s="379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383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'[65]Sch C'!D146</f>
        <v>13999.83</v>
      </c>
      <c r="D145" s="501">
        <f>'[65]Sch C'!F146</f>
        <v>0</v>
      </c>
      <c r="E145" s="171">
        <f t="shared" ref="E145:E153" si="30">C145+D145</f>
        <v>13999.83</v>
      </c>
      <c r="F145" s="379"/>
      <c r="G145" s="171">
        <f t="shared" ref="G145:G153" si="31">E145+F145</f>
        <v>13999.83</v>
      </c>
      <c r="H145" s="172">
        <f t="shared" ref="H145:H153" si="32">IF($G$208=0,0,G145/$G$208)</f>
        <v>3.7423545274666041E-3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'[65]Sch C'!D147</f>
        <v>0</v>
      </c>
      <c r="D146" s="501">
        <f>'[65]Sch C'!F147</f>
        <v>0</v>
      </c>
      <c r="E146" s="171">
        <f t="shared" si="30"/>
        <v>0</v>
      </c>
      <c r="F146" s="379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'[65]Sch C'!D148</f>
        <v>0</v>
      </c>
      <c r="D147" s="501">
        <f>'[65]Sch C'!F148</f>
        <v>0</v>
      </c>
      <c r="E147" s="171">
        <f t="shared" si="30"/>
        <v>0</v>
      </c>
      <c r="F147" s="379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'[65]Sch C'!D149</f>
        <v>0</v>
      </c>
      <c r="D148" s="501">
        <f>'[65]Sch C'!F149</f>
        <v>0</v>
      </c>
      <c r="E148" s="171">
        <f t="shared" si="30"/>
        <v>0</v>
      </c>
      <c r="F148" s="379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'[65]Sch C'!D150</f>
        <v>7834</v>
      </c>
      <c r="D149" s="501">
        <f>'[65]Sch C'!F150</f>
        <v>0</v>
      </c>
      <c r="E149" s="171">
        <f t="shared" si="30"/>
        <v>7834</v>
      </c>
      <c r="F149" s="379"/>
      <c r="G149" s="171">
        <f t="shared" si="31"/>
        <v>7834</v>
      </c>
      <c r="H149" s="172">
        <f t="shared" si="32"/>
        <v>2.0941400979992883E-3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'[65]Sch C'!D151</f>
        <v>74600.820000000007</v>
      </c>
      <c r="D150" s="501">
        <f>'[65]Sch C'!F151</f>
        <v>0</v>
      </c>
      <c r="E150" s="171">
        <f t="shared" si="30"/>
        <v>74600.820000000007</v>
      </c>
      <c r="F150" s="379"/>
      <c r="G150" s="171">
        <f t="shared" si="31"/>
        <v>74600.820000000007</v>
      </c>
      <c r="H150" s="172">
        <f t="shared" si="32"/>
        <v>1.9941864756909278E-2</v>
      </c>
      <c r="I150" s="472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'[65]Sch C'!D152</f>
        <v>275.83</v>
      </c>
      <c r="D151" s="501">
        <f>'[65]Sch C'!F152</f>
        <v>0</v>
      </c>
      <c r="E151" s="171">
        <f t="shared" si="30"/>
        <v>275.83</v>
      </c>
      <c r="F151" s="379"/>
      <c r="G151" s="171">
        <f t="shared" si="31"/>
        <v>275.83</v>
      </c>
      <c r="H151" s="172">
        <f t="shared" si="32"/>
        <v>7.3733298855137056E-5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'[65]Sch C'!D153</f>
        <v>10395.24</v>
      </c>
      <c r="D152" s="501">
        <f>'[65]Sch C'!F153</f>
        <v>0</v>
      </c>
      <c r="E152" s="171">
        <f t="shared" si="30"/>
        <v>10395.24</v>
      </c>
      <c r="F152" s="379"/>
      <c r="G152" s="171">
        <f t="shared" si="31"/>
        <v>10395.24</v>
      </c>
      <c r="H152" s="172">
        <f t="shared" si="32"/>
        <v>2.778796133817478E-3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'[65]Sch C'!D154</f>
        <v>0</v>
      </c>
      <c r="D153" s="501">
        <f>'[65]Sch C'!F154</f>
        <v>0</v>
      </c>
      <c r="E153" s="171">
        <f t="shared" si="30"/>
        <v>0</v>
      </c>
      <c r="F153" s="379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384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'[65]Sch C'!D156</f>
        <v>0</v>
      </c>
      <c r="D155" s="501">
        <f>'[65]Sch C'!F156</f>
        <v>0</v>
      </c>
      <c r="E155" s="171">
        <f t="shared" ref="E155:E160" si="33">C155+D155</f>
        <v>0</v>
      </c>
      <c r="F155" s="379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'[65]Sch C'!D157</f>
        <v>1275</v>
      </c>
      <c r="D156" s="501">
        <f>'[65]Sch C'!F157</f>
        <v>0</v>
      </c>
      <c r="E156" s="171">
        <f t="shared" si="33"/>
        <v>1275</v>
      </c>
      <c r="F156" s="379"/>
      <c r="G156" s="171">
        <f t="shared" si="34"/>
        <v>1275</v>
      </c>
      <c r="H156" s="172">
        <f t="shared" si="35"/>
        <v>3.4082571163506414E-4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'[65]Sch C'!D158</f>
        <v>0</v>
      </c>
      <c r="D157" s="501">
        <f>'[65]Sch C'!F158</f>
        <v>0</v>
      </c>
      <c r="E157" s="171">
        <f t="shared" si="33"/>
        <v>0</v>
      </c>
      <c r="F157" s="379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'[65]Sch C'!D159</f>
        <v>848.75</v>
      </c>
      <c r="D158" s="501">
        <f>'[65]Sch C'!F159</f>
        <v>0</v>
      </c>
      <c r="E158" s="171">
        <f t="shared" si="33"/>
        <v>848.75</v>
      </c>
      <c r="F158" s="379"/>
      <c r="G158" s="171">
        <f t="shared" si="34"/>
        <v>848.75</v>
      </c>
      <c r="H158" s="172">
        <f t="shared" si="35"/>
        <v>2.2688299823549858E-4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'[65]Sch C'!D160</f>
        <v>0</v>
      </c>
      <c r="D159" s="501">
        <f>'[65]Sch C'!F160</f>
        <v>0</v>
      </c>
      <c r="E159" s="171">
        <f t="shared" si="33"/>
        <v>0</v>
      </c>
      <c r="F159" s="379"/>
      <c r="G159" s="171">
        <f t="shared" si="34"/>
        <v>0</v>
      </c>
      <c r="H159" s="172">
        <f>IF($G$208=0,0,G159/$G$208)</f>
        <v>0</v>
      </c>
      <c r="I159" s="472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'[65]Sch C'!D161</f>
        <v>19.3</v>
      </c>
      <c r="D160" s="501">
        <f>'[65]Sch C'!F161</f>
        <v>0</v>
      </c>
      <c r="E160" s="171">
        <f t="shared" si="33"/>
        <v>19.3</v>
      </c>
      <c r="F160" s="379"/>
      <c r="G160" s="171">
        <f t="shared" si="34"/>
        <v>19.3</v>
      </c>
      <c r="H160" s="172">
        <f t="shared" si="35"/>
        <v>5.1591656741621478E-6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1299174.3500000003</v>
      </c>
      <c r="D161" s="501">
        <f>SUM(D123:D160)</f>
        <v>172308.1739166553</v>
      </c>
      <c r="E161" s="171">
        <f t="shared" ref="E161:F161" si="36">SUM(E123:E160)</f>
        <v>1471482.5239166555</v>
      </c>
      <c r="F161" s="171">
        <f t="shared" si="36"/>
        <v>0</v>
      </c>
      <c r="G161" s="171">
        <f>SUM(G123:G160)</f>
        <v>1471482.5239166555</v>
      </c>
      <c r="H161" s="172">
        <f t="shared" si="35"/>
        <v>0.39334829676270933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383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396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'[65]Sch C'!D175</f>
        <v>0</v>
      </c>
      <c r="D164" s="501">
        <f>'[65]Sch C'!F175</f>
        <v>0</v>
      </c>
      <c r="E164" s="171">
        <f t="shared" ref="E164:E196" si="37">C164+D164</f>
        <v>0</v>
      </c>
      <c r="F164" s="385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'[65]Sch C'!D176</f>
        <v>0</v>
      </c>
      <c r="D165" s="501">
        <f>'[65]Sch C'!F176</f>
        <v>0</v>
      </c>
      <c r="E165" s="171">
        <f t="shared" si="37"/>
        <v>0</v>
      </c>
      <c r="F165" s="385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'[65]Sch C'!D177</f>
        <v>0</v>
      </c>
      <c r="D166" s="501">
        <f>'[65]Sch C'!F177</f>
        <v>0</v>
      </c>
      <c r="E166" s="171">
        <f t="shared" si="37"/>
        <v>0</v>
      </c>
      <c r="F166" s="385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'[65]Sch C'!D178</f>
        <v>0</v>
      </c>
      <c r="D167" s="501">
        <f>'[65]Sch C'!F178</f>
        <v>0</v>
      </c>
      <c r="E167" s="171">
        <f t="shared" si="37"/>
        <v>0</v>
      </c>
      <c r="F167" s="385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'[65]Sch C'!D179</f>
        <v>0</v>
      </c>
      <c r="D168" s="501">
        <f>'[65]Sch C'!F179</f>
        <v>0</v>
      </c>
      <c r="E168" s="171">
        <f t="shared" si="37"/>
        <v>0</v>
      </c>
      <c r="F168" s="385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'[65]Sch C'!D180</f>
        <v>0</v>
      </c>
      <c r="D169" s="501">
        <f>'[65]Sch C'!F180</f>
        <v>0</v>
      </c>
      <c r="E169" s="171">
        <f t="shared" si="37"/>
        <v>0</v>
      </c>
      <c r="F169" s="385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'[65]Sch C'!D181</f>
        <v>0</v>
      </c>
      <c r="D170" s="501">
        <f>'[65]Sch C'!F181</f>
        <v>0</v>
      </c>
      <c r="E170" s="171">
        <f t="shared" si="37"/>
        <v>0</v>
      </c>
      <c r="F170" s="385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'[65]Sch C'!D182</f>
        <v>0</v>
      </c>
      <c r="D171" s="501">
        <f>'[65]Sch C'!F182</f>
        <v>0</v>
      </c>
      <c r="E171" s="171">
        <f t="shared" si="37"/>
        <v>0</v>
      </c>
      <c r="F171" s="385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'[65]Sch C'!D183</f>
        <v>0</v>
      </c>
      <c r="D172" s="501">
        <f>'[65]Sch C'!F183</f>
        <v>0</v>
      </c>
      <c r="E172" s="171">
        <f t="shared" si="37"/>
        <v>0</v>
      </c>
      <c r="F172" s="385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'[65]Sch C'!D184</f>
        <v>0</v>
      </c>
      <c r="D173" s="501">
        <f>'[65]Sch C'!F184</f>
        <v>0</v>
      </c>
      <c r="E173" s="171">
        <f t="shared" si="37"/>
        <v>0</v>
      </c>
      <c r="F173" s="385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'[65]Sch C'!D185</f>
        <v>0</v>
      </c>
      <c r="D174" s="501">
        <f>'[65]Sch C'!F185</f>
        <v>0</v>
      </c>
      <c r="E174" s="171">
        <f t="shared" si="37"/>
        <v>0</v>
      </c>
      <c r="F174" s="385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'[65]Sch C'!D186</f>
        <v>0</v>
      </c>
      <c r="D175" s="501">
        <f>'[65]Sch C'!F186</f>
        <v>0</v>
      </c>
      <c r="E175" s="171">
        <f t="shared" si="37"/>
        <v>0</v>
      </c>
      <c r="F175" s="385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'[65]Sch C'!D187</f>
        <v>0</v>
      </c>
      <c r="D176" s="501">
        <f>'[65]Sch C'!F187</f>
        <v>0</v>
      </c>
      <c r="E176" s="171">
        <f t="shared" si="37"/>
        <v>0</v>
      </c>
      <c r="F176" s="385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'[65]Sch C'!D188</f>
        <v>292.02</v>
      </c>
      <c r="D177" s="501">
        <f>'[65]Sch C'!F188</f>
        <v>0</v>
      </c>
      <c r="E177" s="171">
        <f t="shared" si="37"/>
        <v>292.02</v>
      </c>
      <c r="F177" s="385"/>
      <c r="G177" s="171">
        <f t="shared" si="38"/>
        <v>292.02</v>
      </c>
      <c r="H177" s="172">
        <f t="shared" si="39"/>
        <v>7.806111710719327E-5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'[65]Sch C'!D189</f>
        <v>0</v>
      </c>
      <c r="D178" s="501">
        <f>'[65]Sch C'!F189</f>
        <v>0</v>
      </c>
      <c r="E178" s="171">
        <f t="shared" si="37"/>
        <v>0</v>
      </c>
      <c r="F178" s="385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'[65]Sch C'!D190</f>
        <v>0</v>
      </c>
      <c r="D179" s="501">
        <f>'[65]Sch C'!F190</f>
        <v>0</v>
      </c>
      <c r="E179" s="171">
        <f t="shared" si="37"/>
        <v>0</v>
      </c>
      <c r="F179" s="385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'[65]Sch C'!D191</f>
        <v>0</v>
      </c>
      <c r="D180" s="501">
        <f>'[65]Sch C'!F191</f>
        <v>0</v>
      </c>
      <c r="E180" s="171">
        <f t="shared" si="37"/>
        <v>0</v>
      </c>
      <c r="F180" s="385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'[65]Sch C'!D192</f>
        <v>0</v>
      </c>
      <c r="D181" s="501">
        <f>'[65]Sch C'!F192</f>
        <v>0</v>
      </c>
      <c r="E181" s="171">
        <f t="shared" si="37"/>
        <v>0</v>
      </c>
      <c r="F181" s="385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'[65]Sch C'!D193</f>
        <v>214</v>
      </c>
      <c r="D182" s="501">
        <f>'[65]Sch C'!F193</f>
        <v>0</v>
      </c>
      <c r="E182" s="171">
        <f t="shared" si="37"/>
        <v>214</v>
      </c>
      <c r="F182" s="385"/>
      <c r="G182" s="171">
        <f t="shared" si="38"/>
        <v>214</v>
      </c>
      <c r="H182" s="172">
        <f t="shared" si="39"/>
        <v>5.7205256697963706E-5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'[65]Sch C'!D194</f>
        <v>109701.22</v>
      </c>
      <c r="D183" s="501">
        <f>'[65]Sch C'!F194</f>
        <v>-54850.5</v>
      </c>
      <c r="E183" s="171">
        <f t="shared" si="37"/>
        <v>54850.720000000001</v>
      </c>
      <c r="F183" s="385"/>
      <c r="G183" s="171">
        <f t="shared" si="38"/>
        <v>54850.720000000001</v>
      </c>
      <c r="H183" s="172">
        <f t="shared" si="39"/>
        <v>1.466238092368286E-2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'[65]Sch C'!D195</f>
        <v>4525.1899999999996</v>
      </c>
      <c r="D184" s="501">
        <f>'[65]Sch C'!F195</f>
        <v>-2262.5100000000002</v>
      </c>
      <c r="E184" s="171">
        <f t="shared" si="37"/>
        <v>2262.6799999999994</v>
      </c>
      <c r="F184" s="385"/>
      <c r="G184" s="171">
        <f t="shared" si="38"/>
        <v>2262.6799999999994</v>
      </c>
      <c r="H184" s="172">
        <f t="shared" si="39"/>
        <v>6.0484668329602092E-4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'[65]Sch C'!D196</f>
        <v>0</v>
      </c>
      <c r="D185" s="501">
        <f>'[65]Sch C'!F196</f>
        <v>0</v>
      </c>
      <c r="E185" s="171">
        <f t="shared" si="37"/>
        <v>0</v>
      </c>
      <c r="F185" s="385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'[65]Sch C'!D197</f>
        <v>66566.25</v>
      </c>
      <c r="D186" s="501">
        <f>'[65]Sch C'!F197</f>
        <v>-33283</v>
      </c>
      <c r="E186" s="171">
        <f t="shared" si="37"/>
        <v>33283.25</v>
      </c>
      <c r="F186" s="385"/>
      <c r="G186" s="171">
        <f t="shared" si="38"/>
        <v>33283.25</v>
      </c>
      <c r="H186" s="172">
        <f t="shared" si="39"/>
        <v>8.897088130806077E-3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'[65]Sch C'!D198</f>
        <v>9890.3799999999992</v>
      </c>
      <c r="D187" s="501">
        <f>'[65]Sch C'!F198</f>
        <v>0</v>
      </c>
      <c r="E187" s="171">
        <f t="shared" si="37"/>
        <v>9890.3799999999992</v>
      </c>
      <c r="F187" s="385"/>
      <c r="G187" s="171">
        <f t="shared" si="38"/>
        <v>9890.3799999999992</v>
      </c>
      <c r="H187" s="172">
        <f t="shared" si="39"/>
        <v>2.6438398445813374E-3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'[65]Sch C'!D199</f>
        <v>0</v>
      </c>
      <c r="D188" s="501">
        <f>'[65]Sch C'!F199</f>
        <v>0</v>
      </c>
      <c r="E188" s="171">
        <f t="shared" si="37"/>
        <v>0</v>
      </c>
      <c r="F188" s="385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'[65]Sch C'!D200</f>
        <v>0</v>
      </c>
      <c r="D189" s="501">
        <f>'[65]Sch C'!F200</f>
        <v>0</v>
      </c>
      <c r="E189" s="171">
        <f t="shared" si="37"/>
        <v>0</v>
      </c>
      <c r="F189" s="385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'[65]Sch C'!D201</f>
        <v>0</v>
      </c>
      <c r="D190" s="501">
        <f>'[65]Sch C'!F201</f>
        <v>0</v>
      </c>
      <c r="E190" s="171">
        <f t="shared" si="37"/>
        <v>0</v>
      </c>
      <c r="F190" s="385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'[65]Sch C'!D202</f>
        <v>9.99</v>
      </c>
      <c r="D191" s="501">
        <f>'[65]Sch C'!F202</f>
        <v>0</v>
      </c>
      <c r="E191" s="171">
        <f t="shared" si="37"/>
        <v>9.99</v>
      </c>
      <c r="F191" s="385"/>
      <c r="G191" s="171">
        <f t="shared" si="38"/>
        <v>9.99</v>
      </c>
      <c r="H191" s="172">
        <f t="shared" si="39"/>
        <v>2.6704696935170909E-6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'[65]Sch C'!D203</f>
        <v>0</v>
      </c>
      <c r="D192" s="501">
        <f>'[65]Sch C'!F203</f>
        <v>0</v>
      </c>
      <c r="E192" s="171">
        <f t="shared" si="37"/>
        <v>0</v>
      </c>
      <c r="F192" s="385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'[65]Sch C'!D204</f>
        <v>0</v>
      </c>
      <c r="D193" s="501">
        <f>'[65]Sch C'!F204</f>
        <v>0</v>
      </c>
      <c r="E193" s="171">
        <f t="shared" si="37"/>
        <v>0</v>
      </c>
      <c r="F193" s="385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'[65]Sch C'!D205</f>
        <v>79968.09</v>
      </c>
      <c r="D194" s="501">
        <f>'[65]Sch C'!F205</f>
        <v>0</v>
      </c>
      <c r="E194" s="171">
        <f t="shared" si="37"/>
        <v>79968.09</v>
      </c>
      <c r="F194" s="385"/>
      <c r="G194" s="171">
        <f t="shared" si="38"/>
        <v>79968.09</v>
      </c>
      <c r="H194" s="172">
        <f t="shared" si="39"/>
        <v>2.1376612692036751E-2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'[65]Sch C'!D206</f>
        <v>651</v>
      </c>
      <c r="D195" s="501">
        <f>'[65]Sch C'!F206</f>
        <v>0</v>
      </c>
      <c r="E195" s="171">
        <f t="shared" si="37"/>
        <v>651</v>
      </c>
      <c r="F195" s="385"/>
      <c r="G195" s="171">
        <f t="shared" si="38"/>
        <v>651</v>
      </c>
      <c r="H195" s="172">
        <f t="shared" si="39"/>
        <v>1.7402159864660923E-4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'[65]Sch C'!D207</f>
        <v>94.29</v>
      </c>
      <c r="D196" s="501">
        <f>'[65]Sch C'!F207</f>
        <v>0</v>
      </c>
      <c r="E196" s="171">
        <f t="shared" si="37"/>
        <v>94.29</v>
      </c>
      <c r="F196" s="385"/>
      <c r="G196" s="171">
        <f t="shared" si="38"/>
        <v>94.29</v>
      </c>
      <c r="H196" s="172">
        <f t="shared" si="39"/>
        <v>2.5205063803976629E-5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271912.43</v>
      </c>
      <c r="D197" s="501">
        <f>SUM(D164:D196)</f>
        <v>-90396.010000000009</v>
      </c>
      <c r="E197" s="171">
        <f t="shared" ref="E197:F197" si="40">SUM(E164:E196)</f>
        <v>181516.42</v>
      </c>
      <c r="F197" s="171">
        <f t="shared" si="40"/>
        <v>0</v>
      </c>
      <c r="G197" s="171">
        <f>SUM(G164:G196)</f>
        <v>181516.42</v>
      </c>
      <c r="H197" s="172">
        <f>IF($G$208=0,0,G197/$G$208)</f>
        <v>4.8521931780352308E-2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386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386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'[65]Sch C'!D211</f>
        <v>77911.289999999994</v>
      </c>
      <c r="D200" s="501">
        <f>'[65]Sch C'!F211</f>
        <v>0</v>
      </c>
      <c r="E200" s="171">
        <f t="shared" ref="E200:E205" si="41">C200+D200</f>
        <v>77911.289999999994</v>
      </c>
      <c r="F200" s="379"/>
      <c r="G200" s="171">
        <f t="shared" ref="G200:G205" si="42">E200+F200</f>
        <v>77911.289999999994</v>
      </c>
      <c r="H200" s="172">
        <f t="shared" ref="H200:H206" si="43">IF($G$208=0,0,G200/$G$208)</f>
        <v>2.0826800673455572E-2</v>
      </c>
      <c r="I200" s="473"/>
      <c r="J200" s="183">
        <v>5478.81</v>
      </c>
      <c r="K200" s="183">
        <v>5770.3</v>
      </c>
    </row>
    <row r="201" spans="1:14" s="167" customFormat="1">
      <c r="A201" s="169" t="s">
        <v>86</v>
      </c>
      <c r="B201" s="170" t="s">
        <v>45</v>
      </c>
      <c r="C201" s="501">
        <f>'[65]Sch C'!D212</f>
        <v>0</v>
      </c>
      <c r="D201" s="501">
        <f>'[65]Sch C'!F212</f>
        <v>11282.009844171069</v>
      </c>
      <c r="E201" s="171">
        <f t="shared" si="41"/>
        <v>11282.009844171069</v>
      </c>
      <c r="F201" s="379"/>
      <c r="G201" s="171">
        <f t="shared" si="42"/>
        <v>11282.009844171069</v>
      </c>
      <c r="H201" s="172">
        <f t="shared" si="43"/>
        <v>3.015842379461493E-3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'[65]Sch C'!D213</f>
        <v>9431.25</v>
      </c>
      <c r="D202" s="501">
        <f>'[65]Sch C'!F213</f>
        <v>0</v>
      </c>
      <c r="E202" s="171">
        <f t="shared" si="41"/>
        <v>9431.25</v>
      </c>
      <c r="F202" s="379"/>
      <c r="G202" s="171">
        <f t="shared" si="42"/>
        <v>9431.25</v>
      </c>
      <c r="H202" s="172">
        <f t="shared" si="43"/>
        <v>2.5211078375358422E-3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'[65]Sch C'!D214</f>
        <v>0</v>
      </c>
      <c r="D203" s="501">
        <f>'[65]Sch C'!F214</f>
        <v>0</v>
      </c>
      <c r="E203" s="171">
        <f t="shared" si="41"/>
        <v>0</v>
      </c>
      <c r="F203" s="379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'[65]Sch C'!D215</f>
        <v>0</v>
      </c>
      <c r="D204" s="501">
        <f>'[65]Sch C'!F215</f>
        <v>0</v>
      </c>
      <c r="E204" s="171">
        <f t="shared" si="41"/>
        <v>0</v>
      </c>
      <c r="F204" s="379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'[65]Sch C'!D216</f>
        <v>3498.92</v>
      </c>
      <c r="D205" s="501">
        <f>'[65]Sch C'!F216</f>
        <v>0</v>
      </c>
      <c r="E205" s="171">
        <f t="shared" si="41"/>
        <v>3498.92</v>
      </c>
      <c r="F205" s="379"/>
      <c r="G205" s="171">
        <f t="shared" si="42"/>
        <v>3498.92</v>
      </c>
      <c r="H205" s="172">
        <f t="shared" si="43"/>
        <v>9.3531129329737931E-4</v>
      </c>
      <c r="I205" s="472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90841.459999999992</v>
      </c>
      <c r="D206" s="501">
        <f>SUM(D200:D205)</f>
        <v>11282.009844171069</v>
      </c>
      <c r="E206" s="171">
        <f t="shared" ref="E206:F206" si="44">SUM(E200:E205)</f>
        <v>102123.46984417106</v>
      </c>
      <c r="F206" s="171">
        <f t="shared" si="44"/>
        <v>0</v>
      </c>
      <c r="G206" s="171">
        <f>SUM(G200:G205)</f>
        <v>102123.46984417106</v>
      </c>
      <c r="H206" s="172">
        <f t="shared" si="43"/>
        <v>2.7299062183750288E-2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386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3806318.32</v>
      </c>
      <c r="D208" s="501">
        <f>SUM(D25:D206)/2</f>
        <v>-65403.369999999988</v>
      </c>
      <c r="E208" s="171">
        <f t="shared" ref="E208:F208" si="45">SUM(E25:E206)/2</f>
        <v>3740914.9499999988</v>
      </c>
      <c r="F208" s="171">
        <f t="shared" si="45"/>
        <v>0</v>
      </c>
      <c r="G208" s="171">
        <f>SUM(G25:G206)/2</f>
        <v>3740914.9499999988</v>
      </c>
      <c r="H208" s="172">
        <f>IF($G$208=0,0,G208/$G$208)</f>
        <v>1</v>
      </c>
      <c r="I208" s="473"/>
      <c r="J208" s="183">
        <f>SUM(J25:J200)</f>
        <v>105960.88</v>
      </c>
      <c r="K208" s="183">
        <f>SUM(K25:K200)</f>
        <v>112604.56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'[65]Sch C'!D221</f>
        <v>3806318.35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-3.0000000260770321E-2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387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386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-334385.93999999948</v>
      </c>
      <c r="D215" s="501">
        <f>D21-D208</f>
        <v>65403.369999999988</v>
      </c>
      <c r="E215" s="171">
        <f t="shared" ref="E215:F215" si="46">E21-E208</f>
        <v>-268982.56999999844</v>
      </c>
      <c r="F215" s="171">
        <f t="shared" si="46"/>
        <v>0</v>
      </c>
      <c r="G215" s="171">
        <f>G21-G208</f>
        <v>-268982.56999999844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383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383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386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'[65]Sch D'!C9</f>
        <v>10693</v>
      </c>
      <c r="D219" s="530"/>
      <c r="E219" s="234">
        <f t="shared" ref="E219:G227" si="47">C219+D219</f>
        <v>10693</v>
      </c>
      <c r="F219" s="388"/>
      <c r="G219" s="234">
        <f t="shared" si="47"/>
        <v>10693</v>
      </c>
      <c r="H219" s="172">
        <f t="shared" ref="H219:H228" si="48">IF($G$228=0,0,G219/$G$228)</f>
        <v>0.62811325187969924</v>
      </c>
      <c r="I219" s="473"/>
      <c r="J219" s="168"/>
      <c r="K219" s="168"/>
    </row>
    <row r="220" spans="1:11">
      <c r="A220" s="163"/>
      <c r="B220" s="170" t="s">
        <v>217</v>
      </c>
      <c r="C220" s="530">
        <f>'[65]Sch D'!D9</f>
        <v>0</v>
      </c>
      <c r="D220" s="530"/>
      <c r="E220" s="234">
        <f t="shared" ref="E220:E227" si="49">C220+D220</f>
        <v>0</v>
      </c>
      <c r="F220" s="388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'[65]Sch D'!E9</f>
        <v>1624</v>
      </c>
      <c r="D221" s="530"/>
      <c r="E221" s="234">
        <f t="shared" si="49"/>
        <v>1624</v>
      </c>
      <c r="F221" s="388"/>
      <c r="G221" s="234">
        <f t="shared" si="47"/>
        <v>1624</v>
      </c>
      <c r="H221" s="172">
        <f t="shared" si="48"/>
        <v>9.5394736842105268E-2</v>
      </c>
      <c r="I221" s="473"/>
      <c r="J221" s="168"/>
      <c r="K221" s="168"/>
    </row>
    <row r="222" spans="1:11">
      <c r="A222" s="163"/>
      <c r="B222" s="202" t="s">
        <v>334</v>
      </c>
      <c r="C222" s="530">
        <f>'[65]Sch D'!F9</f>
        <v>136</v>
      </c>
      <c r="D222" s="530"/>
      <c r="E222" s="234">
        <f>C222+D222</f>
        <v>136</v>
      </c>
      <c r="F222" s="388"/>
      <c r="G222" s="234">
        <f>E222+F222</f>
        <v>136</v>
      </c>
      <c r="H222" s="172">
        <f t="shared" si="48"/>
        <v>7.9887218045112778E-3</v>
      </c>
      <c r="I222" s="473"/>
      <c r="J222" s="168"/>
      <c r="K222" s="168"/>
    </row>
    <row r="223" spans="1:11">
      <c r="A223" s="163"/>
      <c r="B223" s="170" t="s">
        <v>73</v>
      </c>
      <c r="C223" s="530">
        <f>'[65]Sch D'!G9</f>
        <v>0</v>
      </c>
      <c r="D223" s="530"/>
      <c r="E223" s="234">
        <f t="shared" si="49"/>
        <v>0</v>
      </c>
      <c r="F223" s="388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'[65]Sch D'!H9</f>
        <v>3152</v>
      </c>
      <c r="D224" s="530"/>
      <c r="E224" s="234">
        <f t="shared" si="49"/>
        <v>3152</v>
      </c>
      <c r="F224" s="388"/>
      <c r="G224" s="234">
        <f t="shared" si="47"/>
        <v>3152</v>
      </c>
      <c r="H224" s="172">
        <f t="shared" si="48"/>
        <v>0.18515037593984962</v>
      </c>
      <c r="I224" s="473"/>
      <c r="J224" s="168"/>
      <c r="K224" s="168"/>
    </row>
    <row r="225" spans="1:11">
      <c r="A225" s="163"/>
      <c r="B225" s="170" t="s">
        <v>236</v>
      </c>
      <c r="C225" s="530">
        <f>'[65]Sch D'!I9</f>
        <v>1364</v>
      </c>
      <c r="D225" s="530"/>
      <c r="E225" s="234">
        <f t="shared" si="49"/>
        <v>1364</v>
      </c>
      <c r="F225" s="388"/>
      <c r="G225" s="234">
        <f t="shared" si="47"/>
        <v>1364</v>
      </c>
      <c r="H225" s="172">
        <f t="shared" si="48"/>
        <v>8.0122180451127817E-2</v>
      </c>
      <c r="I225" s="473"/>
      <c r="J225" s="168"/>
      <c r="K225" s="168"/>
    </row>
    <row r="226" spans="1:11">
      <c r="A226" s="163"/>
      <c r="B226" s="170" t="s">
        <v>235</v>
      </c>
      <c r="C226" s="530">
        <f>'[65]Sch D'!J9</f>
        <v>55</v>
      </c>
      <c r="D226" s="530"/>
      <c r="E226" s="234">
        <f>C226+D226</f>
        <v>55</v>
      </c>
      <c r="F226" s="388"/>
      <c r="G226" s="234">
        <f>E226+F226</f>
        <v>55</v>
      </c>
      <c r="H226" s="172">
        <f t="shared" si="48"/>
        <v>3.2307330827067667E-3</v>
      </c>
      <c r="I226" s="473"/>
      <c r="J226" s="168"/>
      <c r="K226" s="168"/>
    </row>
    <row r="227" spans="1:11">
      <c r="A227" s="163"/>
      <c r="B227" s="170" t="s">
        <v>179</v>
      </c>
      <c r="C227" s="530">
        <f>'[65]Sch D'!K9</f>
        <v>0</v>
      </c>
      <c r="D227" s="530"/>
      <c r="E227" s="234">
        <f t="shared" si="49"/>
        <v>0</v>
      </c>
      <c r="F227" s="388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17024</v>
      </c>
      <c r="D228" s="530">
        <f>SUM(D219:D227)</f>
        <v>0</v>
      </c>
      <c r="E228" s="236">
        <f>SUM(E219:E227)</f>
        <v>17024</v>
      </c>
      <c r="F228" s="389">
        <f>SUM(F219:F227)</f>
        <v>0</v>
      </c>
      <c r="G228" s="236">
        <f>SUM(G219:G227)</f>
        <v>17024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392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387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'[65]Sch D'!N22</f>
        <v>53</v>
      </c>
      <c r="D231" s="502"/>
      <c r="E231" s="234">
        <f>C231+D231</f>
        <v>53</v>
      </c>
      <c r="F231" s="393"/>
      <c r="G231" s="234">
        <f>E231+F231</f>
        <v>53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'[65]Sch D'!N24</f>
        <v>53</v>
      </c>
      <c r="D232" s="502"/>
      <c r="E232" s="234">
        <f>C232+D232</f>
        <v>53</v>
      </c>
      <c r="F232" s="393"/>
      <c r="G232" s="234">
        <f>E232+F232</f>
        <v>53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390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390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'[65]Sch D'!N28</f>
        <v>19345</v>
      </c>
      <c r="D235" s="438"/>
      <c r="E235" s="233">
        <f>E231*E233</f>
        <v>19345</v>
      </c>
      <c r="F235" s="390"/>
      <c r="G235" s="233">
        <f>G231*G233</f>
        <v>19345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'[65]Sch D'!N30</f>
        <v>0.88002067717756527</v>
      </c>
      <c r="D236" s="238"/>
      <c r="E236" s="242">
        <f>E228/E235</f>
        <v>0.88002067717756527</v>
      </c>
      <c r="F236" s="394"/>
      <c r="G236" s="242">
        <f>G228/G235</f>
        <v>0.88002067717756527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'[65]Sch D'!N32</f>
        <v>0.55275264926337553</v>
      </c>
      <c r="D237" s="238"/>
      <c r="E237" s="242">
        <f>(E219+E220)/E235</f>
        <v>0.55275264926337553</v>
      </c>
      <c r="F237" s="394"/>
      <c r="G237" s="242">
        <f>(G219+G220)/G235</f>
        <v>0.55275264926337553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'[65]Sch D'!N34</f>
        <v>0.62811325187969924</v>
      </c>
      <c r="D238" s="238"/>
      <c r="E238" s="242">
        <f>(E237/E236)</f>
        <v>0.62811325187969924</v>
      </c>
      <c r="F238" s="394"/>
      <c r="G238" s="242">
        <f>(G237/G236)</f>
        <v>0.62811325187969924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374" t="s">
        <v>340</v>
      </c>
      <c r="G241" s="501">
        <f>'[65]Sch B'!C85</f>
        <v>151.41266494178527</v>
      </c>
      <c r="I241" s="475"/>
    </row>
    <row r="242" spans="2:9">
      <c r="F242" s="374" t="s">
        <v>341</v>
      </c>
      <c r="G242" s="501">
        <f>'[65]Sch B'!E85</f>
        <v>194.11716106604865</v>
      </c>
      <c r="I242" s="475"/>
    </row>
    <row r="243" spans="2:9" ht="15.5">
      <c r="B243"/>
      <c r="F243" s="374" t="s">
        <v>342</v>
      </c>
      <c r="G243" s="501">
        <f>'[65]Sch B'!G85</f>
        <v>172.65868131868132</v>
      </c>
      <c r="I243" s="475"/>
    </row>
    <row r="244" spans="2:9" ht="15.5">
      <c r="B244"/>
      <c r="F244" s="374" t="s">
        <v>343</v>
      </c>
      <c r="G244" s="501">
        <f>'[65]Sch B'!I85</f>
        <v>178.33058375634519</v>
      </c>
      <c r="I244" s="475"/>
    </row>
    <row r="245" spans="2:9" ht="15.5">
      <c r="B245"/>
      <c r="F245" s="374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0">
    <tabColor rgb="FFE28CAB"/>
    <pageSetUpPr fitToPage="1"/>
  </sheetPr>
  <dimension ref="A1:L246"/>
  <sheetViews>
    <sheetView showGridLines="0" zoomScaleNormal="100" workbookViewId="0">
      <selection activeCell="K1" sqref="K1"/>
    </sheetView>
  </sheetViews>
  <sheetFormatPr defaultColWidth="8.6640625" defaultRowHeight="14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414062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671"/>
  </cols>
  <sheetData>
    <row r="1" spans="1:12" ht="36.75" customHeight="1">
      <c r="A1" s="138" t="str">
        <f>'ALPINE MEADOW'!A1</f>
        <v>schedules revised 7/2017</v>
      </c>
      <c r="B1" s="139" t="s">
        <v>304</v>
      </c>
      <c r="C1" s="429"/>
      <c r="D1" s="429" t="s">
        <v>502</v>
      </c>
      <c r="E1" s="429"/>
      <c r="F1" s="429"/>
      <c r="G1" s="429"/>
      <c r="H1" s="429"/>
      <c r="I1" s="430"/>
    </row>
    <row r="2" spans="1:12" s="673" customFormat="1" ht="23">
      <c r="A2" s="142"/>
      <c r="B2" s="143" t="s">
        <v>189</v>
      </c>
      <c r="C2" s="244" t="s">
        <v>503</v>
      </c>
      <c r="D2" s="244"/>
      <c r="E2" s="144"/>
      <c r="F2" s="140"/>
      <c r="G2" s="140"/>
      <c r="H2" s="140"/>
      <c r="I2" s="329"/>
      <c r="J2" s="141"/>
      <c r="K2" s="141"/>
      <c r="L2" s="140"/>
    </row>
    <row r="3" spans="1:12">
      <c r="A3" s="145"/>
      <c r="B3" s="140" t="s">
        <v>79</v>
      </c>
      <c r="C3" s="441">
        <v>42552</v>
      </c>
      <c r="D3" s="144"/>
      <c r="E3" s="147"/>
      <c r="F3" s="409"/>
    </row>
    <row r="4" spans="1:12">
      <c r="A4" s="145"/>
      <c r="B4" s="148" t="s">
        <v>80</v>
      </c>
      <c r="C4" s="441">
        <v>42916</v>
      </c>
      <c r="D4" s="144"/>
      <c r="E4" s="149"/>
      <c r="F4" s="409"/>
      <c r="G4" s="150"/>
    </row>
    <row r="5" spans="1:12">
      <c r="A5" s="145"/>
      <c r="B5" s="148"/>
      <c r="C5" s="151"/>
      <c r="D5" s="144"/>
      <c r="F5" s="421"/>
    </row>
    <row r="6" spans="1:12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2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2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2" ht="15.5">
      <c r="A9" s="145"/>
      <c r="C9" s="151"/>
      <c r="D9" s="144"/>
      <c r="F9"/>
      <c r="G9" s="144"/>
      <c r="I9" s="475"/>
    </row>
    <row r="10" spans="1:12" s="672" customFormat="1" ht="16.5" customHeight="1" thickBot="1">
      <c r="A10" s="163" t="s">
        <v>723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  <c r="L10" s="167"/>
    </row>
    <row r="11" spans="1:12" s="672" customFormat="1">
      <c r="A11" s="169" t="s">
        <v>13</v>
      </c>
      <c r="B11" s="170" t="s">
        <v>213</v>
      </c>
      <c r="C11" s="501">
        <f>'[66]Sch B'!E10</f>
        <v>10150159</v>
      </c>
      <c r="D11" s="501">
        <f>'[66]Sch B'!G10</f>
        <v>-1201828</v>
      </c>
      <c r="E11" s="171">
        <f>C11+D11</f>
        <v>8948331</v>
      </c>
      <c r="F11" s="660"/>
      <c r="G11" s="171">
        <f t="shared" ref="G11:G20" si="0">E11+F11</f>
        <v>8948331</v>
      </c>
      <c r="H11" s="172">
        <f t="shared" ref="H11:H21" si="1">IF($G$21=0,0,G11/$G$21)</f>
        <v>0.47053516610202434</v>
      </c>
      <c r="I11" s="473"/>
      <c r="J11" s="336" t="s">
        <v>344</v>
      </c>
      <c r="K11" s="337">
        <f>G21</f>
        <v>19017348</v>
      </c>
      <c r="L11" s="167"/>
    </row>
    <row r="12" spans="1:12" s="672" customFormat="1">
      <c r="A12" s="169" t="s">
        <v>15</v>
      </c>
      <c r="B12" s="170" t="s">
        <v>212</v>
      </c>
      <c r="C12" s="501">
        <f>'[66]Sch B'!E15</f>
        <v>0</v>
      </c>
      <c r="D12" s="501">
        <f>'[66]Sch B'!G15</f>
        <v>1201828</v>
      </c>
      <c r="E12" s="171">
        <f t="shared" ref="E12:E20" si="2">C12+D12</f>
        <v>1201828</v>
      </c>
      <c r="F12" s="171"/>
      <c r="G12" s="171">
        <f>E12+F12</f>
        <v>1201828</v>
      </c>
      <c r="H12" s="172">
        <f t="shared" si="1"/>
        <v>6.3196403620525851E-2</v>
      </c>
      <c r="I12" s="473"/>
      <c r="J12" s="338" t="s">
        <v>345</v>
      </c>
      <c r="K12" s="339">
        <f>G208</f>
        <v>19961109</v>
      </c>
      <c r="L12" s="167"/>
    </row>
    <row r="13" spans="1:12" s="672" customFormat="1">
      <c r="A13" s="169" t="s">
        <v>16</v>
      </c>
      <c r="B13" s="170" t="s">
        <v>170</v>
      </c>
      <c r="C13" s="501">
        <f>'[66]Sch B'!E21</f>
        <v>4381601</v>
      </c>
      <c r="D13" s="501">
        <f>'[66]Sch B'!G21</f>
        <v>0</v>
      </c>
      <c r="E13" s="171">
        <f t="shared" si="2"/>
        <v>4381601</v>
      </c>
      <c r="F13" s="171"/>
      <c r="G13" s="171">
        <f t="shared" si="0"/>
        <v>4381601</v>
      </c>
      <c r="H13" s="172">
        <f t="shared" si="1"/>
        <v>0.23040021142800773</v>
      </c>
      <c r="I13" s="473"/>
      <c r="J13" s="338" t="s">
        <v>346</v>
      </c>
      <c r="K13" s="339">
        <f>G228</f>
        <v>45314</v>
      </c>
      <c r="L13" s="167"/>
    </row>
    <row r="14" spans="1:12" s="672" customFormat="1">
      <c r="A14" s="173" t="s">
        <v>18</v>
      </c>
      <c r="B14" s="174" t="s">
        <v>306</v>
      </c>
      <c r="C14" s="501">
        <f>'[66]Sch B'!E27</f>
        <v>0</v>
      </c>
      <c r="D14" s="501">
        <f>'[66]Sch B'!G27</f>
        <v>1567591</v>
      </c>
      <c r="E14" s="171">
        <f t="shared" si="2"/>
        <v>1567591</v>
      </c>
      <c r="F14" s="175"/>
      <c r="G14" s="175">
        <f>E14+F14</f>
        <v>1567591</v>
      </c>
      <c r="H14" s="176">
        <f t="shared" si="1"/>
        <v>8.2429526977157913E-2</v>
      </c>
      <c r="I14" s="479"/>
      <c r="J14" s="338" t="s">
        <v>347</v>
      </c>
      <c r="K14" s="339">
        <f>G231</f>
        <v>160</v>
      </c>
      <c r="L14" s="167"/>
    </row>
    <row r="15" spans="1:12" s="672" customFormat="1">
      <c r="A15" s="169" t="s">
        <v>19</v>
      </c>
      <c r="B15" s="170" t="s">
        <v>171</v>
      </c>
      <c r="C15" s="501">
        <f>'[66]Sch B'!E32</f>
        <v>0</v>
      </c>
      <c r="D15" s="501">
        <f>'[66]Sch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58400</v>
      </c>
      <c r="L15" s="167"/>
    </row>
    <row r="16" spans="1:12" s="672" customFormat="1">
      <c r="A16" s="169" t="s">
        <v>21</v>
      </c>
      <c r="B16" s="170" t="s">
        <v>172</v>
      </c>
      <c r="C16" s="501">
        <f>'[66]Sch B'!E37</f>
        <v>4360230</v>
      </c>
      <c r="D16" s="501">
        <f>'[66]Sch B'!G37</f>
        <v>-1567591</v>
      </c>
      <c r="E16" s="171">
        <f t="shared" si="2"/>
        <v>2792639</v>
      </c>
      <c r="F16" s="171"/>
      <c r="G16" s="171">
        <f t="shared" si="0"/>
        <v>2792639</v>
      </c>
      <c r="H16" s="172">
        <f t="shared" si="1"/>
        <v>0.14684692103231217</v>
      </c>
      <c r="I16" s="473"/>
      <c r="J16" s="340"/>
      <c r="K16" s="339"/>
      <c r="L16" s="167"/>
    </row>
    <row r="17" spans="1:12" s="672" customFormat="1">
      <c r="A17" s="169" t="s">
        <v>215</v>
      </c>
      <c r="B17" s="170" t="s">
        <v>228</v>
      </c>
      <c r="C17" s="501">
        <f>'[66]Sch B'!E42</f>
        <v>0</v>
      </c>
      <c r="D17" s="501">
        <f>'[66]Sch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534729</v>
      </c>
      <c r="L17" s="167"/>
    </row>
    <row r="18" spans="1:12" s="672" customFormat="1" ht="15" thickBot="1">
      <c r="A18" s="169" t="s">
        <v>216</v>
      </c>
      <c r="B18" s="170" t="s">
        <v>229</v>
      </c>
      <c r="C18" s="501">
        <f>'[66]Sch B'!E47</f>
        <v>0</v>
      </c>
      <c r="D18" s="501">
        <f>'[66]Sch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581329</v>
      </c>
      <c r="L18" s="167"/>
    </row>
    <row r="19" spans="1:12" s="672" customFormat="1">
      <c r="A19" s="169" t="s">
        <v>227</v>
      </c>
      <c r="B19" s="177" t="s">
        <v>173</v>
      </c>
      <c r="C19" s="501">
        <f>'[66]Sch B'!E52</f>
        <v>0</v>
      </c>
      <c r="D19" s="501">
        <f>'[66]Sch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  <c r="L19" s="167"/>
    </row>
    <row r="20" spans="1:12" s="672" customFormat="1">
      <c r="A20" s="169" t="s">
        <v>183</v>
      </c>
      <c r="B20" s="23" t="s">
        <v>180</v>
      </c>
      <c r="C20" s="501">
        <f>'[66]Sch B'!E67</f>
        <v>353624</v>
      </c>
      <c r="D20" s="501">
        <f>'[66]Sch B'!G67</f>
        <v>0</v>
      </c>
      <c r="E20" s="171">
        <f t="shared" si="2"/>
        <v>353624</v>
      </c>
      <c r="F20" s="171">
        <f>-353624+125358</f>
        <v>-228266</v>
      </c>
      <c r="G20" s="171">
        <f t="shared" si="0"/>
        <v>125358</v>
      </c>
      <c r="H20" s="172">
        <f t="shared" si="1"/>
        <v>6.5917708399720089E-3</v>
      </c>
      <c r="I20" s="473" t="s">
        <v>696</v>
      </c>
      <c r="J20" s="168"/>
      <c r="K20" s="168"/>
      <c r="L20" s="167"/>
    </row>
    <row r="21" spans="1:12" s="672" customFormat="1">
      <c r="A21" s="169"/>
      <c r="B21" s="178" t="s">
        <v>77</v>
      </c>
      <c r="C21" s="501">
        <f>SUM(C11:C20)</f>
        <v>19245614</v>
      </c>
      <c r="D21" s="501">
        <f>SUM(D11:D20)</f>
        <v>0</v>
      </c>
      <c r="E21" s="171">
        <f>SUM(E11:E20)</f>
        <v>19245614</v>
      </c>
      <c r="F21" s="171">
        <f>SUM(F11:F20)</f>
        <v>-228266</v>
      </c>
      <c r="G21" s="171">
        <f>SUM(G11:G20)</f>
        <v>19017348</v>
      </c>
      <c r="H21" s="172">
        <f t="shared" si="1"/>
        <v>1</v>
      </c>
      <c r="I21" s="473"/>
      <c r="J21" s="168"/>
      <c r="K21" s="168"/>
      <c r="L21" s="167"/>
    </row>
    <row r="22" spans="1:12" ht="12" customHeight="1">
      <c r="A22" s="145"/>
      <c r="B22" s="179"/>
      <c r="C22" s="151"/>
      <c r="D22" s="144"/>
      <c r="F22" s="144"/>
      <c r="G22" s="144"/>
      <c r="I22" s="475"/>
    </row>
    <row r="23" spans="1:12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2" ht="15.5">
      <c r="A24" s="181" t="s">
        <v>161</v>
      </c>
      <c r="B24" s="148" t="s">
        <v>12</v>
      </c>
      <c r="F24"/>
      <c r="I24" s="475"/>
    </row>
    <row r="25" spans="1:12" s="672" customFormat="1">
      <c r="A25" s="169" t="s">
        <v>83</v>
      </c>
      <c r="B25" s="170" t="s">
        <v>14</v>
      </c>
      <c r="C25" s="501">
        <f>'[66]Sch C'!D10</f>
        <v>0</v>
      </c>
      <c r="D25" s="501">
        <f>'[66]Sch C'!F10</f>
        <v>0</v>
      </c>
      <c r="E25" s="171">
        <f t="shared" ref="E25:E60" si="3">C25+D25</f>
        <v>0</v>
      </c>
      <c r="F25" s="171">
        <v>227975</v>
      </c>
      <c r="G25" s="182">
        <f>E25+F25</f>
        <v>227975</v>
      </c>
      <c r="H25" s="172">
        <f>IF($G$208=0,0,G25/$G$208)</f>
        <v>1.1420958625094428E-2</v>
      </c>
      <c r="I25" s="473"/>
      <c r="J25" s="183">
        <v>1586</v>
      </c>
      <c r="K25" s="183">
        <v>1642</v>
      </c>
      <c r="L25" s="167"/>
    </row>
    <row r="26" spans="1:12" s="672" customFormat="1">
      <c r="A26" s="169" t="s">
        <v>84</v>
      </c>
      <c r="B26" s="170" t="s">
        <v>176</v>
      </c>
      <c r="C26" s="501">
        <f>'[66]Sch C'!D11</f>
        <v>0</v>
      </c>
      <c r="D26" s="501">
        <f>'[66]Sch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  <c r="L26" s="167"/>
    </row>
    <row r="27" spans="1:12" s="672" customFormat="1">
      <c r="A27" s="169" t="s">
        <v>85</v>
      </c>
      <c r="B27" s="170" t="s">
        <v>17</v>
      </c>
      <c r="C27" s="501">
        <f>'[66]Sch C'!D12</f>
        <v>1226909</v>
      </c>
      <c r="D27" s="501">
        <f>'[66]Sch C'!F12</f>
        <v>0</v>
      </c>
      <c r="E27" s="171">
        <f t="shared" si="3"/>
        <v>1226909</v>
      </c>
      <c r="F27" s="171">
        <v>-227975</v>
      </c>
      <c r="G27" s="171">
        <f t="shared" si="4"/>
        <v>998934</v>
      </c>
      <c r="H27" s="172">
        <f t="shared" si="5"/>
        <v>5.004401308564569E-2</v>
      </c>
      <c r="I27" s="473"/>
      <c r="J27" s="183">
        <v>67788</v>
      </c>
      <c r="K27" s="183">
        <v>75696</v>
      </c>
      <c r="L27" s="167"/>
    </row>
    <row r="28" spans="1:12" s="672" customFormat="1">
      <c r="A28" s="169" t="s">
        <v>86</v>
      </c>
      <c r="B28" s="170" t="s">
        <v>45</v>
      </c>
      <c r="C28" s="501">
        <f>'[66]Sch C'!D13</f>
        <v>1603346</v>
      </c>
      <c r="D28" s="501">
        <f>'[66]Sch C'!F13</f>
        <v>-1419754</v>
      </c>
      <c r="E28" s="171">
        <f t="shared" si="3"/>
        <v>183592</v>
      </c>
      <c r="F28" s="171"/>
      <c r="G28" s="171">
        <f t="shared" si="4"/>
        <v>183592</v>
      </c>
      <c r="H28" s="172">
        <f t="shared" si="5"/>
        <v>9.1974849693972419E-3</v>
      </c>
      <c r="I28" s="473"/>
      <c r="J28" s="168"/>
      <c r="K28" s="168"/>
      <c r="L28" s="167"/>
    </row>
    <row r="29" spans="1:12" s="672" customFormat="1">
      <c r="A29" s="169" t="s">
        <v>175</v>
      </c>
      <c r="B29" s="170" t="s">
        <v>20</v>
      </c>
      <c r="C29" s="501">
        <f>'[66]Sch C'!D14</f>
        <v>1013</v>
      </c>
      <c r="D29" s="501">
        <f>'[66]Sch C'!F14</f>
        <v>0</v>
      </c>
      <c r="E29" s="171">
        <f t="shared" si="3"/>
        <v>1013</v>
      </c>
      <c r="F29" s="171"/>
      <c r="G29" s="171">
        <f t="shared" si="4"/>
        <v>1013</v>
      </c>
      <c r="H29" s="172">
        <f t="shared" si="5"/>
        <v>5.0748683352212547E-5</v>
      </c>
      <c r="I29" s="473"/>
      <c r="J29" s="168"/>
      <c r="K29" s="168"/>
      <c r="L29" s="167"/>
    </row>
    <row r="30" spans="1:12" s="672" customFormat="1">
      <c r="A30" s="169" t="s">
        <v>88</v>
      </c>
      <c r="B30" s="170" t="s">
        <v>22</v>
      </c>
      <c r="C30" s="501">
        <f>'[66]Sch C'!D15</f>
        <v>464981</v>
      </c>
      <c r="D30" s="501">
        <f>'[66]Sch C'!F15</f>
        <v>-353624</v>
      </c>
      <c r="E30" s="171">
        <f t="shared" si="3"/>
        <v>111357</v>
      </c>
      <c r="F30" s="171">
        <v>-111357</v>
      </c>
      <c r="G30" s="171">
        <f t="shared" si="4"/>
        <v>0</v>
      </c>
      <c r="H30" s="172">
        <f t="shared" si="5"/>
        <v>0</v>
      </c>
      <c r="I30" s="473" t="s">
        <v>693</v>
      </c>
      <c r="J30" s="168"/>
      <c r="K30" s="168"/>
      <c r="L30" s="167"/>
    </row>
    <row r="31" spans="1:12" s="672" customFormat="1">
      <c r="A31" s="169" t="s">
        <v>89</v>
      </c>
      <c r="B31" s="170" t="s">
        <v>148</v>
      </c>
      <c r="C31" s="501">
        <f>'[66]Sch C'!D16</f>
        <v>0</v>
      </c>
      <c r="D31" s="501">
        <f>'[66]Sch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  <c r="L31" s="167"/>
    </row>
    <row r="32" spans="1:12" s="672" customFormat="1">
      <c r="A32" s="169" t="s">
        <v>90</v>
      </c>
      <c r="B32" s="170" t="s">
        <v>23</v>
      </c>
      <c r="C32" s="501">
        <f>'[66]Sch C'!D17</f>
        <v>63126</v>
      </c>
      <c r="D32" s="501">
        <f>'[66]Sch C'!F17</f>
        <v>0</v>
      </c>
      <c r="E32" s="171">
        <f t="shared" si="3"/>
        <v>63126</v>
      </c>
      <c r="F32" s="171">
        <v>-63126</v>
      </c>
      <c r="G32" s="171">
        <f t="shared" si="4"/>
        <v>0</v>
      </c>
      <c r="H32" s="172">
        <f t="shared" si="5"/>
        <v>0</v>
      </c>
      <c r="I32" s="473" t="s">
        <v>693</v>
      </c>
      <c r="J32" s="168"/>
      <c r="K32" s="168"/>
      <c r="L32" s="167"/>
    </row>
    <row r="33" spans="1:12" s="672" customFormat="1">
      <c r="A33" s="169" t="s">
        <v>91</v>
      </c>
      <c r="B33" s="170" t="s">
        <v>24</v>
      </c>
      <c r="C33" s="501">
        <f>'[66]Sch C'!D18</f>
        <v>65642</v>
      </c>
      <c r="D33" s="501">
        <f>'[66]Sch C'!F18</f>
        <v>0</v>
      </c>
      <c r="E33" s="171">
        <f t="shared" si="3"/>
        <v>65642</v>
      </c>
      <c r="F33" s="171"/>
      <c r="G33" s="171">
        <f t="shared" si="4"/>
        <v>65642</v>
      </c>
      <c r="H33" s="172">
        <f t="shared" si="5"/>
        <v>3.2884946422566002E-3</v>
      </c>
      <c r="I33" s="473"/>
      <c r="J33" s="168"/>
      <c r="K33" s="168"/>
      <c r="L33" s="167"/>
    </row>
    <row r="34" spans="1:12" s="672" customFormat="1">
      <c r="A34" s="169" t="s">
        <v>92</v>
      </c>
      <c r="B34" s="170" t="s">
        <v>25</v>
      </c>
      <c r="C34" s="501">
        <f>'[66]Sch C'!D19</f>
        <v>13796</v>
      </c>
      <c r="D34" s="501">
        <f>'[66]Sch C'!F19</f>
        <v>0</v>
      </c>
      <c r="E34" s="171">
        <f t="shared" si="3"/>
        <v>13796</v>
      </c>
      <c r="F34" s="171"/>
      <c r="G34" s="171">
        <f t="shared" si="4"/>
        <v>13796</v>
      </c>
      <c r="H34" s="172">
        <f t="shared" si="5"/>
        <v>6.9114396399518681E-4</v>
      </c>
      <c r="I34" s="473"/>
      <c r="J34" s="168"/>
      <c r="K34" s="168"/>
      <c r="L34" s="167"/>
    </row>
    <row r="35" spans="1:12" s="672" customFormat="1">
      <c r="A35" s="169" t="s">
        <v>93</v>
      </c>
      <c r="B35" s="170" t="s">
        <v>26</v>
      </c>
      <c r="C35" s="501">
        <f>'[66]Sch C'!D20</f>
        <v>95144</v>
      </c>
      <c r="D35" s="501">
        <f>'[66]Sch C'!F20</f>
        <v>0</v>
      </c>
      <c r="E35" s="171">
        <f t="shared" si="3"/>
        <v>95144</v>
      </c>
      <c r="F35" s="171"/>
      <c r="G35" s="171">
        <f t="shared" si="4"/>
        <v>95144</v>
      </c>
      <c r="H35" s="172">
        <f t="shared" si="5"/>
        <v>4.7664686365872762E-3</v>
      </c>
      <c r="I35" s="473"/>
      <c r="J35" s="168"/>
      <c r="K35" s="168"/>
      <c r="L35" s="167"/>
    </row>
    <row r="36" spans="1:12" s="672" customFormat="1">
      <c r="A36" s="169" t="s">
        <v>94</v>
      </c>
      <c r="B36" s="170" t="s">
        <v>27</v>
      </c>
      <c r="C36" s="501">
        <f>'[66]Sch C'!D21</f>
        <v>87529</v>
      </c>
      <c r="D36" s="501">
        <f>'[66]Sch C'!F21</f>
        <v>0</v>
      </c>
      <c r="E36" s="171">
        <f t="shared" si="3"/>
        <v>87529</v>
      </c>
      <c r="F36" s="171">
        <f>7500-18413</f>
        <v>-10913</v>
      </c>
      <c r="G36" s="171">
        <f t="shared" si="4"/>
        <v>76616</v>
      </c>
      <c r="H36" s="172">
        <f t="shared" si="5"/>
        <v>3.8382636956694137E-3</v>
      </c>
      <c r="I36" s="473" t="s">
        <v>696</v>
      </c>
      <c r="J36" s="168"/>
      <c r="K36" s="168"/>
      <c r="L36" s="167"/>
    </row>
    <row r="37" spans="1:12" s="672" customFormat="1">
      <c r="A37" s="163">
        <v>130</v>
      </c>
      <c r="B37" s="170" t="s">
        <v>28</v>
      </c>
      <c r="C37" s="501">
        <f>'[66]Sch C'!D22</f>
        <v>0</v>
      </c>
      <c r="D37" s="501">
        <f>'[66]Sch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  <c r="L37" s="167"/>
    </row>
    <row r="38" spans="1:12" s="672" customFormat="1">
      <c r="A38" s="163">
        <v>140</v>
      </c>
      <c r="B38" s="170" t="s">
        <v>149</v>
      </c>
      <c r="C38" s="501">
        <f>'[66]Sch C'!D23</f>
        <v>37679</v>
      </c>
      <c r="D38" s="501">
        <f>'[66]Sch C'!F23</f>
        <v>0</v>
      </c>
      <c r="E38" s="171">
        <f t="shared" si="3"/>
        <v>37679</v>
      </c>
      <c r="F38" s="171"/>
      <c r="G38" s="171">
        <f t="shared" si="4"/>
        <v>37679</v>
      </c>
      <c r="H38" s="172">
        <f t="shared" si="5"/>
        <v>1.8876205725844191E-3</v>
      </c>
      <c r="I38" s="473"/>
      <c r="J38" s="168"/>
      <c r="K38" s="168"/>
      <c r="L38" s="167"/>
    </row>
    <row r="39" spans="1:12" s="672" customFormat="1">
      <c r="A39" s="163">
        <v>150</v>
      </c>
      <c r="B39" s="170" t="s">
        <v>29</v>
      </c>
      <c r="C39" s="501">
        <f>'[66]Sch C'!D24</f>
        <v>0</v>
      </c>
      <c r="D39" s="501">
        <f>'[66]Sch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  <c r="L39" s="167"/>
    </row>
    <row r="40" spans="1:12" s="672" customFormat="1">
      <c r="A40" s="163">
        <v>160</v>
      </c>
      <c r="B40" s="170" t="s">
        <v>30</v>
      </c>
      <c r="C40" s="501">
        <f>'[66]Sch C'!D25</f>
        <v>0</v>
      </c>
      <c r="D40" s="501">
        <f>'[66]Sch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  <c r="L40" s="167"/>
    </row>
    <row r="41" spans="1:12" s="672" customFormat="1">
      <c r="A41" s="163">
        <v>170</v>
      </c>
      <c r="B41" s="170" t="s">
        <v>31</v>
      </c>
      <c r="C41" s="501">
        <f>'[66]Sch C'!D26</f>
        <v>605172</v>
      </c>
      <c r="D41" s="501">
        <f>'[66]Sch C'!F26</f>
        <v>0</v>
      </c>
      <c r="E41" s="171">
        <f t="shared" si="3"/>
        <v>605172</v>
      </c>
      <c r="F41" s="171"/>
      <c r="G41" s="171">
        <f t="shared" si="4"/>
        <v>605172</v>
      </c>
      <c r="H41" s="172">
        <f t="shared" si="5"/>
        <v>3.031755399962998E-2</v>
      </c>
      <c r="I41" s="473"/>
      <c r="J41" s="168"/>
      <c r="K41" s="168"/>
      <c r="L41" s="167"/>
    </row>
    <row r="42" spans="1:12" s="672" customFormat="1">
      <c r="A42" s="163">
        <v>180</v>
      </c>
      <c r="B42" s="170" t="s">
        <v>32</v>
      </c>
      <c r="C42" s="501">
        <f>'[66]Sch C'!D27</f>
        <v>0</v>
      </c>
      <c r="D42" s="501">
        <f>'[66]Sch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  <c r="L42" s="167"/>
    </row>
    <row r="43" spans="1:12" s="672" customFormat="1">
      <c r="A43" s="163">
        <v>190</v>
      </c>
      <c r="B43" s="170" t="s">
        <v>33</v>
      </c>
      <c r="C43" s="501">
        <f>'[66]Sch C'!D28</f>
        <v>0</v>
      </c>
      <c r="D43" s="501">
        <f>'[66]Sch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  <c r="L43" s="167"/>
    </row>
    <row r="44" spans="1:12" s="672" customFormat="1">
      <c r="A44" s="163">
        <v>200</v>
      </c>
      <c r="B44" s="170" t="s">
        <v>34</v>
      </c>
      <c r="C44" s="501">
        <f>'[66]Sch C'!D29</f>
        <v>264102</v>
      </c>
      <c r="D44" s="501">
        <f>'[66]Sch C'!F29</f>
        <v>-264102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  <c r="L44" s="167"/>
    </row>
    <row r="45" spans="1:12" s="672" customFormat="1">
      <c r="A45" s="163">
        <v>210</v>
      </c>
      <c r="B45" s="170" t="s">
        <v>35</v>
      </c>
      <c r="C45" s="501">
        <f>'[66]Sch C'!D30</f>
        <v>0</v>
      </c>
      <c r="D45" s="501">
        <f>'[66]Sch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  <c r="L45" s="167"/>
    </row>
    <row r="46" spans="1:12" s="672" customFormat="1">
      <c r="A46" s="163">
        <v>220</v>
      </c>
      <c r="B46" s="170" t="s">
        <v>190</v>
      </c>
      <c r="C46" s="501">
        <f>'[66]Sch C'!D31</f>
        <v>107839</v>
      </c>
      <c r="D46" s="501">
        <f>'[66]Sch C'!F31</f>
        <v>0</v>
      </c>
      <c r="E46" s="171">
        <f t="shared" si="3"/>
        <v>107839</v>
      </c>
      <c r="F46" s="171"/>
      <c r="G46" s="171">
        <f t="shared" si="4"/>
        <v>107839</v>
      </c>
      <c r="H46" s="172">
        <f t="shared" si="5"/>
        <v>5.4024553445402258E-3</v>
      </c>
      <c r="I46" s="473"/>
      <c r="J46" s="168"/>
      <c r="K46" s="168"/>
      <c r="L46" s="167"/>
    </row>
    <row r="47" spans="1:12" s="672" customFormat="1">
      <c r="A47" s="163">
        <v>230</v>
      </c>
      <c r="B47" s="170" t="s">
        <v>191</v>
      </c>
      <c r="C47" s="501">
        <f>'[66]Sch C'!D32</f>
        <v>103396</v>
      </c>
      <c r="D47" s="501">
        <f>'[66]Sch C'!F32</f>
        <v>0</v>
      </c>
      <c r="E47" s="171">
        <f t="shared" si="3"/>
        <v>103396</v>
      </c>
      <c r="F47" s="171"/>
      <c r="G47" s="171">
        <f t="shared" si="4"/>
        <v>103396</v>
      </c>
      <c r="H47" s="172">
        <f t="shared" si="5"/>
        <v>5.1798725211109264E-3</v>
      </c>
      <c r="I47" s="473"/>
      <c r="J47" s="168"/>
      <c r="K47" s="168"/>
      <c r="L47" s="167"/>
    </row>
    <row r="48" spans="1:12" s="672" customFormat="1">
      <c r="A48" s="163">
        <v>240</v>
      </c>
      <c r="B48" s="170" t="s">
        <v>201</v>
      </c>
      <c r="C48" s="501">
        <f>'[66]Sch C'!D33</f>
        <v>0</v>
      </c>
      <c r="D48" s="501">
        <f>'[66]Sch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  <c r="L48" s="167"/>
    </row>
    <row r="49" spans="1:12" s="672" customFormat="1">
      <c r="A49" s="163">
        <v>250</v>
      </c>
      <c r="B49" s="170" t="s">
        <v>202</v>
      </c>
      <c r="C49" s="501">
        <f>'[66]Sch C'!D34</f>
        <v>0</v>
      </c>
      <c r="D49" s="501">
        <f>'[66]Sch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  <c r="L49" s="167"/>
    </row>
    <row r="50" spans="1:12" s="672" customFormat="1">
      <c r="A50" s="163">
        <v>270</v>
      </c>
      <c r="B50" s="170" t="s">
        <v>203</v>
      </c>
      <c r="C50" s="501">
        <f>'[66]Sch C'!D35</f>
        <v>0</v>
      </c>
      <c r="D50" s="501">
        <f>'[66]Sch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  <c r="L50" s="167"/>
    </row>
    <row r="51" spans="1:12" s="672" customFormat="1">
      <c r="A51" s="163">
        <v>280</v>
      </c>
      <c r="B51" s="170" t="s">
        <v>204</v>
      </c>
      <c r="C51" s="501">
        <f>'[66]Sch C'!D36</f>
        <v>153821</v>
      </c>
      <c r="D51" s="501">
        <f>'[66]Sch C'!F36</f>
        <v>0</v>
      </c>
      <c r="E51" s="171">
        <f t="shared" si="3"/>
        <v>153821</v>
      </c>
      <c r="F51" s="660"/>
      <c r="G51" s="171">
        <f t="shared" si="4"/>
        <v>153821</v>
      </c>
      <c r="H51" s="172">
        <f t="shared" si="5"/>
        <v>7.7060347699118318E-3</v>
      </c>
      <c r="I51" s="473"/>
      <c r="J51" s="183">
        <v>8327</v>
      </c>
      <c r="K51" s="183">
        <v>9349</v>
      </c>
      <c r="L51" s="167"/>
    </row>
    <row r="52" spans="1:12" s="672" customFormat="1">
      <c r="A52" s="163">
        <v>290</v>
      </c>
      <c r="B52" s="170" t="s">
        <v>205</v>
      </c>
      <c r="C52" s="501">
        <f>'[66]Sch C'!D37</f>
        <v>0</v>
      </c>
      <c r="D52" s="501">
        <f>'[66]Sch C'!F37</f>
        <v>23018</v>
      </c>
      <c r="E52" s="171">
        <f t="shared" si="3"/>
        <v>23018</v>
      </c>
      <c r="F52" s="171"/>
      <c r="G52" s="171">
        <f t="shared" si="4"/>
        <v>23018</v>
      </c>
      <c r="H52" s="172">
        <f t="shared" si="5"/>
        <v>1.1531423429429698E-3</v>
      </c>
      <c r="I52" s="473"/>
      <c r="J52" s="168"/>
      <c r="K52" s="168"/>
      <c r="L52" s="167"/>
    </row>
    <row r="53" spans="1:12" s="672" customFormat="1">
      <c r="A53" s="163">
        <v>300</v>
      </c>
      <c r="B53" s="170" t="s">
        <v>206</v>
      </c>
      <c r="C53" s="501">
        <f>'[66]Sch C'!D38</f>
        <v>0</v>
      </c>
      <c r="D53" s="501">
        <f>'[66]Sch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  <c r="L53" s="167"/>
    </row>
    <row r="54" spans="1:12" s="672" customFormat="1">
      <c r="A54" s="163">
        <v>310</v>
      </c>
      <c r="B54" s="170" t="s">
        <v>207</v>
      </c>
      <c r="C54" s="501">
        <f>'[66]Sch C'!D39</f>
        <v>10299</v>
      </c>
      <c r="D54" s="501">
        <f>'[66]Sch C'!F39</f>
        <v>0</v>
      </c>
      <c r="E54" s="171">
        <f t="shared" si="3"/>
        <v>10299</v>
      </c>
      <c r="F54" s="171"/>
      <c r="G54" s="171">
        <f t="shared" si="4"/>
        <v>10299</v>
      </c>
      <c r="H54" s="172">
        <f t="shared" si="5"/>
        <v>5.1595329698364957E-4</v>
      </c>
      <c r="I54" s="473"/>
      <c r="J54" s="168"/>
      <c r="K54" s="168"/>
      <c r="L54" s="167"/>
    </row>
    <row r="55" spans="1:12" s="672" customFormat="1">
      <c r="A55" s="163">
        <v>320</v>
      </c>
      <c r="B55" s="170" t="s">
        <v>208</v>
      </c>
      <c r="C55" s="501">
        <f>'[66]Sch C'!D40</f>
        <v>0</v>
      </c>
      <c r="D55" s="501">
        <f>'[66]Sch C'!F40</f>
        <v>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  <c r="L55" s="167"/>
    </row>
    <row r="56" spans="1:12" s="672" customFormat="1">
      <c r="A56" s="163">
        <v>330</v>
      </c>
      <c r="B56" s="170" t="s">
        <v>48</v>
      </c>
      <c r="C56" s="501">
        <f>'[66]Sch C'!D41</f>
        <v>80933</v>
      </c>
      <c r="D56" s="501">
        <f>'[66]Sch C'!F41</f>
        <v>0</v>
      </c>
      <c r="E56" s="171">
        <f t="shared" si="3"/>
        <v>80933</v>
      </c>
      <c r="F56" s="660"/>
      <c r="G56" s="171">
        <f t="shared" si="4"/>
        <v>80933</v>
      </c>
      <c r="H56" s="172">
        <f t="shared" si="5"/>
        <v>4.0545342445652693E-3</v>
      </c>
      <c r="I56" s="473"/>
      <c r="J56" s="168"/>
      <c r="K56" s="168"/>
      <c r="L56" s="167"/>
    </row>
    <row r="57" spans="1:12" s="672" customFormat="1">
      <c r="A57" s="163">
        <v>340</v>
      </c>
      <c r="B57" s="170" t="s">
        <v>209</v>
      </c>
      <c r="C57" s="501">
        <f>'[66]Sch C'!D42</f>
        <v>38743</v>
      </c>
      <c r="D57" s="501">
        <f>'[66]Sch C'!F42</f>
        <v>0</v>
      </c>
      <c r="E57" s="171">
        <f t="shared" si="3"/>
        <v>38743</v>
      </c>
      <c r="F57" s="171"/>
      <c r="G57" s="171">
        <f t="shared" si="4"/>
        <v>38743</v>
      </c>
      <c r="H57" s="172">
        <f t="shared" si="5"/>
        <v>1.9409242242001685E-3</v>
      </c>
      <c r="I57" s="473"/>
      <c r="J57" s="168"/>
      <c r="K57" s="168"/>
      <c r="L57" s="167"/>
    </row>
    <row r="58" spans="1:12" s="672" customFormat="1">
      <c r="A58" s="163">
        <v>350</v>
      </c>
      <c r="B58" s="170" t="s">
        <v>210</v>
      </c>
      <c r="C58" s="501">
        <f>'[66]Sch C'!D43</f>
        <v>0</v>
      </c>
      <c r="D58" s="501">
        <f>'[66]Sch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  <c r="L58" s="167"/>
    </row>
    <row r="59" spans="1:12" s="672" customFormat="1">
      <c r="A59" s="163">
        <v>360</v>
      </c>
      <c r="B59" s="170" t="s">
        <v>211</v>
      </c>
      <c r="C59" s="501">
        <f>'[66]Sch C'!D44</f>
        <v>0</v>
      </c>
      <c r="D59" s="501">
        <f>'[66]Sch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  <c r="L59" s="167"/>
    </row>
    <row r="60" spans="1:12" s="672" customFormat="1">
      <c r="A60" s="163">
        <v>490</v>
      </c>
      <c r="B60" s="170" t="s">
        <v>36</v>
      </c>
      <c r="C60" s="501">
        <f>'[66]Sch C'!D45</f>
        <v>18286</v>
      </c>
      <c r="D60" s="501">
        <f>'[66]Sch C'!F45</f>
        <v>0</v>
      </c>
      <c r="E60" s="171">
        <f t="shared" si="3"/>
        <v>18286</v>
      </c>
      <c r="F60" s="171">
        <v>-5343</v>
      </c>
      <c r="G60" s="171">
        <f t="shared" si="4"/>
        <v>12943</v>
      </c>
      <c r="H60" s="172">
        <f t="shared" si="5"/>
        <v>6.4841086735210949E-4</v>
      </c>
      <c r="I60" s="473" t="s">
        <v>693</v>
      </c>
      <c r="J60" s="168"/>
      <c r="K60" s="168"/>
      <c r="L60" s="167"/>
    </row>
    <row r="61" spans="1:12" s="672" customFormat="1">
      <c r="A61" s="163"/>
      <c r="B61" s="170" t="s">
        <v>177</v>
      </c>
      <c r="C61" s="501">
        <f>SUM(C25:C60)</f>
        <v>5041756</v>
      </c>
      <c r="D61" s="501">
        <f>SUM(D25:D60)</f>
        <v>-2014462</v>
      </c>
      <c r="E61" s="171">
        <f t="shared" ref="E61:F61" si="6">SUM(E25:E60)</f>
        <v>3027294</v>
      </c>
      <c r="F61" s="171">
        <f t="shared" si="6"/>
        <v>-190739</v>
      </c>
      <c r="G61" s="171">
        <f>SUM(G25:G60)</f>
        <v>2836555</v>
      </c>
      <c r="H61" s="186">
        <f t="shared" si="5"/>
        <v>0.1421040784858196</v>
      </c>
      <c r="I61" s="480"/>
      <c r="J61" s="168"/>
      <c r="K61" s="168"/>
      <c r="L61" s="167"/>
    </row>
    <row r="62" spans="1:12" s="672" customFormat="1">
      <c r="A62" s="163"/>
      <c r="B62" s="167"/>
      <c r="C62" s="165"/>
      <c r="D62" s="165"/>
      <c r="E62" s="165"/>
      <c r="F62" s="165"/>
      <c r="G62" s="165"/>
      <c r="H62" s="187"/>
      <c r="I62" s="481"/>
      <c r="J62" s="168"/>
      <c r="K62" s="168"/>
      <c r="L62" s="167"/>
    </row>
    <row r="63" spans="1:12" s="672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  <c r="L63" s="167"/>
    </row>
    <row r="64" spans="1:12" s="672" customFormat="1">
      <c r="A64" s="188">
        <v>230</v>
      </c>
      <c r="B64" s="189" t="s">
        <v>253</v>
      </c>
      <c r="C64" s="501">
        <f>'[66]Sch C'!D57</f>
        <v>5797</v>
      </c>
      <c r="D64" s="501">
        <f>'[66]Sch C'!F57</f>
        <v>0</v>
      </c>
      <c r="E64" s="171">
        <f t="shared" ref="E64:E78" si="7">C64+D64</f>
        <v>5797</v>
      </c>
      <c r="F64" s="171">
        <v>-5797</v>
      </c>
      <c r="G64" s="171">
        <f t="shared" ref="G64:G78" si="8">E64+F64</f>
        <v>0</v>
      </c>
      <c r="H64" s="172">
        <f t="shared" ref="H64:H79" si="9">IF($G$208=0,0,G64/$G$208)</f>
        <v>0</v>
      </c>
      <c r="I64" s="473" t="s">
        <v>693</v>
      </c>
      <c r="J64" s="190"/>
      <c r="K64" s="168"/>
      <c r="L64" s="167"/>
    </row>
    <row r="65" spans="1:12" s="672" customFormat="1">
      <c r="A65" s="191">
        <v>240</v>
      </c>
      <c r="B65" s="189" t="s">
        <v>254</v>
      </c>
      <c r="C65" s="501">
        <f>'[66]Sch C'!D58</f>
        <v>0</v>
      </c>
      <c r="D65" s="501">
        <f>'[66]Sch C'!F58</f>
        <v>0</v>
      </c>
      <c r="E65" s="171">
        <f t="shared" si="7"/>
        <v>0</v>
      </c>
      <c r="F65" s="171">
        <v>282522</v>
      </c>
      <c r="G65" s="171">
        <f t="shared" si="8"/>
        <v>282522</v>
      </c>
      <c r="H65" s="172">
        <f t="shared" si="9"/>
        <v>1.415362242648943E-2</v>
      </c>
      <c r="I65" s="473" t="s">
        <v>693</v>
      </c>
      <c r="J65" s="190"/>
      <c r="K65" s="168"/>
      <c r="L65" s="167"/>
    </row>
    <row r="66" spans="1:12" s="672" customFormat="1">
      <c r="A66" s="142">
        <v>250</v>
      </c>
      <c r="B66" s="189" t="s">
        <v>307</v>
      </c>
      <c r="C66" s="501">
        <f>'[66]Sch C'!D59</f>
        <v>8012</v>
      </c>
      <c r="D66" s="501">
        <f>'[66]Sch C'!F59</f>
        <v>0</v>
      </c>
      <c r="E66" s="171">
        <f t="shared" si="7"/>
        <v>8012</v>
      </c>
      <c r="F66" s="171">
        <v>609133</v>
      </c>
      <c r="G66" s="171">
        <f t="shared" si="8"/>
        <v>617145</v>
      </c>
      <c r="H66" s="172">
        <f t="shared" si="9"/>
        <v>3.0917370372557956E-2</v>
      </c>
      <c r="I66" s="473" t="s">
        <v>693</v>
      </c>
      <c r="J66" s="190"/>
      <c r="K66" s="168"/>
      <c r="L66" s="167"/>
    </row>
    <row r="67" spans="1:12" s="672" customFormat="1">
      <c r="A67" s="142">
        <v>260</v>
      </c>
      <c r="B67" s="192" t="s">
        <v>308</v>
      </c>
      <c r="C67" s="501">
        <f>'[66]Sch C'!D60</f>
        <v>2769</v>
      </c>
      <c r="D67" s="501">
        <f>'[66]Sch C'!F60</f>
        <v>0</v>
      </c>
      <c r="E67" s="171">
        <f t="shared" si="7"/>
        <v>2769</v>
      </c>
      <c r="F67" s="171">
        <v>1782</v>
      </c>
      <c r="G67" s="171">
        <f t="shared" si="8"/>
        <v>4551</v>
      </c>
      <c r="H67" s="172">
        <f t="shared" si="9"/>
        <v>2.2799334445796574E-4</v>
      </c>
      <c r="I67" s="473" t="s">
        <v>693</v>
      </c>
      <c r="J67" s="193"/>
      <c r="K67" s="168"/>
      <c r="L67" s="167"/>
    </row>
    <row r="68" spans="1:12" s="672" customFormat="1">
      <c r="A68" s="142">
        <v>270</v>
      </c>
      <c r="B68" s="192" t="s">
        <v>309</v>
      </c>
      <c r="C68" s="501">
        <f>'[66]Sch C'!D61</f>
        <v>24842</v>
      </c>
      <c r="D68" s="501">
        <f>'[66]Sch C'!F61</f>
        <v>0</v>
      </c>
      <c r="E68" s="171">
        <f t="shared" si="7"/>
        <v>24842</v>
      </c>
      <c r="F68" s="171">
        <v>21851</v>
      </c>
      <c r="G68" s="171">
        <f t="shared" si="8"/>
        <v>46693</v>
      </c>
      <c r="H68" s="172">
        <f t="shared" si="9"/>
        <v>2.3391986888103263E-3</v>
      </c>
      <c r="I68" s="473" t="s">
        <v>693</v>
      </c>
      <c r="J68" s="193"/>
      <c r="K68" s="168"/>
      <c r="L68" s="167"/>
    </row>
    <row r="69" spans="1:12" s="672" customFormat="1">
      <c r="A69" s="142">
        <v>280</v>
      </c>
      <c r="B69" s="194" t="s">
        <v>258</v>
      </c>
      <c r="C69" s="501">
        <f>'[66]Sch C'!D62</f>
        <v>0</v>
      </c>
      <c r="D69" s="501">
        <f>'[66]Sch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  <c r="L69" s="167"/>
    </row>
    <row r="70" spans="1:12" s="672" customFormat="1">
      <c r="A70" s="142">
        <v>290</v>
      </c>
      <c r="B70" s="194" t="s">
        <v>259</v>
      </c>
      <c r="C70" s="501">
        <f>'[66]Sch C'!D63</f>
        <v>0</v>
      </c>
      <c r="D70" s="501">
        <f>'[66]Sch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  <c r="L70" s="167"/>
    </row>
    <row r="71" spans="1:12" s="672" customFormat="1">
      <c r="A71" s="142">
        <v>300</v>
      </c>
      <c r="B71" s="194" t="s">
        <v>260</v>
      </c>
      <c r="C71" s="501">
        <f>'[66]Sch C'!D64</f>
        <v>0</v>
      </c>
      <c r="D71" s="501">
        <f>'[66]Sch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  <c r="L71" s="167"/>
    </row>
    <row r="72" spans="1:12" s="672" customFormat="1">
      <c r="A72" s="142">
        <v>310</v>
      </c>
      <c r="B72" s="194" t="s">
        <v>310</v>
      </c>
      <c r="C72" s="501">
        <f>'[66]Sch C'!D65</f>
        <v>0</v>
      </c>
      <c r="D72" s="501">
        <f>'[66]Sch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  <c r="L72" s="167"/>
    </row>
    <row r="73" spans="1:12" s="672" customFormat="1">
      <c r="A73" s="142">
        <v>320</v>
      </c>
      <c r="B73" s="194" t="s">
        <v>262</v>
      </c>
      <c r="C73" s="501">
        <f>'[66]Sch C'!D66</f>
        <v>260412</v>
      </c>
      <c r="D73" s="501">
        <f>'[66]Sch C'!F66</f>
        <v>0</v>
      </c>
      <c r="E73" s="171">
        <f t="shared" si="7"/>
        <v>260412</v>
      </c>
      <c r="F73" s="171">
        <v>137295</v>
      </c>
      <c r="G73" s="171">
        <f t="shared" si="8"/>
        <v>397707</v>
      </c>
      <c r="H73" s="172">
        <f t="shared" si="9"/>
        <v>1.9924093395812827E-2</v>
      </c>
      <c r="I73" s="473"/>
      <c r="J73" s="195"/>
      <c r="K73" s="168"/>
      <c r="L73" s="167"/>
    </row>
    <row r="74" spans="1:12" s="672" customFormat="1">
      <c r="A74" s="142">
        <v>330</v>
      </c>
      <c r="B74" s="194" t="s">
        <v>263</v>
      </c>
      <c r="C74" s="501">
        <f>'[66]Sch C'!D67</f>
        <v>0</v>
      </c>
      <c r="D74" s="501">
        <f>'[66]Sch C'!F67</f>
        <v>0</v>
      </c>
      <c r="E74" s="171">
        <f t="shared" si="7"/>
        <v>0</v>
      </c>
      <c r="F74" s="171">
        <v>238323</v>
      </c>
      <c r="G74" s="171">
        <f t="shared" si="8"/>
        <v>238323</v>
      </c>
      <c r="H74" s="172">
        <f t="shared" si="9"/>
        <v>1.193936669550775E-2</v>
      </c>
      <c r="I74" s="473"/>
      <c r="J74" s="195"/>
      <c r="K74" s="168"/>
      <c r="L74" s="167"/>
    </row>
    <row r="75" spans="1:12" s="672" customFormat="1">
      <c r="A75" s="142">
        <v>340</v>
      </c>
      <c r="B75" s="194" t="s">
        <v>264</v>
      </c>
      <c r="C75" s="501">
        <f>'[66]Sch C'!D68</f>
        <v>0</v>
      </c>
      <c r="D75" s="501">
        <f>'[66]Sch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  <c r="L75" s="167"/>
    </row>
    <row r="76" spans="1:12" s="672" customFormat="1">
      <c r="A76" s="167">
        <v>350</v>
      </c>
      <c r="B76" s="194" t="s">
        <v>311</v>
      </c>
      <c r="C76" s="501">
        <f>'[66]Sch C'!D69</f>
        <v>0</v>
      </c>
      <c r="D76" s="501">
        <f>'[66]Sch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  <c r="L76" s="167"/>
    </row>
    <row r="77" spans="1:12" s="672" customFormat="1">
      <c r="A77" s="142">
        <v>360</v>
      </c>
      <c r="B77" s="194" t="s">
        <v>192</v>
      </c>
      <c r="C77" s="501">
        <f>'[66]Sch C'!D70</f>
        <v>0</v>
      </c>
      <c r="D77" s="501">
        <f>'[66]Sch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  <c r="L77" s="167"/>
    </row>
    <row r="78" spans="1:12" s="672" customFormat="1">
      <c r="A78" s="142">
        <v>490</v>
      </c>
      <c r="B78" s="194" t="s">
        <v>312</v>
      </c>
      <c r="C78" s="501">
        <f>'[66]Sch C'!D71</f>
        <v>0</v>
      </c>
      <c r="D78" s="501">
        <f>'[66]Sch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  <c r="L78" s="167"/>
    </row>
    <row r="79" spans="1:12" s="672" customFormat="1">
      <c r="A79" s="163"/>
      <c r="B79" s="170" t="s">
        <v>150</v>
      </c>
      <c r="C79" s="501">
        <f>SUM(C64:C78)</f>
        <v>301832</v>
      </c>
      <c r="D79" s="501">
        <f>SUM(D64:D78)</f>
        <v>0</v>
      </c>
      <c r="E79" s="171">
        <f t="shared" ref="E79:F79" si="10">SUM(E64:E78)</f>
        <v>301832</v>
      </c>
      <c r="F79" s="171">
        <f t="shared" si="10"/>
        <v>1285109</v>
      </c>
      <c r="G79" s="171">
        <f>SUM(G64:G78)</f>
        <v>1586941</v>
      </c>
      <c r="H79" s="172">
        <f t="shared" si="9"/>
        <v>7.9501644923636261E-2</v>
      </c>
      <c r="I79" s="473"/>
      <c r="J79" s="195"/>
      <c r="K79" s="168"/>
      <c r="L79" s="167"/>
    </row>
    <row r="80" spans="1:12" s="672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  <c r="L80" s="167"/>
    </row>
    <row r="81" spans="1:12" s="672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  <c r="L81" s="167"/>
    </row>
    <row r="82" spans="1:12" s="672" customFormat="1">
      <c r="A82" s="169" t="s">
        <v>85</v>
      </c>
      <c r="B82" s="148" t="s">
        <v>44</v>
      </c>
      <c r="C82" s="501">
        <f>'[66]Sch C'!D75</f>
        <v>129625</v>
      </c>
      <c r="D82" s="501">
        <f>'[66]Sch C'!F75</f>
        <v>0</v>
      </c>
      <c r="E82" s="171">
        <f t="shared" ref="E82:E92" si="11">C82+D82</f>
        <v>129625</v>
      </c>
      <c r="F82" s="171"/>
      <c r="G82" s="171">
        <f t="shared" ref="G82:G92" si="12">E82+F82</f>
        <v>129625</v>
      </c>
      <c r="H82" s="172">
        <f t="shared" ref="H82:H93" si="13">IF($G$208=0,0,G82/$G$208)</f>
        <v>6.4938776698228538E-3</v>
      </c>
      <c r="I82" s="473"/>
      <c r="J82" s="183">
        <v>6475</v>
      </c>
      <c r="K82" s="183">
        <v>7115</v>
      </c>
      <c r="L82" s="167"/>
    </row>
    <row r="83" spans="1:12" s="672" customFormat="1">
      <c r="A83" s="169" t="s">
        <v>86</v>
      </c>
      <c r="B83" s="199" t="s">
        <v>45</v>
      </c>
      <c r="C83" s="501">
        <f>'[66]Sch C'!D76</f>
        <v>0</v>
      </c>
      <c r="D83" s="501">
        <f>'[66]Sch C'!F76</f>
        <v>19397</v>
      </c>
      <c r="E83" s="171">
        <f t="shared" si="11"/>
        <v>19397</v>
      </c>
      <c r="F83" s="171"/>
      <c r="G83" s="171">
        <f t="shared" si="12"/>
        <v>19397</v>
      </c>
      <c r="H83" s="172">
        <f t="shared" si="13"/>
        <v>9.7173959623185263E-4</v>
      </c>
      <c r="I83" s="473"/>
      <c r="J83" s="168"/>
      <c r="K83" s="168"/>
      <c r="L83" s="167"/>
    </row>
    <row r="84" spans="1:12" s="672" customFormat="1">
      <c r="A84" s="169" t="s">
        <v>93</v>
      </c>
      <c r="B84" s="199" t="s">
        <v>47</v>
      </c>
      <c r="C84" s="501">
        <f>'[66]Sch C'!D77</f>
        <v>57343</v>
      </c>
      <c r="D84" s="501">
        <f>'[66]Sch C'!F77</f>
        <v>0</v>
      </c>
      <c r="E84" s="171">
        <f t="shared" si="11"/>
        <v>57343</v>
      </c>
      <c r="F84" s="171"/>
      <c r="G84" s="171">
        <f t="shared" si="12"/>
        <v>57343</v>
      </c>
      <c r="H84" s="172">
        <f t="shared" si="13"/>
        <v>2.8727361791371412E-3</v>
      </c>
      <c r="I84" s="473"/>
      <c r="J84" s="168"/>
      <c r="K84" s="168"/>
      <c r="L84" s="167"/>
    </row>
    <row r="85" spans="1:12" s="672" customFormat="1">
      <c r="A85" s="169">
        <v>230</v>
      </c>
      <c r="B85" s="199" t="s">
        <v>46</v>
      </c>
      <c r="C85" s="501">
        <f>'[66]Sch C'!D78</f>
        <v>3328</v>
      </c>
      <c r="D85" s="501">
        <f>'[66]Sch C'!F78</f>
        <v>0</v>
      </c>
      <c r="E85" s="171">
        <f t="shared" si="11"/>
        <v>3328</v>
      </c>
      <c r="F85" s="171"/>
      <c r="G85" s="171">
        <f t="shared" si="12"/>
        <v>3328</v>
      </c>
      <c r="H85" s="172">
        <f t="shared" si="13"/>
        <v>1.6672420355001317E-4</v>
      </c>
      <c r="I85" s="473"/>
      <c r="J85" s="168"/>
      <c r="K85" s="168"/>
      <c r="L85" s="167"/>
    </row>
    <row r="86" spans="1:12" s="672" customFormat="1">
      <c r="A86" s="169">
        <v>240</v>
      </c>
      <c r="B86" s="200" t="s">
        <v>267</v>
      </c>
      <c r="C86" s="501">
        <f>'[66]Sch C'!D79</f>
        <v>24097</v>
      </c>
      <c r="D86" s="501">
        <f>'[66]Sch C'!F79</f>
        <v>0</v>
      </c>
      <c r="E86" s="171">
        <f t="shared" si="11"/>
        <v>24097</v>
      </c>
      <c r="F86" s="171"/>
      <c r="G86" s="171">
        <f>E86+F86</f>
        <v>24097</v>
      </c>
      <c r="H86" s="172">
        <f t="shared" si="13"/>
        <v>1.2071974558127006E-3</v>
      </c>
      <c r="I86" s="473"/>
      <c r="J86" s="168"/>
      <c r="K86" s="168"/>
      <c r="L86" s="167"/>
    </row>
    <row r="87" spans="1:12" s="672" customFormat="1">
      <c r="A87" s="169">
        <v>310</v>
      </c>
      <c r="B87" s="199" t="s">
        <v>54</v>
      </c>
      <c r="C87" s="501">
        <f>'[66]Sch C'!D80</f>
        <v>49024</v>
      </c>
      <c r="D87" s="501">
        <f>'[66]Sch C'!F80</f>
        <v>0</v>
      </c>
      <c r="E87" s="171">
        <f t="shared" si="11"/>
        <v>49024</v>
      </c>
      <c r="F87" s="171"/>
      <c r="G87" s="171">
        <f t="shared" si="12"/>
        <v>49024</v>
      </c>
      <c r="H87" s="172">
        <f t="shared" si="13"/>
        <v>2.4559757676790401E-3</v>
      </c>
      <c r="I87" s="473"/>
      <c r="J87" s="168"/>
      <c r="K87" s="168"/>
      <c r="L87" s="167"/>
    </row>
    <row r="88" spans="1:12" s="672" customFormat="1">
      <c r="A88" s="169">
        <v>320</v>
      </c>
      <c r="B88" s="201" t="s">
        <v>313</v>
      </c>
      <c r="C88" s="501">
        <f>'[66]Sch C'!D81</f>
        <v>25139</v>
      </c>
      <c r="D88" s="501">
        <f>'[66]Sch C'!F81</f>
        <v>0</v>
      </c>
      <c r="E88" s="171">
        <f t="shared" si="11"/>
        <v>25139</v>
      </c>
      <c r="F88" s="171">
        <v>7591</v>
      </c>
      <c r="G88" s="171">
        <f t="shared" si="12"/>
        <v>32730</v>
      </c>
      <c r="H88" s="172">
        <f t="shared" si="13"/>
        <v>1.6396884561874793E-3</v>
      </c>
      <c r="I88" s="473" t="s">
        <v>693</v>
      </c>
      <c r="J88" s="168"/>
      <c r="K88" s="168"/>
      <c r="L88" s="167"/>
    </row>
    <row r="89" spans="1:12" s="672" customFormat="1">
      <c r="A89" s="169">
        <v>330</v>
      </c>
      <c r="B89" s="201" t="s">
        <v>314</v>
      </c>
      <c r="C89" s="501">
        <f>'[66]Sch C'!D82</f>
        <v>54366</v>
      </c>
      <c r="D89" s="501">
        <f>'[66]Sch C'!F82</f>
        <v>0</v>
      </c>
      <c r="E89" s="171">
        <f t="shared" si="11"/>
        <v>54366</v>
      </c>
      <c r="F89" s="171"/>
      <c r="G89" s="171">
        <f t="shared" si="12"/>
        <v>54366</v>
      </c>
      <c r="H89" s="172">
        <f t="shared" si="13"/>
        <v>2.7235961689302934E-3</v>
      </c>
      <c r="I89" s="473"/>
      <c r="J89" s="168"/>
      <c r="K89" s="168"/>
      <c r="L89" s="167"/>
    </row>
    <row r="90" spans="1:12" s="672" customFormat="1">
      <c r="A90" s="163">
        <v>340</v>
      </c>
      <c r="B90" s="201" t="s">
        <v>300</v>
      </c>
      <c r="C90" s="501">
        <f>'[66]Sch C'!D83</f>
        <v>12678</v>
      </c>
      <c r="D90" s="501">
        <f>'[66]Sch C'!F83</f>
        <v>0</v>
      </c>
      <c r="E90" s="171">
        <f t="shared" si="11"/>
        <v>12678</v>
      </c>
      <c r="F90" s="171"/>
      <c r="G90" s="171">
        <f t="shared" si="12"/>
        <v>12678</v>
      </c>
      <c r="H90" s="172">
        <f t="shared" si="13"/>
        <v>6.3513505186510433E-4</v>
      </c>
      <c r="I90" s="473"/>
      <c r="J90" s="168"/>
      <c r="K90" s="168"/>
      <c r="L90" s="167"/>
    </row>
    <row r="91" spans="1:12" s="672" customFormat="1">
      <c r="A91" s="163">
        <v>350</v>
      </c>
      <c r="B91" s="199" t="s">
        <v>49</v>
      </c>
      <c r="C91" s="501">
        <f>'[66]Sch C'!D84</f>
        <v>177394</v>
      </c>
      <c r="D91" s="501">
        <f>'[66]Sch C'!F84</f>
        <v>0</v>
      </c>
      <c r="E91" s="171">
        <f t="shared" si="11"/>
        <v>177394</v>
      </c>
      <c r="F91" s="171"/>
      <c r="G91" s="171">
        <f t="shared" si="12"/>
        <v>177394</v>
      </c>
      <c r="H91" s="172">
        <f t="shared" si="13"/>
        <v>8.8869811792521153E-3</v>
      </c>
      <c r="I91" s="473"/>
      <c r="J91" s="168"/>
      <c r="K91" s="168"/>
      <c r="L91" s="167"/>
    </row>
    <row r="92" spans="1:12" s="672" customFormat="1">
      <c r="A92" s="163">
        <v>490</v>
      </c>
      <c r="B92" s="148" t="s">
        <v>312</v>
      </c>
      <c r="C92" s="501">
        <f>'[66]Sch C'!D85</f>
        <v>3557</v>
      </c>
      <c r="D92" s="501">
        <f>'[66]Sch C'!F85</f>
        <v>0</v>
      </c>
      <c r="E92" s="171">
        <f t="shared" si="11"/>
        <v>3557</v>
      </c>
      <c r="F92" s="171"/>
      <c r="G92" s="171">
        <f t="shared" si="12"/>
        <v>3557</v>
      </c>
      <c r="H92" s="172">
        <f t="shared" si="13"/>
        <v>1.78196512027463E-4</v>
      </c>
      <c r="I92" s="473"/>
      <c r="J92" s="168"/>
      <c r="K92" s="168"/>
      <c r="L92" s="167"/>
    </row>
    <row r="93" spans="1:12" s="672" customFormat="1">
      <c r="A93" s="163"/>
      <c r="B93" s="170" t="s">
        <v>50</v>
      </c>
      <c r="C93" s="501">
        <f>SUM(C82:C92)</f>
        <v>536551</v>
      </c>
      <c r="D93" s="501">
        <f>SUM(D82:D92)</f>
        <v>19397</v>
      </c>
      <c r="E93" s="171">
        <f t="shared" ref="E93:F93" si="14">SUM(E82:E92)</f>
        <v>555948</v>
      </c>
      <c r="F93" s="171">
        <f t="shared" si="14"/>
        <v>7591</v>
      </c>
      <c r="G93" s="171">
        <f>SUM(G82:G92)</f>
        <v>563539</v>
      </c>
      <c r="H93" s="172">
        <f t="shared" si="13"/>
        <v>2.8231848240496057E-2</v>
      </c>
      <c r="I93" s="473"/>
      <c r="J93" s="168"/>
      <c r="K93" s="168"/>
      <c r="L93" s="167"/>
    </row>
    <row r="94" spans="1:12" s="672" customFormat="1">
      <c r="A94" s="163"/>
      <c r="B94" s="167"/>
      <c r="C94" s="165"/>
      <c r="D94" s="165"/>
      <c r="E94" s="165"/>
      <c r="F94" s="165"/>
      <c r="G94" s="165"/>
      <c r="H94" s="198"/>
      <c r="I94" s="475"/>
      <c r="J94" s="168"/>
      <c r="K94" s="168"/>
      <c r="L94" s="167"/>
    </row>
    <row r="95" spans="1:12" s="672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  <c r="L95" s="167"/>
    </row>
    <row r="96" spans="1:12" s="672" customFormat="1">
      <c r="A96" s="169" t="s">
        <v>85</v>
      </c>
      <c r="B96" s="170" t="s">
        <v>44</v>
      </c>
      <c r="C96" s="501">
        <f>'[66]Sch C'!D89</f>
        <v>428347</v>
      </c>
      <c r="D96" s="501">
        <f>'[66]Sch C'!F89</f>
        <v>0</v>
      </c>
      <c r="E96" s="171">
        <f t="shared" ref="E96:E101" si="15">C96+D96</f>
        <v>428347</v>
      </c>
      <c r="F96" s="171"/>
      <c r="G96" s="171">
        <f t="shared" ref="G96:G101" si="16">E96+F96</f>
        <v>428347</v>
      </c>
      <c r="H96" s="172">
        <f t="shared" ref="H96:H102" si="17">IF($G$208=0,0,G96/$G$208)</f>
        <v>2.1459078250612228E-2</v>
      </c>
      <c r="I96" s="473"/>
      <c r="J96" s="183">
        <v>43295</v>
      </c>
      <c r="K96" s="183">
        <v>45677</v>
      </c>
      <c r="L96" s="167"/>
    </row>
    <row r="97" spans="1:12" s="672" customFormat="1">
      <c r="A97" s="169" t="s">
        <v>86</v>
      </c>
      <c r="B97" s="170" t="s">
        <v>45</v>
      </c>
      <c r="C97" s="501">
        <f>'[66]Sch C'!D90</f>
        <v>0</v>
      </c>
      <c r="D97" s="501">
        <f>'[66]Sch C'!F90</f>
        <v>64097</v>
      </c>
      <c r="E97" s="171">
        <f t="shared" si="15"/>
        <v>64097</v>
      </c>
      <c r="F97" s="171"/>
      <c r="G97" s="171">
        <f t="shared" si="16"/>
        <v>64097</v>
      </c>
      <c r="H97" s="172">
        <f t="shared" si="17"/>
        <v>3.2110941330965128E-3</v>
      </c>
      <c r="I97" s="473"/>
      <c r="J97" s="168"/>
      <c r="K97" s="168"/>
      <c r="L97" s="167"/>
    </row>
    <row r="98" spans="1:12" s="672" customFormat="1">
      <c r="A98" s="169">
        <v>310</v>
      </c>
      <c r="B98" s="170" t="s">
        <v>54</v>
      </c>
      <c r="C98" s="501">
        <f>'[66]Sch C'!D91</f>
        <v>0</v>
      </c>
      <c r="D98" s="501">
        <f>'[66]Sch C'!F91</f>
        <v>0</v>
      </c>
      <c r="E98" s="171">
        <f t="shared" si="15"/>
        <v>0</v>
      </c>
      <c r="F98" s="171"/>
      <c r="G98" s="171">
        <f t="shared" si="16"/>
        <v>0</v>
      </c>
      <c r="H98" s="172">
        <f t="shared" si="17"/>
        <v>0</v>
      </c>
      <c r="I98" s="473"/>
      <c r="J98" s="168"/>
      <c r="K98" s="168"/>
      <c r="L98" s="167"/>
    </row>
    <row r="99" spans="1:12" s="672" customFormat="1">
      <c r="A99" s="169">
        <v>380</v>
      </c>
      <c r="B99" s="170" t="s">
        <v>52</v>
      </c>
      <c r="C99" s="501">
        <f>'[66]Sch C'!D92</f>
        <v>332904</v>
      </c>
      <c r="D99" s="501">
        <f>'[66]Sch C'!F92</f>
        <v>0</v>
      </c>
      <c r="E99" s="171">
        <f t="shared" si="15"/>
        <v>332904</v>
      </c>
      <c r="F99" s="171"/>
      <c r="G99" s="171">
        <f t="shared" si="16"/>
        <v>332904</v>
      </c>
      <c r="H99" s="172">
        <f t="shared" si="17"/>
        <v>1.6677630486362255E-2</v>
      </c>
      <c r="I99" s="473"/>
      <c r="J99" s="168"/>
      <c r="K99" s="168"/>
      <c r="L99" s="167"/>
    </row>
    <row r="100" spans="1:12" s="672" customFormat="1">
      <c r="A100" s="169">
        <v>390</v>
      </c>
      <c r="B100" s="170" t="s">
        <v>53</v>
      </c>
      <c r="C100" s="501">
        <f>'[66]Sch C'!D93</f>
        <v>48490</v>
      </c>
      <c r="D100" s="501">
        <f>'[66]Sch C'!F93</f>
        <v>0</v>
      </c>
      <c r="E100" s="171">
        <f t="shared" si="15"/>
        <v>48490</v>
      </c>
      <c r="F100" s="171"/>
      <c r="G100" s="171">
        <f t="shared" si="16"/>
        <v>48490</v>
      </c>
      <c r="H100" s="172">
        <f t="shared" si="17"/>
        <v>2.4292237470373013E-3</v>
      </c>
      <c r="I100" s="473"/>
      <c r="J100" s="168"/>
      <c r="K100" s="168"/>
      <c r="L100" s="167"/>
    </row>
    <row r="101" spans="1:12" s="672" customFormat="1">
      <c r="A101" s="169">
        <v>490</v>
      </c>
      <c r="B101" s="202" t="s">
        <v>312</v>
      </c>
      <c r="C101" s="501">
        <f>'[66]Sch C'!D94</f>
        <v>393</v>
      </c>
      <c r="D101" s="501">
        <f>'[66]Sch C'!F94</f>
        <v>0</v>
      </c>
      <c r="E101" s="171">
        <f t="shared" si="15"/>
        <v>393</v>
      </c>
      <c r="F101" s="171"/>
      <c r="G101" s="171">
        <f t="shared" si="16"/>
        <v>393</v>
      </c>
      <c r="H101" s="172">
        <f t="shared" si="17"/>
        <v>1.9688284854313455E-5</v>
      </c>
      <c r="I101" s="473"/>
      <c r="J101" s="168"/>
      <c r="K101" s="168"/>
      <c r="L101" s="167"/>
    </row>
    <row r="102" spans="1:12" s="672" customFormat="1">
      <c r="A102" s="169"/>
      <c r="B102" s="170" t="s">
        <v>55</v>
      </c>
      <c r="C102" s="501">
        <f>SUM(C96:C101)</f>
        <v>810134</v>
      </c>
      <c r="D102" s="501">
        <f>SUM(D96:D101)</f>
        <v>64097</v>
      </c>
      <c r="E102" s="171">
        <f t="shared" ref="E102:F102" si="18">SUM(E96:E101)</f>
        <v>874231</v>
      </c>
      <c r="F102" s="171">
        <f t="shared" si="18"/>
        <v>0</v>
      </c>
      <c r="G102" s="171">
        <f>SUM(G96:G101)</f>
        <v>874231</v>
      </c>
      <c r="H102" s="172">
        <f t="shared" si="17"/>
        <v>4.3796714901962609E-2</v>
      </c>
      <c r="I102" s="473"/>
      <c r="J102" s="168"/>
      <c r="K102" s="168"/>
      <c r="L102" s="167"/>
    </row>
    <row r="103" spans="1:12" s="672" customFormat="1">
      <c r="A103" s="163"/>
      <c r="B103" s="167"/>
      <c r="C103" s="165"/>
      <c r="D103" s="165"/>
      <c r="E103" s="165"/>
      <c r="F103" s="165"/>
      <c r="G103" s="165"/>
      <c r="H103" s="198"/>
      <c r="I103" s="475"/>
      <c r="J103" s="168"/>
      <c r="K103" s="168"/>
      <c r="L103" s="167"/>
    </row>
    <row r="104" spans="1:12" s="672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  <c r="L104" s="167"/>
    </row>
    <row r="105" spans="1:12" s="672" customFormat="1">
      <c r="A105" s="169" t="s">
        <v>85</v>
      </c>
      <c r="B105" s="170" t="s">
        <v>44</v>
      </c>
      <c r="C105" s="501">
        <f>'[66]Sch C'!D98</f>
        <v>79862</v>
      </c>
      <c r="D105" s="501">
        <f>'[66]Sch C'!F98</f>
        <v>0</v>
      </c>
      <c r="E105" s="171">
        <f t="shared" ref="E105:E110" si="19">C105+D105</f>
        <v>79862</v>
      </c>
      <c r="F105" s="171"/>
      <c r="G105" s="171">
        <f t="shared" ref="G105:G110" si="20">E105+F105</f>
        <v>79862</v>
      </c>
      <c r="H105" s="172">
        <f t="shared" ref="H105:H111" si="21">IF($G$208=0,0,G105/$G$208)</f>
        <v>4.0008799110309952E-3</v>
      </c>
      <c r="I105" s="473"/>
      <c r="J105" s="183">
        <v>7331</v>
      </c>
      <c r="K105" s="183">
        <v>8374</v>
      </c>
      <c r="L105" s="167"/>
    </row>
    <row r="106" spans="1:12" s="672" customFormat="1">
      <c r="A106" s="169" t="s">
        <v>86</v>
      </c>
      <c r="B106" s="170" t="s">
        <v>45</v>
      </c>
      <c r="C106" s="501">
        <f>'[66]Sch C'!D99</f>
        <v>0</v>
      </c>
      <c r="D106" s="501">
        <f>'[66]Sch C'!F99</f>
        <v>11950</v>
      </c>
      <c r="E106" s="171">
        <f t="shared" si="19"/>
        <v>11950</v>
      </c>
      <c r="F106" s="171"/>
      <c r="G106" s="171">
        <f t="shared" si="20"/>
        <v>11950</v>
      </c>
      <c r="H106" s="172">
        <f t="shared" si="21"/>
        <v>5.9866413233853894E-4</v>
      </c>
      <c r="I106" s="473"/>
      <c r="J106" s="168"/>
      <c r="K106" s="168"/>
      <c r="L106" s="167"/>
    </row>
    <row r="107" spans="1:12" s="672" customFormat="1">
      <c r="A107" s="169">
        <v>110</v>
      </c>
      <c r="B107" s="170" t="s">
        <v>47</v>
      </c>
      <c r="C107" s="501">
        <f>'[66]Sch C'!D100</f>
        <v>5943</v>
      </c>
      <c r="D107" s="501">
        <f>'[66]Sch C'!F100</f>
        <v>0</v>
      </c>
      <c r="E107" s="171">
        <f t="shared" si="19"/>
        <v>5943</v>
      </c>
      <c r="F107" s="171"/>
      <c r="G107" s="171">
        <f t="shared" si="20"/>
        <v>5943</v>
      </c>
      <c r="H107" s="172">
        <f t="shared" si="21"/>
        <v>2.9772894882744243E-4</v>
      </c>
      <c r="I107" s="473"/>
      <c r="J107" s="168"/>
      <c r="K107" s="168"/>
      <c r="L107" s="167"/>
    </row>
    <row r="108" spans="1:12" s="672" customFormat="1">
      <c r="A108" s="169">
        <v>310</v>
      </c>
      <c r="B108" s="170" t="s">
        <v>54</v>
      </c>
      <c r="C108" s="501">
        <f>'[66]Sch C'!D101</f>
        <v>0</v>
      </c>
      <c r="D108" s="501">
        <f>'[66]Sch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  <c r="L108" s="167"/>
    </row>
    <row r="109" spans="1:12" s="672" customFormat="1">
      <c r="A109" s="169">
        <v>410</v>
      </c>
      <c r="B109" s="170" t="s">
        <v>57</v>
      </c>
      <c r="C109" s="501">
        <f>'[66]Sch C'!D102</f>
        <v>22917</v>
      </c>
      <c r="D109" s="501">
        <f>'[66]Sch C'!F102</f>
        <v>0</v>
      </c>
      <c r="E109" s="171">
        <f t="shared" si="19"/>
        <v>22917</v>
      </c>
      <c r="F109" s="171"/>
      <c r="G109" s="171">
        <f t="shared" si="20"/>
        <v>22917</v>
      </c>
      <c r="H109" s="172">
        <f t="shared" si="21"/>
        <v>1.148082503832828E-3</v>
      </c>
      <c r="I109" s="473"/>
      <c r="J109" s="168"/>
      <c r="K109" s="168"/>
      <c r="L109" s="167"/>
    </row>
    <row r="110" spans="1:12" s="672" customFormat="1">
      <c r="A110" s="169">
        <v>490</v>
      </c>
      <c r="B110" s="202" t="s">
        <v>312</v>
      </c>
      <c r="C110" s="501">
        <f>'[66]Sch C'!D103</f>
        <v>0</v>
      </c>
      <c r="D110" s="501">
        <f>'[66]Sch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  <c r="L110" s="167"/>
    </row>
    <row r="111" spans="1:12" s="672" customFormat="1">
      <c r="A111" s="163"/>
      <c r="B111" s="170" t="s">
        <v>58</v>
      </c>
      <c r="C111" s="501">
        <f>SUM(C105:C110)</f>
        <v>108722</v>
      </c>
      <c r="D111" s="501">
        <f>SUM(D105:D110)</f>
        <v>11950</v>
      </c>
      <c r="E111" s="171">
        <f t="shared" ref="E111:F111" si="22">SUM(E105:E110)</f>
        <v>120672</v>
      </c>
      <c r="F111" s="171">
        <f t="shared" si="22"/>
        <v>0</v>
      </c>
      <c r="G111" s="171">
        <f>SUM(G105:G110)</f>
        <v>120672</v>
      </c>
      <c r="H111" s="172">
        <f t="shared" si="21"/>
        <v>6.0453554960298046E-3</v>
      </c>
      <c r="I111" s="473"/>
      <c r="J111" s="168"/>
      <c r="K111" s="168"/>
      <c r="L111" s="167"/>
    </row>
    <row r="112" spans="1:12" s="672" customFormat="1">
      <c r="A112" s="163"/>
      <c r="B112" s="167"/>
      <c r="C112" s="165"/>
      <c r="D112" s="165"/>
      <c r="E112" s="165"/>
      <c r="F112" s="165"/>
      <c r="G112" s="165"/>
      <c r="H112" s="198"/>
      <c r="I112" s="475"/>
      <c r="J112" s="168"/>
      <c r="K112" s="168"/>
      <c r="L112" s="167"/>
    </row>
    <row r="113" spans="1:12" s="672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  <c r="L113" s="167"/>
    </row>
    <row r="114" spans="1:12" s="672" customFormat="1">
      <c r="A114" s="169" t="s">
        <v>85</v>
      </c>
      <c r="B114" s="170" t="s">
        <v>44</v>
      </c>
      <c r="C114" s="501">
        <f>'[66]Sch C'!D115</f>
        <v>208798</v>
      </c>
      <c r="D114" s="501">
        <f>'[66]Sch C'!F115</f>
        <v>0</v>
      </c>
      <c r="E114" s="171">
        <f t="shared" ref="E114:E118" si="23">C114+D114</f>
        <v>208798</v>
      </c>
      <c r="F114" s="171"/>
      <c r="G114" s="171">
        <f>E114+F114</f>
        <v>208798</v>
      </c>
      <c r="H114" s="172">
        <f t="shared" ref="H114:H119" si="24">IF($G$208=0,0,G114/$G$208)</f>
        <v>1.0460240460587635E-2</v>
      </c>
      <c r="I114" s="473"/>
      <c r="J114" s="183">
        <v>28210</v>
      </c>
      <c r="K114" s="183">
        <v>29942</v>
      </c>
      <c r="L114" s="167"/>
    </row>
    <row r="115" spans="1:12" s="672" customFormat="1">
      <c r="A115" s="169" t="s">
        <v>86</v>
      </c>
      <c r="B115" s="170" t="s">
        <v>151</v>
      </c>
      <c r="C115" s="501">
        <f>'[66]Sch C'!D116</f>
        <v>0</v>
      </c>
      <c r="D115" s="501">
        <f>'[66]Sch C'!F116</f>
        <v>31244</v>
      </c>
      <c r="E115" s="171">
        <f t="shared" si="23"/>
        <v>31244</v>
      </c>
      <c r="F115" s="171"/>
      <c r="G115" s="171">
        <f>E115+F115</f>
        <v>31244</v>
      </c>
      <c r="H115" s="172">
        <f t="shared" si="24"/>
        <v>1.5652436946263857E-3</v>
      </c>
      <c r="I115" s="473"/>
      <c r="J115" s="168"/>
      <c r="K115" s="168"/>
      <c r="L115" s="167"/>
    </row>
    <row r="116" spans="1:12" s="672" customFormat="1">
      <c r="A116" s="169" t="s">
        <v>93</v>
      </c>
      <c r="B116" s="170" t="s">
        <v>47</v>
      </c>
      <c r="C116" s="501">
        <f>'[66]Sch C'!D117</f>
        <v>62859</v>
      </c>
      <c r="D116" s="501">
        <f>'[66]Sch C'!F117</f>
        <v>0</v>
      </c>
      <c r="E116" s="171">
        <f t="shared" si="23"/>
        <v>62859</v>
      </c>
      <c r="F116" s="171"/>
      <c r="G116" s="171">
        <f>E116+F116</f>
        <v>62859</v>
      </c>
      <c r="H116" s="172">
        <f t="shared" si="24"/>
        <v>3.1490735309345789E-3</v>
      </c>
      <c r="I116" s="473"/>
      <c r="J116" s="168"/>
      <c r="K116" s="168"/>
      <c r="L116" s="167"/>
    </row>
    <row r="117" spans="1:12" s="672" customFormat="1">
      <c r="A117" s="169">
        <v>310</v>
      </c>
      <c r="B117" s="170" t="s">
        <v>60</v>
      </c>
      <c r="C117" s="501">
        <f>'[66]Sch C'!D118</f>
        <v>1199</v>
      </c>
      <c r="D117" s="501">
        <f>'[66]Sch C'!F118</f>
        <v>0</v>
      </c>
      <c r="E117" s="171">
        <f t="shared" si="23"/>
        <v>1199</v>
      </c>
      <c r="F117" s="171"/>
      <c r="G117" s="171">
        <f>E117+F117</f>
        <v>1199</v>
      </c>
      <c r="H117" s="172">
        <f t="shared" si="24"/>
        <v>6.0066802901582273E-5</v>
      </c>
      <c r="I117" s="473"/>
      <c r="J117" s="168"/>
      <c r="K117" s="168"/>
      <c r="L117" s="167"/>
    </row>
    <row r="118" spans="1:12" s="672" customFormat="1">
      <c r="A118" s="169">
        <v>490</v>
      </c>
      <c r="B118" s="202" t="s">
        <v>312</v>
      </c>
      <c r="C118" s="501">
        <f>'[66]Sch C'!D119</f>
        <v>0</v>
      </c>
      <c r="D118" s="501">
        <f>'[66]Sch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  <c r="L118" s="167"/>
    </row>
    <row r="119" spans="1:12" s="672" customFormat="1">
      <c r="A119" s="163"/>
      <c r="B119" s="170" t="s">
        <v>61</v>
      </c>
      <c r="C119" s="501">
        <f>SUM(C114:C118)</f>
        <v>272856</v>
      </c>
      <c r="D119" s="501">
        <f>SUM(D114:D118)</f>
        <v>31244</v>
      </c>
      <c r="E119" s="171">
        <f t="shared" ref="E119:F119" si="25">SUM(E114:E118)</f>
        <v>304100</v>
      </c>
      <c r="F119" s="171">
        <f t="shared" si="25"/>
        <v>0</v>
      </c>
      <c r="G119" s="171">
        <f>SUM(G114:G118)</f>
        <v>304100</v>
      </c>
      <c r="H119" s="172">
        <f t="shared" si="24"/>
        <v>1.5234624489050183E-2</v>
      </c>
      <c r="I119" s="473"/>
      <c r="J119" s="168"/>
      <c r="K119" s="168"/>
      <c r="L119" s="167"/>
    </row>
    <row r="120" spans="1:12" s="672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  <c r="L120" s="167"/>
    </row>
    <row r="121" spans="1:12" s="672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  <c r="L121" s="167"/>
    </row>
    <row r="122" spans="1:12" s="672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  <c r="L122" s="167"/>
    </row>
    <row r="123" spans="1:12" s="672" customFormat="1">
      <c r="A123" s="167"/>
      <c r="B123" s="163" t="s">
        <v>232</v>
      </c>
      <c r="C123" s="501">
        <f>'[66]Sch C'!D124</f>
        <v>0</v>
      </c>
      <c r="D123" s="501">
        <f>'[66]Sch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  <c r="L123" s="167"/>
    </row>
    <row r="124" spans="1:12" s="672" customFormat="1">
      <c r="A124" s="167"/>
      <c r="B124" s="163" t="s">
        <v>194</v>
      </c>
      <c r="C124" s="501">
        <f>'[66]Sch C'!D125</f>
        <v>586119</v>
      </c>
      <c r="D124" s="501">
        <f>'[66]Sch C'!F125</f>
        <v>0</v>
      </c>
      <c r="E124" s="171">
        <f t="shared" si="26"/>
        <v>586119</v>
      </c>
      <c r="F124" s="171"/>
      <c r="G124" s="171">
        <f>E124+F124</f>
        <v>586119</v>
      </c>
      <c r="H124" s="172">
        <f>IF($G$208=0,0,G124/$G$208)</f>
        <v>2.9363047914822769E-2</v>
      </c>
      <c r="I124" s="473"/>
      <c r="J124" s="183">
        <v>9283</v>
      </c>
      <c r="K124" s="183">
        <v>10841</v>
      </c>
      <c r="L124" s="167"/>
    </row>
    <row r="125" spans="1:12" s="672" customFormat="1">
      <c r="A125" s="163" t="s">
        <v>198</v>
      </c>
      <c r="B125" s="163" t="s">
        <v>195</v>
      </c>
      <c r="C125" s="501">
        <f>'[66]Sch C'!D126</f>
        <v>0</v>
      </c>
      <c r="D125" s="501">
        <f>'[66]Sch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  <c r="L125" s="167"/>
    </row>
    <row r="126" spans="1:12" s="672" customFormat="1">
      <c r="A126" s="169"/>
      <c r="B126" s="163" t="s">
        <v>196</v>
      </c>
      <c r="C126" s="501">
        <f>'[66]Sch C'!D127</f>
        <v>0</v>
      </c>
      <c r="D126" s="501">
        <f>'[66]Sch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  <c r="L126" s="167"/>
    </row>
    <row r="127" spans="1:12" s="672" customFormat="1">
      <c r="A127" s="169"/>
      <c r="B127" s="163" t="s">
        <v>197</v>
      </c>
      <c r="C127" s="501">
        <f>'[66]Sch C'!D128</f>
        <v>404396</v>
      </c>
      <c r="D127" s="501">
        <f>'[66]Sch C'!F128</f>
        <v>0</v>
      </c>
      <c r="E127" s="171">
        <f t="shared" si="26"/>
        <v>404396</v>
      </c>
      <c r="F127" s="171"/>
      <c r="G127" s="171">
        <f>E127+F127</f>
        <v>404396</v>
      </c>
      <c r="H127" s="172">
        <f>IF($G$208=0,0,G127/$G$208)</f>
        <v>2.0259195017671615E-2</v>
      </c>
      <c r="I127" s="473"/>
      <c r="J127" s="183">
        <v>23718</v>
      </c>
      <c r="K127" s="183">
        <v>26053</v>
      </c>
      <c r="L127" s="167"/>
    </row>
    <row r="128" spans="1:12" s="672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  <c r="L128" s="167"/>
    </row>
    <row r="129" spans="1:12" s="672" customFormat="1">
      <c r="A129" s="169"/>
      <c r="B129" s="163" t="s">
        <v>232</v>
      </c>
      <c r="C129" s="501">
        <f>'[66]Sch C'!D130</f>
        <v>0</v>
      </c>
      <c r="D129" s="501">
        <f>'[66]Sch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  <c r="L129" s="167"/>
    </row>
    <row r="130" spans="1:12" s="672" customFormat="1">
      <c r="A130" s="169"/>
      <c r="B130" s="163" t="s">
        <v>194</v>
      </c>
      <c r="C130" s="501">
        <f>'[66]Sch C'!D131</f>
        <v>0</v>
      </c>
      <c r="D130" s="501">
        <f>'[66]Sch C'!F131</f>
        <v>87706</v>
      </c>
      <c r="E130" s="171">
        <f t="shared" si="27"/>
        <v>87706</v>
      </c>
      <c r="F130" s="171"/>
      <c r="G130" s="171">
        <f>E130+F130</f>
        <v>87706</v>
      </c>
      <c r="H130" s="172">
        <f>IF($G$208=0,0,G130/$G$208)</f>
        <v>4.3938440494463507E-3</v>
      </c>
      <c r="I130" s="473"/>
      <c r="J130" s="204"/>
      <c r="K130" s="204"/>
      <c r="L130" s="167"/>
    </row>
    <row r="131" spans="1:12" s="672" customFormat="1">
      <c r="A131" s="167"/>
      <c r="B131" s="163" t="s">
        <v>195</v>
      </c>
      <c r="C131" s="501">
        <f>'[66]Sch C'!D132</f>
        <v>0</v>
      </c>
      <c r="D131" s="501">
        <f>'[66]Sch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  <c r="L131" s="167"/>
    </row>
    <row r="132" spans="1:12" s="672" customFormat="1">
      <c r="A132" s="167"/>
      <c r="B132" s="163" t="s">
        <v>196</v>
      </c>
      <c r="C132" s="501">
        <f>'[66]Sch C'!D133</f>
        <v>0</v>
      </c>
      <c r="D132" s="501">
        <f>'[66]Sch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  <c r="L132" s="167"/>
    </row>
    <row r="133" spans="1:12" s="672" customFormat="1">
      <c r="A133" s="167"/>
      <c r="B133" s="163" t="s">
        <v>197</v>
      </c>
      <c r="C133" s="501">
        <f>'[66]Sch C'!D134</f>
        <v>0</v>
      </c>
      <c r="D133" s="501">
        <f>'[66]Sch C'!F134</f>
        <v>60513</v>
      </c>
      <c r="E133" s="171">
        <f t="shared" si="27"/>
        <v>60513</v>
      </c>
      <c r="F133" s="171"/>
      <c r="G133" s="171">
        <f>E133+F133</f>
        <v>60513</v>
      </c>
      <c r="H133" s="172">
        <f>IF($G$208=0,0,G133/$G$208)</f>
        <v>3.0315449908118832E-3</v>
      </c>
      <c r="I133" s="473"/>
      <c r="J133" s="168"/>
      <c r="K133" s="168"/>
      <c r="L133" s="167"/>
    </row>
    <row r="134" spans="1:12" s="672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  <c r="L134" s="167"/>
    </row>
    <row r="135" spans="1:12" s="672" customFormat="1">
      <c r="A135" s="169"/>
      <c r="B135" s="163" t="s">
        <v>194</v>
      </c>
      <c r="C135" s="501">
        <f>'[66]Sch C'!D136</f>
        <v>2867916</v>
      </c>
      <c r="D135" s="501">
        <f>'[66]Sch C'!F136</f>
        <v>0</v>
      </c>
      <c r="E135" s="171">
        <f t="shared" ref="E135:E138" si="28">C135+D135</f>
        <v>2867916</v>
      </c>
      <c r="F135" s="171"/>
      <c r="G135" s="171">
        <f>E135+F135</f>
        <v>2867916</v>
      </c>
      <c r="H135" s="172">
        <f>IF($G$208=0,0,G135/$G$208)</f>
        <v>0.14367518357822703</v>
      </c>
      <c r="I135" s="472"/>
      <c r="J135" s="183">
        <v>84583</v>
      </c>
      <c r="K135" s="183">
        <v>95287</v>
      </c>
      <c r="L135" s="167"/>
    </row>
    <row r="136" spans="1:12" s="672" customFormat="1">
      <c r="A136" s="169"/>
      <c r="B136" s="163" t="s">
        <v>195</v>
      </c>
      <c r="C136" s="501">
        <f>'[66]Sch C'!D137</f>
        <v>918361</v>
      </c>
      <c r="D136" s="501">
        <f>'[66]Sch C'!F137</f>
        <v>0</v>
      </c>
      <c r="E136" s="171">
        <f t="shared" si="28"/>
        <v>918361</v>
      </c>
      <c r="F136" s="171"/>
      <c r="G136" s="171">
        <f>E136+F136</f>
        <v>918361</v>
      </c>
      <c r="H136" s="172">
        <f>IF($G$208=0,0,G136/$G$208)</f>
        <v>4.6007513911175975E-2</v>
      </c>
      <c r="I136" s="472"/>
      <c r="J136" s="183">
        <v>37067</v>
      </c>
      <c r="K136" s="183">
        <v>39927</v>
      </c>
      <c r="L136" s="167"/>
    </row>
    <row r="137" spans="1:12" s="672" customFormat="1">
      <c r="A137" s="169"/>
      <c r="B137" s="163" t="s">
        <v>196</v>
      </c>
      <c r="C137" s="501">
        <f>'[66]Sch C'!D138</f>
        <v>2208491</v>
      </c>
      <c r="D137" s="501">
        <f>'[66]Sch C'!F138</f>
        <v>0</v>
      </c>
      <c r="E137" s="171">
        <f t="shared" si="28"/>
        <v>2208491</v>
      </c>
      <c r="F137" s="171"/>
      <c r="G137" s="171">
        <f>E137+F137</f>
        <v>2208491</v>
      </c>
      <c r="H137" s="172">
        <f>IF($G$208=0,0,G137/$G$208)</f>
        <v>0.1106396944177801</v>
      </c>
      <c r="I137" s="472"/>
      <c r="J137" s="183">
        <v>154339</v>
      </c>
      <c r="K137" s="183">
        <v>164043</v>
      </c>
      <c r="L137" s="167"/>
    </row>
    <row r="138" spans="1:12" s="672" customFormat="1">
      <c r="A138" s="169"/>
      <c r="B138" s="163" t="s">
        <v>197</v>
      </c>
      <c r="C138" s="501">
        <f>'[66]Sch C'!D139</f>
        <v>1212046</v>
      </c>
      <c r="D138" s="501">
        <f>'[66]Sch C'!F139</f>
        <v>0</v>
      </c>
      <c r="E138" s="171">
        <f t="shared" si="28"/>
        <v>1212046</v>
      </c>
      <c r="F138" s="171"/>
      <c r="G138" s="171">
        <f>E138+F138</f>
        <v>1212046</v>
      </c>
      <c r="H138" s="172">
        <f>IF($G$208=0,0,G138/$G$208)</f>
        <v>6.072037380287839E-2</v>
      </c>
      <c r="I138" s="473"/>
      <c r="J138" s="183">
        <v>46763</v>
      </c>
      <c r="K138" s="183">
        <v>49743</v>
      </c>
      <c r="L138" s="167"/>
    </row>
    <row r="139" spans="1:12" s="672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2"/>
      <c r="J139" s="372"/>
      <c r="K139" s="372"/>
      <c r="L139" s="167"/>
    </row>
    <row r="140" spans="1:12" s="672" customFormat="1">
      <c r="A140" s="169"/>
      <c r="B140" s="163" t="s">
        <v>194</v>
      </c>
      <c r="C140" s="501">
        <f>'[66]Sch C'!D141</f>
        <v>0</v>
      </c>
      <c r="D140" s="501">
        <f>'[66]Sch C'!F141</f>
        <v>429150</v>
      </c>
      <c r="E140" s="171">
        <f t="shared" ref="E140:E143" si="29">C140+D140</f>
        <v>429150</v>
      </c>
      <c r="F140" s="171"/>
      <c r="G140" s="171">
        <f>E140+F140</f>
        <v>429150</v>
      </c>
      <c r="H140" s="172">
        <f>IF($G$208=0,0,G140/$G$208)</f>
        <v>2.14993064764087E-2</v>
      </c>
      <c r="I140" s="472"/>
      <c r="J140" s="168"/>
      <c r="K140" s="168"/>
      <c r="L140" s="167"/>
    </row>
    <row r="141" spans="1:12" s="672" customFormat="1">
      <c r="A141" s="169"/>
      <c r="B141" s="163" t="s">
        <v>195</v>
      </c>
      <c r="C141" s="501">
        <f>'[66]Sch C'!D142</f>
        <v>0</v>
      </c>
      <c r="D141" s="501">
        <f>'[66]Sch C'!F142</f>
        <v>137422</v>
      </c>
      <c r="E141" s="171">
        <f t="shared" si="29"/>
        <v>137422</v>
      </c>
      <c r="F141" s="171"/>
      <c r="G141" s="171">
        <f>E141+F141</f>
        <v>137422</v>
      </c>
      <c r="H141" s="172">
        <f>IF($G$208=0,0,G141/$G$208)</f>
        <v>6.8844872296424013E-3</v>
      </c>
      <c r="I141" s="472"/>
      <c r="J141" s="168"/>
      <c r="K141" s="168"/>
      <c r="L141" s="167"/>
    </row>
    <row r="142" spans="1:12" s="672" customFormat="1">
      <c r="A142" s="169"/>
      <c r="B142" s="163" t="s">
        <v>196</v>
      </c>
      <c r="C142" s="501">
        <f>'[66]Sch C'!D143</f>
        <v>0</v>
      </c>
      <c r="D142" s="501">
        <f>'[66]Sch C'!F143</f>
        <v>330475</v>
      </c>
      <c r="E142" s="171">
        <f t="shared" si="29"/>
        <v>330475</v>
      </c>
      <c r="F142" s="171"/>
      <c r="G142" s="171">
        <f>E142+F142</f>
        <v>330475</v>
      </c>
      <c r="H142" s="172">
        <f>IF($G$208=0,0,G142/$G$208)</f>
        <v>1.6555943860634196E-2</v>
      </c>
      <c r="I142" s="472"/>
      <c r="J142" s="168"/>
      <c r="K142" s="168"/>
      <c r="L142" s="167"/>
    </row>
    <row r="143" spans="1:12" s="672" customFormat="1">
      <c r="A143" s="169"/>
      <c r="B143" s="163" t="s">
        <v>197</v>
      </c>
      <c r="C143" s="501">
        <f>'[66]Sch C'!D144</f>
        <v>0</v>
      </c>
      <c r="D143" s="501">
        <f>'[66]Sch C'!F144</f>
        <v>181369</v>
      </c>
      <c r="E143" s="171">
        <f t="shared" si="29"/>
        <v>181369</v>
      </c>
      <c r="F143" s="171"/>
      <c r="G143" s="171">
        <f>E143+F143</f>
        <v>181369</v>
      </c>
      <c r="H143" s="172">
        <f>IF($G$208=0,0,G143/$G$208)</f>
        <v>9.0861184115571935E-3</v>
      </c>
      <c r="I143" s="473"/>
      <c r="J143" s="168"/>
      <c r="K143" s="168"/>
      <c r="L143" s="167"/>
    </row>
    <row r="144" spans="1:12" s="672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  <c r="L144" s="167"/>
    </row>
    <row r="145" spans="1:12" s="672" customFormat="1">
      <c r="A145" s="169"/>
      <c r="B145" s="163" t="s">
        <v>232</v>
      </c>
      <c r="C145" s="501">
        <f>'[66]Sch C'!D146</f>
        <v>396028</v>
      </c>
      <c r="D145" s="501">
        <f>'[66]Sch C'!F146</f>
        <v>0</v>
      </c>
      <c r="E145" s="171">
        <f t="shared" ref="E145:E153" si="30">C145+D145</f>
        <v>396028</v>
      </c>
      <c r="F145" s="171"/>
      <c r="G145" s="171">
        <f t="shared" ref="G145:G153" si="31">E145+F145</f>
        <v>396028</v>
      </c>
      <c r="H145" s="172">
        <f t="shared" ref="H145:H153" si="32">IF($G$208=0,0,G145/$G$208)</f>
        <v>1.9839979832783839E-2</v>
      </c>
      <c r="I145" s="473"/>
      <c r="J145" s="183">
        <v>0</v>
      </c>
      <c r="K145" s="183">
        <v>0</v>
      </c>
      <c r="L145" s="167"/>
    </row>
    <row r="146" spans="1:12" s="672" customFormat="1">
      <c r="A146" s="169"/>
      <c r="B146" s="163" t="s">
        <v>194</v>
      </c>
      <c r="C146" s="501">
        <f>'[66]Sch C'!D147</f>
        <v>33135</v>
      </c>
      <c r="D146" s="501">
        <f>'[66]Sch C'!F147</f>
        <v>0</v>
      </c>
      <c r="E146" s="171">
        <f t="shared" si="30"/>
        <v>33135</v>
      </c>
      <c r="F146" s="171"/>
      <c r="G146" s="171">
        <f t="shared" si="31"/>
        <v>33135</v>
      </c>
      <c r="H146" s="172">
        <f t="shared" si="32"/>
        <v>1.6599779100449779E-3</v>
      </c>
      <c r="I146" s="473"/>
      <c r="J146" s="183">
        <v>0</v>
      </c>
      <c r="K146" s="183">
        <v>0</v>
      </c>
      <c r="L146" s="167"/>
    </row>
    <row r="147" spans="1:12" s="672" customFormat="1">
      <c r="A147" s="169"/>
      <c r="B147" s="163" t="s">
        <v>195</v>
      </c>
      <c r="C147" s="501">
        <f>'[66]Sch C'!D148</f>
        <v>0</v>
      </c>
      <c r="D147" s="501">
        <f>'[66]Sch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  <c r="L147" s="167"/>
    </row>
    <row r="148" spans="1:12" s="672" customFormat="1">
      <c r="A148" s="169"/>
      <c r="B148" s="163" t="s">
        <v>196</v>
      </c>
      <c r="C148" s="501">
        <f>'[66]Sch C'!D149</f>
        <v>0</v>
      </c>
      <c r="D148" s="501">
        <f>'[66]Sch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  <c r="L148" s="167"/>
    </row>
    <row r="149" spans="1:12" s="672" customFormat="1">
      <c r="A149" s="169"/>
      <c r="B149" s="163" t="s">
        <v>197</v>
      </c>
      <c r="C149" s="501">
        <f>'[66]Sch C'!D150</f>
        <v>39205</v>
      </c>
      <c r="D149" s="501">
        <f>'[66]Sch C'!F150</f>
        <v>0</v>
      </c>
      <c r="E149" s="171">
        <f t="shared" si="30"/>
        <v>39205</v>
      </c>
      <c r="F149" s="171"/>
      <c r="G149" s="171">
        <f t="shared" si="31"/>
        <v>39205</v>
      </c>
      <c r="H149" s="172">
        <f t="shared" si="32"/>
        <v>1.9640692308227964E-3</v>
      </c>
      <c r="I149" s="473"/>
      <c r="J149" s="183">
        <v>0</v>
      </c>
      <c r="K149" s="183">
        <v>0</v>
      </c>
      <c r="L149" s="167"/>
    </row>
    <row r="150" spans="1:12" s="672" customFormat="1">
      <c r="A150" s="169">
        <v>110</v>
      </c>
      <c r="B150" s="167" t="s">
        <v>65</v>
      </c>
      <c r="C150" s="501">
        <f>'[66]Sch C'!D151</f>
        <v>808390</v>
      </c>
      <c r="D150" s="501">
        <f>'[66]Sch C'!F151</f>
        <v>0</v>
      </c>
      <c r="E150" s="171">
        <f t="shared" si="30"/>
        <v>808390</v>
      </c>
      <c r="F150" s="171"/>
      <c r="G150" s="171">
        <f t="shared" si="31"/>
        <v>808390</v>
      </c>
      <c r="H150" s="172">
        <f t="shared" si="32"/>
        <v>4.0498250873736527E-2</v>
      </c>
      <c r="I150" s="473"/>
      <c r="J150" s="168"/>
      <c r="K150" s="168"/>
      <c r="L150" s="167"/>
    </row>
    <row r="151" spans="1:12" s="672" customFormat="1">
      <c r="A151" s="169">
        <v>111</v>
      </c>
      <c r="B151" s="170" t="s">
        <v>97</v>
      </c>
      <c r="C151" s="501">
        <f>'[66]Sch C'!D152</f>
        <v>23171</v>
      </c>
      <c r="D151" s="501">
        <f>'[66]Sch C'!F152</f>
        <v>0</v>
      </c>
      <c r="E151" s="171">
        <f t="shared" si="30"/>
        <v>23171</v>
      </c>
      <c r="F151" s="171"/>
      <c r="G151" s="171">
        <f t="shared" si="31"/>
        <v>23171</v>
      </c>
      <c r="H151" s="172">
        <f t="shared" si="32"/>
        <v>1.1608072477335804E-3</v>
      </c>
      <c r="I151" s="473"/>
      <c r="J151" s="168"/>
      <c r="K151" s="168"/>
      <c r="L151" s="167"/>
    </row>
    <row r="152" spans="1:12" s="672" customFormat="1">
      <c r="A152" s="169">
        <v>230</v>
      </c>
      <c r="B152" s="170" t="s">
        <v>66</v>
      </c>
      <c r="C152" s="501">
        <f>'[66]Sch C'!D153</f>
        <v>0</v>
      </c>
      <c r="D152" s="501">
        <f>'[66]Sch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  <c r="L152" s="167"/>
    </row>
    <row r="153" spans="1:12" s="672" customFormat="1">
      <c r="A153" s="169">
        <v>430</v>
      </c>
      <c r="B153" s="170" t="s">
        <v>99</v>
      </c>
      <c r="C153" s="501">
        <f>'[66]Sch C'!D154</f>
        <v>9210</v>
      </c>
      <c r="D153" s="501">
        <f>'[66]Sch C'!F154</f>
        <v>0</v>
      </c>
      <c r="E153" s="171">
        <f t="shared" si="30"/>
        <v>9210</v>
      </c>
      <c r="F153" s="171"/>
      <c r="G153" s="171">
        <f t="shared" si="31"/>
        <v>9210</v>
      </c>
      <c r="H153" s="172">
        <f t="shared" si="32"/>
        <v>4.6139720994459779E-4</v>
      </c>
      <c r="I153" s="473"/>
      <c r="J153" s="168"/>
      <c r="K153" s="168"/>
      <c r="L153" s="167"/>
    </row>
    <row r="154" spans="1:12" s="672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  <c r="L154" s="167"/>
    </row>
    <row r="155" spans="1:12" s="672" customFormat="1">
      <c r="A155" s="169">
        <v>440.1</v>
      </c>
      <c r="B155" s="163" t="s">
        <v>223</v>
      </c>
      <c r="C155" s="501">
        <f>'[66]Sch C'!D156</f>
        <v>0</v>
      </c>
      <c r="D155" s="501">
        <f>'[66]Sch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  <c r="L155" s="167"/>
    </row>
    <row r="156" spans="1:12" s="672" customFormat="1">
      <c r="A156" s="169">
        <v>440.2</v>
      </c>
      <c r="B156" s="163" t="s">
        <v>224</v>
      </c>
      <c r="C156" s="501">
        <f>'[66]Sch C'!D157</f>
        <v>0</v>
      </c>
      <c r="D156" s="501">
        <f>'[66]Sch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  <c r="L156" s="167"/>
    </row>
    <row r="157" spans="1:12" s="672" customFormat="1">
      <c r="A157" s="169">
        <v>440.3</v>
      </c>
      <c r="B157" s="163" t="s">
        <v>225</v>
      </c>
      <c r="C157" s="501">
        <f>'[66]Sch C'!D158</f>
        <v>0</v>
      </c>
      <c r="D157" s="501">
        <f>'[66]Sch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  <c r="L157" s="167"/>
    </row>
    <row r="158" spans="1:12" s="672" customFormat="1">
      <c r="A158" s="169">
        <v>440.4</v>
      </c>
      <c r="B158" s="163" t="s">
        <v>226</v>
      </c>
      <c r="C158" s="501">
        <f>'[66]Sch C'!D159</f>
        <v>0</v>
      </c>
      <c r="D158" s="501">
        <f>'[66]Sch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  <c r="L158" s="167"/>
    </row>
    <row r="159" spans="1:12" s="672" customFormat="1">
      <c r="A159" s="169">
        <v>440.5</v>
      </c>
      <c r="B159" s="163" t="s">
        <v>301</v>
      </c>
      <c r="C159" s="501">
        <f>'[66]Sch C'!D160</f>
        <v>0</v>
      </c>
      <c r="D159" s="501">
        <f>'[66]Sch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  <c r="L159" s="167"/>
    </row>
    <row r="160" spans="1:12" s="672" customFormat="1">
      <c r="A160" s="169">
        <v>490</v>
      </c>
      <c r="B160" s="202" t="s">
        <v>315</v>
      </c>
      <c r="C160" s="501">
        <f>'[66]Sch C'!D161</f>
        <v>24172</v>
      </c>
      <c r="D160" s="501">
        <f>'[66]Sch C'!F161</f>
        <v>0</v>
      </c>
      <c r="E160" s="171">
        <f t="shared" si="33"/>
        <v>24172</v>
      </c>
      <c r="F160" s="171"/>
      <c r="G160" s="171">
        <f t="shared" si="34"/>
        <v>24172</v>
      </c>
      <c r="H160" s="172">
        <f t="shared" si="35"/>
        <v>1.2109547620826077E-3</v>
      </c>
      <c r="I160" s="473"/>
      <c r="J160" s="168"/>
      <c r="K160" s="168"/>
      <c r="L160" s="167"/>
    </row>
    <row r="161" spans="1:12" s="672" customFormat="1">
      <c r="A161" s="169"/>
      <c r="B161" s="170" t="s">
        <v>233</v>
      </c>
      <c r="C161" s="501">
        <f>SUM(C123:C160)</f>
        <v>9530640</v>
      </c>
      <c r="D161" s="501">
        <f>SUM(D123:D160)</f>
        <v>1226635</v>
      </c>
      <c r="E161" s="171">
        <f t="shared" ref="E161:F161" si="36">SUM(E123:E160)</f>
        <v>10757275</v>
      </c>
      <c r="F161" s="171">
        <f t="shared" si="36"/>
        <v>0</v>
      </c>
      <c r="G161" s="171">
        <f>SUM(G123:G160)</f>
        <v>10757275</v>
      </c>
      <c r="H161" s="172">
        <f t="shared" si="35"/>
        <v>0.53891169072820555</v>
      </c>
      <c r="I161" s="473"/>
      <c r="J161" s="168"/>
      <c r="K161" s="168"/>
      <c r="L161" s="167"/>
    </row>
    <row r="162" spans="1:12" s="672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  <c r="L162" s="167"/>
    </row>
    <row r="163" spans="1:12" s="672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  <c r="L163" s="167"/>
    </row>
    <row r="164" spans="1:12">
      <c r="A164" s="215" t="s">
        <v>95</v>
      </c>
      <c r="B164" s="148" t="s">
        <v>102</v>
      </c>
      <c r="C164" s="501">
        <f>'[66]Sch C'!D175</f>
        <v>0</v>
      </c>
      <c r="D164" s="501">
        <f>'[66]Sch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</row>
    <row r="165" spans="1:12">
      <c r="A165" s="215" t="s">
        <v>123</v>
      </c>
      <c r="B165" s="148" t="s">
        <v>103</v>
      </c>
      <c r="C165" s="501">
        <f>'[66]Sch C'!D176</f>
        <v>0</v>
      </c>
      <c r="D165" s="501">
        <f>'[66]Sch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</row>
    <row r="166" spans="1:12">
      <c r="A166" s="215" t="s">
        <v>124</v>
      </c>
      <c r="B166" s="148" t="s">
        <v>104</v>
      </c>
      <c r="C166" s="501">
        <f>'[66]Sch C'!D177</f>
        <v>0</v>
      </c>
      <c r="D166" s="501">
        <f>'[66]Sch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</row>
    <row r="167" spans="1:12">
      <c r="A167" s="215" t="s">
        <v>157</v>
      </c>
      <c r="B167" s="148" t="s">
        <v>105</v>
      </c>
      <c r="C167" s="501">
        <f>'[66]Sch C'!D178</f>
        <v>0</v>
      </c>
      <c r="D167" s="501">
        <f>'[66]Sch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</row>
    <row r="168" spans="1:12">
      <c r="A168" s="215" t="s">
        <v>158</v>
      </c>
      <c r="B168" s="148" t="s">
        <v>316</v>
      </c>
      <c r="C168" s="501">
        <f>'[66]Sch C'!D179</f>
        <v>0</v>
      </c>
      <c r="D168" s="501">
        <f>'[66]Sch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</row>
    <row r="169" spans="1:12">
      <c r="A169" s="215" t="s">
        <v>86</v>
      </c>
      <c r="B169" s="148" t="s">
        <v>317</v>
      </c>
      <c r="C169" s="501">
        <f>'[66]Sch C'!D180</f>
        <v>0</v>
      </c>
      <c r="D169" s="501">
        <f>'[66]Sch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</row>
    <row r="170" spans="1:12">
      <c r="A170" s="215" t="s">
        <v>96</v>
      </c>
      <c r="B170" s="148" t="s">
        <v>318</v>
      </c>
      <c r="C170" s="501">
        <f>'[66]Sch C'!D181</f>
        <v>0</v>
      </c>
      <c r="D170" s="501">
        <f>'[66]Sch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</row>
    <row r="171" spans="1:12">
      <c r="A171" s="215" t="s">
        <v>125</v>
      </c>
      <c r="B171" s="148" t="s">
        <v>109</v>
      </c>
      <c r="C171" s="501">
        <f>'[66]Sch C'!D182</f>
        <v>0</v>
      </c>
      <c r="D171" s="501">
        <f>'[66]Sch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</row>
    <row r="172" spans="1:12">
      <c r="A172" s="215" t="s">
        <v>126</v>
      </c>
      <c r="B172" s="148" t="s">
        <v>319</v>
      </c>
      <c r="C172" s="501">
        <f>'[66]Sch C'!D183</f>
        <v>0</v>
      </c>
      <c r="D172" s="501">
        <f>'[66]Sch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</row>
    <row r="173" spans="1:12">
      <c r="A173" s="215" t="s">
        <v>127</v>
      </c>
      <c r="B173" s="148" t="s">
        <v>111</v>
      </c>
      <c r="C173" s="501">
        <f>'[66]Sch C'!D184</f>
        <v>0</v>
      </c>
      <c r="D173" s="501">
        <f>'[66]Sch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</row>
    <row r="174" spans="1:12">
      <c r="A174" s="215" t="s">
        <v>128</v>
      </c>
      <c r="B174" s="148" t="s">
        <v>320</v>
      </c>
      <c r="C174" s="501">
        <f>'[66]Sch C'!D185</f>
        <v>0</v>
      </c>
      <c r="D174" s="501">
        <f>'[66]Sch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</row>
    <row r="175" spans="1:12">
      <c r="A175" s="215" t="s">
        <v>129</v>
      </c>
      <c r="B175" s="148" t="s">
        <v>321</v>
      </c>
      <c r="C175" s="501">
        <f>'[66]Sch C'!D186</f>
        <v>0</v>
      </c>
      <c r="D175" s="501">
        <f>'[66]Sch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</row>
    <row r="176" spans="1:12">
      <c r="A176" s="224" t="s">
        <v>293</v>
      </c>
      <c r="B176" s="148" t="s">
        <v>154</v>
      </c>
      <c r="C176" s="501">
        <f>'[66]Sch C'!D187</f>
        <v>0</v>
      </c>
      <c r="D176" s="501">
        <f>'[66]Sch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</row>
    <row r="177" spans="1:12">
      <c r="A177" s="224" t="s">
        <v>294</v>
      </c>
      <c r="B177" s="148" t="s">
        <v>322</v>
      </c>
      <c r="C177" s="501">
        <f>'[66]Sch C'!D188</f>
        <v>0</v>
      </c>
      <c r="D177" s="501">
        <f>'[66]Sch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</row>
    <row r="178" spans="1:12">
      <c r="A178" s="224" t="s">
        <v>295</v>
      </c>
      <c r="B178" s="148" t="s">
        <v>323</v>
      </c>
      <c r="C178" s="501">
        <f>'[66]Sch C'!D189</f>
        <v>0</v>
      </c>
      <c r="D178" s="501">
        <f>'[66]Sch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</row>
    <row r="179" spans="1:12">
      <c r="A179" s="224" t="s">
        <v>296</v>
      </c>
      <c r="B179" s="148" t="s">
        <v>324</v>
      </c>
      <c r="C179" s="501">
        <f>'[66]Sch C'!D190</f>
        <v>0</v>
      </c>
      <c r="D179" s="501">
        <f>'[66]Sch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</row>
    <row r="180" spans="1:12">
      <c r="A180" s="224" t="s">
        <v>297</v>
      </c>
      <c r="B180" s="148" t="s">
        <v>325</v>
      </c>
      <c r="C180" s="501">
        <f>'[66]Sch C'!D191</f>
        <v>0</v>
      </c>
      <c r="D180" s="501">
        <f>'[66]Sch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</row>
    <row r="181" spans="1:12">
      <c r="A181" s="224" t="s">
        <v>298</v>
      </c>
      <c r="B181" s="148" t="s">
        <v>117</v>
      </c>
      <c r="C181" s="501">
        <f>'[66]Sch C'!D192</f>
        <v>0</v>
      </c>
      <c r="D181" s="501">
        <f>'[66]Sch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</row>
    <row r="182" spans="1:12">
      <c r="A182" s="224" t="s">
        <v>132</v>
      </c>
      <c r="B182" s="148" t="s">
        <v>118</v>
      </c>
      <c r="C182" s="501">
        <f>'[66]Sch C'!D193</f>
        <v>0</v>
      </c>
      <c r="D182" s="501">
        <f>'[66]Sch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</row>
    <row r="183" spans="1:12">
      <c r="A183" s="224" t="s">
        <v>133</v>
      </c>
      <c r="B183" s="148" t="s">
        <v>119</v>
      </c>
      <c r="C183" s="501">
        <f>'[66]Sch C'!D194</f>
        <v>746527</v>
      </c>
      <c r="D183" s="501">
        <f>'[66]Sch C'!F194</f>
        <v>0</v>
      </c>
      <c r="E183" s="171">
        <f t="shared" si="37"/>
        <v>746527</v>
      </c>
      <c r="F183" s="216"/>
      <c r="G183" s="171">
        <f t="shared" si="38"/>
        <v>746527</v>
      </c>
      <c r="H183" s="172">
        <f t="shared" si="39"/>
        <v>3.7399074370066315E-2</v>
      </c>
      <c r="I183" s="473"/>
      <c r="J183" s="223"/>
      <c r="K183" s="218"/>
      <c r="L183" s="221"/>
    </row>
    <row r="184" spans="1:12">
      <c r="A184" s="224" t="s">
        <v>134</v>
      </c>
      <c r="B184" s="148" t="s">
        <v>326</v>
      </c>
      <c r="C184" s="501">
        <f>'[66]Sch C'!D195</f>
        <v>85892</v>
      </c>
      <c r="D184" s="501">
        <f>'[66]Sch C'!F195</f>
        <v>0</v>
      </c>
      <c r="E184" s="171">
        <f t="shared" si="37"/>
        <v>85892</v>
      </c>
      <c r="F184" s="216"/>
      <c r="G184" s="171">
        <f t="shared" si="38"/>
        <v>85892</v>
      </c>
      <c r="H184" s="172">
        <f t="shared" si="39"/>
        <v>4.3029673351315297E-3</v>
      </c>
      <c r="I184" s="473"/>
      <c r="J184" s="223"/>
      <c r="K184" s="218"/>
      <c r="L184" s="221"/>
    </row>
    <row r="185" spans="1:12">
      <c r="A185" s="224" t="s">
        <v>135</v>
      </c>
      <c r="B185" s="148" t="s">
        <v>327</v>
      </c>
      <c r="C185" s="501">
        <f>'[66]Sch C'!D196</f>
        <v>0</v>
      </c>
      <c r="D185" s="501">
        <f>'[66]Sch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L185" s="221"/>
    </row>
    <row r="186" spans="1:12">
      <c r="A186" s="224" t="s">
        <v>136</v>
      </c>
      <c r="B186" s="148" t="s">
        <v>328</v>
      </c>
      <c r="C186" s="501">
        <f>'[66]Sch C'!D197</f>
        <v>598756</v>
      </c>
      <c r="D186" s="501">
        <f>'[66]Sch C'!F197</f>
        <v>0</v>
      </c>
      <c r="E186" s="171">
        <f t="shared" si="37"/>
        <v>598756</v>
      </c>
      <c r="F186" s="216"/>
      <c r="G186" s="171">
        <f t="shared" si="38"/>
        <v>598756</v>
      </c>
      <c r="H186" s="172">
        <f t="shared" si="39"/>
        <v>2.9996128972593655E-2</v>
      </c>
      <c r="I186" s="473"/>
      <c r="J186" s="223"/>
      <c r="K186" s="218"/>
      <c r="L186" s="221"/>
    </row>
    <row r="187" spans="1:12">
      <c r="A187" s="224" t="s">
        <v>137</v>
      </c>
      <c r="B187" s="148" t="s">
        <v>122</v>
      </c>
      <c r="C187" s="501">
        <f>'[66]Sch C'!D198</f>
        <v>183583</v>
      </c>
      <c r="D187" s="501">
        <f>'[66]Sch C'!F198</f>
        <v>0</v>
      </c>
      <c r="E187" s="171">
        <f t="shared" si="37"/>
        <v>183583</v>
      </c>
      <c r="F187" s="216"/>
      <c r="G187" s="171">
        <f t="shared" si="38"/>
        <v>183583</v>
      </c>
      <c r="H187" s="172">
        <f t="shared" si="39"/>
        <v>9.1970340926448534E-3</v>
      </c>
      <c r="I187" s="473"/>
      <c r="J187" s="223"/>
      <c r="K187" s="218"/>
      <c r="L187" s="221"/>
    </row>
    <row r="188" spans="1:12">
      <c r="A188" s="224" t="s">
        <v>275</v>
      </c>
      <c r="B188" s="148" t="s">
        <v>329</v>
      </c>
      <c r="C188" s="501">
        <f>'[66]Sch C'!D199</f>
        <v>0</v>
      </c>
      <c r="D188" s="501">
        <f>'[66]Sch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L188" s="221"/>
    </row>
    <row r="189" spans="1:12">
      <c r="A189" s="224" t="s">
        <v>277</v>
      </c>
      <c r="B189" s="148" t="s">
        <v>278</v>
      </c>
      <c r="C189" s="501">
        <f>'[66]Sch C'!D200</f>
        <v>0</v>
      </c>
      <c r="D189" s="501">
        <f>'[66]Sch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L189" s="221"/>
    </row>
    <row r="190" spans="1:12">
      <c r="A190" s="225" t="s">
        <v>279</v>
      </c>
      <c r="B190" s="226" t="s">
        <v>280</v>
      </c>
      <c r="C190" s="501">
        <f>'[66]Sch C'!D201</f>
        <v>0</v>
      </c>
      <c r="D190" s="501">
        <f>'[66]Sch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L190" s="221"/>
    </row>
    <row r="191" spans="1:12">
      <c r="A191" s="225" t="s">
        <v>281</v>
      </c>
      <c r="B191" s="226" t="s">
        <v>282</v>
      </c>
      <c r="C191" s="501">
        <f>'[66]Sch C'!D202</f>
        <v>0</v>
      </c>
      <c r="D191" s="501">
        <f>'[66]Sch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L191" s="221"/>
    </row>
    <row r="192" spans="1:12">
      <c r="A192" s="225" t="s">
        <v>283</v>
      </c>
      <c r="B192" s="226" t="s">
        <v>330</v>
      </c>
      <c r="C192" s="501">
        <f>'[66]Sch C'!D203</f>
        <v>0</v>
      </c>
      <c r="D192" s="501">
        <f>'[66]Sch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L192" s="221"/>
    </row>
    <row r="193" spans="1:12">
      <c r="A193" s="225" t="s">
        <v>285</v>
      </c>
      <c r="B193" s="226" t="s">
        <v>331</v>
      </c>
      <c r="C193" s="501">
        <f>'[66]Sch C'!D204</f>
        <v>0</v>
      </c>
      <c r="D193" s="501">
        <f>'[66]Sch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L193" s="221"/>
    </row>
    <row r="194" spans="1:12">
      <c r="A194" s="224" t="s">
        <v>138</v>
      </c>
      <c r="B194" s="148" t="s">
        <v>332</v>
      </c>
      <c r="C194" s="501">
        <f>'[66]Sch C'!D205</f>
        <v>782209</v>
      </c>
      <c r="D194" s="501">
        <f>'[66]Sch C'!F205</f>
        <v>0</v>
      </c>
      <c r="E194" s="171">
        <f t="shared" si="37"/>
        <v>782209</v>
      </c>
      <c r="F194" s="216"/>
      <c r="G194" s="171">
        <f t="shared" si="38"/>
        <v>782209</v>
      </c>
      <c r="H194" s="172">
        <f t="shared" si="39"/>
        <v>3.9186650401037339E-2</v>
      </c>
      <c r="I194" s="473"/>
      <c r="J194" s="223"/>
      <c r="K194" s="218"/>
      <c r="L194" s="221"/>
    </row>
    <row r="195" spans="1:12">
      <c r="A195" s="224" t="s">
        <v>139</v>
      </c>
      <c r="B195" s="148" t="s">
        <v>67</v>
      </c>
      <c r="C195" s="501">
        <f>'[66]Sch C'!D206</f>
        <v>170414</v>
      </c>
      <c r="D195" s="501">
        <f>'[66]Sch C'!F206</f>
        <v>0</v>
      </c>
      <c r="E195" s="171">
        <f t="shared" si="37"/>
        <v>170414</v>
      </c>
      <c r="F195" s="216"/>
      <c r="G195" s="171">
        <f t="shared" si="38"/>
        <v>170414</v>
      </c>
      <c r="H195" s="172">
        <f t="shared" si="39"/>
        <v>8.5373012090660897E-3</v>
      </c>
      <c r="I195" s="473"/>
      <c r="J195" s="223"/>
      <c r="K195" s="218"/>
      <c r="L195" s="221"/>
    </row>
    <row r="196" spans="1:12">
      <c r="A196" s="225" t="s">
        <v>143</v>
      </c>
      <c r="B196" s="194" t="s">
        <v>333</v>
      </c>
      <c r="C196" s="501">
        <f>'[66]Sch C'!D207</f>
        <v>0</v>
      </c>
      <c r="D196" s="501">
        <f>'[66]Sch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L196" s="221"/>
    </row>
    <row r="197" spans="1:12" s="672" customFormat="1">
      <c r="A197" s="163"/>
      <c r="B197" s="212" t="s">
        <v>130</v>
      </c>
      <c r="C197" s="501">
        <f>SUM(C164:C196)</f>
        <v>2567381</v>
      </c>
      <c r="D197" s="501">
        <f>SUM(D164:D196)</f>
        <v>0</v>
      </c>
      <c r="E197" s="171">
        <f t="shared" ref="E197:F197" si="40">SUM(E164:E196)</f>
        <v>2567381</v>
      </c>
      <c r="F197" s="171">
        <f t="shared" si="40"/>
        <v>0</v>
      </c>
      <c r="G197" s="171">
        <f>SUM(G164:G196)</f>
        <v>2567381</v>
      </c>
      <c r="H197" s="172">
        <f>IF($G$208=0,0,G197/$G$208)</f>
        <v>0.12861915638053978</v>
      </c>
      <c r="I197" s="473"/>
      <c r="J197" s="168"/>
      <c r="K197" s="168"/>
      <c r="L197" s="167"/>
    </row>
    <row r="198" spans="1:12" s="672" customFormat="1">
      <c r="A198" s="163"/>
      <c r="B198" s="167"/>
      <c r="C198" s="165"/>
      <c r="D198" s="165"/>
      <c r="E198" s="165"/>
      <c r="F198" s="165"/>
      <c r="G198" s="165"/>
      <c r="H198" s="198"/>
      <c r="I198" s="475"/>
      <c r="J198" s="168"/>
      <c r="K198" s="168"/>
      <c r="L198" s="167"/>
    </row>
    <row r="199" spans="1:12" s="672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  <c r="L199" s="167"/>
    </row>
    <row r="200" spans="1:12" s="672" customFormat="1">
      <c r="A200" s="169" t="s">
        <v>85</v>
      </c>
      <c r="B200" s="170" t="s">
        <v>69</v>
      </c>
      <c r="C200" s="501">
        <f>'[66]Sch C'!D211</f>
        <v>290120</v>
      </c>
      <c r="D200" s="501">
        <f>'[66]Sch C'!F211</f>
        <v>0</v>
      </c>
      <c r="E200" s="171">
        <f t="shared" ref="E200:E205" si="41">C200+D200</f>
        <v>290120</v>
      </c>
      <c r="F200" s="171"/>
      <c r="G200" s="171">
        <f t="shared" ref="G200:G205" si="42">E200+F200</f>
        <v>290120</v>
      </c>
      <c r="H200" s="172">
        <f t="shared" ref="H200:H206" si="43">IF($G$208=0,0,G200/$G$208)</f>
        <v>1.4534262600339491E-2</v>
      </c>
      <c r="I200" s="473"/>
      <c r="J200" s="183">
        <v>15964</v>
      </c>
      <c r="K200" s="183">
        <v>17640</v>
      </c>
      <c r="L200" s="167"/>
    </row>
    <row r="201" spans="1:12" s="672" customFormat="1">
      <c r="A201" s="169" t="s">
        <v>86</v>
      </c>
      <c r="B201" s="170" t="s">
        <v>45</v>
      </c>
      <c r="C201" s="501">
        <f>'[66]Sch C'!D212</f>
        <v>0</v>
      </c>
      <c r="D201" s="501">
        <f>'[66]Sch C'!F212</f>
        <v>43413</v>
      </c>
      <c r="E201" s="171">
        <f t="shared" si="41"/>
        <v>43413</v>
      </c>
      <c r="F201" s="171"/>
      <c r="G201" s="171">
        <f t="shared" si="42"/>
        <v>43413</v>
      </c>
      <c r="H201" s="172">
        <f t="shared" si="43"/>
        <v>2.1748791612730537E-3</v>
      </c>
      <c r="I201" s="473"/>
      <c r="J201" s="168"/>
      <c r="K201" s="168"/>
      <c r="L201" s="167"/>
    </row>
    <row r="202" spans="1:12" s="672" customFormat="1">
      <c r="A202" s="169" t="s">
        <v>140</v>
      </c>
      <c r="B202" s="170" t="s">
        <v>54</v>
      </c>
      <c r="C202" s="501">
        <f>'[66]Sch C'!D213</f>
        <v>6863</v>
      </c>
      <c r="D202" s="501">
        <f>'[66]Sch C'!F213</f>
        <v>0</v>
      </c>
      <c r="E202" s="171">
        <f t="shared" si="41"/>
        <v>6863</v>
      </c>
      <c r="F202" s="171"/>
      <c r="G202" s="171">
        <f t="shared" si="42"/>
        <v>6863</v>
      </c>
      <c r="H202" s="172">
        <f t="shared" si="43"/>
        <v>3.4381857240497007E-4</v>
      </c>
      <c r="I202" s="473"/>
      <c r="J202" s="168"/>
      <c r="K202" s="168"/>
      <c r="L202" s="167"/>
    </row>
    <row r="203" spans="1:12" s="672" customFormat="1">
      <c r="A203" s="169" t="s">
        <v>141</v>
      </c>
      <c r="B203" s="170" t="s">
        <v>70</v>
      </c>
      <c r="C203" s="501">
        <f>'[66]Sch C'!D214</f>
        <v>0</v>
      </c>
      <c r="D203" s="501">
        <f>'[66]Sch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  <c r="L203" s="167"/>
    </row>
    <row r="204" spans="1:12" s="672" customFormat="1">
      <c r="A204" s="169" t="s">
        <v>142</v>
      </c>
      <c r="B204" s="202" t="s">
        <v>71</v>
      </c>
      <c r="C204" s="501">
        <f>'[66]Sch C'!D215</f>
        <v>0</v>
      </c>
      <c r="D204" s="501">
        <f>'[66]Sch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  <c r="L204" s="167"/>
    </row>
    <row r="205" spans="1:12" s="672" customFormat="1">
      <c r="A205" s="169" t="s">
        <v>143</v>
      </c>
      <c r="B205" s="170" t="s">
        <v>312</v>
      </c>
      <c r="C205" s="501">
        <f>'[66]Sch C'!D216</f>
        <v>10019</v>
      </c>
      <c r="D205" s="501">
        <f>'[66]Sch C'!F216</f>
        <v>0</v>
      </c>
      <c r="E205" s="171">
        <f t="shared" si="41"/>
        <v>10019</v>
      </c>
      <c r="F205" s="660"/>
      <c r="G205" s="171">
        <f t="shared" si="42"/>
        <v>10019</v>
      </c>
      <c r="H205" s="172">
        <f t="shared" si="43"/>
        <v>5.0192602024266288E-4</v>
      </c>
      <c r="I205" s="473"/>
      <c r="J205" s="168"/>
      <c r="K205" s="168"/>
      <c r="L205" s="167"/>
    </row>
    <row r="206" spans="1:12" s="672" customFormat="1">
      <c r="A206" s="163"/>
      <c r="B206" s="170" t="s">
        <v>144</v>
      </c>
      <c r="C206" s="501">
        <f>SUM(C200:C205)</f>
        <v>307002</v>
      </c>
      <c r="D206" s="501">
        <f>SUM(D200:D205)</f>
        <v>43413</v>
      </c>
      <c r="E206" s="171">
        <f t="shared" ref="E206:F206" si="44">SUM(E200:E205)</f>
        <v>350415</v>
      </c>
      <c r="F206" s="171">
        <f t="shared" si="44"/>
        <v>0</v>
      </c>
      <c r="G206" s="171">
        <f>SUM(G200:G205)</f>
        <v>350415</v>
      </c>
      <c r="H206" s="172">
        <f t="shared" si="43"/>
        <v>1.7554886354260175E-2</v>
      </c>
      <c r="I206" s="473"/>
      <c r="J206" s="168"/>
      <c r="K206" s="168"/>
      <c r="L206" s="167"/>
    </row>
    <row r="207" spans="1:12" s="672" customFormat="1">
      <c r="A207" s="163"/>
      <c r="B207" s="167"/>
      <c r="C207" s="165"/>
      <c r="D207" s="165"/>
      <c r="E207" s="165"/>
      <c r="F207" s="165"/>
      <c r="G207" s="165"/>
      <c r="H207" s="198"/>
      <c r="I207" s="475"/>
      <c r="J207" s="168"/>
      <c r="K207" s="168"/>
      <c r="L207" s="167"/>
    </row>
    <row r="208" spans="1:12" s="672" customFormat="1">
      <c r="A208" s="227"/>
      <c r="B208" s="228" t="s">
        <v>145</v>
      </c>
      <c r="C208" s="501">
        <f>SUM(C25:C206)/2</f>
        <v>19476874</v>
      </c>
      <c r="D208" s="501">
        <f>SUM(D25:D206)/2</f>
        <v>-617726</v>
      </c>
      <c r="E208" s="171">
        <f t="shared" ref="E208:F208" si="45">SUM(E25:E206)/2</f>
        <v>18859148</v>
      </c>
      <c r="F208" s="171">
        <f t="shared" si="45"/>
        <v>1101961</v>
      </c>
      <c r="G208" s="171">
        <f>SUM(G25:G206)/2</f>
        <v>19961109</v>
      </c>
      <c r="H208" s="172">
        <f>IF($G$208=0,0,G208/$G$208)</f>
        <v>1</v>
      </c>
      <c r="I208" s="473"/>
      <c r="J208" s="183">
        <f>SUM(J25:J200)</f>
        <v>534729</v>
      </c>
      <c r="K208" s="183">
        <f>SUM(K25:K200)</f>
        <v>581329</v>
      </c>
      <c r="L208" s="167"/>
    </row>
    <row r="209" spans="1:12" s="672" customFormat="1" ht="15.5">
      <c r="A209" s="163"/>
      <c r="B209" s="170"/>
      <c r="C209" s="165"/>
      <c r="D209" s="165"/>
      <c r="E209" s="165"/>
      <c r="F209"/>
      <c r="G209"/>
      <c r="H209" s="167"/>
      <c r="I209" s="475"/>
      <c r="J209" s="168"/>
      <c r="K209" s="168"/>
      <c r="L209" s="167"/>
    </row>
    <row r="210" spans="1:12" s="672" customFormat="1" ht="15.5">
      <c r="A210" s="163"/>
      <c r="B210" s="170"/>
      <c r="C210" s="165"/>
      <c r="D210" s="165"/>
      <c r="E210" s="165"/>
      <c r="F210"/>
      <c r="G210"/>
      <c r="H210" s="167"/>
      <c r="I210" s="475"/>
      <c r="J210" s="168"/>
      <c r="K210" s="168"/>
      <c r="L210" s="167"/>
    </row>
    <row r="211" spans="1:12" s="672" customFormat="1" ht="15.5">
      <c r="A211" s="163"/>
      <c r="B211" s="228" t="s">
        <v>181</v>
      </c>
      <c r="C211" s="501">
        <f>'[66]Sch C'!D221</f>
        <v>19476874</v>
      </c>
      <c r="D211" s="196"/>
      <c r="E211" s="165"/>
      <c r="F211" s="409"/>
      <c r="G211"/>
      <c r="H211" s="167"/>
      <c r="I211" s="475"/>
      <c r="J211" s="168"/>
      <c r="K211" s="168"/>
      <c r="L211" s="167"/>
    </row>
    <row r="212" spans="1:12" s="672" customFormat="1" ht="15.5">
      <c r="A212" s="163"/>
      <c r="B212" s="170" t="s">
        <v>147</v>
      </c>
      <c r="C212" s="501">
        <f>C208-C211</f>
        <v>0</v>
      </c>
      <c r="D212" s="229"/>
      <c r="E212" s="165"/>
      <c r="F212" s="409"/>
      <c r="G212"/>
      <c r="H212" s="167"/>
      <c r="I212" s="475"/>
      <c r="J212" s="168"/>
      <c r="K212" s="168"/>
      <c r="L212" s="167"/>
    </row>
    <row r="213" spans="1:12" s="672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/>
      <c r="L213" s="167"/>
    </row>
    <row r="214" spans="1:12" s="672" customFormat="1">
      <c r="A214" s="169"/>
      <c r="B214" s="228"/>
      <c r="C214" s="165"/>
      <c r="D214" s="165"/>
      <c r="E214" s="165"/>
      <c r="F214" s="165"/>
      <c r="G214" s="165"/>
      <c r="H214" s="167"/>
      <c r="I214" s="475"/>
      <c r="J214" s="168"/>
      <c r="K214" s="168"/>
      <c r="L214" s="167"/>
    </row>
    <row r="215" spans="1:12" s="672" customFormat="1">
      <c r="A215" s="163"/>
      <c r="B215" s="228" t="s">
        <v>78</v>
      </c>
      <c r="C215" s="501">
        <f>C21-C208</f>
        <v>-231260</v>
      </c>
      <c r="D215" s="501">
        <f>D21-D208</f>
        <v>617726</v>
      </c>
      <c r="E215" s="171">
        <f t="shared" ref="E215:F215" si="46">E21-E208</f>
        <v>386466</v>
      </c>
      <c r="F215" s="171">
        <f t="shared" si="46"/>
        <v>-1330227</v>
      </c>
      <c r="G215" s="171">
        <f>G21-G208</f>
        <v>-943761</v>
      </c>
      <c r="H215" s="167"/>
      <c r="I215" s="475"/>
      <c r="J215" s="168"/>
      <c r="K215" s="168"/>
      <c r="L215" s="167"/>
    </row>
    <row r="216" spans="1:12" s="672" customFormat="1">
      <c r="A216" s="163"/>
      <c r="B216" s="228"/>
      <c r="C216" s="196"/>
      <c r="D216" s="196"/>
      <c r="E216" s="196"/>
      <c r="F216" s="196"/>
      <c r="G216" s="196"/>
      <c r="H216" s="167"/>
      <c r="I216" s="475"/>
      <c r="J216" s="168"/>
      <c r="K216" s="168"/>
      <c r="L216" s="167"/>
    </row>
    <row r="217" spans="1:12" s="672" customFormat="1">
      <c r="A217" s="163"/>
      <c r="B217" s="228"/>
      <c r="C217" s="196"/>
      <c r="D217" s="196"/>
      <c r="E217" s="196"/>
      <c r="F217" s="196"/>
      <c r="G217" s="196"/>
      <c r="H217" s="167"/>
      <c r="I217" s="475"/>
      <c r="J217" s="168"/>
      <c r="K217" s="168"/>
      <c r="L217" s="167"/>
    </row>
    <row r="218" spans="1:12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2">
      <c r="A219" s="163"/>
      <c r="B219" s="170" t="s">
        <v>218</v>
      </c>
      <c r="C219" s="530">
        <f>'[66]Sch D'!C9</f>
        <v>22897</v>
      </c>
      <c r="D219" s="530"/>
      <c r="E219" s="234">
        <f t="shared" ref="E219:G227" si="47">C219+D219</f>
        <v>22897</v>
      </c>
      <c r="F219" s="233"/>
      <c r="G219" s="234">
        <f t="shared" si="47"/>
        <v>22897</v>
      </c>
      <c r="H219" s="172">
        <f t="shared" ref="H219:H228" si="48">IF($G$228=0,0,G219/$G$228)</f>
        <v>0.50529637639581582</v>
      </c>
      <c r="I219" s="473"/>
      <c r="J219" s="168"/>
      <c r="K219" s="168"/>
    </row>
    <row r="220" spans="1:12">
      <c r="A220" s="163"/>
      <c r="B220" s="170" t="s">
        <v>217</v>
      </c>
      <c r="C220" s="530">
        <f>'[66]Sch D'!D9</f>
        <v>2465</v>
      </c>
      <c r="D220" s="530"/>
      <c r="E220" s="234">
        <f t="shared" ref="E220:E227" si="49">C220+D220</f>
        <v>2465</v>
      </c>
      <c r="F220" s="233"/>
      <c r="G220" s="234">
        <f t="shared" si="47"/>
        <v>2465</v>
      </c>
      <c r="H220" s="172">
        <f t="shared" si="48"/>
        <v>5.4398199232025421E-2</v>
      </c>
      <c r="I220" s="473"/>
      <c r="J220" s="168"/>
      <c r="K220" s="168"/>
    </row>
    <row r="221" spans="1:12">
      <c r="A221" s="163"/>
      <c r="B221" s="170" t="s">
        <v>72</v>
      </c>
      <c r="C221" s="530">
        <f>'[66]Sch D'!E9</f>
        <v>8999</v>
      </c>
      <c r="D221" s="530"/>
      <c r="E221" s="234">
        <f t="shared" si="49"/>
        <v>8999</v>
      </c>
      <c r="F221" s="233"/>
      <c r="G221" s="234">
        <f t="shared" si="47"/>
        <v>8999</v>
      </c>
      <c r="H221" s="172">
        <f t="shared" si="48"/>
        <v>0.19859204660811228</v>
      </c>
      <c r="I221" s="473"/>
      <c r="J221" s="168"/>
      <c r="K221" s="168"/>
    </row>
    <row r="222" spans="1:12">
      <c r="A222" s="163"/>
      <c r="B222" s="202" t="s">
        <v>334</v>
      </c>
      <c r="C222" s="530">
        <f>'[66]Sch D'!F9</f>
        <v>4079</v>
      </c>
      <c r="D222" s="530"/>
      <c r="E222" s="234">
        <f>C222+D222</f>
        <v>4079</v>
      </c>
      <c r="F222" s="233"/>
      <c r="G222" s="234">
        <f>E222+F222</f>
        <v>4079</v>
      </c>
      <c r="H222" s="172">
        <f t="shared" si="48"/>
        <v>9.0016330493887103E-2</v>
      </c>
      <c r="I222" s="473"/>
      <c r="J222" s="168"/>
      <c r="K222" s="168"/>
    </row>
    <row r="223" spans="1:12">
      <c r="A223" s="163"/>
      <c r="B223" s="170" t="s">
        <v>73</v>
      </c>
      <c r="C223" s="530">
        <f>'[66]Sch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2">
      <c r="A224" s="163"/>
      <c r="B224" s="170" t="s">
        <v>74</v>
      </c>
      <c r="C224" s="530">
        <f>'[66]Sch D'!H9</f>
        <v>6874</v>
      </c>
      <c r="D224" s="530"/>
      <c r="E224" s="234">
        <f t="shared" si="49"/>
        <v>6874</v>
      </c>
      <c r="F224" s="233"/>
      <c r="G224" s="234">
        <f t="shared" si="47"/>
        <v>6874</v>
      </c>
      <c r="H224" s="172">
        <f t="shared" si="48"/>
        <v>0.15169704727015934</v>
      </c>
      <c r="I224" s="473"/>
      <c r="J224" s="168"/>
      <c r="K224" s="168"/>
    </row>
    <row r="225" spans="1:11">
      <c r="A225" s="163"/>
      <c r="B225" s="170" t="s">
        <v>236</v>
      </c>
      <c r="C225" s="530">
        <f>'[66]Sch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'[66]Sch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'[66]Sch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5" thickBot="1">
      <c r="A228" s="163"/>
      <c r="B228" s="235" t="s">
        <v>75</v>
      </c>
      <c r="C228" s="530">
        <f>SUM(C219:C227)</f>
        <v>45314</v>
      </c>
      <c r="D228" s="530">
        <f>SUM(D219:D227)</f>
        <v>0</v>
      </c>
      <c r="E228" s="236">
        <f>SUM(E219:E227)</f>
        <v>45314</v>
      </c>
      <c r="F228" s="236">
        <f>SUM(F219:F227)</f>
        <v>0</v>
      </c>
      <c r="G228" s="236">
        <f>SUM(G219:G227)</f>
        <v>45314</v>
      </c>
      <c r="H228" s="172">
        <f t="shared" si="48"/>
        <v>1</v>
      </c>
      <c r="I228" s="473"/>
      <c r="J228" s="168"/>
      <c r="K228" s="168"/>
    </row>
    <row r="229" spans="1:11" ht="1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'[66]Sch D'!N22</f>
        <v>160</v>
      </c>
      <c r="D231" s="502"/>
      <c r="E231" s="234">
        <f>C231+D231</f>
        <v>160</v>
      </c>
      <c r="F231" s="234"/>
      <c r="G231" s="234">
        <f>E231+F231</f>
        <v>160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'[66]Sch D'!N24</f>
        <v>160</v>
      </c>
      <c r="D232" s="502"/>
      <c r="E232" s="234">
        <f>C232+D232</f>
        <v>160</v>
      </c>
      <c r="F232" s="234"/>
      <c r="G232" s="234">
        <f>E232+F232</f>
        <v>160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540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9">
      <c r="A235" s="163"/>
      <c r="B235" s="241" t="s">
        <v>724</v>
      </c>
      <c r="C235" s="531">
        <f>'[66]Sch D'!N28</f>
        <v>58400</v>
      </c>
      <c r="D235" s="438"/>
      <c r="E235" s="233">
        <f>E231*E233</f>
        <v>58400</v>
      </c>
      <c r="F235" s="238"/>
      <c r="G235" s="233">
        <f>G231*G233</f>
        <v>58400</v>
      </c>
      <c r="H235" s="167"/>
      <c r="I235" s="475"/>
      <c r="J235" s="168"/>
      <c r="K235" s="168"/>
    </row>
    <row r="236" spans="1:11" ht="29">
      <c r="A236" s="163"/>
      <c r="B236" s="241" t="s">
        <v>725</v>
      </c>
      <c r="C236" s="532">
        <f>'[66]Sch D'!N30</f>
        <v>0.77592465753424655</v>
      </c>
      <c r="D236" s="238"/>
      <c r="E236" s="242">
        <f>E228/E235</f>
        <v>0.77592465753424655</v>
      </c>
      <c r="F236" s="243"/>
      <c r="G236" s="242">
        <f>G228/G235</f>
        <v>0.77592465753424655</v>
      </c>
      <c r="H236" s="167"/>
      <c r="I236" s="475"/>
      <c r="J236" s="168"/>
      <c r="K236" s="168"/>
    </row>
    <row r="237" spans="1:11" ht="29">
      <c r="A237" s="163"/>
      <c r="B237" s="241" t="s">
        <v>726</v>
      </c>
      <c r="C237" s="532">
        <f>'[66]Sch D'!N32</f>
        <v>0.4342808219178082</v>
      </c>
      <c r="D237" s="238"/>
      <c r="E237" s="242">
        <f>(E219+E220)/E235</f>
        <v>0.4342808219178082</v>
      </c>
      <c r="F237" s="243"/>
      <c r="G237" s="242">
        <f>(G219+G220)/G235</f>
        <v>0.4342808219178082</v>
      </c>
      <c r="H237" s="167"/>
      <c r="I237" s="475"/>
      <c r="J237" s="168"/>
      <c r="K237" s="168"/>
    </row>
    <row r="238" spans="1:11" ht="27.5">
      <c r="A238" s="163"/>
      <c r="B238" s="241" t="s">
        <v>727</v>
      </c>
      <c r="C238" s="532">
        <f>'[66]Sch D'!N34</f>
        <v>0.55969457562784131</v>
      </c>
      <c r="D238" s="238"/>
      <c r="E238" s="242">
        <f>(E237/E236)</f>
        <v>0.55969457562784131</v>
      </c>
      <c r="F238" s="243"/>
      <c r="G238" s="242">
        <f>(G237/G236)</f>
        <v>0.55969457562784131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'[66]Sch B'!C85</f>
        <v>525.60511756569849</v>
      </c>
      <c r="I241" s="475"/>
    </row>
    <row r="242" spans="2:9">
      <c r="F242" s="142" t="s">
        <v>341</v>
      </c>
      <c r="G242" s="501">
        <f>'[66]Sch B'!E85</f>
        <v>345.55719921104537</v>
      </c>
      <c r="I242" s="475"/>
    </row>
    <row r="243" spans="2:9">
      <c r="F243" s="142" t="s">
        <v>342</v>
      </c>
      <c r="G243" s="501">
        <f>'[66]Sch B'!G85</f>
        <v>393.12507374631269</v>
      </c>
      <c r="I243" s="475"/>
    </row>
    <row r="244" spans="2:9">
      <c r="F244" s="142" t="s">
        <v>343</v>
      </c>
      <c r="G244" s="501">
        <f>'[66]Sch B'!I85</f>
        <v>390.30909090909091</v>
      </c>
      <c r="I244" s="475"/>
    </row>
    <row r="245" spans="2:9">
      <c r="F245" s="142"/>
      <c r="I245" s="475"/>
    </row>
    <row r="246" spans="2:9">
      <c r="I246" s="475"/>
    </row>
  </sheetData>
  <phoneticPr fontId="0" type="noConversion"/>
  <printOptions horizontalCentered="1"/>
  <pageMargins left="0.75" right="0.75" top="1" bottom="1" header="0.5" footer="0.5"/>
  <pageSetup scale="37" fitToHeight="4" orientation="landscape" horizontalDpi="300" verticalDpi="300" r:id="rId1"/>
  <headerFooter alignWithMargins="0">
    <oddFooter>&amp;RLVT
&amp;D
&amp;T
&amp;F</oddFooter>
  </headerFooter>
  <ignoredErrors>
    <ignoredError sqref="F36 F20" formula="1"/>
    <ignoredError sqref="A11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2">
    <tabColor rgb="FFE28CAB"/>
  </sheetPr>
  <dimension ref="A1:O246"/>
  <sheetViews>
    <sheetView showGridLines="0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414062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506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  <c r="F3" s="409"/>
    </row>
    <row r="4" spans="1:11">
      <c r="A4" s="145"/>
      <c r="B4" s="148" t="s">
        <v>80</v>
      </c>
      <c r="C4" s="441">
        <v>42916</v>
      </c>
      <c r="D4" s="144"/>
      <c r="E4" s="149"/>
      <c r="F4" s="409"/>
      <c r="G4" s="150"/>
    </row>
    <row r="5" spans="1:11">
      <c r="A5" s="145"/>
      <c r="B5" s="148"/>
      <c r="C5" s="151"/>
      <c r="D5" s="144"/>
      <c r="F5" s="421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'[67]Sch B'!E10</f>
        <v>5221878.17</v>
      </c>
      <c r="D11" s="501">
        <f>'[67]Sch B'!G10</f>
        <v>0</v>
      </c>
      <c r="E11" s="171">
        <f>C11+D11</f>
        <v>5221878.17</v>
      </c>
      <c r="F11" s="660">
        <v>1684323</v>
      </c>
      <c r="G11" s="171">
        <f t="shared" ref="G11:G20" si="0">E11+F11</f>
        <v>6906201.1699999999</v>
      </c>
      <c r="H11" s="172">
        <f t="shared" ref="H11:H21" si="1">IF($G$21=0,0,G11/$G$21)</f>
        <v>0.62828090906109624</v>
      </c>
      <c r="I11" s="473"/>
      <c r="J11" s="336" t="s">
        <v>344</v>
      </c>
      <c r="K11" s="337">
        <f>G21</f>
        <v>10992218.720000001</v>
      </c>
    </row>
    <row r="12" spans="1:11" s="167" customFormat="1">
      <c r="A12" s="169" t="s">
        <v>15</v>
      </c>
      <c r="B12" s="170" t="s">
        <v>212</v>
      </c>
      <c r="C12" s="501">
        <f>'[67]Sch B'!E15</f>
        <v>0</v>
      </c>
      <c r="D12" s="501">
        <f>'[67]Sch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8195704.8200000003</v>
      </c>
    </row>
    <row r="13" spans="1:11" s="167" customFormat="1">
      <c r="A13" s="169" t="s">
        <v>16</v>
      </c>
      <c r="B13" s="170" t="s">
        <v>170</v>
      </c>
      <c r="C13" s="501">
        <f>'[67]Sch B'!E21</f>
        <v>1815033.1500000004</v>
      </c>
      <c r="D13" s="501">
        <f>'[67]Sch B'!G21</f>
        <v>0</v>
      </c>
      <c r="E13" s="171">
        <f t="shared" si="2"/>
        <v>1815033.1500000004</v>
      </c>
      <c r="F13" s="171"/>
      <c r="G13" s="171">
        <f t="shared" si="0"/>
        <v>1815033.1500000004</v>
      </c>
      <c r="H13" s="172">
        <f t="shared" si="1"/>
        <v>0.16511981759402258</v>
      </c>
      <c r="I13" s="473"/>
      <c r="J13" s="338" t="s">
        <v>346</v>
      </c>
      <c r="K13" s="339">
        <f>G228</f>
        <v>29664</v>
      </c>
    </row>
    <row r="14" spans="1:11" s="167" customFormat="1">
      <c r="A14" s="173" t="s">
        <v>18</v>
      </c>
      <c r="B14" s="174" t="s">
        <v>306</v>
      </c>
      <c r="C14" s="501">
        <f>'[67]Sch B'!E27</f>
        <v>900132.44</v>
      </c>
      <c r="D14" s="501">
        <f>'[67]Sch B'!G27</f>
        <v>0</v>
      </c>
      <c r="E14" s="171">
        <f t="shared" si="2"/>
        <v>900132.44</v>
      </c>
      <c r="F14" s="175"/>
      <c r="G14" s="175">
        <f>E14+F14</f>
        <v>900132.44</v>
      </c>
      <c r="H14" s="176">
        <f t="shared" si="1"/>
        <v>8.1888148601177019E-2</v>
      </c>
      <c r="I14" s="479"/>
      <c r="J14" s="338" t="s">
        <v>347</v>
      </c>
      <c r="K14" s="339">
        <f>G231</f>
        <v>140</v>
      </c>
    </row>
    <row r="15" spans="1:11" s="167" customFormat="1">
      <c r="A15" s="169" t="s">
        <v>19</v>
      </c>
      <c r="B15" s="170" t="s">
        <v>171</v>
      </c>
      <c r="C15" s="501">
        <f>'[67]Sch B'!E32</f>
        <v>0</v>
      </c>
      <c r="D15" s="501">
        <f>'[67]Sch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51100</v>
      </c>
    </row>
    <row r="16" spans="1:11" s="167" customFormat="1">
      <c r="A16" s="169" t="s">
        <v>21</v>
      </c>
      <c r="B16" s="170" t="s">
        <v>172</v>
      </c>
      <c r="C16" s="501">
        <f>'[67]Sch B'!E37</f>
        <v>810542.40999999992</v>
      </c>
      <c r="D16" s="501">
        <f>'[67]Sch B'!G37</f>
        <v>0</v>
      </c>
      <c r="E16" s="171">
        <f t="shared" si="2"/>
        <v>810542.40999999992</v>
      </c>
      <c r="F16" s="171"/>
      <c r="G16" s="171">
        <f t="shared" si="0"/>
        <v>810542.40999999992</v>
      </c>
      <c r="H16" s="172">
        <f t="shared" si="1"/>
        <v>7.3737834976413189E-2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'[67]Sch B'!E42</f>
        <v>306819.81000000006</v>
      </c>
      <c r="D17" s="501">
        <f>'[67]Sch B'!G42</f>
        <v>0</v>
      </c>
      <c r="E17" s="171">
        <f t="shared" si="2"/>
        <v>306819.81000000006</v>
      </c>
      <c r="F17" s="171"/>
      <c r="G17" s="171">
        <f>E17+F17</f>
        <v>306819.81000000006</v>
      </c>
      <c r="H17" s="172">
        <f t="shared" si="1"/>
        <v>2.7912454966143543E-2</v>
      </c>
      <c r="I17" s="473"/>
      <c r="J17" s="338" t="s">
        <v>156</v>
      </c>
      <c r="K17" s="339">
        <f>J208</f>
        <v>204384.89000000004</v>
      </c>
    </row>
    <row r="18" spans="1:11" s="167" customFormat="1" ht="13.5" thickBot="1">
      <c r="A18" s="169" t="s">
        <v>216</v>
      </c>
      <c r="B18" s="170" t="s">
        <v>229</v>
      </c>
      <c r="C18" s="501">
        <f>'[67]Sch B'!E47</f>
        <v>50572.65</v>
      </c>
      <c r="D18" s="501">
        <f>'[67]Sch B'!G47</f>
        <v>0</v>
      </c>
      <c r="E18" s="171">
        <f t="shared" si="2"/>
        <v>50572.65</v>
      </c>
      <c r="F18" s="171"/>
      <c r="G18" s="171">
        <f>E18+F18</f>
        <v>50572.65</v>
      </c>
      <c r="H18" s="172">
        <f t="shared" si="1"/>
        <v>4.6007681695765966E-3</v>
      </c>
      <c r="I18" s="473"/>
      <c r="J18" s="341" t="s">
        <v>252</v>
      </c>
      <c r="K18" s="342">
        <f>K208</f>
        <v>211819.31000000003</v>
      </c>
    </row>
    <row r="19" spans="1:11" s="167" customFormat="1">
      <c r="A19" s="169" t="s">
        <v>227</v>
      </c>
      <c r="B19" s="177" t="s">
        <v>173</v>
      </c>
      <c r="C19" s="501">
        <f>'[67]Sch B'!E52</f>
        <v>0</v>
      </c>
      <c r="D19" s="501">
        <f>'[67]Sch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'[67]Sch B'!E67</f>
        <v>203352.25</v>
      </c>
      <c r="D20" s="501">
        <f>'[67]Sch B'!G67</f>
        <v>-435.16</v>
      </c>
      <c r="E20" s="171">
        <f t="shared" si="2"/>
        <v>202917.09</v>
      </c>
      <c r="F20" s="171"/>
      <c r="G20" s="171">
        <f t="shared" si="0"/>
        <v>202917.09</v>
      </c>
      <c r="H20" s="172">
        <f t="shared" si="1"/>
        <v>1.846006663157081E-2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9308330.8800000008</v>
      </c>
      <c r="D21" s="501">
        <f>SUM(D11:D20)</f>
        <v>-435.16</v>
      </c>
      <c r="E21" s="171">
        <f>SUM(E11:E20)</f>
        <v>9307895.7200000007</v>
      </c>
      <c r="F21" s="171">
        <f>SUM(F11:F20)</f>
        <v>1684323</v>
      </c>
      <c r="G21" s="171">
        <f>SUM(G11:G20)</f>
        <v>10992218.720000001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'[67]Sch C'!D10</f>
        <v>104869.01</v>
      </c>
      <c r="D25" s="501">
        <f>'[67]Sch C'!F10</f>
        <v>0</v>
      </c>
      <c r="E25" s="171">
        <f t="shared" ref="E25:E60" si="3">C25+D25</f>
        <v>104869.01</v>
      </c>
      <c r="F25" s="171"/>
      <c r="G25" s="182">
        <f>E25+F25</f>
        <v>104869.01</v>
      </c>
      <c r="H25" s="172">
        <f>IF($G$208=0,0,G25/$G$208)</f>
        <v>1.2795606028182941E-2</v>
      </c>
      <c r="I25" s="473"/>
      <c r="J25" s="183">
        <v>2079.04</v>
      </c>
      <c r="K25" s="183">
        <v>2079.04</v>
      </c>
    </row>
    <row r="26" spans="1:11" s="167" customFormat="1">
      <c r="A26" s="169" t="s">
        <v>84</v>
      </c>
      <c r="B26" s="170" t="s">
        <v>176</v>
      </c>
      <c r="C26" s="501">
        <f>'[67]Sch C'!D11</f>
        <v>0</v>
      </c>
      <c r="D26" s="501">
        <f>'[67]Sch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'[67]Sch C'!D12</f>
        <v>164291.15</v>
      </c>
      <c r="D27" s="501">
        <f>'[67]Sch C'!F12</f>
        <v>-54537</v>
      </c>
      <c r="E27" s="171">
        <f t="shared" si="3"/>
        <v>109754.15</v>
      </c>
      <c r="F27" s="171"/>
      <c r="G27" s="171">
        <f t="shared" si="4"/>
        <v>109754.15</v>
      </c>
      <c r="H27" s="172">
        <f t="shared" si="5"/>
        <v>1.339166702687567E-2</v>
      </c>
      <c r="I27" s="473"/>
      <c r="J27" s="183">
        <v>8948.5299999999988</v>
      </c>
      <c r="K27" s="183">
        <v>9543.44</v>
      </c>
    </row>
    <row r="28" spans="1:11" s="167" customFormat="1">
      <c r="A28" s="169" t="s">
        <v>86</v>
      </c>
      <c r="B28" s="170" t="s">
        <v>45</v>
      </c>
      <c r="C28" s="501">
        <f>'[67]Sch C'!D13</f>
        <v>85372.82</v>
      </c>
      <c r="D28" s="501">
        <f>'[67]Sch C'!F13</f>
        <v>-17702</v>
      </c>
      <c r="E28" s="171">
        <f t="shared" si="3"/>
        <v>67670.820000000007</v>
      </c>
      <c r="F28" s="171"/>
      <c r="G28" s="171">
        <f t="shared" si="4"/>
        <v>67670.820000000007</v>
      </c>
      <c r="H28" s="172">
        <f t="shared" si="5"/>
        <v>8.2568639898868406E-3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'[67]Sch C'!D14</f>
        <v>0</v>
      </c>
      <c r="D29" s="501">
        <f>'[67]Sch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'[67]Sch C'!D15</f>
        <v>596213.05000000005</v>
      </c>
      <c r="D30" s="501">
        <f>'[67]Sch C'!F15</f>
        <v>-596213.05000000005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'[67]Sch C'!D16</f>
        <v>0</v>
      </c>
      <c r="D31" s="501">
        <f>'[67]Sch C'!F16</f>
        <v>355762</v>
      </c>
      <c r="E31" s="171">
        <f t="shared" si="3"/>
        <v>355762</v>
      </c>
      <c r="F31" s="171"/>
      <c r="G31" s="171">
        <f t="shared" si="4"/>
        <v>355762</v>
      </c>
      <c r="H31" s="172">
        <f t="shared" si="5"/>
        <v>4.3408347154210949E-2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'[67]Sch C'!D17</f>
        <v>0</v>
      </c>
      <c r="D32" s="501">
        <f>'[67]Sch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'[67]Sch C'!D18</f>
        <v>4420.29</v>
      </c>
      <c r="D33" s="501">
        <f>'[67]Sch C'!F18</f>
        <v>0</v>
      </c>
      <c r="E33" s="171">
        <f t="shared" si="3"/>
        <v>4420.29</v>
      </c>
      <c r="F33" s="171"/>
      <c r="G33" s="171">
        <f t="shared" si="4"/>
        <v>4420.29</v>
      </c>
      <c r="H33" s="172">
        <f t="shared" si="5"/>
        <v>5.3934226489138004E-4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'[67]Sch C'!D19</f>
        <v>30253.37</v>
      </c>
      <c r="D34" s="501">
        <f>'[67]Sch C'!F19</f>
        <v>1775</v>
      </c>
      <c r="E34" s="171">
        <f t="shared" si="3"/>
        <v>32028.37</v>
      </c>
      <c r="F34" s="171"/>
      <c r="G34" s="171">
        <f t="shared" si="4"/>
        <v>32028.37</v>
      </c>
      <c r="H34" s="172">
        <f t="shared" si="5"/>
        <v>3.9079457720147606E-3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'[67]Sch C'!D20</f>
        <v>26214.76</v>
      </c>
      <c r="D35" s="501">
        <f>'[67]Sch C'!F20</f>
        <v>0</v>
      </c>
      <c r="E35" s="171">
        <f t="shared" si="3"/>
        <v>26214.76</v>
      </c>
      <c r="F35" s="171"/>
      <c r="G35" s="171">
        <f t="shared" si="4"/>
        <v>26214.76</v>
      </c>
      <c r="H35" s="172">
        <f t="shared" si="5"/>
        <v>3.1985973843308814E-3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'[67]Sch C'!D21</f>
        <v>24765.33</v>
      </c>
      <c r="D36" s="501">
        <f>'[67]Sch C'!F21</f>
        <v>53458</v>
      </c>
      <c r="E36" s="171">
        <f t="shared" si="3"/>
        <v>78223.33</v>
      </c>
      <c r="F36" s="171"/>
      <c r="G36" s="171">
        <f t="shared" si="4"/>
        <v>78223.33</v>
      </c>
      <c r="H36" s="172">
        <f t="shared" si="5"/>
        <v>9.5444298834569292E-3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'[67]Sch C'!D22</f>
        <v>0</v>
      </c>
      <c r="D37" s="501">
        <f>'[67]Sch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'[67]Sch C'!D23</f>
        <v>16782.990000000002</v>
      </c>
      <c r="D38" s="501">
        <f>'[67]Sch C'!F23</f>
        <v>29057</v>
      </c>
      <c r="E38" s="171">
        <f t="shared" si="3"/>
        <v>45839.990000000005</v>
      </c>
      <c r="F38" s="171"/>
      <c r="G38" s="171">
        <f t="shared" si="4"/>
        <v>45839.990000000005</v>
      </c>
      <c r="H38" s="172">
        <f t="shared" si="5"/>
        <v>5.5931724002719757E-3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'[67]Sch C'!D24</f>
        <v>51634.69</v>
      </c>
      <c r="D39" s="501">
        <f>'[67]Sch C'!F24</f>
        <v>0</v>
      </c>
      <c r="E39" s="171">
        <f t="shared" si="3"/>
        <v>51634.69</v>
      </c>
      <c r="F39" s="171"/>
      <c r="G39" s="171">
        <f t="shared" si="4"/>
        <v>51634.69</v>
      </c>
      <c r="H39" s="172">
        <f t="shared" si="5"/>
        <v>6.3002134818222989E-3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'[67]Sch C'!D25</f>
        <v>0</v>
      </c>
      <c r="D40" s="501">
        <f>'[67]Sch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'[67]Sch C'!D26</f>
        <v>452609.47</v>
      </c>
      <c r="D41" s="501">
        <f>'[67]Sch C'!F26</f>
        <v>0</v>
      </c>
      <c r="E41" s="171">
        <f t="shared" si="3"/>
        <v>452609.47</v>
      </c>
      <c r="F41" s="171"/>
      <c r="G41" s="171">
        <f t="shared" si="4"/>
        <v>452609.47</v>
      </c>
      <c r="H41" s="172">
        <f t="shared" si="5"/>
        <v>5.5225203925780231E-2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'[67]Sch C'!D27</f>
        <v>9620.4500000000007</v>
      </c>
      <c r="D42" s="501">
        <f>'[67]Sch C'!F27</f>
        <v>16658</v>
      </c>
      <c r="E42" s="171">
        <f t="shared" si="3"/>
        <v>26278.45</v>
      </c>
      <c r="F42" s="171"/>
      <c r="G42" s="171">
        <f t="shared" si="4"/>
        <v>26278.45</v>
      </c>
      <c r="H42" s="172">
        <f t="shared" si="5"/>
        <v>3.2063685280456452E-3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'[67]Sch C'!D28</f>
        <v>0</v>
      </c>
      <c r="D43" s="501">
        <f>'[67]Sch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'[67]Sch C'!D29</f>
        <v>246330.16</v>
      </c>
      <c r="D44" s="501">
        <f>'[67]Sch C'!F29</f>
        <v>-246330.16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'[67]Sch C'!D30</f>
        <v>0</v>
      </c>
      <c r="D45" s="501">
        <f>'[67]Sch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'[67]Sch C'!D31</f>
        <v>0</v>
      </c>
      <c r="D46" s="501">
        <f>'[67]Sch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'[67]Sch C'!D32</f>
        <v>136088.04</v>
      </c>
      <c r="D47" s="501">
        <f>'[67]Sch C'!F32</f>
        <v>6990</v>
      </c>
      <c r="E47" s="171">
        <f t="shared" si="3"/>
        <v>143078.04</v>
      </c>
      <c r="F47" s="171"/>
      <c r="G47" s="171">
        <f t="shared" si="4"/>
        <v>143078.04</v>
      </c>
      <c r="H47" s="172">
        <f t="shared" si="5"/>
        <v>1.7457685841838311E-2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'[67]Sch C'!D33</f>
        <v>0</v>
      </c>
      <c r="D48" s="501">
        <f>'[67]Sch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'[67]Sch C'!D34</f>
        <v>0</v>
      </c>
      <c r="D49" s="501">
        <f>'[67]Sch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'[67]Sch C'!D35</f>
        <v>10</v>
      </c>
      <c r="D50" s="501">
        <f>'[67]Sch C'!F35</f>
        <v>-10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'[67]Sch C'!D36</f>
        <v>0</v>
      </c>
      <c r="D51" s="501">
        <f>'[67]Sch C'!F36</f>
        <v>0</v>
      </c>
      <c r="E51" s="171">
        <f t="shared" si="3"/>
        <v>0</v>
      </c>
      <c r="F51" s="660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'[67]Sch C'!D37</f>
        <v>0</v>
      </c>
      <c r="D52" s="501">
        <f>'[67]Sch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'[67]Sch C'!D38</f>
        <v>0</v>
      </c>
      <c r="D53" s="501">
        <f>'[67]Sch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'[67]Sch C'!D39</f>
        <v>16572.68</v>
      </c>
      <c r="D54" s="501">
        <f>'[67]Sch C'!F39</f>
        <v>6474</v>
      </c>
      <c r="E54" s="171">
        <f t="shared" si="3"/>
        <v>23046.68</v>
      </c>
      <c r="F54" s="171"/>
      <c r="G54" s="171">
        <f t="shared" si="4"/>
        <v>23046.68</v>
      </c>
      <c r="H54" s="172">
        <f t="shared" si="5"/>
        <v>2.8120436870492367E-3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'[67]Sch C'!D40</f>
        <v>9910.49</v>
      </c>
      <c r="D55" s="501">
        <f>'[67]Sch C'!F40</f>
        <v>0</v>
      </c>
      <c r="E55" s="171">
        <f t="shared" si="3"/>
        <v>9910.49</v>
      </c>
      <c r="F55" s="171"/>
      <c r="G55" s="171">
        <f t="shared" si="4"/>
        <v>9910.49</v>
      </c>
      <c r="H55" s="172">
        <f t="shared" si="5"/>
        <v>1.2092297389500173E-3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'[67]Sch C'!D41</f>
        <v>38167.75</v>
      </c>
      <c r="D56" s="501">
        <f>'[67]Sch C'!F41</f>
        <v>42372</v>
      </c>
      <c r="E56" s="171">
        <f t="shared" si="3"/>
        <v>80539.75</v>
      </c>
      <c r="F56" s="660">
        <v>27672</v>
      </c>
      <c r="G56" s="171">
        <f t="shared" si="4"/>
        <v>108211.75</v>
      </c>
      <c r="H56" s="172">
        <f t="shared" si="5"/>
        <v>1.3203470888303662E-2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'[67]Sch C'!D42</f>
        <v>0</v>
      </c>
      <c r="D57" s="501">
        <f>'[67]Sch C'!F42</f>
        <v>3525</v>
      </c>
      <c r="E57" s="171">
        <f t="shared" si="3"/>
        <v>3525</v>
      </c>
      <c r="F57" s="171"/>
      <c r="G57" s="171">
        <f t="shared" si="4"/>
        <v>3525</v>
      </c>
      <c r="H57" s="172">
        <f t="shared" si="5"/>
        <v>4.301033379579427E-4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'[67]Sch C'!D43</f>
        <v>0</v>
      </c>
      <c r="D58" s="501">
        <f>'[67]Sch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'[67]Sch C'!D44</f>
        <v>327</v>
      </c>
      <c r="D59" s="501">
        <f>'[67]Sch C'!F44</f>
        <v>0</v>
      </c>
      <c r="E59" s="171">
        <f t="shared" si="3"/>
        <v>327</v>
      </c>
      <c r="F59" s="171"/>
      <c r="G59" s="171">
        <f t="shared" si="4"/>
        <v>327</v>
      </c>
      <c r="H59" s="172">
        <f t="shared" si="5"/>
        <v>3.989894794673681E-5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'[67]Sch C'!D45</f>
        <v>4083.06</v>
      </c>
      <c r="D60" s="501">
        <f>'[67]Sch C'!F45</f>
        <v>831</v>
      </c>
      <c r="E60" s="171">
        <f t="shared" si="3"/>
        <v>4914.0599999999995</v>
      </c>
      <c r="F60" s="171"/>
      <c r="G60" s="171">
        <f t="shared" si="4"/>
        <v>4914.0599999999995</v>
      </c>
      <c r="H60" s="172">
        <f t="shared" si="5"/>
        <v>5.9958967629095247E-4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2018536.5599999998</v>
      </c>
      <c r="D61" s="501">
        <f>SUM(D25:D60)</f>
        <v>-397890.21000000008</v>
      </c>
      <c r="E61" s="171">
        <f t="shared" ref="E61:F61" si="6">SUM(E25:E60)</f>
        <v>1620646.3499999999</v>
      </c>
      <c r="F61" s="171">
        <f t="shared" si="6"/>
        <v>27672</v>
      </c>
      <c r="G61" s="171">
        <f>SUM(G25:G60)</f>
        <v>1648318.3499999999</v>
      </c>
      <c r="H61" s="186">
        <f t="shared" si="5"/>
        <v>0.20111977995810734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'[67]Sch C'!D57</f>
        <v>1026000</v>
      </c>
      <c r="D64" s="501">
        <f>'[67]Sch C'!F57</f>
        <v>-1026000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'[67]Sch C'!D58</f>
        <v>2341.3200000000002</v>
      </c>
      <c r="D65" s="501">
        <f>'[67]Sch C'!F58</f>
        <v>161751.95000000001</v>
      </c>
      <c r="E65" s="171">
        <f t="shared" si="7"/>
        <v>164093.27000000002</v>
      </c>
      <c r="F65" s="171"/>
      <c r="G65" s="171">
        <f t="shared" si="8"/>
        <v>164093.27000000002</v>
      </c>
      <c r="H65" s="172">
        <f t="shared" si="9"/>
        <v>2.0021861890335873E-2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'[67]Sch C'!D59</f>
        <v>0</v>
      </c>
      <c r="D66" s="501">
        <f>'[67]Sch C'!F59</f>
        <v>335849.28</v>
      </c>
      <c r="E66" s="171">
        <f t="shared" si="7"/>
        <v>335849.28</v>
      </c>
      <c r="F66" s="171"/>
      <c r="G66" s="171">
        <f t="shared" si="8"/>
        <v>335849.28</v>
      </c>
      <c r="H66" s="172">
        <f t="shared" si="9"/>
        <v>4.0978694008162196E-2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'[67]Sch C'!D60</f>
        <v>49456.65</v>
      </c>
      <c r="D67" s="501">
        <f>'[67]Sch C'!F60</f>
        <v>3000</v>
      </c>
      <c r="E67" s="171">
        <f t="shared" si="7"/>
        <v>52456.65</v>
      </c>
      <c r="F67" s="171"/>
      <c r="G67" s="171">
        <f t="shared" si="8"/>
        <v>52456.65</v>
      </c>
      <c r="H67" s="172">
        <f t="shared" si="9"/>
        <v>6.4005050391748976E-3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'[67]Sch C'!D61</f>
        <v>25824.68</v>
      </c>
      <c r="D68" s="501">
        <f>'[67]Sch C'!F61</f>
        <v>2400</v>
      </c>
      <c r="E68" s="171">
        <f t="shared" si="7"/>
        <v>28224.68</v>
      </c>
      <c r="F68" s="171"/>
      <c r="G68" s="171">
        <f t="shared" si="8"/>
        <v>28224.68</v>
      </c>
      <c r="H68" s="172">
        <f t="shared" si="9"/>
        <v>3.4438380371049036E-3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'[67]Sch C'!D62</f>
        <v>0</v>
      </c>
      <c r="D69" s="501">
        <f>'[67]Sch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'[67]Sch C'!D63</f>
        <v>0</v>
      </c>
      <c r="D70" s="501">
        <f>'[67]Sch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'[67]Sch C'!D64</f>
        <v>0</v>
      </c>
      <c r="D71" s="501">
        <f>'[67]Sch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'[67]Sch C'!D65</f>
        <v>0</v>
      </c>
      <c r="D72" s="501">
        <f>'[67]Sch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'[67]Sch C'!D66</f>
        <v>0</v>
      </c>
      <c r="D73" s="501">
        <f>'[67]Sch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'[67]Sch C'!D67</f>
        <v>15852.9</v>
      </c>
      <c r="D74" s="501">
        <f>'[67]Sch C'!F67</f>
        <v>17165.150000000001</v>
      </c>
      <c r="E74" s="171">
        <f t="shared" si="7"/>
        <v>33018.050000000003</v>
      </c>
      <c r="F74" s="171"/>
      <c r="G74" s="171">
        <f t="shared" si="8"/>
        <v>33018.050000000003</v>
      </c>
      <c r="H74" s="172">
        <f t="shared" si="9"/>
        <v>4.0287017071949649E-3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'[67]Sch C'!D68</f>
        <v>0</v>
      </c>
      <c r="D75" s="501">
        <f>'[67]Sch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'[67]Sch C'!D69</f>
        <v>7555.64</v>
      </c>
      <c r="D76" s="501">
        <f>'[67]Sch C'!F69</f>
        <v>271.14</v>
      </c>
      <c r="E76" s="171">
        <f t="shared" si="7"/>
        <v>7826.7800000000007</v>
      </c>
      <c r="F76" s="171"/>
      <c r="G76" s="171">
        <f t="shared" si="8"/>
        <v>7826.7800000000007</v>
      </c>
      <c r="H76" s="172">
        <f t="shared" si="9"/>
        <v>9.5498558963474239E-4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'[67]Sch C'!D70</f>
        <v>0</v>
      </c>
      <c r="D77" s="501">
        <f>'[67]Sch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'[67]Sch C'!D71</f>
        <v>0</v>
      </c>
      <c r="D78" s="501">
        <f>'[67]Sch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1127031.1899999997</v>
      </c>
      <c r="D79" s="501">
        <f>SUM(D64:D78)</f>
        <v>-505562.48</v>
      </c>
      <c r="E79" s="171">
        <f t="shared" ref="E79:F79" si="10">SUM(E64:E78)</f>
        <v>621468.7100000002</v>
      </c>
      <c r="F79" s="171">
        <f t="shared" si="10"/>
        <v>0</v>
      </c>
      <c r="G79" s="171">
        <f>SUM(G64:G78)</f>
        <v>621468.7100000002</v>
      </c>
      <c r="H79" s="172">
        <f t="shared" si="9"/>
        <v>7.5828586271607587E-2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'[67]Sch C'!D75</f>
        <v>56487.35</v>
      </c>
      <c r="D82" s="501">
        <f>'[67]Sch C'!F75</f>
        <v>0</v>
      </c>
      <c r="E82" s="171">
        <f t="shared" ref="E82:E92" si="11">C82+D82</f>
        <v>56487.35</v>
      </c>
      <c r="F82" s="171"/>
      <c r="G82" s="171">
        <f t="shared" ref="G82:G92" si="12">E82+F82</f>
        <v>56487.35</v>
      </c>
      <c r="H82" s="172">
        <f t="shared" ref="H82:H93" si="13">IF($G$208=0,0,G82/$G$208)</f>
        <v>6.8923114290492466E-3</v>
      </c>
      <c r="I82" s="473"/>
      <c r="J82" s="183">
        <v>2614.85</v>
      </c>
      <c r="K82" s="183">
        <v>2739.85</v>
      </c>
    </row>
    <row r="83" spans="1:11" s="167" customFormat="1">
      <c r="A83" s="169" t="s">
        <v>86</v>
      </c>
      <c r="B83" s="199" t="s">
        <v>45</v>
      </c>
      <c r="C83" s="501">
        <f>'[67]Sch C'!D76</f>
        <v>14084.04</v>
      </c>
      <c r="D83" s="501">
        <f>'[67]Sch C'!F76</f>
        <v>0</v>
      </c>
      <c r="E83" s="171">
        <f t="shared" si="11"/>
        <v>14084.04</v>
      </c>
      <c r="F83" s="171"/>
      <c r="G83" s="171">
        <f t="shared" si="12"/>
        <v>14084.04</v>
      </c>
      <c r="H83" s="172">
        <f t="shared" si="13"/>
        <v>1.7184659903356548E-3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'[67]Sch C'!D77</f>
        <v>10535.55</v>
      </c>
      <c r="D84" s="501">
        <f>'[67]Sch C'!F77</f>
        <v>0</v>
      </c>
      <c r="E84" s="171">
        <f t="shared" si="11"/>
        <v>10535.55</v>
      </c>
      <c r="F84" s="171"/>
      <c r="G84" s="171">
        <f t="shared" si="12"/>
        <v>10535.55</v>
      </c>
      <c r="H84" s="172">
        <f t="shared" si="13"/>
        <v>1.285496516942639E-3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'[67]Sch C'!D78</f>
        <v>23555.96</v>
      </c>
      <c r="D85" s="501">
        <f>'[67]Sch C'!F78</f>
        <v>1548</v>
      </c>
      <c r="E85" s="171">
        <f t="shared" si="11"/>
        <v>25103.96</v>
      </c>
      <c r="F85" s="171"/>
      <c r="G85" s="171">
        <f t="shared" si="12"/>
        <v>25103.96</v>
      </c>
      <c r="H85" s="172">
        <f t="shared" si="13"/>
        <v>3.0630629764433121E-3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'[67]Sch C'!D79</f>
        <v>40683.56</v>
      </c>
      <c r="D86" s="501">
        <f>'[67]Sch C'!F79</f>
        <v>0</v>
      </c>
      <c r="E86" s="171">
        <f t="shared" si="11"/>
        <v>40683.56</v>
      </c>
      <c r="F86" s="171"/>
      <c r="G86" s="171">
        <f>E86+F86</f>
        <v>40683.56</v>
      </c>
      <c r="H86" s="172">
        <f t="shared" si="13"/>
        <v>4.9640099165992168E-3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'[67]Sch C'!D80</f>
        <v>63039.05</v>
      </c>
      <c r="D87" s="501">
        <f>'[67]Sch C'!F80</f>
        <v>0</v>
      </c>
      <c r="E87" s="171">
        <f t="shared" si="11"/>
        <v>63039.05</v>
      </c>
      <c r="F87" s="171"/>
      <c r="G87" s="171">
        <f t="shared" si="12"/>
        <v>63039.05</v>
      </c>
      <c r="H87" s="172">
        <f t="shared" si="13"/>
        <v>7.6917179650206093E-3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'[67]Sch C'!D81</f>
        <v>4837</v>
      </c>
      <c r="D88" s="501">
        <f>'[67]Sch C'!F81</f>
        <v>0</v>
      </c>
      <c r="E88" s="171">
        <f t="shared" si="11"/>
        <v>4837</v>
      </c>
      <c r="F88" s="171"/>
      <c r="G88" s="171">
        <f t="shared" si="12"/>
        <v>4837</v>
      </c>
      <c r="H88" s="172">
        <f t="shared" si="13"/>
        <v>5.9018719027023223E-4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'[67]Sch C'!D82</f>
        <v>0</v>
      </c>
      <c r="D89" s="501">
        <f>'[67]Sch C'!F82</f>
        <v>0</v>
      </c>
      <c r="E89" s="171">
        <f t="shared" si="11"/>
        <v>0</v>
      </c>
      <c r="F89" s="171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'[67]Sch C'!D83</f>
        <v>0</v>
      </c>
      <c r="D90" s="501">
        <f>'[67]Sch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'[67]Sch C'!D84</f>
        <v>231942</v>
      </c>
      <c r="D91" s="501">
        <f>'[67]Sch C'!F84</f>
        <v>1008</v>
      </c>
      <c r="E91" s="171">
        <f t="shared" si="11"/>
        <v>232950</v>
      </c>
      <c r="F91" s="171"/>
      <c r="G91" s="171">
        <f t="shared" si="12"/>
        <v>232950</v>
      </c>
      <c r="H91" s="172">
        <f t="shared" si="13"/>
        <v>2.8423424844624894E-2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'[67]Sch C'!D85</f>
        <v>40</v>
      </c>
      <c r="D92" s="501">
        <f>'[67]Sch C'!F85</f>
        <v>0</v>
      </c>
      <c r="E92" s="171">
        <f t="shared" si="11"/>
        <v>40</v>
      </c>
      <c r="F92" s="171"/>
      <c r="G92" s="171">
        <f t="shared" si="12"/>
        <v>40</v>
      </c>
      <c r="H92" s="172">
        <f t="shared" si="13"/>
        <v>4.8806052534234629E-6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445204.51</v>
      </c>
      <c r="D93" s="501">
        <f>SUM(D82:D92)</f>
        <v>2556</v>
      </c>
      <c r="E93" s="171">
        <f t="shared" ref="E93:F93" si="14">SUM(E82:E92)</f>
        <v>447760.51</v>
      </c>
      <c r="F93" s="171">
        <f t="shared" si="14"/>
        <v>0</v>
      </c>
      <c r="G93" s="171">
        <f>SUM(G82:G92)</f>
        <v>447760.51</v>
      </c>
      <c r="H93" s="172">
        <f t="shared" si="13"/>
        <v>5.463355743453923E-2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'[67]Sch C'!D89</f>
        <v>326225.61</v>
      </c>
      <c r="D96" s="501">
        <f>'[67]Sch C'!F89</f>
        <v>0</v>
      </c>
      <c r="E96" s="171">
        <f t="shared" ref="E96:E101" si="15">C96+D96</f>
        <v>326225.61</v>
      </c>
      <c r="F96" s="171"/>
      <c r="G96" s="171">
        <f t="shared" ref="G96:G101" si="16">E96+F96</f>
        <v>326225.61</v>
      </c>
      <c r="H96" s="172">
        <f t="shared" ref="H96:H102" si="17">IF($G$208=0,0,G96/$G$208)</f>
        <v>3.9804460649181847E-2</v>
      </c>
      <c r="I96" s="473"/>
      <c r="J96" s="183">
        <v>24031</v>
      </c>
      <c r="K96" s="183">
        <v>24883</v>
      </c>
    </row>
    <row r="97" spans="1:11" s="167" customFormat="1">
      <c r="A97" s="169" t="s">
        <v>86</v>
      </c>
      <c r="B97" s="170" t="s">
        <v>45</v>
      </c>
      <c r="C97" s="501">
        <f>'[67]Sch C'!D90</f>
        <v>57079.14</v>
      </c>
      <c r="D97" s="501">
        <f>'[67]Sch C'!F90</f>
        <v>0</v>
      </c>
      <c r="E97" s="171">
        <f t="shared" si="15"/>
        <v>57079.14</v>
      </c>
      <c r="F97" s="171"/>
      <c r="G97" s="171">
        <f t="shared" si="16"/>
        <v>57079.14</v>
      </c>
      <c r="H97" s="172">
        <f t="shared" si="17"/>
        <v>6.9645187636223332E-3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'[67]Sch C'!D91</f>
        <v>18961.189999999999</v>
      </c>
      <c r="D98" s="501">
        <f>'[67]Sch C'!F91</f>
        <v>0</v>
      </c>
      <c r="E98" s="171">
        <f t="shared" si="15"/>
        <v>18961.189999999999</v>
      </c>
      <c r="F98" s="171"/>
      <c r="G98" s="171">
        <f t="shared" si="16"/>
        <v>18961.189999999999</v>
      </c>
      <c r="H98" s="172">
        <f t="shared" si="17"/>
        <v>2.3135520881290106E-3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'[67]Sch C'!D92</f>
        <v>264232.5</v>
      </c>
      <c r="D99" s="501">
        <f>'[67]Sch C'!F92</f>
        <v>0</v>
      </c>
      <c r="E99" s="171">
        <f t="shared" si="15"/>
        <v>264232.5</v>
      </c>
      <c r="F99" s="171"/>
      <c r="G99" s="171">
        <f t="shared" si="16"/>
        <v>264232.5</v>
      </c>
      <c r="H99" s="172">
        <f t="shared" si="17"/>
        <v>3.2240363190630381E-2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'[67]Sch C'!D93</f>
        <v>14329.88</v>
      </c>
      <c r="D100" s="501">
        <f>'[67]Sch C'!F93</f>
        <v>0</v>
      </c>
      <c r="E100" s="171">
        <f t="shared" si="15"/>
        <v>14329.88</v>
      </c>
      <c r="F100" s="171"/>
      <c r="G100" s="171">
        <f t="shared" si="16"/>
        <v>14329.88</v>
      </c>
      <c r="H100" s="172">
        <f t="shared" si="17"/>
        <v>1.7484621902231954E-3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'[67]Sch C'!D94</f>
        <v>8602.16</v>
      </c>
      <c r="D101" s="501">
        <f>'[67]Sch C'!F94</f>
        <v>0</v>
      </c>
      <c r="E101" s="171">
        <f t="shared" si="15"/>
        <v>8602.16</v>
      </c>
      <c r="F101" s="171"/>
      <c r="G101" s="171">
        <f t="shared" si="16"/>
        <v>8602.16</v>
      </c>
      <c r="H101" s="172">
        <f t="shared" si="17"/>
        <v>1.0495936821697295E-3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689430.48</v>
      </c>
      <c r="D102" s="501">
        <f>SUM(D96:D101)</f>
        <v>0</v>
      </c>
      <c r="E102" s="171">
        <f t="shared" ref="E102:F102" si="18">SUM(E96:E101)</f>
        <v>689430.48</v>
      </c>
      <c r="F102" s="171">
        <f t="shared" si="18"/>
        <v>0</v>
      </c>
      <c r="G102" s="171">
        <f>SUM(G96:G101)</f>
        <v>689430.48</v>
      </c>
      <c r="H102" s="172">
        <f t="shared" si="17"/>
        <v>8.4120950563956493E-2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'[67]Sch C'!D98</f>
        <v>52528.99</v>
      </c>
      <c r="D105" s="501">
        <f>'[67]Sch C'!F98</f>
        <v>0</v>
      </c>
      <c r="E105" s="171">
        <f t="shared" ref="E105:E110" si="19">C105+D105</f>
        <v>52528.99</v>
      </c>
      <c r="F105" s="171"/>
      <c r="G105" s="171">
        <f t="shared" ref="G105:G110" si="20">E105+F105</f>
        <v>52528.99</v>
      </c>
      <c r="H105" s="172">
        <f t="shared" ref="H105:H111" si="21">IF($G$208=0,0,G105/$G$208)</f>
        <v>6.4093316137757142E-3</v>
      </c>
      <c r="I105" s="473"/>
      <c r="J105" s="183">
        <v>5249.12</v>
      </c>
      <c r="K105" s="183">
        <v>5746.15</v>
      </c>
    </row>
    <row r="106" spans="1:11" s="167" customFormat="1">
      <c r="A106" s="169" t="s">
        <v>86</v>
      </c>
      <c r="B106" s="170" t="s">
        <v>45</v>
      </c>
      <c r="C106" s="501">
        <f>'[67]Sch C'!D99</f>
        <v>19416.79</v>
      </c>
      <c r="D106" s="501">
        <f>'[67]Sch C'!F99</f>
        <v>0</v>
      </c>
      <c r="E106" s="171">
        <f t="shared" si="19"/>
        <v>19416.79</v>
      </c>
      <c r="F106" s="171"/>
      <c r="G106" s="171">
        <f t="shared" si="20"/>
        <v>19416.79</v>
      </c>
      <c r="H106" s="172">
        <f t="shared" si="21"/>
        <v>2.3691421819655042E-3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'[67]Sch C'!D100</f>
        <v>10002.94</v>
      </c>
      <c r="D107" s="501">
        <f>'[67]Sch C'!F100</f>
        <v>0</v>
      </c>
      <c r="E107" s="171">
        <f t="shared" si="19"/>
        <v>10002.94</v>
      </c>
      <c r="F107" s="171"/>
      <c r="G107" s="171">
        <f t="shared" si="20"/>
        <v>10002.94</v>
      </c>
      <c r="H107" s="172">
        <f t="shared" si="21"/>
        <v>1.2205100378419925E-3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'[67]Sch C'!D101</f>
        <v>0</v>
      </c>
      <c r="D108" s="501">
        <f>'[67]Sch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'[67]Sch C'!D102</f>
        <v>5430.4</v>
      </c>
      <c r="D109" s="501">
        <f>'[67]Sch C'!F102</f>
        <v>0</v>
      </c>
      <c r="E109" s="171">
        <f t="shared" si="19"/>
        <v>5430.4</v>
      </c>
      <c r="F109" s="171"/>
      <c r="G109" s="171">
        <f t="shared" si="20"/>
        <v>5430.4</v>
      </c>
      <c r="H109" s="172">
        <f t="shared" si="21"/>
        <v>6.6259096920476929E-4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'[67]Sch C'!D103</f>
        <v>0</v>
      </c>
      <c r="D110" s="501">
        <f>'[67]Sch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87379.12</v>
      </c>
      <c r="D111" s="501">
        <f>SUM(D105:D110)</f>
        <v>0</v>
      </c>
      <c r="E111" s="171">
        <f t="shared" ref="E111:F111" si="22">SUM(E105:E110)</f>
        <v>87379.12</v>
      </c>
      <c r="F111" s="171">
        <f t="shared" si="22"/>
        <v>0</v>
      </c>
      <c r="G111" s="171">
        <f>SUM(G105:G110)</f>
        <v>87379.12</v>
      </c>
      <c r="H111" s="172">
        <f t="shared" si="21"/>
        <v>1.066157480278798E-2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'[67]Sch C'!D115</f>
        <v>120216.09</v>
      </c>
      <c r="D114" s="501">
        <f>'[67]Sch C'!F115</f>
        <v>0</v>
      </c>
      <c r="E114" s="171">
        <f t="shared" ref="E114:E118" si="23">C114+D114</f>
        <v>120216.09</v>
      </c>
      <c r="F114" s="171"/>
      <c r="G114" s="171">
        <f>E114+F114</f>
        <v>120216.09</v>
      </c>
      <c r="H114" s="172">
        <f t="shared" ref="H114:H119" si="24">IF($G$208=0,0,G114/$G$208)</f>
        <v>1.4668182010000697E-2</v>
      </c>
      <c r="I114" s="473"/>
      <c r="J114" s="183">
        <v>12240.11</v>
      </c>
      <c r="K114" s="183">
        <v>12824.2</v>
      </c>
    </row>
    <row r="115" spans="1:11" s="167" customFormat="1">
      <c r="A115" s="169" t="s">
        <v>86</v>
      </c>
      <c r="B115" s="170" t="s">
        <v>151</v>
      </c>
      <c r="C115" s="501">
        <f>'[67]Sch C'!D116</f>
        <v>31642.2</v>
      </c>
      <c r="D115" s="501">
        <f>'[67]Sch C'!F116</f>
        <v>0</v>
      </c>
      <c r="E115" s="171">
        <f t="shared" si="23"/>
        <v>31642.2</v>
      </c>
      <c r="F115" s="171"/>
      <c r="G115" s="171">
        <f>E115+F115</f>
        <v>31642.2</v>
      </c>
      <c r="H115" s="172">
        <f t="shared" si="24"/>
        <v>3.8608271887468977E-3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'[67]Sch C'!D117</f>
        <v>26888.63</v>
      </c>
      <c r="D116" s="501">
        <f>'[67]Sch C'!F117</f>
        <v>0</v>
      </c>
      <c r="E116" s="171">
        <f t="shared" si="23"/>
        <v>26888.63</v>
      </c>
      <c r="F116" s="171"/>
      <c r="G116" s="171">
        <f>E116+F116</f>
        <v>26888.63</v>
      </c>
      <c r="H116" s="172">
        <f t="shared" si="24"/>
        <v>3.2808197208839935E-3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'[67]Sch C'!D118</f>
        <v>0</v>
      </c>
      <c r="D117" s="501">
        <f>'[67]Sch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'[67]Sch C'!D119</f>
        <v>640.25</v>
      </c>
      <c r="D118" s="501">
        <f>'[67]Sch C'!F119</f>
        <v>0</v>
      </c>
      <c r="E118" s="171">
        <f t="shared" si="23"/>
        <v>640.25</v>
      </c>
      <c r="F118" s="171"/>
      <c r="G118" s="171">
        <f>E118+F118</f>
        <v>640.25</v>
      </c>
      <c r="H118" s="172">
        <f t="shared" si="24"/>
        <v>7.8120187837609308E-5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179387.17</v>
      </c>
      <c r="D119" s="501">
        <f>SUM(D114:D118)</f>
        <v>0</v>
      </c>
      <c r="E119" s="171">
        <f t="shared" ref="E119:F119" si="25">SUM(E114:E118)</f>
        <v>179387.17</v>
      </c>
      <c r="F119" s="171">
        <f t="shared" si="25"/>
        <v>0</v>
      </c>
      <c r="G119" s="171">
        <f>SUM(G114:G118)</f>
        <v>179387.17</v>
      </c>
      <c r="H119" s="172">
        <f t="shared" si="24"/>
        <v>2.1887949107469197E-2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'[67]Sch C'!D124</f>
        <v>206568.52</v>
      </c>
      <c r="D123" s="501">
        <f>'[67]Sch C'!F124</f>
        <v>0</v>
      </c>
      <c r="E123" s="171">
        <f t="shared" ref="E123:E127" si="26">C123+D123</f>
        <v>206568.52</v>
      </c>
      <c r="F123" s="171"/>
      <c r="G123" s="171">
        <f>E123+F123</f>
        <v>206568.52</v>
      </c>
      <c r="H123" s="172">
        <f>IF($G$208=0,0,G123/$G$208)</f>
        <v>2.5204485097597741E-2</v>
      </c>
      <c r="I123" s="473"/>
      <c r="J123" s="183">
        <v>5604.63</v>
      </c>
      <c r="K123" s="183">
        <v>5712.63</v>
      </c>
    </row>
    <row r="124" spans="1:11" s="167" customFormat="1">
      <c r="B124" s="163" t="s">
        <v>194</v>
      </c>
      <c r="C124" s="501">
        <f>'[67]Sch C'!D125</f>
        <v>85919.34</v>
      </c>
      <c r="D124" s="501">
        <f>'[67]Sch C'!F125</f>
        <v>0</v>
      </c>
      <c r="E124" s="171">
        <f t="shared" si="26"/>
        <v>85919.34</v>
      </c>
      <c r="F124" s="171"/>
      <c r="G124" s="171">
        <f>E124+F124</f>
        <v>85919.34</v>
      </c>
      <c r="H124" s="172">
        <f>IF($G$208=0,0,G124/$G$208)</f>
        <v>1.0483459554366917E-2</v>
      </c>
      <c r="I124" s="473"/>
      <c r="J124" s="183">
        <v>3420.55</v>
      </c>
      <c r="K124" s="183">
        <v>3518.55</v>
      </c>
    </row>
    <row r="125" spans="1:11" s="167" customFormat="1">
      <c r="A125" s="163" t="s">
        <v>198</v>
      </c>
      <c r="B125" s="163" t="s">
        <v>195</v>
      </c>
      <c r="C125" s="501">
        <f>'[67]Sch C'!D126</f>
        <v>0</v>
      </c>
      <c r="D125" s="501">
        <f>'[67]Sch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'[67]Sch C'!D127</f>
        <v>0</v>
      </c>
      <c r="D126" s="501">
        <f>'[67]Sch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'[67]Sch C'!D128</f>
        <v>39726.67</v>
      </c>
      <c r="D127" s="501">
        <f>'[67]Sch C'!F128</f>
        <v>58425</v>
      </c>
      <c r="E127" s="171">
        <f t="shared" si="26"/>
        <v>98151.67</v>
      </c>
      <c r="F127" s="171"/>
      <c r="G127" s="171">
        <f>E127+F127</f>
        <v>98151.67</v>
      </c>
      <c r="H127" s="172">
        <f>IF($G$208=0,0,G127/$G$208)</f>
        <v>1.1975988905857153E-2</v>
      </c>
      <c r="I127" s="473"/>
      <c r="J127" s="183">
        <v>2895.2</v>
      </c>
      <c r="K127" s="183">
        <v>3039.2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'[67]Sch C'!D130</f>
        <v>39530.32</v>
      </c>
      <c r="D129" s="501">
        <f>'[67]Sch C'!F130</f>
        <v>0</v>
      </c>
      <c r="E129" s="171">
        <f t="shared" ref="E129:E133" si="27">C129+D129</f>
        <v>39530.32</v>
      </c>
      <c r="F129" s="171"/>
      <c r="G129" s="171">
        <f>E129+F129</f>
        <v>39530.32</v>
      </c>
      <c r="H129" s="172">
        <f>IF($G$208=0,0,G129/$G$208)</f>
        <v>4.8232971865377651E-3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'[67]Sch C'!D131</f>
        <v>14643.58</v>
      </c>
      <c r="D130" s="501">
        <f>'[67]Sch C'!F131</f>
        <v>0</v>
      </c>
      <c r="E130" s="171">
        <f t="shared" si="27"/>
        <v>14643.58</v>
      </c>
      <c r="F130" s="171"/>
      <c r="G130" s="171">
        <f>E130+F130</f>
        <v>14643.58</v>
      </c>
      <c r="H130" s="172">
        <f>IF($G$208=0,0,G130/$G$208)</f>
        <v>1.786738336923169E-3</v>
      </c>
      <c r="I130" s="473"/>
      <c r="J130" s="204"/>
      <c r="K130" s="204"/>
    </row>
    <row r="131" spans="1:11" s="167" customFormat="1">
      <c r="B131" s="163" t="s">
        <v>195</v>
      </c>
      <c r="C131" s="501">
        <f>'[67]Sch C'!D132</f>
        <v>0</v>
      </c>
      <c r="D131" s="501">
        <f>'[67]Sch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'[67]Sch C'!D133</f>
        <v>0</v>
      </c>
      <c r="D132" s="501">
        <f>'[67]Sch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'[67]Sch C'!D134</f>
        <v>17152.7</v>
      </c>
      <c r="D133" s="501">
        <f>'[67]Sch C'!F134</f>
        <v>0</v>
      </c>
      <c r="E133" s="171">
        <f t="shared" si="27"/>
        <v>17152.7</v>
      </c>
      <c r="F133" s="171"/>
      <c r="G133" s="171">
        <f>E133+F133</f>
        <v>17152.7</v>
      </c>
      <c r="H133" s="172">
        <f>IF($G$208=0,0,G133/$G$208)</f>
        <v>2.0928889432599161E-3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'[67]Sch C'!D136</f>
        <v>778627.43</v>
      </c>
      <c r="D135" s="501">
        <f>'[67]Sch C'!F136</f>
        <v>0</v>
      </c>
      <c r="E135" s="171">
        <f t="shared" ref="E135:E138" si="28">C135+D135</f>
        <v>778627.43</v>
      </c>
      <c r="F135" s="171"/>
      <c r="G135" s="171">
        <f>E135+F135</f>
        <v>778627.43</v>
      </c>
      <c r="H135" s="172">
        <f>IF($G$208=0,0,G135/$G$208)</f>
        <v>9.5004328132940255E-2</v>
      </c>
      <c r="I135" s="472" t="s">
        <v>402</v>
      </c>
      <c r="J135" s="183">
        <v>26591.33</v>
      </c>
      <c r="K135" s="183">
        <v>27619.69</v>
      </c>
    </row>
    <row r="136" spans="1:11" s="167" customFormat="1">
      <c r="A136" s="169"/>
      <c r="B136" s="163" t="s">
        <v>195</v>
      </c>
      <c r="C136" s="501">
        <f>'[67]Sch C'!D137</f>
        <v>343056.89</v>
      </c>
      <c r="D136" s="501">
        <f>'[67]Sch C'!F137</f>
        <v>0</v>
      </c>
      <c r="E136" s="171">
        <f t="shared" si="28"/>
        <v>343056.89</v>
      </c>
      <c r="F136" s="171"/>
      <c r="G136" s="171">
        <f>E136+F136</f>
        <v>343056.89</v>
      </c>
      <c r="H136" s="172">
        <f>IF($G$208=0,0,G136/$G$208)</f>
        <v>4.1858131488927877E-2</v>
      </c>
      <c r="I136" s="472" t="s">
        <v>402</v>
      </c>
      <c r="J136" s="183">
        <v>13486.75</v>
      </c>
      <c r="K136" s="183">
        <v>13590.75</v>
      </c>
    </row>
    <row r="137" spans="1:11" s="167" customFormat="1">
      <c r="A137" s="169"/>
      <c r="B137" s="163" t="s">
        <v>196</v>
      </c>
      <c r="C137" s="501">
        <f>'[67]Sch C'!D138</f>
        <v>790741.85</v>
      </c>
      <c r="D137" s="501">
        <f>'[67]Sch C'!F138</f>
        <v>0</v>
      </c>
      <c r="E137" s="171">
        <f t="shared" si="28"/>
        <v>790741.85</v>
      </c>
      <c r="F137" s="171"/>
      <c r="G137" s="171">
        <f>E137+F137</f>
        <v>790741.85</v>
      </c>
      <c r="H137" s="172">
        <f>IF($G$208=0,0,G137/$G$208)</f>
        <v>9.6482470680294696E-2</v>
      </c>
      <c r="I137" s="472" t="s">
        <v>402</v>
      </c>
      <c r="J137" s="183">
        <v>64825.279999999999</v>
      </c>
      <c r="K137" s="183">
        <v>66673.42</v>
      </c>
    </row>
    <row r="138" spans="1:11" s="167" customFormat="1">
      <c r="A138" s="169"/>
      <c r="B138" s="163" t="s">
        <v>197</v>
      </c>
      <c r="C138" s="501">
        <f>'[67]Sch C'!D139</f>
        <v>75812.09</v>
      </c>
      <c r="D138" s="501">
        <f>'[67]Sch C'!F139</f>
        <v>0</v>
      </c>
      <c r="E138" s="171">
        <f t="shared" si="28"/>
        <v>75812.09</v>
      </c>
      <c r="F138" s="171"/>
      <c r="G138" s="171">
        <f>E138+F138</f>
        <v>75812.09</v>
      </c>
      <c r="H138" s="172">
        <f>IF($G$208=0,0,G138/$G$208)</f>
        <v>9.2502221181753087E-3</v>
      </c>
      <c r="I138" s="473"/>
      <c r="J138" s="183">
        <v>6280.72</v>
      </c>
      <c r="K138" s="183">
        <v>6296.72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2" t="s">
        <v>469</v>
      </c>
      <c r="J139" s="372"/>
      <c r="K139" s="372"/>
    </row>
    <row r="140" spans="1:11" s="167" customFormat="1">
      <c r="A140" s="169"/>
      <c r="B140" s="163" t="s">
        <v>194</v>
      </c>
      <c r="C140" s="501">
        <f>'[67]Sch C'!D141</f>
        <v>149003.29</v>
      </c>
      <c r="D140" s="501">
        <f>'[67]Sch C'!F141</f>
        <v>0</v>
      </c>
      <c r="E140" s="171">
        <f t="shared" ref="E140:E143" si="29">C140+D140</f>
        <v>149003.29</v>
      </c>
      <c r="F140" s="171"/>
      <c r="G140" s="171">
        <f>E140+F140</f>
        <v>149003.29</v>
      </c>
      <c r="H140" s="172">
        <f>IF($G$208=0,0,G140/$G$208)</f>
        <v>1.8180655998784497E-2</v>
      </c>
      <c r="I140" s="472" t="s">
        <v>405</v>
      </c>
      <c r="J140" s="168"/>
      <c r="K140" s="168"/>
    </row>
    <row r="141" spans="1:11" s="167" customFormat="1">
      <c r="A141" s="169"/>
      <c r="B141" s="163" t="s">
        <v>195</v>
      </c>
      <c r="C141" s="501">
        <f>'[67]Sch C'!D142</f>
        <v>65649.63</v>
      </c>
      <c r="D141" s="501">
        <f>'[67]Sch C'!F142</f>
        <v>0</v>
      </c>
      <c r="E141" s="171">
        <f t="shared" si="29"/>
        <v>65649.63</v>
      </c>
      <c r="F141" s="171"/>
      <c r="G141" s="171">
        <f>E141+F141</f>
        <v>65649.63</v>
      </c>
      <c r="H141" s="172">
        <f>IF($G$208=0,0,G141/$G$208)</f>
        <v>8.0102482265826652E-3</v>
      </c>
      <c r="I141" s="472" t="s">
        <v>405</v>
      </c>
      <c r="J141" s="168"/>
      <c r="K141" s="168"/>
    </row>
    <row r="142" spans="1:11" s="167" customFormat="1">
      <c r="A142" s="169"/>
      <c r="B142" s="163" t="s">
        <v>196</v>
      </c>
      <c r="C142" s="501">
        <f>'[67]Sch C'!D143</f>
        <v>151321.57999999999</v>
      </c>
      <c r="D142" s="501">
        <f>'[67]Sch C'!F143</f>
        <v>0</v>
      </c>
      <c r="E142" s="171">
        <f t="shared" si="29"/>
        <v>151321.57999999999</v>
      </c>
      <c r="F142" s="171"/>
      <c r="G142" s="171">
        <f>E142+F142</f>
        <v>151321.57999999999</v>
      </c>
      <c r="H142" s="172">
        <f>IF($G$208=0,0,G142/$G$208)</f>
        <v>1.8463522457608472E-2</v>
      </c>
      <c r="I142" s="472" t="s">
        <v>405</v>
      </c>
      <c r="J142" s="168"/>
      <c r="K142" s="168"/>
    </row>
    <row r="143" spans="1:11" s="167" customFormat="1">
      <c r="A143" s="169"/>
      <c r="B143" s="163" t="s">
        <v>197</v>
      </c>
      <c r="C143" s="501">
        <f>'[67]Sch C'!D144</f>
        <v>14507.91</v>
      </c>
      <c r="D143" s="501">
        <f>'[67]Sch C'!F144</f>
        <v>0</v>
      </c>
      <c r="E143" s="171">
        <f t="shared" si="29"/>
        <v>14507.91</v>
      </c>
      <c r="F143" s="171"/>
      <c r="G143" s="171">
        <f>E143+F143</f>
        <v>14507.91</v>
      </c>
      <c r="H143" s="172">
        <f>IF($G$208=0,0,G143/$G$208)</f>
        <v>1.7701845440548699E-3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'[67]Sch C'!D146</f>
        <v>38903.259999999995</v>
      </c>
      <c r="D145" s="501">
        <f>'[67]Sch C'!F146</f>
        <v>0</v>
      </c>
      <c r="E145" s="171">
        <f t="shared" ref="E145:E153" si="30">C145+D145</f>
        <v>38903.259999999995</v>
      </c>
      <c r="F145" s="171"/>
      <c r="G145" s="171">
        <f t="shared" ref="G145:G153" si="31">E145+F145</f>
        <v>38903.259999999995</v>
      </c>
      <c r="H145" s="172">
        <f t="shared" ref="H145:H153" si="32">IF($G$208=0,0,G145/$G$208)</f>
        <v>4.7467863782824716E-3</v>
      </c>
      <c r="I145" s="473"/>
      <c r="J145" s="183" t="s">
        <v>541</v>
      </c>
      <c r="K145" s="183" t="s">
        <v>541</v>
      </c>
    </row>
    <row r="146" spans="1:11" s="167" customFormat="1">
      <c r="A146" s="169"/>
      <c r="B146" s="163" t="s">
        <v>194</v>
      </c>
      <c r="C146" s="501">
        <f>'[67]Sch C'!D147</f>
        <v>11456.93</v>
      </c>
      <c r="D146" s="501">
        <f>'[67]Sch C'!F147</f>
        <v>0</v>
      </c>
      <c r="E146" s="171">
        <f t="shared" si="30"/>
        <v>11456.93</v>
      </c>
      <c r="F146" s="171"/>
      <c r="G146" s="171">
        <f t="shared" si="31"/>
        <v>11456.93</v>
      </c>
      <c r="H146" s="172">
        <f t="shared" si="32"/>
        <v>1.397918818652622E-3</v>
      </c>
      <c r="I146" s="473"/>
      <c r="J146" s="183">
        <v>197.7</v>
      </c>
      <c r="K146" s="183">
        <v>197.7</v>
      </c>
    </row>
    <row r="147" spans="1:11" s="167" customFormat="1">
      <c r="A147" s="169"/>
      <c r="B147" s="163" t="s">
        <v>195</v>
      </c>
      <c r="C147" s="501">
        <f>'[67]Sch C'!D148</f>
        <v>1614.25</v>
      </c>
      <c r="D147" s="501">
        <f>'[67]Sch C'!F148</f>
        <v>0</v>
      </c>
      <c r="E147" s="171">
        <f t="shared" si="30"/>
        <v>1614.25</v>
      </c>
      <c r="F147" s="171"/>
      <c r="G147" s="171">
        <f t="shared" si="31"/>
        <v>1614.25</v>
      </c>
      <c r="H147" s="172">
        <f t="shared" si="32"/>
        <v>1.9696292575847063E-4</v>
      </c>
      <c r="I147" s="473"/>
      <c r="J147" s="183">
        <v>38.92</v>
      </c>
      <c r="K147" s="183">
        <v>38.92</v>
      </c>
    </row>
    <row r="148" spans="1:11" s="167" customFormat="1">
      <c r="A148" s="169"/>
      <c r="B148" s="163" t="s">
        <v>196</v>
      </c>
      <c r="C148" s="501">
        <f>'[67]Sch C'!D149</f>
        <v>20667.7</v>
      </c>
      <c r="D148" s="501">
        <f>'[67]Sch C'!F149</f>
        <v>0</v>
      </c>
      <c r="E148" s="171">
        <f t="shared" si="30"/>
        <v>20667.7</v>
      </c>
      <c r="F148" s="171"/>
      <c r="G148" s="171">
        <f t="shared" si="31"/>
        <v>20667.7</v>
      </c>
      <c r="H148" s="172">
        <f t="shared" si="32"/>
        <v>2.5217721299045028E-3</v>
      </c>
      <c r="I148" s="473"/>
      <c r="J148" s="183">
        <v>743.47</v>
      </c>
      <c r="K148" s="183">
        <v>743.47</v>
      </c>
    </row>
    <row r="149" spans="1:11" s="167" customFormat="1">
      <c r="A149" s="169"/>
      <c r="B149" s="163" t="s">
        <v>197</v>
      </c>
      <c r="C149" s="501">
        <f>'[67]Sch C'!D150</f>
        <v>19249.920000000002</v>
      </c>
      <c r="D149" s="501">
        <f>'[67]Sch C'!F150</f>
        <v>0</v>
      </c>
      <c r="E149" s="171">
        <f t="shared" si="30"/>
        <v>19249.920000000002</v>
      </c>
      <c r="F149" s="171"/>
      <c r="G149" s="171">
        <f t="shared" si="31"/>
        <v>19249.920000000002</v>
      </c>
      <c r="H149" s="172">
        <f t="shared" si="32"/>
        <v>2.3487815169995351E-3</v>
      </c>
      <c r="I149" s="473"/>
      <c r="J149" s="183" t="s">
        <v>440</v>
      </c>
      <c r="K149" s="183" t="s">
        <v>440</v>
      </c>
    </row>
    <row r="150" spans="1:11" s="167" customFormat="1">
      <c r="A150" s="169">
        <v>110</v>
      </c>
      <c r="B150" s="167" t="s">
        <v>65</v>
      </c>
      <c r="C150" s="501">
        <f>'[67]Sch C'!D151</f>
        <v>188522.6</v>
      </c>
      <c r="D150" s="501">
        <f>'[67]Sch C'!F151</f>
        <v>0</v>
      </c>
      <c r="E150" s="171">
        <f t="shared" si="30"/>
        <v>188522.6</v>
      </c>
      <c r="F150" s="171"/>
      <c r="G150" s="171">
        <f t="shared" si="31"/>
        <v>188522.6</v>
      </c>
      <c r="H150" s="172">
        <f t="shared" si="32"/>
        <v>2.3002609798726256E-2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'[67]Sch C'!D152</f>
        <v>67481.05</v>
      </c>
      <c r="D151" s="501">
        <f>'[67]Sch C'!F152</f>
        <v>0</v>
      </c>
      <c r="E151" s="171">
        <f t="shared" si="30"/>
        <v>67481.05</v>
      </c>
      <c r="F151" s="171"/>
      <c r="G151" s="171">
        <f t="shared" si="31"/>
        <v>67481.05</v>
      </c>
      <c r="H151" s="172">
        <f t="shared" si="32"/>
        <v>8.2337091784132847E-3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'[67]Sch C'!D153</f>
        <v>0</v>
      </c>
      <c r="D152" s="501">
        <f>'[67]Sch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'[67]Sch C'!D154</f>
        <v>0</v>
      </c>
      <c r="D153" s="501">
        <f>'[67]Sch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'[67]Sch C'!D156</f>
        <v>0</v>
      </c>
      <c r="D155" s="501">
        <f>'[67]Sch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'[67]Sch C'!D157</f>
        <v>0</v>
      </c>
      <c r="D156" s="501">
        <f>'[67]Sch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'[67]Sch C'!D158</f>
        <v>0</v>
      </c>
      <c r="D157" s="501">
        <f>'[67]Sch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'[67]Sch C'!D159</f>
        <v>0</v>
      </c>
      <c r="D158" s="501">
        <f>'[67]Sch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'[67]Sch C'!D160</f>
        <v>0</v>
      </c>
      <c r="D159" s="501">
        <f>'[67]Sch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'[67]Sch C'!D161</f>
        <v>21129.87</v>
      </c>
      <c r="D160" s="501">
        <f>'[67]Sch C'!F161</f>
        <v>0</v>
      </c>
      <c r="E160" s="171">
        <f t="shared" si="33"/>
        <v>21129.87</v>
      </c>
      <c r="F160" s="171"/>
      <c r="G160" s="171">
        <f t="shared" si="34"/>
        <v>21129.87</v>
      </c>
      <c r="H160" s="172">
        <f t="shared" si="35"/>
        <v>2.5781638631538705E-3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3141287.3800000004</v>
      </c>
      <c r="D161" s="501">
        <f>SUM(D123:D160)</f>
        <v>58425</v>
      </c>
      <c r="E161" s="171">
        <f t="shared" ref="E161:F161" si="36">SUM(E123:E160)</f>
        <v>3199712.3800000004</v>
      </c>
      <c r="F161" s="171">
        <f t="shared" si="36"/>
        <v>0</v>
      </c>
      <c r="G161" s="171">
        <f>SUM(G123:G160)</f>
        <v>3199712.3800000004</v>
      </c>
      <c r="H161" s="172">
        <f t="shared" si="35"/>
        <v>0.39041332628180236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'[67]Sch C'!D175</f>
        <v>0</v>
      </c>
      <c r="D164" s="501">
        <f>'[67]Sch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'[67]Sch C'!D176</f>
        <v>0</v>
      </c>
      <c r="D165" s="501">
        <f>'[67]Sch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'[67]Sch C'!D177</f>
        <v>330751.71000000002</v>
      </c>
      <c r="D166" s="501">
        <f>'[67]Sch C'!F177</f>
        <v>17981</v>
      </c>
      <c r="E166" s="171">
        <f t="shared" si="37"/>
        <v>348732.71</v>
      </c>
      <c r="F166" s="216"/>
      <c r="G166" s="171">
        <f t="shared" si="38"/>
        <v>348732.71</v>
      </c>
      <c r="H166" s="172">
        <f t="shared" si="39"/>
        <v>4.2550667411665029E-2</v>
      </c>
      <c r="I166" s="483"/>
      <c r="J166" s="183">
        <v>8960.7999999999993</v>
      </c>
      <c r="K166" s="183">
        <v>9345.25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'[67]Sch C'!D178</f>
        <v>90469.28</v>
      </c>
      <c r="D167" s="501">
        <f>'[67]Sch C'!F178</f>
        <v>0</v>
      </c>
      <c r="E167" s="171">
        <f t="shared" si="37"/>
        <v>90469.28</v>
      </c>
      <c r="F167" s="216"/>
      <c r="G167" s="171">
        <f t="shared" si="38"/>
        <v>90469.28</v>
      </c>
      <c r="H167" s="172">
        <f t="shared" si="39"/>
        <v>1.1038621081035956E-2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'[67]Sch C'!D179</f>
        <v>58496.63</v>
      </c>
      <c r="D168" s="501">
        <f>'[67]Sch C'!F179</f>
        <v>0</v>
      </c>
      <c r="E168" s="171">
        <f t="shared" si="37"/>
        <v>58496.63</v>
      </c>
      <c r="F168" s="216"/>
      <c r="G168" s="171">
        <f t="shared" si="38"/>
        <v>58496.63</v>
      </c>
      <c r="H168" s="172">
        <f t="shared" si="39"/>
        <v>7.1374739921392137E-3</v>
      </c>
      <c r="I168" s="483"/>
      <c r="J168" s="183">
        <v>1378.92</v>
      </c>
      <c r="K168" s="183">
        <v>1517.92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'[67]Sch C'!D180</f>
        <v>12108.47</v>
      </c>
      <c r="D169" s="501">
        <f>'[67]Sch C'!F180</f>
        <v>0</v>
      </c>
      <c r="E169" s="171">
        <f t="shared" si="37"/>
        <v>12108.47</v>
      </c>
      <c r="F169" s="216"/>
      <c r="G169" s="171">
        <f t="shared" si="38"/>
        <v>12108.47</v>
      </c>
      <c r="H169" s="172">
        <f t="shared" si="39"/>
        <v>1.4774165573230098E-3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'[67]Sch C'!D181</f>
        <v>0</v>
      </c>
      <c r="D170" s="501">
        <f>'[67]Sch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'[67]Sch C'!D182</f>
        <v>0</v>
      </c>
      <c r="D171" s="501">
        <f>'[67]Sch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'[67]Sch C'!D183</f>
        <v>167894.19</v>
      </c>
      <c r="D172" s="501">
        <f>'[67]Sch C'!F183</f>
        <v>0</v>
      </c>
      <c r="E172" s="171">
        <f t="shared" si="37"/>
        <v>167894.19</v>
      </c>
      <c r="F172" s="216"/>
      <c r="G172" s="171">
        <f t="shared" si="38"/>
        <v>167894.19</v>
      </c>
      <c r="H172" s="172">
        <f t="shared" si="39"/>
        <v>2.0485631643331927E-2</v>
      </c>
      <c r="I172" s="483"/>
      <c r="J172" s="183">
        <v>5109.7999999999993</v>
      </c>
      <c r="K172" s="183">
        <v>5573.24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'[67]Sch C'!D184</f>
        <v>56050.59</v>
      </c>
      <c r="D173" s="501">
        <f>'[67]Sch C'!F184</f>
        <v>0</v>
      </c>
      <c r="E173" s="171">
        <f t="shared" si="37"/>
        <v>56050.59</v>
      </c>
      <c r="F173" s="216"/>
      <c r="G173" s="171">
        <f t="shared" si="38"/>
        <v>56050.59</v>
      </c>
      <c r="H173" s="172">
        <f t="shared" si="39"/>
        <v>6.8390201002871158E-3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'[67]Sch C'!D185</f>
        <v>0</v>
      </c>
      <c r="D174" s="501">
        <f>'[67]Sch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'[67]Sch C'!D186</f>
        <v>0</v>
      </c>
      <c r="D175" s="501">
        <f>'[67]Sch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'[67]Sch C'!D187</f>
        <v>0</v>
      </c>
      <c r="D176" s="501">
        <f>'[67]Sch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'[67]Sch C'!D188</f>
        <v>13936.28</v>
      </c>
      <c r="D177" s="501">
        <f>'[67]Sch C'!F188</f>
        <v>0</v>
      </c>
      <c r="E177" s="171">
        <f t="shared" si="37"/>
        <v>13936.28</v>
      </c>
      <c r="F177" s="216"/>
      <c r="G177" s="171">
        <f t="shared" si="38"/>
        <v>13936.28</v>
      </c>
      <c r="H177" s="172">
        <f t="shared" si="39"/>
        <v>1.7004370345295085E-3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'[67]Sch C'!D189</f>
        <v>195</v>
      </c>
      <c r="D178" s="501">
        <f>'[67]Sch C'!F189</f>
        <v>0</v>
      </c>
      <c r="E178" s="171">
        <f t="shared" si="37"/>
        <v>195</v>
      </c>
      <c r="F178" s="216"/>
      <c r="G178" s="171">
        <f t="shared" si="38"/>
        <v>195</v>
      </c>
      <c r="H178" s="172">
        <f t="shared" si="39"/>
        <v>2.3792950610439383E-5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'[67]Sch C'!D190</f>
        <v>0</v>
      </c>
      <c r="D179" s="501">
        <f>'[67]Sch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'[67]Sch C'!D191</f>
        <v>0</v>
      </c>
      <c r="D180" s="501">
        <f>'[67]Sch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'[67]Sch C'!D192</f>
        <v>69872.23</v>
      </c>
      <c r="D181" s="501">
        <f>'[67]Sch C'!F192</f>
        <v>0</v>
      </c>
      <c r="E181" s="171">
        <f t="shared" si="37"/>
        <v>69872.23</v>
      </c>
      <c r="F181" s="216"/>
      <c r="G181" s="171">
        <f t="shared" si="38"/>
        <v>69872.23</v>
      </c>
      <c r="H181" s="172">
        <f t="shared" si="39"/>
        <v>8.5254693201603123E-3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'[67]Sch C'!D193</f>
        <v>0</v>
      </c>
      <c r="D182" s="501">
        <f>'[67]Sch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'[67]Sch C'!D194</f>
        <v>0</v>
      </c>
      <c r="D183" s="501">
        <f>'[67]Sch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'[67]Sch C'!D195</f>
        <v>0</v>
      </c>
      <c r="D184" s="501">
        <f>'[67]Sch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'[67]Sch C'!D196</f>
        <v>0</v>
      </c>
      <c r="D185" s="501">
        <f>'[67]Sch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'[67]Sch C'!D197</f>
        <v>0</v>
      </c>
      <c r="D186" s="501">
        <f>'[67]Sch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'[67]Sch C'!D198</f>
        <v>0</v>
      </c>
      <c r="D187" s="501">
        <f>'[67]Sch C'!F198</f>
        <v>0</v>
      </c>
      <c r="E187" s="171">
        <f t="shared" si="37"/>
        <v>0</v>
      </c>
      <c r="F187" s="216"/>
      <c r="G187" s="171">
        <f t="shared" si="38"/>
        <v>0</v>
      </c>
      <c r="H187" s="172">
        <f t="shared" si="39"/>
        <v>0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'[67]Sch C'!D199</f>
        <v>0</v>
      </c>
      <c r="D188" s="501">
        <f>'[67]Sch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'[67]Sch C'!D200</f>
        <v>0</v>
      </c>
      <c r="D189" s="501">
        <f>'[67]Sch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'[67]Sch C'!D201</f>
        <v>-1723.82</v>
      </c>
      <c r="D190" s="501">
        <f>'[67]Sch C'!F201</f>
        <v>0</v>
      </c>
      <c r="E190" s="171">
        <f t="shared" si="37"/>
        <v>-1723.82</v>
      </c>
      <c r="F190" s="216"/>
      <c r="G190" s="171">
        <f t="shared" si="38"/>
        <v>-1723.82</v>
      </c>
      <c r="H190" s="172">
        <f t="shared" si="39"/>
        <v>-2.1033212369891085E-4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'[67]Sch C'!D202</f>
        <v>0</v>
      </c>
      <c r="D191" s="501">
        <f>'[67]Sch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'[67]Sch C'!D203</f>
        <v>548.35</v>
      </c>
      <c r="D192" s="501">
        <f>'[67]Sch C'!F203</f>
        <v>0</v>
      </c>
      <c r="E192" s="171">
        <f t="shared" si="37"/>
        <v>548.35</v>
      </c>
      <c r="F192" s="216"/>
      <c r="G192" s="171">
        <f t="shared" si="38"/>
        <v>548.35</v>
      </c>
      <c r="H192" s="172">
        <f t="shared" si="39"/>
        <v>6.6906997267868898E-5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'[67]Sch C'!D204</f>
        <v>0</v>
      </c>
      <c r="D193" s="501">
        <f>'[67]Sch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'[67]Sch C'!D205</f>
        <v>206600.13</v>
      </c>
      <c r="D194" s="501">
        <f>'[67]Sch C'!F205</f>
        <v>0</v>
      </c>
      <c r="E194" s="171">
        <f t="shared" si="37"/>
        <v>206600.13</v>
      </c>
      <c r="F194" s="216"/>
      <c r="G194" s="171">
        <f t="shared" si="38"/>
        <v>206600.13</v>
      </c>
      <c r="H194" s="172">
        <f t="shared" si="39"/>
        <v>2.5208341995899261E-2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'[67]Sch C'!D206</f>
        <v>30502.48</v>
      </c>
      <c r="D195" s="501">
        <f>'[67]Sch C'!F206</f>
        <v>0</v>
      </c>
      <c r="E195" s="171">
        <f t="shared" si="37"/>
        <v>30502.48</v>
      </c>
      <c r="F195" s="216"/>
      <c r="G195" s="171">
        <f t="shared" si="38"/>
        <v>30502.48</v>
      </c>
      <c r="H195" s="172">
        <f t="shared" si="39"/>
        <v>3.721764103261103E-3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'[67]Sch C'!D207</f>
        <v>36360.660000000003</v>
      </c>
      <c r="D196" s="501">
        <f>'[67]Sch C'!F207</f>
        <v>0</v>
      </c>
      <c r="E196" s="171">
        <f t="shared" si="37"/>
        <v>36360.660000000003</v>
      </c>
      <c r="F196" s="216"/>
      <c r="G196" s="171">
        <f t="shared" si="38"/>
        <v>36360.660000000003</v>
      </c>
      <c r="H196" s="172">
        <f t="shared" si="39"/>
        <v>4.4365507053486103E-3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1072062.18</v>
      </c>
      <c r="D197" s="501">
        <f>SUM(D164:D196)</f>
        <v>17981</v>
      </c>
      <c r="E197" s="171">
        <f t="shared" ref="E197:F197" si="40">SUM(E164:E196)</f>
        <v>1090043.18</v>
      </c>
      <c r="F197" s="171">
        <f t="shared" si="40"/>
        <v>0</v>
      </c>
      <c r="G197" s="171">
        <f>SUM(G164:G196)</f>
        <v>1090043.18</v>
      </c>
      <c r="H197" s="172">
        <f>IF($G$208=0,0,G197/$G$208)</f>
        <v>0.13300176176916043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'[67]Sch C'!D211</f>
        <v>172380.91</v>
      </c>
      <c r="D200" s="501">
        <f>'[67]Sch C'!F211</f>
        <v>0</v>
      </c>
      <c r="E200" s="171">
        <f t="shared" ref="E200:E205" si="41">C200+D200</f>
        <v>172380.91</v>
      </c>
      <c r="F200" s="171"/>
      <c r="G200" s="171">
        <f t="shared" ref="G200:G205" si="42">E200+F200</f>
        <v>172380.91</v>
      </c>
      <c r="H200" s="172">
        <f t="shared" ref="H200:H206" si="43">IF($G$208=0,0,G200/$G$208)</f>
        <v>2.103307937339793E-2</v>
      </c>
      <c r="I200" s="473"/>
      <c r="J200" s="183">
        <v>9688.17</v>
      </c>
      <c r="K200" s="183">
        <v>10136.17</v>
      </c>
    </row>
    <row r="201" spans="1:14" s="167" customFormat="1">
      <c r="A201" s="169" t="s">
        <v>86</v>
      </c>
      <c r="B201" s="170" t="s">
        <v>45</v>
      </c>
      <c r="C201" s="501">
        <f>'[67]Sch C'!D212</f>
        <v>45820.52</v>
      </c>
      <c r="D201" s="501">
        <f>'[67]Sch C'!F212</f>
        <v>0</v>
      </c>
      <c r="E201" s="171">
        <f t="shared" si="41"/>
        <v>45820.52</v>
      </c>
      <c r="F201" s="171"/>
      <c r="G201" s="171">
        <f t="shared" si="42"/>
        <v>45820.52</v>
      </c>
      <c r="H201" s="172">
        <f t="shared" si="43"/>
        <v>5.5907967656648712E-3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'[67]Sch C'!D213</f>
        <v>4881.7299999999996</v>
      </c>
      <c r="D202" s="501">
        <f>'[67]Sch C'!F213</f>
        <v>0</v>
      </c>
      <c r="E202" s="171">
        <f t="shared" si="41"/>
        <v>4881.7299999999996</v>
      </c>
      <c r="F202" s="171"/>
      <c r="G202" s="171">
        <f t="shared" si="42"/>
        <v>4881.7299999999996</v>
      </c>
      <c r="H202" s="172">
        <f t="shared" si="43"/>
        <v>5.9564492709487298E-4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'[67]Sch C'!D214</f>
        <v>0</v>
      </c>
      <c r="D203" s="501">
        <f>'[67]Sch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'[67]Sch C'!D215</f>
        <v>0</v>
      </c>
      <c r="D204" s="501">
        <f>'[67]Sch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'[67]Sch C'!D216</f>
        <v>36793.760000000002</v>
      </c>
      <c r="D205" s="501">
        <f>'[67]Sch C'!F216</f>
        <v>0</v>
      </c>
      <c r="E205" s="171">
        <f t="shared" si="41"/>
        <v>36793.760000000002</v>
      </c>
      <c r="F205" s="660">
        <v>-27672</v>
      </c>
      <c r="G205" s="171">
        <f t="shared" si="42"/>
        <v>9121.760000000002</v>
      </c>
      <c r="H205" s="172">
        <f t="shared" si="43"/>
        <v>1.1129927444117004E-3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259876.92</v>
      </c>
      <c r="D206" s="501">
        <f>SUM(D200:D205)</f>
        <v>0</v>
      </c>
      <c r="E206" s="171">
        <f t="shared" ref="E206:F206" si="44">SUM(E200:E205)</f>
        <v>259876.92</v>
      </c>
      <c r="F206" s="171">
        <f t="shared" si="44"/>
        <v>-27672</v>
      </c>
      <c r="G206" s="171">
        <f>SUM(G200:G205)</f>
        <v>232204.92</v>
      </c>
      <c r="H206" s="172">
        <f t="shared" si="43"/>
        <v>2.8332513810569376E-2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9020195.5099999998</v>
      </c>
      <c r="D208" s="501">
        <f>SUM(D25:D206)/2</f>
        <v>-824490.69000000018</v>
      </c>
      <c r="E208" s="171">
        <f t="shared" ref="E208:F208" si="45">SUM(E25:E206)/2</f>
        <v>8195704.8200000003</v>
      </c>
      <c r="F208" s="171">
        <f t="shared" si="45"/>
        <v>0</v>
      </c>
      <c r="G208" s="171">
        <f>SUM(G25:G206)/2</f>
        <v>8195704.8200000003</v>
      </c>
      <c r="H208" s="172">
        <f>IF($G$208=0,0,G208/$G$208)</f>
        <v>1</v>
      </c>
      <c r="I208" s="473"/>
      <c r="J208" s="183">
        <f>SUM(J25:J200)</f>
        <v>204384.89000000004</v>
      </c>
      <c r="K208" s="183">
        <f>SUM(K25:K200)</f>
        <v>211819.31000000003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'[67]Sch C'!D221</f>
        <v>9020195.5</v>
      </c>
      <c r="D211" s="196"/>
      <c r="E211" s="165"/>
      <c r="F211" s="409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9.9999997764825821E-3</v>
      </c>
      <c r="D212" s="229"/>
      <c r="E212" s="165"/>
      <c r="F212" s="409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42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288135.37000000104</v>
      </c>
      <c r="D215" s="501">
        <f>D21-D208</f>
        <v>824055.53000000014</v>
      </c>
      <c r="E215" s="171">
        <f t="shared" ref="E215:F215" si="46">E21-E208</f>
        <v>1112190.9000000004</v>
      </c>
      <c r="F215" s="171">
        <f t="shared" si="46"/>
        <v>1684323</v>
      </c>
      <c r="G215" s="171">
        <f>G21-G208</f>
        <v>2796513.9000000004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'[67]Sch D'!C9</f>
        <v>19221</v>
      </c>
      <c r="D219" s="530"/>
      <c r="E219" s="234">
        <f t="shared" ref="E219:G227" si="47">C219+D219</f>
        <v>19221</v>
      </c>
      <c r="F219" s="233"/>
      <c r="G219" s="234">
        <f t="shared" si="47"/>
        <v>19221</v>
      </c>
      <c r="H219" s="172">
        <f t="shared" ref="H219:H228" si="48">IF($G$228=0,0,G219/$G$228)</f>
        <v>0.64795711974110037</v>
      </c>
      <c r="I219" s="473"/>
      <c r="J219" s="168"/>
      <c r="K219" s="168"/>
    </row>
    <row r="220" spans="1:11">
      <c r="A220" s="163"/>
      <c r="B220" s="170" t="s">
        <v>217</v>
      </c>
      <c r="C220" s="530">
        <f>'[67]Sch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'[67]Sch D'!E9</f>
        <v>3220</v>
      </c>
      <c r="D221" s="530"/>
      <c r="E221" s="234">
        <f t="shared" si="49"/>
        <v>3220</v>
      </c>
      <c r="F221" s="233"/>
      <c r="G221" s="234">
        <f t="shared" si="47"/>
        <v>3220</v>
      </c>
      <c r="H221" s="172">
        <f t="shared" si="48"/>
        <v>0.10854908306364618</v>
      </c>
      <c r="I221" s="473"/>
      <c r="J221" s="168"/>
      <c r="K221" s="168"/>
    </row>
    <row r="222" spans="1:11">
      <c r="A222" s="163"/>
      <c r="B222" s="202" t="s">
        <v>334</v>
      </c>
      <c r="C222" s="530">
        <f>'[67]Sch D'!F9</f>
        <v>2298</v>
      </c>
      <c r="D222" s="530"/>
      <c r="E222" s="234">
        <f>C222+D222</f>
        <v>2298</v>
      </c>
      <c r="F222" s="233"/>
      <c r="G222" s="234">
        <f>E222+F222</f>
        <v>2298</v>
      </c>
      <c r="H222" s="172">
        <f t="shared" si="48"/>
        <v>7.7467637540453077E-2</v>
      </c>
      <c r="I222" s="473"/>
      <c r="J222" s="168"/>
      <c r="K222" s="168"/>
    </row>
    <row r="223" spans="1:11">
      <c r="A223" s="163"/>
      <c r="B223" s="170" t="s">
        <v>73</v>
      </c>
      <c r="C223" s="530">
        <f>'[67]Sch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'[67]Sch D'!H9</f>
        <v>2941</v>
      </c>
      <c r="D224" s="530"/>
      <c r="E224" s="234">
        <f t="shared" si="49"/>
        <v>2941</v>
      </c>
      <c r="F224" s="233"/>
      <c r="G224" s="234">
        <f t="shared" si="47"/>
        <v>2941</v>
      </c>
      <c r="H224" s="172">
        <f t="shared" si="48"/>
        <v>9.9143743257820924E-2</v>
      </c>
      <c r="I224" s="473"/>
      <c r="J224" s="168"/>
      <c r="K224" s="168"/>
    </row>
    <row r="225" spans="1:11">
      <c r="A225" s="163"/>
      <c r="B225" s="170" t="s">
        <v>236</v>
      </c>
      <c r="C225" s="530">
        <f>'[67]Sch D'!I9</f>
        <v>1738</v>
      </c>
      <c r="D225" s="530"/>
      <c r="E225" s="234">
        <f t="shared" si="49"/>
        <v>1738</v>
      </c>
      <c r="F225" s="233"/>
      <c r="G225" s="234">
        <f t="shared" si="47"/>
        <v>1738</v>
      </c>
      <c r="H225" s="172">
        <f t="shared" si="48"/>
        <v>5.858953613807983E-2</v>
      </c>
      <c r="I225" s="473"/>
      <c r="J225" s="168"/>
      <c r="K225" s="168"/>
    </row>
    <row r="226" spans="1:11">
      <c r="A226" s="163"/>
      <c r="B226" s="170" t="s">
        <v>235</v>
      </c>
      <c r="C226" s="530">
        <f>'[67]Sch D'!J9</f>
        <v>246</v>
      </c>
      <c r="D226" s="530"/>
      <c r="E226" s="234">
        <f>C226+D226</f>
        <v>246</v>
      </c>
      <c r="F226" s="233"/>
      <c r="G226" s="234">
        <f>E226+F226</f>
        <v>246</v>
      </c>
      <c r="H226" s="172">
        <f t="shared" si="48"/>
        <v>8.2928802588996767E-3</v>
      </c>
      <c r="I226" s="473"/>
      <c r="J226" s="168"/>
      <c r="K226" s="168"/>
    </row>
    <row r="227" spans="1:11">
      <c r="A227" s="163"/>
      <c r="B227" s="170" t="s">
        <v>179</v>
      </c>
      <c r="C227" s="530">
        <f>'[67]Sch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29664</v>
      </c>
      <c r="D228" s="530">
        <f>SUM(D219:D227)</f>
        <v>0</v>
      </c>
      <c r="E228" s="236">
        <f>SUM(E219:E227)</f>
        <v>29664</v>
      </c>
      <c r="F228" s="236">
        <f>SUM(F219:F227)</f>
        <v>0</v>
      </c>
      <c r="G228" s="236">
        <f>SUM(G219:G227)</f>
        <v>29664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'[67]Sch D'!N22</f>
        <v>140</v>
      </c>
      <c r="D231" s="502"/>
      <c r="E231" s="234">
        <f>C231+D231</f>
        <v>140</v>
      </c>
      <c r="F231" s="234"/>
      <c r="G231" s="234">
        <f>E231+F231</f>
        <v>140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'[67]Sch D'!N24</f>
        <v>140</v>
      </c>
      <c r="D232" s="502"/>
      <c r="E232" s="234">
        <f>C232+D232</f>
        <v>140</v>
      </c>
      <c r="F232" s="234"/>
      <c r="G232" s="234">
        <f>E232+F232</f>
        <v>140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540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'[67]Sch D'!N28</f>
        <v>51100</v>
      </c>
      <c r="D235" s="438"/>
      <c r="E235" s="233">
        <f>E231*E233</f>
        <v>51100</v>
      </c>
      <c r="F235" s="238"/>
      <c r="G235" s="233">
        <f>G231*G233</f>
        <v>51100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'[67]Sch D'!N30</f>
        <v>0.58050880626223089</v>
      </c>
      <c r="D236" s="238"/>
      <c r="E236" s="242">
        <f>E228/E235</f>
        <v>0.58050880626223089</v>
      </c>
      <c r="F236" s="243"/>
      <c r="G236" s="242">
        <f>G228/G235</f>
        <v>0.58050880626223089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'[67]Sch D'!N32</f>
        <v>0.3761448140900196</v>
      </c>
      <c r="D237" s="238"/>
      <c r="E237" s="242">
        <f>(E219+E220)/E235</f>
        <v>0.3761448140900196</v>
      </c>
      <c r="F237" s="243"/>
      <c r="G237" s="242">
        <f>(G219+G220)/G235</f>
        <v>0.3761448140900196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'[67]Sch D'!N34</f>
        <v>0.64795711974110037</v>
      </c>
      <c r="D238" s="238"/>
      <c r="E238" s="242">
        <f>(E237/E236)</f>
        <v>0.64795711974110037</v>
      </c>
      <c r="F238" s="243"/>
      <c r="G238" s="242">
        <f>(G237/G236)</f>
        <v>0.64795711974110037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'[67]Sch B'!C85</f>
        <v>278.56973995271869</v>
      </c>
      <c r="I241" s="475"/>
    </row>
    <row r="242" spans="2:9">
      <c r="F242" s="142" t="s">
        <v>341</v>
      </c>
      <c r="G242" s="501">
        <f>'[67]Sch B'!E85</f>
        <v>269.5791245791246</v>
      </c>
      <c r="I242" s="475"/>
    </row>
    <row r="243" spans="2:9">
      <c r="F243" s="142" t="s">
        <v>342</v>
      </c>
      <c r="G243" s="501">
        <f>'[67]Sch B'!G85</f>
        <v>271.00490196078431</v>
      </c>
      <c r="I243" s="475"/>
    </row>
    <row r="244" spans="2:9">
      <c r="F244" s="142" t="s">
        <v>343</v>
      </c>
      <c r="G244" s="501">
        <f>'[67]Sch B'!I85</f>
        <v>282.18978102189783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selection activeCell="C1" sqref="C1"/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B12" sqref="B12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E28CAB"/>
    <pageSetUpPr fitToPage="1"/>
  </sheetPr>
  <dimension ref="A1:O246"/>
  <sheetViews>
    <sheetView showGridLines="0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400</v>
      </c>
      <c r="D2" s="244"/>
      <c r="E2" s="144"/>
      <c r="F2" s="140" t="s">
        <v>401</v>
      </c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'[68]Sch B'!E10</f>
        <v>479427</v>
      </c>
      <c r="D11" s="501">
        <f>'[68]Sch B'!G10</f>
        <v>0</v>
      </c>
      <c r="E11" s="171">
        <f>C11+D11</f>
        <v>479427</v>
      </c>
      <c r="F11" s="171"/>
      <c r="G11" s="171">
        <f t="shared" ref="G11:G20" si="0">E11+F11</f>
        <v>479427</v>
      </c>
      <c r="H11" s="172">
        <f t="shared" ref="H11:H21" si="1">IF($G$21=0,0,G11/$G$21)</f>
        <v>4.0824509880141593E-2</v>
      </c>
      <c r="I11" s="547"/>
      <c r="J11" s="336" t="s">
        <v>344</v>
      </c>
      <c r="K11" s="337">
        <f>G21</f>
        <v>11743607</v>
      </c>
    </row>
    <row r="12" spans="1:11" s="167" customFormat="1">
      <c r="A12" s="169" t="s">
        <v>15</v>
      </c>
      <c r="B12" s="170" t="s">
        <v>212</v>
      </c>
      <c r="C12" s="501">
        <f>'[68]Sch B'!E15</f>
        <v>0</v>
      </c>
      <c r="D12" s="501">
        <f>'[68]Sch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47"/>
      <c r="J12" s="338" t="s">
        <v>345</v>
      </c>
      <c r="K12" s="339">
        <f>G208</f>
        <v>10723931</v>
      </c>
    </row>
    <row r="13" spans="1:11" s="167" customFormat="1">
      <c r="A13" s="169" t="s">
        <v>16</v>
      </c>
      <c r="B13" s="170" t="s">
        <v>170</v>
      </c>
      <c r="C13" s="501">
        <f>'[68]Sch B'!E21</f>
        <v>2569516</v>
      </c>
      <c r="D13" s="501">
        <f>'[68]Sch B'!G21</f>
        <v>0</v>
      </c>
      <c r="E13" s="171">
        <f t="shared" si="2"/>
        <v>2569516</v>
      </c>
      <c r="F13" s="171"/>
      <c r="G13" s="171">
        <f t="shared" si="0"/>
        <v>2569516</v>
      </c>
      <c r="H13" s="172">
        <f t="shared" si="1"/>
        <v>0.21880125927238539</v>
      </c>
      <c r="I13" s="547"/>
      <c r="J13" s="338" t="s">
        <v>346</v>
      </c>
      <c r="K13" s="339">
        <f>G228</f>
        <v>37832</v>
      </c>
    </row>
    <row r="14" spans="1:11" s="167" customFormat="1">
      <c r="A14" s="173" t="s">
        <v>18</v>
      </c>
      <c r="B14" s="174" t="s">
        <v>306</v>
      </c>
      <c r="C14" s="501">
        <f>'[68]Sch B'!E27</f>
        <v>137388</v>
      </c>
      <c r="D14" s="501">
        <f>'[68]Sch B'!G27</f>
        <v>0</v>
      </c>
      <c r="E14" s="171">
        <f t="shared" si="2"/>
        <v>137388</v>
      </c>
      <c r="F14" s="175"/>
      <c r="G14" s="175">
        <f>E14+F14</f>
        <v>137388</v>
      </c>
      <c r="H14" s="176">
        <f t="shared" si="1"/>
        <v>1.1698960975107562E-2</v>
      </c>
      <c r="I14" s="547"/>
      <c r="J14" s="338" t="s">
        <v>347</v>
      </c>
      <c r="K14" s="339">
        <f>G231</f>
        <v>108</v>
      </c>
    </row>
    <row r="15" spans="1:11" s="167" customFormat="1">
      <c r="A15" s="169" t="s">
        <v>19</v>
      </c>
      <c r="B15" s="170" t="s">
        <v>171</v>
      </c>
      <c r="C15" s="501">
        <f>'[68]Sch B'!E32</f>
        <v>6259552</v>
      </c>
      <c r="D15" s="501">
        <f>'[68]Sch B'!G32</f>
        <v>-2721023</v>
      </c>
      <c r="E15" s="171">
        <f t="shared" si="2"/>
        <v>3538529</v>
      </c>
      <c r="F15" s="171"/>
      <c r="G15" s="171">
        <f t="shared" si="0"/>
        <v>3538529</v>
      </c>
      <c r="H15" s="172">
        <f t="shared" si="1"/>
        <v>0.30131534544710153</v>
      </c>
      <c r="I15" s="547"/>
      <c r="J15" s="338" t="s">
        <v>348</v>
      </c>
      <c r="K15" s="339">
        <f>G235</f>
        <v>39420</v>
      </c>
    </row>
    <row r="16" spans="1:11" s="167" customFormat="1">
      <c r="A16" s="169" t="s">
        <v>21</v>
      </c>
      <c r="B16" s="170" t="s">
        <v>172</v>
      </c>
      <c r="C16" s="501">
        <f>'[68]Sch B'!E37</f>
        <v>2007489</v>
      </c>
      <c r="D16" s="501">
        <f>'[68]Sch B'!G37</f>
        <v>2721023</v>
      </c>
      <c r="E16" s="171">
        <f t="shared" si="2"/>
        <v>4728512</v>
      </c>
      <c r="F16" s="171"/>
      <c r="G16" s="171">
        <f t="shared" si="0"/>
        <v>4728512</v>
      </c>
      <c r="H16" s="172">
        <f t="shared" si="1"/>
        <v>0.40264562668011628</v>
      </c>
      <c r="I16" s="547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'[68]Sch B'!E42</f>
        <v>29650</v>
      </c>
      <c r="D17" s="501">
        <f>'[68]Sch B'!G42</f>
        <v>0</v>
      </c>
      <c r="E17" s="171">
        <f t="shared" si="2"/>
        <v>29650</v>
      </c>
      <c r="F17" s="171"/>
      <c r="G17" s="171">
        <f>E17+F17</f>
        <v>29650</v>
      </c>
      <c r="H17" s="172">
        <f t="shared" si="1"/>
        <v>2.5247779493983409E-3</v>
      </c>
      <c r="I17" s="547"/>
      <c r="J17" s="338" t="s">
        <v>156</v>
      </c>
      <c r="K17" s="339">
        <f>J208</f>
        <v>377404</v>
      </c>
    </row>
    <row r="18" spans="1:11" s="167" customFormat="1" ht="13.5" thickBot="1">
      <c r="A18" s="169" t="s">
        <v>216</v>
      </c>
      <c r="B18" s="170" t="s">
        <v>229</v>
      </c>
      <c r="C18" s="501">
        <f>'[68]Sch B'!E47</f>
        <v>0</v>
      </c>
      <c r="D18" s="501">
        <f>'[68]Sch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547"/>
      <c r="J18" s="341" t="s">
        <v>252</v>
      </c>
      <c r="K18" s="342">
        <f>K208</f>
        <v>397736</v>
      </c>
    </row>
    <row r="19" spans="1:11" s="167" customFormat="1">
      <c r="A19" s="169" t="s">
        <v>227</v>
      </c>
      <c r="B19" s="177" t="s">
        <v>173</v>
      </c>
      <c r="C19" s="501">
        <f>'[68]Sch B'!E52</f>
        <v>244711</v>
      </c>
      <c r="D19" s="501">
        <f>'[68]Sch B'!G52</f>
        <v>0</v>
      </c>
      <c r="E19" s="171">
        <f t="shared" si="2"/>
        <v>244711</v>
      </c>
      <c r="F19" s="171"/>
      <c r="G19" s="171">
        <f t="shared" si="0"/>
        <v>244711</v>
      </c>
      <c r="H19" s="172">
        <f t="shared" si="1"/>
        <v>2.0837805624796538E-2</v>
      </c>
      <c r="I19" s="547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'[68]Sch B'!E67</f>
        <v>27865</v>
      </c>
      <c r="D20" s="501">
        <f>'[68]Sch B'!G67</f>
        <v>-11991</v>
      </c>
      <c r="E20" s="171">
        <f t="shared" si="2"/>
        <v>15874</v>
      </c>
      <c r="F20" s="171"/>
      <c r="G20" s="171">
        <f t="shared" si="0"/>
        <v>15874</v>
      </c>
      <c r="H20" s="172">
        <f t="shared" si="1"/>
        <v>1.3517141709527575E-3</v>
      </c>
      <c r="I20" s="547"/>
      <c r="J20" s="168"/>
      <c r="K20" s="168"/>
    </row>
    <row r="21" spans="1:11" s="167" customFormat="1">
      <c r="A21" s="169"/>
      <c r="B21" s="178" t="s">
        <v>77</v>
      </c>
      <c r="C21" s="501">
        <f>SUM(C11:C20)</f>
        <v>11755598</v>
      </c>
      <c r="D21" s="501">
        <f>SUM(D11:D20)</f>
        <v>-11991</v>
      </c>
      <c r="E21" s="171">
        <f>SUM(E11:E20)</f>
        <v>11743607</v>
      </c>
      <c r="F21" s="171">
        <f>SUM(F11:F20)</f>
        <v>0</v>
      </c>
      <c r="G21" s="171">
        <f>SUM(G11:G20)</f>
        <v>11743607</v>
      </c>
      <c r="H21" s="172">
        <f t="shared" si="1"/>
        <v>1</v>
      </c>
      <c r="I21" s="547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546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546"/>
    </row>
    <row r="24" spans="1:11">
      <c r="A24" s="181" t="s">
        <v>161</v>
      </c>
      <c r="B24" s="148" t="s">
        <v>12</v>
      </c>
      <c r="I24" s="546"/>
    </row>
    <row r="25" spans="1:11" s="167" customFormat="1">
      <c r="A25" s="169" t="s">
        <v>83</v>
      </c>
      <c r="B25" s="170" t="s">
        <v>14</v>
      </c>
      <c r="C25" s="501">
        <f>'[68]Sch C'!D10</f>
        <v>0</v>
      </c>
      <c r="D25" s="501">
        <f>'[68]Sch C'!F10</f>
        <v>142271</v>
      </c>
      <c r="E25" s="171">
        <f t="shared" ref="E25:E60" si="3">C25+D25</f>
        <v>142271</v>
      </c>
      <c r="F25" s="171"/>
      <c r="G25" s="182">
        <f>E25+F25</f>
        <v>142271</v>
      </c>
      <c r="H25" s="172">
        <f>IF($G$208=0,0,G25/$G$208)</f>
        <v>1.3266683644271863E-2</v>
      </c>
      <c r="I25" s="547"/>
      <c r="J25" s="183">
        <v>1880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'[68]Sch C'!D11</f>
        <v>0</v>
      </c>
      <c r="D26" s="501">
        <f>'[68]Sch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547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'[68]Sch C'!D12</f>
        <v>457717</v>
      </c>
      <c r="D27" s="501">
        <f>'[68]Sch C'!F12</f>
        <v>-142271</v>
      </c>
      <c r="E27" s="171">
        <f t="shared" si="3"/>
        <v>315446</v>
      </c>
      <c r="F27" s="171"/>
      <c r="G27" s="171">
        <f t="shared" si="4"/>
        <v>315446</v>
      </c>
      <c r="H27" s="172">
        <f t="shared" si="5"/>
        <v>2.9415146367502736E-2</v>
      </c>
      <c r="I27" s="547"/>
      <c r="J27" s="183">
        <v>14117</v>
      </c>
      <c r="K27" s="183">
        <v>15221</v>
      </c>
    </row>
    <row r="28" spans="1:11" s="167" customFormat="1">
      <c r="A28" s="169" t="s">
        <v>86</v>
      </c>
      <c r="B28" s="170" t="s">
        <v>45</v>
      </c>
      <c r="C28" s="501">
        <f>'[68]Sch C'!D13</f>
        <v>115768</v>
      </c>
      <c r="D28" s="501">
        <f>'[68]Sch C'!F13</f>
        <v>0</v>
      </c>
      <c r="E28" s="171">
        <f t="shared" si="3"/>
        <v>115768</v>
      </c>
      <c r="F28" s="171"/>
      <c r="G28" s="171">
        <f t="shared" si="4"/>
        <v>115768</v>
      </c>
      <c r="H28" s="172">
        <f t="shared" si="5"/>
        <v>1.0795295120791061E-2</v>
      </c>
      <c r="I28" s="547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'[68]Sch C'!D14</f>
        <v>0</v>
      </c>
      <c r="D29" s="501">
        <f>'[68]Sch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547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'[68]Sch C'!D15</f>
        <v>0</v>
      </c>
      <c r="D30" s="501">
        <f>'[68]Sch C'!F15</f>
        <v>704920</v>
      </c>
      <c r="E30" s="171">
        <f t="shared" si="3"/>
        <v>704920</v>
      </c>
      <c r="F30" s="171"/>
      <c r="G30" s="171">
        <f t="shared" si="4"/>
        <v>704920</v>
      </c>
      <c r="H30" s="172">
        <f t="shared" si="5"/>
        <v>6.5733358411202009E-2</v>
      </c>
      <c r="I30" s="547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'[68]Sch C'!D16</f>
        <v>704920</v>
      </c>
      <c r="D31" s="501">
        <f>'[68]Sch C'!F16</f>
        <v>-704920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547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'[68]Sch C'!D17</f>
        <v>5057</v>
      </c>
      <c r="D32" s="501">
        <f>'[68]Sch C'!F17</f>
        <v>-5057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547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'[68]Sch C'!D18</f>
        <v>77356</v>
      </c>
      <c r="D33" s="501">
        <f>'[68]Sch C'!F18</f>
        <v>0</v>
      </c>
      <c r="E33" s="171">
        <f t="shared" si="3"/>
        <v>77356</v>
      </c>
      <c r="F33" s="171"/>
      <c r="G33" s="171">
        <f t="shared" si="4"/>
        <v>77356</v>
      </c>
      <c r="H33" s="172">
        <f t="shared" si="5"/>
        <v>7.213399638621323E-3</v>
      </c>
      <c r="I33" s="547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'[68]Sch C'!D19</f>
        <v>8662</v>
      </c>
      <c r="D34" s="501">
        <f>'[68]Sch C'!F19</f>
        <v>0</v>
      </c>
      <c r="E34" s="171">
        <f t="shared" si="3"/>
        <v>8662</v>
      </c>
      <c r="F34" s="171"/>
      <c r="G34" s="171">
        <f t="shared" si="4"/>
        <v>8662</v>
      </c>
      <c r="H34" s="172">
        <f t="shared" si="5"/>
        <v>8.0772619667172419E-4</v>
      </c>
      <c r="I34" s="547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'[68]Sch C'!D20</f>
        <v>34943</v>
      </c>
      <c r="D35" s="501">
        <f>'[68]Sch C'!F20</f>
        <v>0</v>
      </c>
      <c r="E35" s="171">
        <f t="shared" si="3"/>
        <v>34943</v>
      </c>
      <c r="F35" s="171"/>
      <c r="G35" s="171">
        <f t="shared" si="4"/>
        <v>34943</v>
      </c>
      <c r="H35" s="172">
        <f t="shared" si="5"/>
        <v>3.2584133560725074E-3</v>
      </c>
      <c r="I35" s="547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'[68]Sch C'!D21</f>
        <v>5456</v>
      </c>
      <c r="D36" s="501">
        <f>'[68]Sch C'!F21</f>
        <v>0</v>
      </c>
      <c r="E36" s="171">
        <f t="shared" si="3"/>
        <v>5456</v>
      </c>
      <c r="F36" s="171"/>
      <c r="G36" s="171">
        <f t="shared" si="4"/>
        <v>5456</v>
      </c>
      <c r="H36" s="172">
        <f t="shared" si="5"/>
        <v>5.0876865955217356E-4</v>
      </c>
      <c r="I36" s="547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'[68]Sch C'!D22</f>
        <v>0</v>
      </c>
      <c r="D37" s="501">
        <f>'[68]Sch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547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'[68]Sch C'!D23</f>
        <v>27450</v>
      </c>
      <c r="D38" s="501">
        <f>'[68]Sch C'!F23</f>
        <v>0</v>
      </c>
      <c r="E38" s="171">
        <f t="shared" si="3"/>
        <v>27450</v>
      </c>
      <c r="F38" s="171"/>
      <c r="G38" s="171">
        <f t="shared" si="4"/>
        <v>27450</v>
      </c>
      <c r="H38" s="172">
        <f t="shared" si="5"/>
        <v>2.5596956936779994E-3</v>
      </c>
      <c r="I38" s="547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'[68]Sch C'!D24</f>
        <v>25566</v>
      </c>
      <c r="D39" s="501">
        <f>'[68]Sch C'!F24</f>
        <v>0</v>
      </c>
      <c r="E39" s="171">
        <f t="shared" si="3"/>
        <v>25566</v>
      </c>
      <c r="F39" s="171"/>
      <c r="G39" s="171">
        <f t="shared" si="4"/>
        <v>25566</v>
      </c>
      <c r="H39" s="172">
        <f t="shared" si="5"/>
        <v>2.384013847161083E-3</v>
      </c>
      <c r="I39" s="547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'[68]Sch C'!D25</f>
        <v>0</v>
      </c>
      <c r="D40" s="501">
        <f>'[68]Sch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547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'[68]Sch C'!D26</f>
        <v>0</v>
      </c>
      <c r="D41" s="501">
        <f>'[68]Sch C'!F26</f>
        <v>0</v>
      </c>
      <c r="E41" s="171">
        <f t="shared" si="3"/>
        <v>0</v>
      </c>
      <c r="F41" s="171"/>
      <c r="G41" s="171">
        <f t="shared" si="4"/>
        <v>0</v>
      </c>
      <c r="H41" s="172">
        <f t="shared" si="5"/>
        <v>0</v>
      </c>
      <c r="I41" s="547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'[68]Sch C'!D27</f>
        <v>343</v>
      </c>
      <c r="D42" s="501">
        <f>'[68]Sch C'!F27</f>
        <v>0</v>
      </c>
      <c r="E42" s="171">
        <f t="shared" si="3"/>
        <v>343</v>
      </c>
      <c r="F42" s="171"/>
      <c r="G42" s="171">
        <f t="shared" si="4"/>
        <v>343</v>
      </c>
      <c r="H42" s="172">
        <f t="shared" si="5"/>
        <v>3.1984539997506512E-5</v>
      </c>
      <c r="I42" s="547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'[68]Sch C'!D28</f>
        <v>0</v>
      </c>
      <c r="D43" s="501">
        <f>'[68]Sch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547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'[68]Sch C'!D29</f>
        <v>-2973</v>
      </c>
      <c r="D44" s="501">
        <f>'[68]Sch C'!F29</f>
        <v>2973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547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'[68]Sch C'!D30</f>
        <v>2150</v>
      </c>
      <c r="D45" s="501">
        <f>'[68]Sch C'!F30</f>
        <v>-2150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547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'[68]Sch C'!D31</f>
        <v>0</v>
      </c>
      <c r="D46" s="501">
        <f>'[68]Sch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547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'[68]Sch C'!D32</f>
        <v>82320</v>
      </c>
      <c r="D47" s="501">
        <f>'[68]Sch C'!F32</f>
        <v>0</v>
      </c>
      <c r="E47" s="171">
        <f t="shared" si="3"/>
        <v>82320</v>
      </c>
      <c r="F47" s="171"/>
      <c r="G47" s="171">
        <f t="shared" si="4"/>
        <v>82320</v>
      </c>
      <c r="H47" s="172">
        <f t="shared" si="5"/>
        <v>7.6762895994015624E-3</v>
      </c>
      <c r="I47" s="547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'[68]Sch C'!D33</f>
        <v>0</v>
      </c>
      <c r="D48" s="501">
        <f>'[68]Sch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547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'[68]Sch C'!D34</f>
        <v>556</v>
      </c>
      <c r="D49" s="501">
        <f>'[68]Sch C'!F34</f>
        <v>0</v>
      </c>
      <c r="E49" s="171">
        <f t="shared" si="3"/>
        <v>556</v>
      </c>
      <c r="F49" s="171"/>
      <c r="G49" s="171">
        <f t="shared" si="4"/>
        <v>556</v>
      </c>
      <c r="H49" s="172">
        <f t="shared" si="5"/>
        <v>5.1846659587794815E-5</v>
      </c>
      <c r="I49" s="547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'[68]Sch C'!D35</f>
        <v>0</v>
      </c>
      <c r="D50" s="501">
        <f>'[68]Sch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547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'[68]Sch C'!D36</f>
        <v>106038</v>
      </c>
      <c r="D51" s="501">
        <f>'[68]Sch C'!F36</f>
        <v>0</v>
      </c>
      <c r="E51" s="171">
        <f t="shared" si="3"/>
        <v>106038</v>
      </c>
      <c r="F51" s="171"/>
      <c r="G51" s="171">
        <f t="shared" si="4"/>
        <v>106038</v>
      </c>
      <c r="H51" s="172">
        <f t="shared" si="5"/>
        <v>9.8879785780046515E-3</v>
      </c>
      <c r="I51" s="547"/>
      <c r="J51" s="183">
        <v>7802</v>
      </c>
      <c r="K51" s="183">
        <v>8160</v>
      </c>
    </row>
    <row r="52" spans="1:11" s="167" customFormat="1">
      <c r="A52" s="163">
        <v>290</v>
      </c>
      <c r="B52" s="170" t="s">
        <v>205</v>
      </c>
      <c r="C52" s="501">
        <f>'[68]Sch C'!D37</f>
        <v>15574</v>
      </c>
      <c r="D52" s="501">
        <f>'[68]Sch C'!F37</f>
        <v>0</v>
      </c>
      <c r="E52" s="171">
        <f t="shared" si="3"/>
        <v>15574</v>
      </c>
      <c r="F52" s="171"/>
      <c r="G52" s="171">
        <f t="shared" si="4"/>
        <v>15574</v>
      </c>
      <c r="H52" s="172">
        <f t="shared" si="5"/>
        <v>1.4522659647847418E-3</v>
      </c>
      <c r="I52" s="547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'[68]Sch C'!D38</f>
        <v>1381</v>
      </c>
      <c r="D53" s="501">
        <f>'[68]Sch C'!F38</f>
        <v>-1381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547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'[68]Sch C'!D39</f>
        <v>27432</v>
      </c>
      <c r="D54" s="501">
        <f>'[68]Sch C'!F39</f>
        <v>0</v>
      </c>
      <c r="E54" s="171">
        <f t="shared" si="3"/>
        <v>27432</v>
      </c>
      <c r="F54" s="171"/>
      <c r="G54" s="171">
        <f t="shared" si="4"/>
        <v>27432</v>
      </c>
      <c r="H54" s="172">
        <f t="shared" si="5"/>
        <v>2.5580172046985382E-3</v>
      </c>
      <c r="I54" s="547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'[68]Sch C'!D40</f>
        <v>20042</v>
      </c>
      <c r="D55" s="501">
        <f>'[68]Sch C'!F40</f>
        <v>-20042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547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'[68]Sch C'!D41</f>
        <v>53415</v>
      </c>
      <c r="D56" s="501">
        <f>'[68]Sch C'!F41</f>
        <v>0</v>
      </c>
      <c r="E56" s="171">
        <f t="shared" si="3"/>
        <v>53415</v>
      </c>
      <c r="F56" s="171"/>
      <c r="G56" s="171">
        <f t="shared" si="4"/>
        <v>53415</v>
      </c>
      <c r="H56" s="172">
        <f t="shared" si="5"/>
        <v>4.9809160465504676E-3</v>
      </c>
      <c r="I56" s="547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'[68]Sch C'!D42</f>
        <v>2370</v>
      </c>
      <c r="D57" s="501">
        <f>'[68]Sch C'!F42</f>
        <v>0</v>
      </c>
      <c r="E57" s="171">
        <f t="shared" si="3"/>
        <v>2370</v>
      </c>
      <c r="F57" s="171"/>
      <c r="G57" s="171">
        <f t="shared" si="4"/>
        <v>2370</v>
      </c>
      <c r="H57" s="172">
        <f t="shared" si="5"/>
        <v>2.2100104896236278E-4</v>
      </c>
      <c r="I57" s="547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'[68]Sch C'!D43</f>
        <v>15265</v>
      </c>
      <c r="D58" s="501">
        <f>'[68]Sch C'!F43</f>
        <v>-15265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547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'[68]Sch C'!D44</f>
        <v>0</v>
      </c>
      <c r="D59" s="501">
        <f>'[68]Sch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547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'[68]Sch C'!D45</f>
        <v>419191</v>
      </c>
      <c r="D60" s="501">
        <f>'[68]Sch C'!F45</f>
        <v>-387945</v>
      </c>
      <c r="E60" s="171">
        <f t="shared" si="3"/>
        <v>31246</v>
      </c>
      <c r="F60" s="171">
        <v>-11956</v>
      </c>
      <c r="G60" s="171">
        <f t="shared" si="4"/>
        <v>19290</v>
      </c>
      <c r="H60" s="172">
        <f t="shared" si="5"/>
        <v>1.798780689655687E-3</v>
      </c>
      <c r="I60" s="547" t="s">
        <v>714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2205999</v>
      </c>
      <c r="D61" s="501">
        <f>SUM(D25:D60)</f>
        <v>-428867</v>
      </c>
      <c r="E61" s="171">
        <f t="shared" ref="E61:F61" si="6">SUM(E25:E60)</f>
        <v>1777132</v>
      </c>
      <c r="F61" s="171">
        <f t="shared" si="6"/>
        <v>-11956</v>
      </c>
      <c r="G61" s="171">
        <f>SUM(G25:G60)</f>
        <v>1765176</v>
      </c>
      <c r="H61" s="186">
        <f t="shared" si="5"/>
        <v>0.16460158126716778</v>
      </c>
      <c r="I61" s="547" t="s">
        <v>715</v>
      </c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547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47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'[68]Sch C'!D57</f>
        <v>0</v>
      </c>
      <c r="D64" s="501">
        <f>'[68]Sch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547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'[68]Sch C'!D58</f>
        <v>1537</v>
      </c>
      <c r="D65" s="501">
        <f>'[68]Sch C'!F58</f>
        <v>0</v>
      </c>
      <c r="E65" s="171">
        <f t="shared" si="7"/>
        <v>1537</v>
      </c>
      <c r="F65" s="171"/>
      <c r="G65" s="171">
        <f t="shared" si="8"/>
        <v>1537</v>
      </c>
      <c r="H65" s="172">
        <f t="shared" si="9"/>
        <v>1.4332430896841838E-4</v>
      </c>
      <c r="I65" s="547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'[68]Sch C'!D59</f>
        <v>0</v>
      </c>
      <c r="D66" s="501">
        <f>'[68]Sch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547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'[68]Sch C'!D60</f>
        <v>0</v>
      </c>
      <c r="D67" s="501">
        <f>'[68]Sch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547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'[68]Sch C'!D61</f>
        <v>16622</v>
      </c>
      <c r="D68" s="501">
        <f>'[68]Sch C'!F61</f>
        <v>0</v>
      </c>
      <c r="E68" s="171">
        <f t="shared" si="7"/>
        <v>16622</v>
      </c>
      <c r="F68" s="171"/>
      <c r="G68" s="171">
        <f t="shared" si="8"/>
        <v>16622</v>
      </c>
      <c r="H68" s="172">
        <f t="shared" si="9"/>
        <v>1.5499913231444701E-3</v>
      </c>
      <c r="I68" s="547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'[68]Sch C'!D62</f>
        <v>805</v>
      </c>
      <c r="D69" s="501">
        <f>'[68]Sch C'!F62</f>
        <v>0</v>
      </c>
      <c r="E69" s="171">
        <f t="shared" si="7"/>
        <v>805</v>
      </c>
      <c r="F69" s="171"/>
      <c r="G69" s="171">
        <f t="shared" si="8"/>
        <v>805</v>
      </c>
      <c r="H69" s="172">
        <f t="shared" si="9"/>
        <v>7.5065757137005083E-5</v>
      </c>
      <c r="I69" s="547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'[68]Sch C'!D63</f>
        <v>0</v>
      </c>
      <c r="D70" s="501">
        <f>'[68]Sch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547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'[68]Sch C'!D64</f>
        <v>0</v>
      </c>
      <c r="D71" s="501">
        <f>'[68]Sch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547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'[68]Sch C'!D65</f>
        <v>3570</v>
      </c>
      <c r="D72" s="501">
        <f>'[68]Sch C'!F65</f>
        <v>0</v>
      </c>
      <c r="E72" s="171">
        <f t="shared" si="7"/>
        <v>3570</v>
      </c>
      <c r="F72" s="171"/>
      <c r="G72" s="171">
        <f t="shared" si="8"/>
        <v>3570</v>
      </c>
      <c r="H72" s="172">
        <f t="shared" si="9"/>
        <v>3.3290031425976167E-4</v>
      </c>
      <c r="I72" s="547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'[68]Sch C'!D66</f>
        <v>54896</v>
      </c>
      <c r="D73" s="501">
        <f>'[68]Sch C'!F66</f>
        <v>0</v>
      </c>
      <c r="E73" s="171">
        <f t="shared" si="7"/>
        <v>54896</v>
      </c>
      <c r="F73" s="171"/>
      <c r="G73" s="171">
        <f t="shared" si="8"/>
        <v>54896</v>
      </c>
      <c r="H73" s="172">
        <f t="shared" si="9"/>
        <v>5.1190183898050072E-3</v>
      </c>
      <c r="I73" s="547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'[68]Sch C'!D67</f>
        <v>35536</v>
      </c>
      <c r="D74" s="501">
        <f>'[68]Sch C'!F67</f>
        <v>0</v>
      </c>
      <c r="E74" s="171">
        <f t="shared" si="7"/>
        <v>35536</v>
      </c>
      <c r="F74" s="171"/>
      <c r="G74" s="171">
        <f t="shared" si="8"/>
        <v>35536</v>
      </c>
      <c r="H74" s="172">
        <f t="shared" si="9"/>
        <v>3.3137102430069718E-3</v>
      </c>
      <c r="I74" s="547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'[68]Sch C'!D68</f>
        <v>0</v>
      </c>
      <c r="D75" s="501">
        <f>'[68]Sch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547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'[68]Sch C'!D69</f>
        <v>-2309</v>
      </c>
      <c r="D76" s="501">
        <f>'[68]Sch C'!F69</f>
        <v>0</v>
      </c>
      <c r="E76" s="171">
        <f t="shared" si="7"/>
        <v>-2309</v>
      </c>
      <c r="F76" s="171"/>
      <c r="G76" s="171">
        <f t="shared" si="8"/>
        <v>-2309</v>
      </c>
      <c r="H76" s="172">
        <f t="shared" si="9"/>
        <v>-2.1531283630974501E-4</v>
      </c>
      <c r="I76" s="547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'[68]Sch C'!D70</f>
        <v>0</v>
      </c>
      <c r="D77" s="501">
        <f>'[68]Sch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547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'[68]Sch C'!D71</f>
        <v>0</v>
      </c>
      <c r="D78" s="501">
        <f>'[68]Sch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547"/>
      <c r="J78" s="195"/>
      <c r="K78" s="168"/>
    </row>
    <row r="79" spans="1:11" s="167" customFormat="1">
      <c r="A79" s="163"/>
      <c r="B79" s="170" t="s">
        <v>150</v>
      </c>
      <c r="C79" s="501">
        <f>SUM(C64:C78)</f>
        <v>110657</v>
      </c>
      <c r="D79" s="501">
        <f>SUM(D64:D78)</f>
        <v>0</v>
      </c>
      <c r="E79" s="171">
        <f t="shared" ref="E79:F79" si="10">SUM(E64:E78)</f>
        <v>110657</v>
      </c>
      <c r="F79" s="171">
        <f t="shared" si="10"/>
        <v>0</v>
      </c>
      <c r="G79" s="171">
        <f>SUM(G64:G78)</f>
        <v>110657</v>
      </c>
      <c r="H79" s="172">
        <f t="shared" si="9"/>
        <v>1.0318697500011889E-2</v>
      </c>
      <c r="I79" s="547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547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47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'[68]Sch C'!D75</f>
        <v>71231</v>
      </c>
      <c r="D82" s="501">
        <f>'[68]Sch C'!F75</f>
        <v>0</v>
      </c>
      <c r="E82" s="171">
        <f t="shared" ref="E82:E92" si="11">C82+D82</f>
        <v>71231</v>
      </c>
      <c r="F82" s="171"/>
      <c r="G82" s="171">
        <f t="shared" ref="G82:G92" si="12">E82+F82</f>
        <v>71231</v>
      </c>
      <c r="H82" s="172">
        <f t="shared" ref="H82:H93" si="13">IF($G$208=0,0,G82/$G$208)</f>
        <v>6.6422471386658492E-3</v>
      </c>
      <c r="I82" s="547"/>
      <c r="J82" s="183">
        <v>4027</v>
      </c>
      <c r="K82" s="183">
        <v>4339</v>
      </c>
    </row>
    <row r="83" spans="1:11" s="167" customFormat="1">
      <c r="A83" s="169" t="s">
        <v>86</v>
      </c>
      <c r="B83" s="199" t="s">
        <v>45</v>
      </c>
      <c r="C83" s="501">
        <f>'[68]Sch C'!D76</f>
        <v>26859</v>
      </c>
      <c r="D83" s="501">
        <f>'[68]Sch C'!F76</f>
        <v>0</v>
      </c>
      <c r="E83" s="171">
        <f t="shared" si="11"/>
        <v>26859</v>
      </c>
      <c r="F83" s="171"/>
      <c r="G83" s="171">
        <f t="shared" si="12"/>
        <v>26859</v>
      </c>
      <c r="H83" s="172">
        <f t="shared" si="13"/>
        <v>2.5045853055190304E-3</v>
      </c>
      <c r="I83" s="547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'[68]Sch C'!D77</f>
        <v>31790</v>
      </c>
      <c r="D84" s="501">
        <f>'[68]Sch C'!F77</f>
        <v>0</v>
      </c>
      <c r="E84" s="171">
        <f t="shared" si="11"/>
        <v>31790</v>
      </c>
      <c r="F84" s="171"/>
      <c r="G84" s="171">
        <f t="shared" si="12"/>
        <v>31790</v>
      </c>
      <c r="H84" s="172">
        <f t="shared" si="13"/>
        <v>2.9643980365035918E-3</v>
      </c>
      <c r="I84" s="547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'[68]Sch C'!D78</f>
        <v>0</v>
      </c>
      <c r="D85" s="501">
        <f>'[68]Sch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547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'[68]Sch C'!D79</f>
        <v>7167</v>
      </c>
      <c r="D86" s="501">
        <f>'[68]Sch C'!F79</f>
        <v>0</v>
      </c>
      <c r="E86" s="171">
        <f t="shared" si="11"/>
        <v>7167</v>
      </c>
      <c r="F86" s="171"/>
      <c r="G86" s="171">
        <f>E86+F86</f>
        <v>7167</v>
      </c>
      <c r="H86" s="172">
        <f t="shared" si="13"/>
        <v>6.6831836198871482E-4</v>
      </c>
      <c r="I86" s="547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'[68]Sch C'!D80</f>
        <v>15155</v>
      </c>
      <c r="D87" s="501">
        <f>'[68]Sch C'!F80</f>
        <v>0</v>
      </c>
      <c r="E87" s="171">
        <f t="shared" si="11"/>
        <v>15155</v>
      </c>
      <c r="F87" s="171"/>
      <c r="G87" s="171">
        <f t="shared" si="12"/>
        <v>15155</v>
      </c>
      <c r="H87" s="172">
        <f t="shared" si="13"/>
        <v>1.4131944713183999E-3</v>
      </c>
      <c r="I87" s="547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'[68]Sch C'!D81</f>
        <v>44803</v>
      </c>
      <c r="D88" s="501">
        <f>'[68]Sch C'!F81</f>
        <v>0</v>
      </c>
      <c r="E88" s="171">
        <f t="shared" si="11"/>
        <v>44803</v>
      </c>
      <c r="F88" s="171"/>
      <c r="G88" s="171">
        <f t="shared" si="12"/>
        <v>44803</v>
      </c>
      <c r="H88" s="172">
        <f t="shared" si="13"/>
        <v>4.1778523192661345E-3</v>
      </c>
      <c r="I88" s="547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'[68]Sch C'!D82</f>
        <v>19520</v>
      </c>
      <c r="D89" s="501">
        <f>'[68]Sch C'!F82</f>
        <v>0</v>
      </c>
      <c r="E89" s="171">
        <f t="shared" si="11"/>
        <v>19520</v>
      </c>
      <c r="F89" s="171"/>
      <c r="G89" s="171">
        <f t="shared" si="12"/>
        <v>19520</v>
      </c>
      <c r="H89" s="172">
        <f t="shared" si="13"/>
        <v>1.8202280488376884E-3</v>
      </c>
      <c r="I89" s="547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'[68]Sch C'!D83</f>
        <v>11239</v>
      </c>
      <c r="D90" s="501">
        <f>'[68]Sch C'!F83</f>
        <v>0</v>
      </c>
      <c r="E90" s="171">
        <f t="shared" si="11"/>
        <v>11239</v>
      </c>
      <c r="F90" s="171"/>
      <c r="G90" s="171">
        <f t="shared" si="12"/>
        <v>11239</v>
      </c>
      <c r="H90" s="172">
        <f t="shared" si="13"/>
        <v>1.0480298688978883E-3</v>
      </c>
      <c r="I90" s="547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'[68]Sch C'!D84</f>
        <v>223564</v>
      </c>
      <c r="D91" s="501">
        <f>'[68]Sch C'!F84</f>
        <v>0</v>
      </c>
      <c r="E91" s="171">
        <f t="shared" si="11"/>
        <v>223564</v>
      </c>
      <c r="F91" s="171"/>
      <c r="G91" s="171">
        <f t="shared" si="12"/>
        <v>223564</v>
      </c>
      <c r="H91" s="172">
        <f t="shared" si="13"/>
        <v>2.0847206122456403E-2</v>
      </c>
      <c r="I91" s="547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'[68]Sch C'!D85</f>
        <v>0</v>
      </c>
      <c r="D92" s="501">
        <f>'[68]Sch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547"/>
      <c r="J92" s="168"/>
      <c r="K92" s="168"/>
    </row>
    <row r="93" spans="1:11" s="167" customFormat="1">
      <c r="A93" s="163"/>
      <c r="B93" s="170" t="s">
        <v>50</v>
      </c>
      <c r="C93" s="501">
        <f>SUM(C82:C92)</f>
        <v>451328</v>
      </c>
      <c r="D93" s="501">
        <f>SUM(D82:D92)</f>
        <v>0</v>
      </c>
      <c r="E93" s="171">
        <f t="shared" ref="E93:F93" si="14">SUM(E82:E92)</f>
        <v>451328</v>
      </c>
      <c r="F93" s="171">
        <f t="shared" si="14"/>
        <v>0</v>
      </c>
      <c r="G93" s="171">
        <f>SUM(G82:G92)</f>
        <v>451328</v>
      </c>
      <c r="H93" s="172">
        <f t="shared" si="13"/>
        <v>4.2086059673453698E-2</v>
      </c>
      <c r="I93" s="547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547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47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'[68]Sch C'!D89</f>
        <v>378757</v>
      </c>
      <c r="D96" s="501">
        <f>'[68]Sch C'!F89</f>
        <v>0</v>
      </c>
      <c r="E96" s="171">
        <f t="shared" ref="E96:E101" si="15">C96+D96</f>
        <v>378757</v>
      </c>
      <c r="F96" s="171"/>
      <c r="G96" s="171">
        <f t="shared" ref="G96:G101" si="16">E96+F96</f>
        <v>378757</v>
      </c>
      <c r="H96" s="172">
        <f t="shared" ref="H96:H102" si="17">IF($G$208=0,0,G96/$G$208)</f>
        <v>3.5318858355205755E-2</v>
      </c>
      <c r="I96" s="547"/>
      <c r="J96" s="183">
        <v>31650</v>
      </c>
      <c r="K96" s="183">
        <v>32412</v>
      </c>
    </row>
    <row r="97" spans="1:11" s="167" customFormat="1">
      <c r="A97" s="169" t="s">
        <v>86</v>
      </c>
      <c r="B97" s="170" t="s">
        <v>45</v>
      </c>
      <c r="C97" s="501">
        <f>'[68]Sch C'!D90</f>
        <v>79824</v>
      </c>
      <c r="D97" s="501">
        <f>'[68]Sch C'!F90</f>
        <v>0</v>
      </c>
      <c r="E97" s="171">
        <f t="shared" si="15"/>
        <v>79824</v>
      </c>
      <c r="F97" s="171"/>
      <c r="G97" s="171">
        <f t="shared" si="16"/>
        <v>79824</v>
      </c>
      <c r="H97" s="172">
        <f t="shared" si="17"/>
        <v>7.4435391275829727E-3</v>
      </c>
      <c r="I97" s="547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'[68]Sch C'!D91</f>
        <v>19162</v>
      </c>
      <c r="D98" s="501">
        <f>'[68]Sch C'!F91</f>
        <v>0</v>
      </c>
      <c r="E98" s="171">
        <f t="shared" si="15"/>
        <v>19162</v>
      </c>
      <c r="F98" s="171"/>
      <c r="G98" s="171">
        <f t="shared" si="16"/>
        <v>19162</v>
      </c>
      <c r="H98" s="172">
        <f t="shared" si="17"/>
        <v>1.7868447680239644E-3</v>
      </c>
      <c r="I98" s="547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'[68]Sch C'!D92</f>
        <v>422302</v>
      </c>
      <c r="D99" s="501">
        <f>'[68]Sch C'!F92</f>
        <v>-5486</v>
      </c>
      <c r="E99" s="171">
        <f t="shared" si="15"/>
        <v>416816</v>
      </c>
      <c r="F99" s="171"/>
      <c r="G99" s="171">
        <f t="shared" si="16"/>
        <v>416816</v>
      </c>
      <c r="H99" s="172">
        <f t="shared" si="17"/>
        <v>3.8867836803500505E-2</v>
      </c>
      <c r="I99" s="547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'[68]Sch C'!D93</f>
        <v>22940</v>
      </c>
      <c r="D100" s="501">
        <f>'[68]Sch C'!F93</f>
        <v>0</v>
      </c>
      <c r="E100" s="171">
        <f t="shared" si="15"/>
        <v>22940</v>
      </c>
      <c r="F100" s="171"/>
      <c r="G100" s="171">
        <f t="shared" si="16"/>
        <v>22940</v>
      </c>
      <c r="H100" s="172">
        <f t="shared" si="17"/>
        <v>2.1391409549352753E-3</v>
      </c>
      <c r="I100" s="547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'[68]Sch C'!D94</f>
        <v>25</v>
      </c>
      <c r="D101" s="501">
        <f>'[68]Sch C'!F94</f>
        <v>0</v>
      </c>
      <c r="E101" s="171">
        <f t="shared" si="15"/>
        <v>25</v>
      </c>
      <c r="F101" s="171"/>
      <c r="G101" s="171">
        <f t="shared" si="16"/>
        <v>25</v>
      </c>
      <c r="H101" s="172">
        <f t="shared" si="17"/>
        <v>2.3312346936958098E-6</v>
      </c>
      <c r="I101" s="547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923010</v>
      </c>
      <c r="D102" s="501">
        <f>SUM(D96:D101)</f>
        <v>-5486</v>
      </c>
      <c r="E102" s="171">
        <f t="shared" ref="E102:F102" si="18">SUM(E96:E101)</f>
        <v>917524</v>
      </c>
      <c r="F102" s="171">
        <f t="shared" si="18"/>
        <v>0</v>
      </c>
      <c r="G102" s="171">
        <f>SUM(G96:G101)</f>
        <v>917524</v>
      </c>
      <c r="H102" s="172">
        <f t="shared" si="17"/>
        <v>8.5558551243942169E-2</v>
      </c>
      <c r="I102" s="547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547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47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'[68]Sch C'!D98</f>
        <v>44868</v>
      </c>
      <c r="D105" s="501">
        <f>'[68]Sch C'!F98</f>
        <v>0</v>
      </c>
      <c r="E105" s="171">
        <f t="shared" ref="E105:E110" si="19">C105+D105</f>
        <v>44868</v>
      </c>
      <c r="F105" s="171"/>
      <c r="G105" s="171">
        <f t="shared" ref="G105:G110" si="20">E105+F105</f>
        <v>44868</v>
      </c>
      <c r="H105" s="172">
        <f t="shared" ref="H105:H111" si="21">IF($G$208=0,0,G105/$G$208)</f>
        <v>4.1839135294697441E-3</v>
      </c>
      <c r="I105" s="547"/>
      <c r="J105" s="183">
        <v>4554</v>
      </c>
      <c r="K105" s="183">
        <v>4716</v>
      </c>
    </row>
    <row r="106" spans="1:11" s="167" customFormat="1">
      <c r="A106" s="169" t="s">
        <v>86</v>
      </c>
      <c r="B106" s="170" t="s">
        <v>45</v>
      </c>
      <c r="C106" s="501">
        <f>'[68]Sch C'!D99</f>
        <v>7468</v>
      </c>
      <c r="D106" s="501">
        <f>'[68]Sch C'!F99</f>
        <v>0</v>
      </c>
      <c r="E106" s="171">
        <f t="shared" si="19"/>
        <v>7468</v>
      </c>
      <c r="F106" s="171"/>
      <c r="G106" s="171">
        <f t="shared" si="20"/>
        <v>7468</v>
      </c>
      <c r="H106" s="172">
        <f t="shared" si="21"/>
        <v>6.9638642770081228E-4</v>
      </c>
      <c r="I106" s="547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'[68]Sch C'!D100</f>
        <v>2026</v>
      </c>
      <c r="D107" s="501">
        <f>'[68]Sch C'!F100</f>
        <v>0</v>
      </c>
      <c r="E107" s="171">
        <f t="shared" si="19"/>
        <v>2026</v>
      </c>
      <c r="F107" s="171"/>
      <c r="G107" s="171">
        <f t="shared" si="20"/>
        <v>2026</v>
      </c>
      <c r="H107" s="172">
        <f t="shared" si="21"/>
        <v>1.8892325957710845E-4</v>
      </c>
      <c r="I107" s="547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'[68]Sch C'!D101</f>
        <v>81</v>
      </c>
      <c r="D108" s="501">
        <f>'[68]Sch C'!F101</f>
        <v>0</v>
      </c>
      <c r="E108" s="171">
        <f t="shared" si="19"/>
        <v>81</v>
      </c>
      <c r="F108" s="171"/>
      <c r="G108" s="171">
        <f t="shared" si="20"/>
        <v>81</v>
      </c>
      <c r="H108" s="172">
        <f t="shared" si="21"/>
        <v>7.5532004075744241E-6</v>
      </c>
      <c r="I108" s="547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'[68]Sch C'!D102</f>
        <v>8840</v>
      </c>
      <c r="D109" s="501">
        <f>'[68]Sch C'!F102</f>
        <v>0</v>
      </c>
      <c r="E109" s="171">
        <f t="shared" si="19"/>
        <v>8840</v>
      </c>
      <c r="F109" s="171"/>
      <c r="G109" s="171">
        <f t="shared" si="20"/>
        <v>8840</v>
      </c>
      <c r="H109" s="172">
        <f t="shared" si="21"/>
        <v>8.2432458769083835E-4</v>
      </c>
      <c r="I109" s="547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'[68]Sch C'!D103</f>
        <v>0</v>
      </c>
      <c r="D110" s="501">
        <f>'[68]Sch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547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63283</v>
      </c>
      <c r="D111" s="501">
        <f>SUM(D105:D110)</f>
        <v>0</v>
      </c>
      <c r="E111" s="171">
        <f t="shared" ref="E111:F111" si="22">SUM(E105:E110)</f>
        <v>63283</v>
      </c>
      <c r="F111" s="171">
        <f t="shared" si="22"/>
        <v>0</v>
      </c>
      <c r="G111" s="171">
        <f>SUM(G105:G110)</f>
        <v>63283</v>
      </c>
      <c r="H111" s="172">
        <f t="shared" si="21"/>
        <v>5.9011010048460773E-3</v>
      </c>
      <c r="I111" s="547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547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47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'[68]Sch C'!D115</f>
        <v>186537</v>
      </c>
      <c r="D114" s="501">
        <f>'[68]Sch C'!F115</f>
        <v>0</v>
      </c>
      <c r="E114" s="171">
        <f t="shared" ref="E114:E118" si="23">C114+D114</f>
        <v>186537</v>
      </c>
      <c r="F114" s="171"/>
      <c r="G114" s="171">
        <f>E114+F114</f>
        <v>186537</v>
      </c>
      <c r="H114" s="172">
        <f t="shared" ref="H114:H119" si="24">IF($G$208=0,0,G114/$G$208)</f>
        <v>1.739446104231741E-2</v>
      </c>
      <c r="I114" s="547"/>
      <c r="J114" s="183">
        <v>17608</v>
      </c>
      <c r="K114" s="183">
        <v>18378</v>
      </c>
    </row>
    <row r="115" spans="1:11" s="167" customFormat="1">
      <c r="A115" s="169" t="s">
        <v>86</v>
      </c>
      <c r="B115" s="170" t="s">
        <v>151</v>
      </c>
      <c r="C115" s="501">
        <f>'[68]Sch C'!D116</f>
        <v>42579</v>
      </c>
      <c r="D115" s="501">
        <f>'[68]Sch C'!F116</f>
        <v>0</v>
      </c>
      <c r="E115" s="171">
        <f t="shared" si="23"/>
        <v>42579</v>
      </c>
      <c r="F115" s="171"/>
      <c r="G115" s="171">
        <f>E115+F115</f>
        <v>42579</v>
      </c>
      <c r="H115" s="172">
        <f t="shared" si="24"/>
        <v>3.9704656809149558E-3</v>
      </c>
      <c r="I115" s="547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'[68]Sch C'!D117</f>
        <v>69453</v>
      </c>
      <c r="D116" s="501">
        <f>'[68]Sch C'!F117</f>
        <v>0</v>
      </c>
      <c r="E116" s="171">
        <f t="shared" si="23"/>
        <v>69453</v>
      </c>
      <c r="F116" s="171"/>
      <c r="G116" s="171">
        <f>E116+F116</f>
        <v>69453</v>
      </c>
      <c r="H116" s="172">
        <f t="shared" si="24"/>
        <v>6.4764497272502032E-3</v>
      </c>
      <c r="I116" s="547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'[68]Sch C'!D118</f>
        <v>0</v>
      </c>
      <c r="D117" s="501">
        <f>'[68]Sch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547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'[68]Sch C'!D119</f>
        <v>4480</v>
      </c>
      <c r="D118" s="501">
        <f>'[68]Sch C'!F119</f>
        <v>0</v>
      </c>
      <c r="E118" s="171">
        <f t="shared" si="23"/>
        <v>4480</v>
      </c>
      <c r="F118" s="171"/>
      <c r="G118" s="171">
        <f>E118+F118</f>
        <v>4480</v>
      </c>
      <c r="H118" s="172">
        <f t="shared" si="24"/>
        <v>4.1775725711028911E-4</v>
      </c>
      <c r="I118" s="547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303049</v>
      </c>
      <c r="D119" s="501">
        <f>SUM(D114:D118)</f>
        <v>0</v>
      </c>
      <c r="E119" s="171">
        <f t="shared" ref="E119:F119" si="25">SUM(E114:E118)</f>
        <v>303049</v>
      </c>
      <c r="F119" s="171">
        <f t="shared" si="25"/>
        <v>0</v>
      </c>
      <c r="G119" s="171">
        <f>SUM(G114:G118)</f>
        <v>303049</v>
      </c>
      <c r="H119" s="172">
        <f t="shared" si="24"/>
        <v>2.8259133707592858E-2</v>
      </c>
      <c r="I119" s="547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547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47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47"/>
      <c r="J122" s="204"/>
      <c r="K122" s="204"/>
    </row>
    <row r="123" spans="1:11" s="167" customFormat="1">
      <c r="B123" s="163" t="s">
        <v>232</v>
      </c>
      <c r="C123" s="501">
        <f>'[68]Sch C'!D124</f>
        <v>62310</v>
      </c>
      <c r="D123" s="501">
        <f>'[68]Sch C'!F124</f>
        <v>0</v>
      </c>
      <c r="E123" s="171">
        <f t="shared" ref="E123:E127" si="26">C123+D123</f>
        <v>62310</v>
      </c>
      <c r="F123" s="171"/>
      <c r="G123" s="171">
        <f>E123+F123</f>
        <v>62310</v>
      </c>
      <c r="H123" s="172">
        <f>IF($G$208=0,0,G123/$G$208)</f>
        <v>5.8103693505674363E-3</v>
      </c>
      <c r="I123" s="547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'[68]Sch C'!D125</f>
        <v>428036</v>
      </c>
      <c r="D124" s="501">
        <f>'[68]Sch C'!F125</f>
        <v>0</v>
      </c>
      <c r="E124" s="171">
        <f t="shared" si="26"/>
        <v>428036</v>
      </c>
      <c r="F124" s="171"/>
      <c r="G124" s="171">
        <f>E124+F124</f>
        <v>428036</v>
      </c>
      <c r="H124" s="172">
        <f>IF($G$208=0,0,G124/$G$208)</f>
        <v>3.991409493403119E-2</v>
      </c>
      <c r="I124" s="547"/>
      <c r="J124" s="183">
        <v>13529</v>
      </c>
      <c r="K124" s="183">
        <v>14359</v>
      </c>
    </row>
    <row r="125" spans="1:11" s="167" customFormat="1">
      <c r="A125" s="163" t="s">
        <v>198</v>
      </c>
      <c r="B125" s="163" t="s">
        <v>195</v>
      </c>
      <c r="C125" s="501">
        <f>'[68]Sch C'!D126</f>
        <v>0</v>
      </c>
      <c r="D125" s="501">
        <f>'[68]Sch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547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'[68]Sch C'!D127</f>
        <v>0</v>
      </c>
      <c r="D126" s="501">
        <f>'[68]Sch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547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'[68]Sch C'!D128</f>
        <v>107221</v>
      </c>
      <c r="D127" s="501">
        <f>'[68]Sch C'!F128</f>
        <v>0</v>
      </c>
      <c r="E127" s="171">
        <f t="shared" si="26"/>
        <v>107221</v>
      </c>
      <c r="F127" s="171"/>
      <c r="G127" s="171">
        <f>E127+F127</f>
        <v>107221</v>
      </c>
      <c r="H127" s="172">
        <f>IF($G$208=0,0,G127/$G$208)</f>
        <v>9.9982926037103376E-3</v>
      </c>
      <c r="I127" s="547"/>
      <c r="J127" s="183">
        <v>7146</v>
      </c>
      <c r="K127" s="183">
        <v>7744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615"/>
      <c r="J128" s="207"/>
      <c r="K128" s="207"/>
    </row>
    <row r="129" spans="1:11" s="167" customFormat="1">
      <c r="A129" s="169"/>
      <c r="B129" s="163" t="s">
        <v>232</v>
      </c>
      <c r="C129" s="501">
        <f>'[68]Sch C'!D130</f>
        <v>0</v>
      </c>
      <c r="D129" s="501">
        <f>'[68]Sch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547"/>
      <c r="J129" s="204"/>
      <c r="K129" s="204"/>
    </row>
    <row r="130" spans="1:11" s="167" customFormat="1">
      <c r="A130" s="169"/>
      <c r="B130" s="163" t="s">
        <v>194</v>
      </c>
      <c r="C130" s="501">
        <f>'[68]Sch C'!D131</f>
        <v>129294</v>
      </c>
      <c r="D130" s="501">
        <f>'[68]Sch C'!F131</f>
        <v>0</v>
      </c>
      <c r="E130" s="171">
        <f t="shared" si="27"/>
        <v>129294</v>
      </c>
      <c r="F130" s="171"/>
      <c r="G130" s="171">
        <f>E130+F130</f>
        <v>129294</v>
      </c>
      <c r="H130" s="172">
        <f>IF($G$208=0,0,G130/$G$208)</f>
        <v>1.2056586339468241E-2</v>
      </c>
      <c r="I130" s="547"/>
      <c r="J130" s="204"/>
      <c r="K130" s="204"/>
    </row>
    <row r="131" spans="1:11" s="167" customFormat="1">
      <c r="B131" s="163" t="s">
        <v>195</v>
      </c>
      <c r="C131" s="501">
        <f>'[68]Sch C'!D132</f>
        <v>0</v>
      </c>
      <c r="D131" s="501">
        <f>'[68]Sch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547"/>
      <c r="J131" s="168"/>
      <c r="K131" s="168"/>
    </row>
    <row r="132" spans="1:11" s="167" customFormat="1">
      <c r="B132" s="163" t="s">
        <v>196</v>
      </c>
      <c r="C132" s="501">
        <f>'[68]Sch C'!D133</f>
        <v>0</v>
      </c>
      <c r="D132" s="501">
        <f>'[68]Sch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547"/>
      <c r="J132" s="168"/>
      <c r="K132" s="168"/>
    </row>
    <row r="133" spans="1:11" s="167" customFormat="1">
      <c r="B133" s="163" t="s">
        <v>197</v>
      </c>
      <c r="C133" s="501">
        <f>'[68]Sch C'!D134</f>
        <v>22406</v>
      </c>
      <c r="D133" s="501">
        <f>'[68]Sch C'!F134</f>
        <v>0</v>
      </c>
      <c r="E133" s="171">
        <f t="shared" si="27"/>
        <v>22406</v>
      </c>
      <c r="F133" s="171"/>
      <c r="G133" s="171">
        <f>E133+F133</f>
        <v>22406</v>
      </c>
      <c r="H133" s="172">
        <f>IF($G$208=0,0,G133/$G$208)</f>
        <v>2.0893457818779325E-3</v>
      </c>
      <c r="I133" s="547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616"/>
      <c r="J134" s="204"/>
      <c r="K134" s="204"/>
    </row>
    <row r="135" spans="1:11" s="167" customFormat="1">
      <c r="A135" s="169"/>
      <c r="B135" s="163" t="s">
        <v>194</v>
      </c>
      <c r="C135" s="501">
        <f>'[68]Sch C'!D136</f>
        <v>1391704</v>
      </c>
      <c r="D135" s="501">
        <f>'[68]Sch C'!F136</f>
        <v>0</v>
      </c>
      <c r="E135" s="171">
        <f t="shared" ref="E135:E138" si="28">C135+D135</f>
        <v>1391704</v>
      </c>
      <c r="F135" s="171"/>
      <c r="G135" s="171">
        <f>E135+F135</f>
        <v>1391704</v>
      </c>
      <c r="H135" s="172">
        <f>IF($G$208=0,0,G135/$G$208)</f>
        <v>0.12977554592620932</v>
      </c>
      <c r="I135" s="547"/>
      <c r="J135" s="183">
        <v>62373</v>
      </c>
      <c r="K135" s="183">
        <v>64772</v>
      </c>
    </row>
    <row r="136" spans="1:11" s="167" customFormat="1">
      <c r="A136" s="169"/>
      <c r="B136" s="163" t="s">
        <v>195</v>
      </c>
      <c r="C136" s="501">
        <f>'[68]Sch C'!D137</f>
        <v>370686</v>
      </c>
      <c r="D136" s="501">
        <f>'[68]Sch C'!F137</f>
        <v>0</v>
      </c>
      <c r="E136" s="171">
        <f t="shared" si="28"/>
        <v>370686</v>
      </c>
      <c r="F136" s="171"/>
      <c r="G136" s="171">
        <f>E136+F136</f>
        <v>370686</v>
      </c>
      <c r="H136" s="172">
        <f>IF($G$208=0,0,G136/$G$208)</f>
        <v>3.4566242546693E-2</v>
      </c>
      <c r="I136" s="547"/>
      <c r="J136" s="183">
        <v>21169</v>
      </c>
      <c r="K136" s="183">
        <v>21963</v>
      </c>
    </row>
    <row r="137" spans="1:11" s="167" customFormat="1">
      <c r="A137" s="169"/>
      <c r="B137" s="163" t="s">
        <v>196</v>
      </c>
      <c r="C137" s="501">
        <f>'[68]Sch C'!D138</f>
        <v>1564407</v>
      </c>
      <c r="D137" s="501">
        <f>'[68]Sch C'!F138</f>
        <v>67662</v>
      </c>
      <c r="E137" s="171">
        <f t="shared" si="28"/>
        <v>1632069</v>
      </c>
      <c r="F137" s="171"/>
      <c r="G137" s="171">
        <f>E137+F137</f>
        <v>1632069</v>
      </c>
      <c r="H137" s="172">
        <f>IF($G$208=0,0,G137/$G$208)</f>
        <v>0.15218943501221707</v>
      </c>
      <c r="I137" s="547"/>
      <c r="J137" s="183">
        <v>173535</v>
      </c>
      <c r="K137" s="183">
        <v>184730</v>
      </c>
    </row>
    <row r="138" spans="1:11" s="167" customFormat="1">
      <c r="A138" s="169"/>
      <c r="B138" s="163" t="s">
        <v>197</v>
      </c>
      <c r="C138" s="501">
        <f>'[68]Sch C'!D139</f>
        <v>67662</v>
      </c>
      <c r="D138" s="501">
        <f>'[68]Sch C'!F139</f>
        <v>-67662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547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616"/>
      <c r="J139" s="372"/>
      <c r="K139" s="372"/>
    </row>
    <row r="140" spans="1:11" s="167" customFormat="1">
      <c r="A140" s="169"/>
      <c r="B140" s="163" t="s">
        <v>194</v>
      </c>
      <c r="C140" s="501">
        <f>'[68]Sch C'!D141</f>
        <v>781002</v>
      </c>
      <c r="D140" s="501">
        <f>'[68]Sch C'!F141</f>
        <v>-460797</v>
      </c>
      <c r="E140" s="171">
        <f t="shared" ref="E140:E143" si="29">C140+D140</f>
        <v>320205</v>
      </c>
      <c r="F140" s="171"/>
      <c r="G140" s="171">
        <f>E140+F140</f>
        <v>320205</v>
      </c>
      <c r="H140" s="172">
        <f>IF($G$208=0,0,G140/$G$208)</f>
        <v>2.9858920203794673E-2</v>
      </c>
      <c r="I140" s="547"/>
      <c r="J140" s="168"/>
      <c r="K140" s="168"/>
    </row>
    <row r="141" spans="1:11" s="167" customFormat="1">
      <c r="A141" s="169"/>
      <c r="B141" s="163" t="s">
        <v>195</v>
      </c>
      <c r="C141" s="501">
        <f>'[68]Sch C'!D142</f>
        <v>0</v>
      </c>
      <c r="D141" s="501">
        <f>'[68]Sch C'!F142</f>
        <v>85288</v>
      </c>
      <c r="E141" s="171">
        <f t="shared" si="29"/>
        <v>85288</v>
      </c>
      <c r="F141" s="171"/>
      <c r="G141" s="171">
        <f>E141+F141</f>
        <v>85288</v>
      </c>
      <c r="H141" s="172">
        <f>IF($G$208=0,0,G141/$G$208)</f>
        <v>7.9530537822371291E-3</v>
      </c>
      <c r="I141" s="547"/>
      <c r="J141" s="168"/>
      <c r="K141" s="168"/>
    </row>
    <row r="142" spans="1:11" s="167" customFormat="1">
      <c r="A142" s="169"/>
      <c r="B142" s="163" t="s">
        <v>196</v>
      </c>
      <c r="C142" s="501">
        <f>'[68]Sch C'!D143</f>
        <v>0</v>
      </c>
      <c r="D142" s="501">
        <f>'[68]Sch C'!F143</f>
        <v>375509</v>
      </c>
      <c r="E142" s="171">
        <f t="shared" si="29"/>
        <v>375509</v>
      </c>
      <c r="F142" s="171"/>
      <c r="G142" s="171">
        <f>E142+F142</f>
        <v>375509</v>
      </c>
      <c r="H142" s="172">
        <f>IF($G$208=0,0,G142/$G$208)</f>
        <v>3.5015984343800793E-2</v>
      </c>
      <c r="I142" s="547"/>
      <c r="J142" s="168"/>
      <c r="K142" s="168"/>
    </row>
    <row r="143" spans="1:11" s="167" customFormat="1">
      <c r="A143" s="169"/>
      <c r="B143" s="163" t="s">
        <v>197</v>
      </c>
      <c r="C143" s="501">
        <f>'[68]Sch C'!D144</f>
        <v>0</v>
      </c>
      <c r="D143" s="501">
        <f>'[68]Sch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547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616"/>
      <c r="J144" s="204"/>
      <c r="K144" s="204"/>
    </row>
    <row r="145" spans="1:11" s="167" customFormat="1">
      <c r="A145" s="169"/>
      <c r="B145" s="163" t="s">
        <v>232</v>
      </c>
      <c r="C145" s="501">
        <f>'[68]Sch C'!D146</f>
        <v>65243</v>
      </c>
      <c r="D145" s="501">
        <f>'[68]Sch C'!F146</f>
        <v>0</v>
      </c>
      <c r="E145" s="171">
        <f t="shared" ref="E145:E153" si="30">C145+D145</f>
        <v>65243</v>
      </c>
      <c r="F145" s="171"/>
      <c r="G145" s="171">
        <f t="shared" ref="G145:G153" si="31">E145+F145</f>
        <v>65243</v>
      </c>
      <c r="H145" s="172">
        <f t="shared" ref="H145:H153" si="32">IF($G$208=0,0,G145/$G$208)</f>
        <v>6.0838698048318292E-3</v>
      </c>
      <c r="I145" s="547"/>
      <c r="J145" s="183">
        <v>360</v>
      </c>
      <c r="K145" s="183">
        <v>360</v>
      </c>
    </row>
    <row r="146" spans="1:11" s="167" customFormat="1">
      <c r="A146" s="169"/>
      <c r="B146" s="163" t="s">
        <v>194</v>
      </c>
      <c r="C146" s="501">
        <f>'[68]Sch C'!D147</f>
        <v>0</v>
      </c>
      <c r="D146" s="501">
        <f>'[68]Sch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547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'[68]Sch C'!D148</f>
        <v>0</v>
      </c>
      <c r="D147" s="501">
        <f>'[68]Sch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547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'[68]Sch C'!D149</f>
        <v>0</v>
      </c>
      <c r="D148" s="501">
        <f>'[68]Sch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547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'[68]Sch C'!D150</f>
        <v>180</v>
      </c>
      <c r="D149" s="501">
        <f>'[68]Sch C'!F150</f>
        <v>0</v>
      </c>
      <c r="E149" s="171">
        <f t="shared" si="30"/>
        <v>180</v>
      </c>
      <c r="F149" s="171"/>
      <c r="G149" s="171">
        <f t="shared" si="31"/>
        <v>180</v>
      </c>
      <c r="H149" s="172">
        <f t="shared" si="32"/>
        <v>1.678488979460983E-5</v>
      </c>
      <c r="I149" s="547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'[68]Sch C'!D151</f>
        <v>162855</v>
      </c>
      <c r="D150" s="501">
        <f>'[68]Sch C'!F151</f>
        <v>0</v>
      </c>
      <c r="E150" s="171">
        <f t="shared" si="30"/>
        <v>162855</v>
      </c>
      <c r="F150" s="171"/>
      <c r="G150" s="171">
        <f t="shared" si="31"/>
        <v>162855</v>
      </c>
      <c r="H150" s="172">
        <f t="shared" si="32"/>
        <v>1.5186129041673244E-2</v>
      </c>
      <c r="I150" s="547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'[68]Sch C'!D152</f>
        <v>20456</v>
      </c>
      <c r="D151" s="501">
        <f>'[68]Sch C'!F152</f>
        <v>0</v>
      </c>
      <c r="E151" s="171">
        <f t="shared" si="30"/>
        <v>20456</v>
      </c>
      <c r="F151" s="171"/>
      <c r="G151" s="171">
        <f t="shared" si="31"/>
        <v>20456</v>
      </c>
      <c r="H151" s="172">
        <f t="shared" si="32"/>
        <v>1.9075094757696595E-3</v>
      </c>
      <c r="I151" s="547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'[68]Sch C'!D153</f>
        <v>0</v>
      </c>
      <c r="D152" s="501">
        <f>'[68]Sch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547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'[68]Sch C'!D154</f>
        <v>0</v>
      </c>
      <c r="D153" s="501">
        <f>'[68]Sch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547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547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'[68]Sch C'!D156</f>
        <v>0</v>
      </c>
      <c r="D155" s="501">
        <f>'[68]Sch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547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'[68]Sch C'!D157</f>
        <v>0</v>
      </c>
      <c r="D156" s="501">
        <f>'[68]Sch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547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'[68]Sch C'!D158</f>
        <v>525</v>
      </c>
      <c r="D157" s="501">
        <f>'[68]Sch C'!F158</f>
        <v>0</v>
      </c>
      <c r="E157" s="171">
        <f t="shared" si="33"/>
        <v>525</v>
      </c>
      <c r="F157" s="171"/>
      <c r="G157" s="171">
        <f t="shared" si="34"/>
        <v>525</v>
      </c>
      <c r="H157" s="172">
        <f t="shared" si="35"/>
        <v>4.8955928567612004E-5</v>
      </c>
      <c r="I157" s="547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'[68]Sch C'!D159</f>
        <v>0</v>
      </c>
      <c r="D158" s="501">
        <f>'[68]Sch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547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'[68]Sch C'!D160</f>
        <v>417</v>
      </c>
      <c r="D159" s="501">
        <f>'[68]Sch C'!F160</f>
        <v>0</v>
      </c>
      <c r="E159" s="171">
        <f t="shared" si="33"/>
        <v>417</v>
      </c>
      <c r="F159" s="171"/>
      <c r="G159" s="171">
        <f t="shared" si="34"/>
        <v>417</v>
      </c>
      <c r="H159" s="172">
        <f>IF($G$208=0,0,G159/$G$208)</f>
        <v>3.8884994690846111E-5</v>
      </c>
      <c r="I159" s="547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'[68]Sch C'!D161</f>
        <v>123357</v>
      </c>
      <c r="D160" s="501">
        <f>'[68]Sch C'!F161</f>
        <v>0</v>
      </c>
      <c r="E160" s="171">
        <f t="shared" si="33"/>
        <v>123357</v>
      </c>
      <c r="F160" s="171"/>
      <c r="G160" s="171">
        <f t="shared" si="34"/>
        <v>123357</v>
      </c>
      <c r="H160" s="172">
        <f t="shared" si="35"/>
        <v>1.1502964724409362E-2</v>
      </c>
      <c r="I160" s="547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5297761</v>
      </c>
      <c r="D161" s="501">
        <f>SUM(D123:D160)</f>
        <v>0</v>
      </c>
      <c r="E161" s="171">
        <f t="shared" ref="E161:F161" si="36">SUM(E123:E160)</f>
        <v>5297761</v>
      </c>
      <c r="F161" s="171">
        <f t="shared" si="36"/>
        <v>0</v>
      </c>
      <c r="G161" s="171">
        <f>SUM(G123:G160)</f>
        <v>5297761</v>
      </c>
      <c r="H161" s="172">
        <f t="shared" si="35"/>
        <v>0.49401296968434427</v>
      </c>
      <c r="I161" s="547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547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47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'[68]Sch C'!D175</f>
        <v>0</v>
      </c>
      <c r="D164" s="501">
        <f>'[68]Sch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617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'[68]Sch C'!D176</f>
        <v>0</v>
      </c>
      <c r="D165" s="501">
        <f>'[68]Sch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618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'[68]Sch C'!D177</f>
        <v>0</v>
      </c>
      <c r="D166" s="501">
        <f>'[68]Sch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617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'[68]Sch C'!D178</f>
        <v>0</v>
      </c>
      <c r="D167" s="501">
        <f>'[68]Sch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618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'[68]Sch C'!D179</f>
        <v>0</v>
      </c>
      <c r="D168" s="501">
        <f>'[68]Sch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617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'[68]Sch C'!D180</f>
        <v>0</v>
      </c>
      <c r="D169" s="501">
        <f>'[68]Sch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618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'[68]Sch C'!D181</f>
        <v>0</v>
      </c>
      <c r="D170" s="501">
        <f>'[68]Sch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617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'[68]Sch C'!D182</f>
        <v>0</v>
      </c>
      <c r="D171" s="501">
        <f>'[68]Sch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618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'[68]Sch C'!D183</f>
        <v>0</v>
      </c>
      <c r="D172" s="501">
        <f>'[68]Sch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617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'[68]Sch C'!D184</f>
        <v>0</v>
      </c>
      <c r="D173" s="501">
        <f>'[68]Sch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618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'[68]Sch C'!D185</f>
        <v>0</v>
      </c>
      <c r="D174" s="501">
        <f>'[68]Sch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617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'[68]Sch C'!D186</f>
        <v>0</v>
      </c>
      <c r="D175" s="501">
        <f>'[68]Sch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619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'[68]Sch C'!D187</f>
        <v>0</v>
      </c>
      <c r="D176" s="501">
        <f>'[68]Sch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619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'[68]Sch C'!D188</f>
        <v>1524</v>
      </c>
      <c r="D177" s="501">
        <f>'[68]Sch C'!F188</f>
        <v>0</v>
      </c>
      <c r="E177" s="171">
        <f t="shared" si="37"/>
        <v>1524</v>
      </c>
      <c r="F177" s="216"/>
      <c r="G177" s="171">
        <f t="shared" si="38"/>
        <v>1524</v>
      </c>
      <c r="H177" s="172">
        <f t="shared" si="39"/>
        <v>1.4211206692769658E-4</v>
      </c>
      <c r="I177" s="619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'[68]Sch C'!D189</f>
        <v>0</v>
      </c>
      <c r="D178" s="501">
        <f>'[68]Sch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619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'[68]Sch C'!D190</f>
        <v>0</v>
      </c>
      <c r="D179" s="501">
        <f>'[68]Sch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619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'[68]Sch C'!D191</f>
        <v>76</v>
      </c>
      <c r="D180" s="501">
        <f>'[68]Sch C'!F191</f>
        <v>0</v>
      </c>
      <c r="E180" s="171">
        <f t="shared" si="37"/>
        <v>76</v>
      </c>
      <c r="F180" s="216"/>
      <c r="G180" s="171">
        <f t="shared" si="38"/>
        <v>76</v>
      </c>
      <c r="H180" s="172">
        <f t="shared" si="39"/>
        <v>7.086953468835262E-6</v>
      </c>
      <c r="I180" s="619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'[68]Sch C'!D192</f>
        <v>0</v>
      </c>
      <c r="D181" s="501">
        <f>'[68]Sch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619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'[68]Sch C'!D193</f>
        <v>34130</v>
      </c>
      <c r="D182" s="501">
        <f>'[68]Sch C'!F193</f>
        <v>0</v>
      </c>
      <c r="E182" s="171">
        <f t="shared" si="37"/>
        <v>34130</v>
      </c>
      <c r="F182" s="216"/>
      <c r="G182" s="171">
        <f t="shared" si="38"/>
        <v>34130</v>
      </c>
      <c r="H182" s="172">
        <f t="shared" si="39"/>
        <v>3.1826016038335198E-3</v>
      </c>
      <c r="I182" s="619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'[68]Sch C'!D194</f>
        <v>410044</v>
      </c>
      <c r="D183" s="501">
        <f>'[68]Sch C'!F194</f>
        <v>0</v>
      </c>
      <c r="E183" s="171">
        <f t="shared" si="37"/>
        <v>410044</v>
      </c>
      <c r="F183" s="216"/>
      <c r="G183" s="171">
        <f t="shared" si="38"/>
        <v>410044</v>
      </c>
      <c r="H183" s="172">
        <f t="shared" si="39"/>
        <v>3.823635194967219E-2</v>
      </c>
      <c r="I183" s="619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'[68]Sch C'!D195</f>
        <v>160523</v>
      </c>
      <c r="D184" s="501">
        <f>'[68]Sch C'!F195</f>
        <v>0</v>
      </c>
      <c r="E184" s="171">
        <f t="shared" si="37"/>
        <v>160523</v>
      </c>
      <c r="F184" s="216"/>
      <c r="G184" s="171">
        <f t="shared" si="38"/>
        <v>160523</v>
      </c>
      <c r="H184" s="172">
        <f t="shared" si="39"/>
        <v>1.49686714694453E-2</v>
      </c>
      <c r="I184" s="619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'[68]Sch C'!D196</f>
        <v>0</v>
      </c>
      <c r="D185" s="501">
        <f>'[68]Sch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619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'[68]Sch C'!D197</f>
        <v>249617</v>
      </c>
      <c r="D186" s="501">
        <f>'[68]Sch C'!F197</f>
        <v>0</v>
      </c>
      <c r="E186" s="171">
        <f t="shared" si="37"/>
        <v>249617</v>
      </c>
      <c r="F186" s="216"/>
      <c r="G186" s="171">
        <f t="shared" si="38"/>
        <v>249617</v>
      </c>
      <c r="H186" s="172">
        <f t="shared" si="39"/>
        <v>2.3276632421450678E-2</v>
      </c>
      <c r="I186" s="619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'[68]Sch C'!D198</f>
        <v>63477</v>
      </c>
      <c r="D187" s="501">
        <f>'[68]Sch C'!F198</f>
        <v>0</v>
      </c>
      <c r="E187" s="171">
        <f t="shared" si="37"/>
        <v>63477</v>
      </c>
      <c r="F187" s="216"/>
      <c r="G187" s="171">
        <f t="shared" si="38"/>
        <v>63477</v>
      </c>
      <c r="H187" s="172">
        <f t="shared" si="39"/>
        <v>5.9191913860691565E-3</v>
      </c>
      <c r="I187" s="619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'[68]Sch C'!D199</f>
        <v>0</v>
      </c>
      <c r="D188" s="501">
        <f>'[68]Sch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619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'[68]Sch C'!D200</f>
        <v>0</v>
      </c>
      <c r="D189" s="501">
        <f>'[68]Sch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619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'[68]Sch C'!D201</f>
        <v>0</v>
      </c>
      <c r="D190" s="501">
        <f>'[68]Sch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619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'[68]Sch C'!D202</f>
        <v>0</v>
      </c>
      <c r="D191" s="501">
        <f>'[68]Sch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619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'[68]Sch C'!D203</f>
        <v>0</v>
      </c>
      <c r="D192" s="501">
        <f>'[68]Sch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619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'[68]Sch C'!D204</f>
        <v>0</v>
      </c>
      <c r="D193" s="501">
        <f>'[68]Sch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619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'[68]Sch C'!D205</f>
        <v>428777</v>
      </c>
      <c r="D194" s="501">
        <f>'[68]Sch C'!F205</f>
        <v>0</v>
      </c>
      <c r="E194" s="171">
        <f t="shared" si="37"/>
        <v>428777</v>
      </c>
      <c r="F194" s="216"/>
      <c r="G194" s="171">
        <f t="shared" si="38"/>
        <v>428777</v>
      </c>
      <c r="H194" s="172">
        <f t="shared" si="39"/>
        <v>3.9983192730352328E-2</v>
      </c>
      <c r="I194" s="619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'[68]Sch C'!D206</f>
        <v>28378</v>
      </c>
      <c r="D195" s="501">
        <f>'[68]Sch C'!F206</f>
        <v>0</v>
      </c>
      <c r="E195" s="171">
        <f t="shared" si="37"/>
        <v>28378</v>
      </c>
      <c r="F195" s="216"/>
      <c r="G195" s="171">
        <f t="shared" si="38"/>
        <v>28378</v>
      </c>
      <c r="H195" s="172">
        <f t="shared" si="39"/>
        <v>2.6462311255079879E-3</v>
      </c>
      <c r="I195" s="619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'[68]Sch C'!D207</f>
        <v>1670</v>
      </c>
      <c r="D196" s="501">
        <f>'[68]Sch C'!F207</f>
        <v>0</v>
      </c>
      <c r="E196" s="171">
        <f t="shared" si="37"/>
        <v>1670</v>
      </c>
      <c r="F196" s="216"/>
      <c r="G196" s="171">
        <f t="shared" si="38"/>
        <v>1670</v>
      </c>
      <c r="H196" s="172">
        <f t="shared" si="39"/>
        <v>1.557264775388801E-4</v>
      </c>
      <c r="I196" s="619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1378216</v>
      </c>
      <c r="D197" s="501">
        <f>SUM(D164:D196)</f>
        <v>0</v>
      </c>
      <c r="E197" s="171">
        <f t="shared" ref="E197:F197" si="40">SUM(E164:E196)</f>
        <v>1378216</v>
      </c>
      <c r="F197" s="171">
        <f t="shared" si="40"/>
        <v>0</v>
      </c>
      <c r="G197" s="171">
        <f>SUM(G164:G196)</f>
        <v>1378216</v>
      </c>
      <c r="H197" s="172">
        <f>IF($G$208=0,0,G197/$G$208)</f>
        <v>0.12851779818426656</v>
      </c>
      <c r="I197" s="547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547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47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'[68]Sch C'!D211</f>
        <v>293212</v>
      </c>
      <c r="D200" s="501">
        <f>'[68]Sch C'!F211</f>
        <v>0</v>
      </c>
      <c r="E200" s="171">
        <f t="shared" ref="E200:E205" si="41">C200+D200</f>
        <v>293212</v>
      </c>
      <c r="F200" s="171"/>
      <c r="G200" s="171">
        <f t="shared" ref="G200:G205" si="42">E200+F200</f>
        <v>293212</v>
      </c>
      <c r="H200" s="172">
        <f t="shared" ref="H200:H206" si="43">IF($G$208=0,0,G200/$G$208)</f>
        <v>2.7341839480317431E-2</v>
      </c>
      <c r="I200" s="547"/>
      <c r="J200" s="183">
        <v>17654</v>
      </c>
      <c r="K200" s="183">
        <v>18502</v>
      </c>
    </row>
    <row r="201" spans="1:14" s="167" customFormat="1">
      <c r="A201" s="169" t="s">
        <v>86</v>
      </c>
      <c r="B201" s="170" t="s">
        <v>45</v>
      </c>
      <c r="C201" s="501">
        <f>'[68]Sch C'!D212</f>
        <v>117250</v>
      </c>
      <c r="D201" s="501">
        <f>'[68]Sch C'!F212</f>
        <v>0</v>
      </c>
      <c r="E201" s="171">
        <f t="shared" si="41"/>
        <v>117250</v>
      </c>
      <c r="F201" s="171"/>
      <c r="G201" s="171">
        <f t="shared" si="42"/>
        <v>117250</v>
      </c>
      <c r="H201" s="172">
        <f t="shared" si="43"/>
        <v>1.0933490713433348E-2</v>
      </c>
      <c r="I201" s="547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'[68]Sch C'!D213</f>
        <v>15835</v>
      </c>
      <c r="D202" s="501">
        <f>'[68]Sch C'!F213</f>
        <v>0</v>
      </c>
      <c r="E202" s="171">
        <f t="shared" si="41"/>
        <v>15835</v>
      </c>
      <c r="F202" s="171"/>
      <c r="G202" s="171">
        <f t="shared" si="42"/>
        <v>15835</v>
      </c>
      <c r="H202" s="172">
        <f t="shared" si="43"/>
        <v>1.4766040549869259E-3</v>
      </c>
      <c r="I202" s="547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'[68]Sch C'!D214</f>
        <v>0</v>
      </c>
      <c r="D203" s="501">
        <f>'[68]Sch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547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'[68]Sch C'!D215</f>
        <v>0</v>
      </c>
      <c r="D204" s="501">
        <f>'[68]Sch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547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'[68]Sch C'!D216</f>
        <v>10640</v>
      </c>
      <c r="D205" s="501">
        <f>'[68]Sch C'!F216</f>
        <v>0</v>
      </c>
      <c r="E205" s="171">
        <f t="shared" si="41"/>
        <v>10640</v>
      </c>
      <c r="F205" s="171"/>
      <c r="G205" s="171">
        <f t="shared" si="42"/>
        <v>10640</v>
      </c>
      <c r="H205" s="172">
        <f t="shared" si="43"/>
        <v>9.9217348563693675E-4</v>
      </c>
      <c r="I205" s="547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436937</v>
      </c>
      <c r="D206" s="501">
        <f>SUM(D200:D205)</f>
        <v>0</v>
      </c>
      <c r="E206" s="171">
        <f t="shared" ref="E206:F206" si="44">SUM(E200:E205)</f>
        <v>436937</v>
      </c>
      <c r="F206" s="171">
        <f t="shared" si="44"/>
        <v>0</v>
      </c>
      <c r="G206" s="171">
        <f>SUM(G200:G205)</f>
        <v>436937</v>
      </c>
      <c r="H206" s="172">
        <f t="shared" si="43"/>
        <v>4.0744107734374646E-2</v>
      </c>
      <c r="I206" s="547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11170240</v>
      </c>
      <c r="D208" s="501">
        <f>SUM(D25:D206)/2</f>
        <v>-434353</v>
      </c>
      <c r="E208" s="171">
        <f t="shared" ref="E208:F208" si="45">SUM(E25:E206)/2</f>
        <v>10735887</v>
      </c>
      <c r="F208" s="171">
        <f t="shared" si="45"/>
        <v>-11956</v>
      </c>
      <c r="G208" s="171">
        <f>SUM(G25:G206)/2</f>
        <v>10723931</v>
      </c>
      <c r="H208" s="172">
        <f>IF($G$208=0,0,G208/$G$208)</f>
        <v>1</v>
      </c>
      <c r="I208" s="473"/>
      <c r="J208" s="183">
        <f>SUM(J25:J200)</f>
        <v>377404</v>
      </c>
      <c r="K208" s="183">
        <f>SUM(K25:K200)</f>
        <v>397736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'[68]Sch C'!D221</f>
        <v>11170240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585358</v>
      </c>
      <c r="D215" s="501">
        <f>D21-D208</f>
        <v>422362</v>
      </c>
      <c r="E215" s="171">
        <f t="shared" ref="E215:F215" si="46">E21-E208</f>
        <v>1007720</v>
      </c>
      <c r="F215" s="171">
        <f t="shared" si="46"/>
        <v>11956</v>
      </c>
      <c r="G215" s="171">
        <f>G21-G208</f>
        <v>1019676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'[68]Sch D'!C9</f>
        <v>2615</v>
      </c>
      <c r="D219" s="530"/>
      <c r="E219" s="234">
        <f t="shared" ref="E219:G227" si="47">C219+D219</f>
        <v>2615</v>
      </c>
      <c r="F219" s="233"/>
      <c r="G219" s="234">
        <f t="shared" si="47"/>
        <v>2615</v>
      </c>
      <c r="H219" s="172">
        <f t="shared" ref="H219:H228" si="48">IF($G$228=0,0,G219/$G$228)</f>
        <v>6.9121378727003593E-2</v>
      </c>
      <c r="I219" s="473"/>
      <c r="J219" s="168"/>
      <c r="K219" s="168"/>
    </row>
    <row r="220" spans="1:11">
      <c r="A220" s="163"/>
      <c r="B220" s="170" t="s">
        <v>217</v>
      </c>
      <c r="C220" s="530">
        <f>'[68]Sch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'[68]Sch D'!E9</f>
        <v>4461</v>
      </c>
      <c r="D221" s="530"/>
      <c r="E221" s="234">
        <f t="shared" si="49"/>
        <v>4461</v>
      </c>
      <c r="F221" s="233"/>
      <c r="G221" s="234">
        <f t="shared" si="47"/>
        <v>4461</v>
      </c>
      <c r="H221" s="172">
        <f t="shared" si="48"/>
        <v>0.11791604990484246</v>
      </c>
      <c r="I221" s="473"/>
      <c r="J221" s="168"/>
      <c r="K221" s="168"/>
    </row>
    <row r="222" spans="1:11">
      <c r="A222" s="163"/>
      <c r="B222" s="202" t="s">
        <v>334</v>
      </c>
      <c r="C222" s="530">
        <f>'[68]Sch D'!F9</f>
        <v>219</v>
      </c>
      <c r="D222" s="530"/>
      <c r="E222" s="234">
        <f>C222+D222</f>
        <v>219</v>
      </c>
      <c r="F222" s="233"/>
      <c r="G222" s="234">
        <f>E222+F222</f>
        <v>219</v>
      </c>
      <c r="H222" s="172">
        <f t="shared" si="48"/>
        <v>5.7887502643264961E-3</v>
      </c>
      <c r="I222" s="473"/>
      <c r="J222" s="168"/>
      <c r="K222" s="168"/>
    </row>
    <row r="223" spans="1:11">
      <c r="A223" s="163"/>
      <c r="B223" s="170" t="s">
        <v>73</v>
      </c>
      <c r="C223" s="530">
        <f>'[68]Sch D'!G9</f>
        <v>8593</v>
      </c>
      <c r="D223" s="530"/>
      <c r="E223" s="234">
        <f t="shared" si="49"/>
        <v>8593</v>
      </c>
      <c r="F223" s="233"/>
      <c r="G223" s="234">
        <f t="shared" si="47"/>
        <v>8593</v>
      </c>
      <c r="H223" s="172">
        <f t="shared" si="48"/>
        <v>0.22713575808839079</v>
      </c>
      <c r="I223" s="473"/>
      <c r="J223" s="168"/>
      <c r="K223" s="168"/>
    </row>
    <row r="224" spans="1:11">
      <c r="A224" s="163"/>
      <c r="B224" s="170" t="s">
        <v>74</v>
      </c>
      <c r="C224" s="530">
        <f>'[68]Sch D'!H9</f>
        <v>21276</v>
      </c>
      <c r="D224" s="530"/>
      <c r="E224" s="234">
        <f t="shared" si="49"/>
        <v>21276</v>
      </c>
      <c r="F224" s="233"/>
      <c r="G224" s="234">
        <f t="shared" si="47"/>
        <v>21276</v>
      </c>
      <c r="H224" s="172">
        <f t="shared" si="48"/>
        <v>0.56238105307676045</v>
      </c>
      <c r="I224" s="473"/>
      <c r="J224" s="168"/>
      <c r="K224" s="168"/>
    </row>
    <row r="225" spans="1:11">
      <c r="A225" s="163"/>
      <c r="B225" s="170" t="s">
        <v>236</v>
      </c>
      <c r="C225" s="530">
        <f>'[68]Sch D'!I9</f>
        <v>216</v>
      </c>
      <c r="D225" s="530"/>
      <c r="E225" s="234">
        <f t="shared" si="49"/>
        <v>216</v>
      </c>
      <c r="F225" s="233"/>
      <c r="G225" s="234">
        <f t="shared" si="47"/>
        <v>216</v>
      </c>
      <c r="H225" s="172">
        <f t="shared" si="48"/>
        <v>5.7094523155001055E-3</v>
      </c>
      <c r="I225" s="473"/>
      <c r="J225" s="168"/>
      <c r="K225" s="168"/>
    </row>
    <row r="226" spans="1:11">
      <c r="A226" s="163"/>
      <c r="B226" s="170" t="s">
        <v>235</v>
      </c>
      <c r="C226" s="530">
        <f>'[68]Sch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'[68]Sch D'!K9</f>
        <v>452</v>
      </c>
      <c r="D227" s="530"/>
      <c r="E227" s="234">
        <f t="shared" si="49"/>
        <v>452</v>
      </c>
      <c r="F227" s="233"/>
      <c r="G227" s="234">
        <f t="shared" si="47"/>
        <v>452</v>
      </c>
      <c r="H227" s="172">
        <f t="shared" si="48"/>
        <v>1.1947557623176147E-2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37832</v>
      </c>
      <c r="D228" s="530">
        <f>SUM(D219:D227)</f>
        <v>0</v>
      </c>
      <c r="E228" s="236">
        <f>SUM(E219:E227)</f>
        <v>37832</v>
      </c>
      <c r="F228" s="236">
        <f>SUM(F219:F227)</f>
        <v>0</v>
      </c>
      <c r="G228" s="236">
        <f>SUM(G219:G227)</f>
        <v>37832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'[68]Sch D'!N22</f>
        <v>108</v>
      </c>
      <c r="D231" s="502"/>
      <c r="E231" s="234">
        <f>C231+D231</f>
        <v>108</v>
      </c>
      <c r="F231" s="234"/>
      <c r="G231" s="234">
        <f>E231+F231</f>
        <v>108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'[68]Sch D'!N24</f>
        <v>108</v>
      </c>
      <c r="D232" s="502"/>
      <c r="E232" s="234">
        <f>C232+D232</f>
        <v>108</v>
      </c>
      <c r="F232" s="456">
        <v>-98</v>
      </c>
      <c r="G232" s="234">
        <f>E232+F232</f>
        <v>10</v>
      </c>
      <c r="H232" s="167" t="s">
        <v>475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317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'[68]Sch D'!N28</f>
        <v>39420</v>
      </c>
      <c r="D235" s="438"/>
      <c r="E235" s="233">
        <f>E231*E233</f>
        <v>39420</v>
      </c>
      <c r="F235" s="238"/>
      <c r="G235" s="233">
        <f>G231*G233</f>
        <v>39420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'[68]Sch D'!N30</f>
        <v>0.95971588026382548</v>
      </c>
      <c r="D236" s="238"/>
      <c r="E236" s="242">
        <f>E228/E235</f>
        <v>0.95971588026382548</v>
      </c>
      <c r="F236" s="243"/>
      <c r="G236" s="242">
        <f>G228/G235</f>
        <v>0.95971588026382548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'[68]Sch D'!N32</f>
        <v>6.6336884830035511E-2</v>
      </c>
      <c r="D237" s="238"/>
      <c r="E237" s="242">
        <f>(E219+E220)/E235</f>
        <v>6.6336884830035511E-2</v>
      </c>
      <c r="F237" s="243"/>
      <c r="G237" s="242">
        <f>(G219+G220)/G235</f>
        <v>6.6336884830035511E-2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'[68]Sch D'!N34</f>
        <v>6.9121378727003593E-2</v>
      </c>
      <c r="D238" s="238"/>
      <c r="E238" s="242">
        <f>(E237/E236)</f>
        <v>6.9121378727003593E-2</v>
      </c>
      <c r="F238" s="243"/>
      <c r="G238" s="242">
        <f>(G237/G236)</f>
        <v>6.9121378727003593E-2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'[68]Sch B'!C85</f>
        <v>222.246357167062</v>
      </c>
      <c r="I241" s="475"/>
    </row>
    <row r="242" spans="2:9">
      <c r="F242" s="142" t="s">
        <v>341</v>
      </c>
      <c r="G242" s="501">
        <f>'[68]Sch B'!E85</f>
        <v>222.24629418472063</v>
      </c>
      <c r="I242" s="475"/>
    </row>
    <row r="243" spans="2:9">
      <c r="F243" s="142" t="s">
        <v>342</v>
      </c>
      <c r="G243" s="501">
        <f>'[68]Sch B'!G85</f>
        <v>222.24619038195132</v>
      </c>
      <c r="I243" s="475"/>
    </row>
    <row r="244" spans="2:9">
      <c r="F244" s="142" t="s">
        <v>343</v>
      </c>
      <c r="G244" s="501">
        <f>'[68]Sch B'!I85</f>
        <v>222.24629373393952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.75" right="0.75" top="1" bottom="1" header="0.5" footer="0.5"/>
  <pageSetup scale="37" fitToHeight="4" orientation="landscape" horizontalDpi="300" verticalDpi="300" r:id="rId1"/>
  <headerFooter alignWithMargins="0">
    <oddFooter>&amp;RLVT
&amp;D
&amp;T
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tabColor rgb="FFE28CAB"/>
  </sheetPr>
  <dimension ref="A1:O246"/>
  <sheetViews>
    <sheetView showGridLines="0" topLeftCell="A29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397</v>
      </c>
      <c r="D2" s="244"/>
      <c r="E2" s="440" t="s">
        <v>381</v>
      </c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'[7]Sch B'!E10</f>
        <v>3218102</v>
      </c>
      <c r="D11" s="501">
        <f>'[7]Sch B'!G10</f>
        <v>0</v>
      </c>
      <c r="E11" s="171">
        <f>C11+D11</f>
        <v>3218102</v>
      </c>
      <c r="F11" s="171"/>
      <c r="G11" s="171">
        <f t="shared" ref="G11:G20" si="0">E11+F11</f>
        <v>3218102</v>
      </c>
      <c r="H11" s="172">
        <f t="shared" ref="H11:H21" si="1">IF($G$21=0,0,G11/$G$21)</f>
        <v>0.40529858841419297</v>
      </c>
      <c r="I11" s="473"/>
      <c r="J11" s="336" t="s">
        <v>344</v>
      </c>
      <c r="K11" s="337">
        <f>G21</f>
        <v>7940077</v>
      </c>
    </row>
    <row r="12" spans="1:11" s="167" customFormat="1">
      <c r="A12" s="169" t="s">
        <v>15</v>
      </c>
      <c r="B12" s="170" t="s">
        <v>212</v>
      </c>
      <c r="C12" s="501">
        <f>'[7]Sch B'!E15</f>
        <v>0</v>
      </c>
      <c r="D12" s="501">
        <f>'[7]Sch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8817818.3399999999</v>
      </c>
    </row>
    <row r="13" spans="1:11" s="167" customFormat="1">
      <c r="A13" s="169" t="s">
        <v>16</v>
      </c>
      <c r="B13" s="170" t="s">
        <v>170</v>
      </c>
      <c r="C13" s="501">
        <f>'[7]Sch B'!E21</f>
        <v>1686078</v>
      </c>
      <c r="D13" s="501">
        <f>'[7]Sch B'!G21</f>
        <v>0</v>
      </c>
      <c r="E13" s="171">
        <f t="shared" si="2"/>
        <v>1686078</v>
      </c>
      <c r="F13" s="171"/>
      <c r="G13" s="171">
        <f t="shared" si="0"/>
        <v>1686078</v>
      </c>
      <c r="H13" s="172">
        <f t="shared" si="1"/>
        <v>0.21235033363026581</v>
      </c>
      <c r="I13" s="473"/>
      <c r="J13" s="338" t="s">
        <v>346</v>
      </c>
      <c r="K13" s="339">
        <f>G228</f>
        <v>29386</v>
      </c>
    </row>
    <row r="14" spans="1:11" s="167" customFormat="1">
      <c r="A14" s="173" t="s">
        <v>18</v>
      </c>
      <c r="B14" s="174" t="s">
        <v>306</v>
      </c>
      <c r="C14" s="501">
        <f>'[7]Sch B'!E27</f>
        <v>1596307</v>
      </c>
      <c r="D14" s="501">
        <f>'[7]Sch B'!G27</f>
        <v>0</v>
      </c>
      <c r="E14" s="171">
        <f t="shared" si="2"/>
        <v>1596307</v>
      </c>
      <c r="F14" s="175"/>
      <c r="G14" s="175">
        <f>E14+F14</f>
        <v>1596307</v>
      </c>
      <c r="H14" s="176">
        <f t="shared" si="1"/>
        <v>0.2010442719887981</v>
      </c>
      <c r="I14" s="479"/>
      <c r="J14" s="338" t="s">
        <v>347</v>
      </c>
      <c r="K14" s="339">
        <f>G231</f>
        <v>120</v>
      </c>
    </row>
    <row r="15" spans="1:11" s="167" customFormat="1">
      <c r="A15" s="169" t="s">
        <v>19</v>
      </c>
      <c r="B15" s="170" t="s">
        <v>171</v>
      </c>
      <c r="C15" s="501">
        <f>'[7]Sch B'!E32</f>
        <v>0</v>
      </c>
      <c r="D15" s="501">
        <f>'[7]Sch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43800</v>
      </c>
    </row>
    <row r="16" spans="1:11" s="167" customFormat="1">
      <c r="A16" s="169" t="s">
        <v>21</v>
      </c>
      <c r="B16" s="170" t="s">
        <v>172</v>
      </c>
      <c r="C16" s="501">
        <f>'[7]Sch B'!E37</f>
        <v>365858</v>
      </c>
      <c r="D16" s="501">
        <f>'[7]Sch B'!G37</f>
        <v>0</v>
      </c>
      <c r="E16" s="171">
        <f t="shared" si="2"/>
        <v>365858</v>
      </c>
      <c r="F16" s="171"/>
      <c r="G16" s="171">
        <f t="shared" si="0"/>
        <v>365858</v>
      </c>
      <c r="H16" s="172">
        <f t="shared" si="1"/>
        <v>4.607738690695317E-2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'[7]Sch B'!E42</f>
        <v>608700</v>
      </c>
      <c r="D17" s="501">
        <f>'[7]Sch B'!G42</f>
        <v>0</v>
      </c>
      <c r="E17" s="171">
        <f t="shared" si="2"/>
        <v>608700</v>
      </c>
      <c r="F17" s="171"/>
      <c r="G17" s="171">
        <f>E17+F17</f>
        <v>608700</v>
      </c>
      <c r="H17" s="172">
        <f t="shared" si="1"/>
        <v>7.6661725068913056E-2</v>
      </c>
      <c r="I17" s="473"/>
      <c r="J17" s="338" t="s">
        <v>156</v>
      </c>
      <c r="K17" s="339">
        <f>J208</f>
        <v>139432.57999999999</v>
      </c>
    </row>
    <row r="18" spans="1:11" s="167" customFormat="1" ht="13.5" thickBot="1">
      <c r="A18" s="169" t="s">
        <v>216</v>
      </c>
      <c r="B18" s="170" t="s">
        <v>229</v>
      </c>
      <c r="C18" s="501">
        <f>'[7]Sch B'!E47</f>
        <v>0</v>
      </c>
      <c r="D18" s="501">
        <f>'[7]Sch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149810.57999999999</v>
      </c>
    </row>
    <row r="19" spans="1:11" s="167" customFormat="1">
      <c r="A19" s="169" t="s">
        <v>227</v>
      </c>
      <c r="B19" s="177" t="s">
        <v>173</v>
      </c>
      <c r="C19" s="501">
        <f>'[7]Sch B'!E52</f>
        <v>285693</v>
      </c>
      <c r="D19" s="501">
        <f>'[7]Sch B'!G52</f>
        <v>0</v>
      </c>
      <c r="E19" s="171">
        <f t="shared" si="2"/>
        <v>285693</v>
      </c>
      <c r="F19" s="171"/>
      <c r="G19" s="171">
        <f t="shared" si="0"/>
        <v>285693</v>
      </c>
      <c r="H19" s="172">
        <f t="shared" si="1"/>
        <v>3.5981137210634104E-2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'[7]Sch B'!E67</f>
        <v>189591</v>
      </c>
      <c r="D20" s="501">
        <f>'[7]Sch B'!G67</f>
        <v>-10252</v>
      </c>
      <c r="E20" s="171">
        <f t="shared" si="2"/>
        <v>179339</v>
      </c>
      <c r="F20" s="171"/>
      <c r="G20" s="171">
        <f t="shared" si="0"/>
        <v>179339</v>
      </c>
      <c r="H20" s="172">
        <f t="shared" si="1"/>
        <v>2.2586556780242812E-2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7950329</v>
      </c>
      <c r="D21" s="501">
        <f>SUM(D11:D20)</f>
        <v>-10252</v>
      </c>
      <c r="E21" s="171">
        <f>SUM(E11:E20)</f>
        <v>7940077</v>
      </c>
      <c r="F21" s="171">
        <f>SUM(F11:F20)</f>
        <v>0</v>
      </c>
      <c r="G21" s="171">
        <f>SUM(G11:G20)</f>
        <v>7940077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F24" s="167" t="s">
        <v>656</v>
      </c>
      <c r="I24" s="475"/>
    </row>
    <row r="25" spans="1:11" s="167" customFormat="1">
      <c r="A25" s="169" t="s">
        <v>83</v>
      </c>
      <c r="B25" s="170" t="s">
        <v>14</v>
      </c>
      <c r="C25" s="501">
        <f>'[7]Sch C'!D10</f>
        <v>0</v>
      </c>
      <c r="D25" s="501">
        <f>'[7]Sch C'!F10</f>
        <v>121938</v>
      </c>
      <c r="E25" s="171">
        <f t="shared" ref="E25:E60" si="3">C25+D25</f>
        <v>121938</v>
      </c>
      <c r="F25" s="171"/>
      <c r="G25" s="182">
        <f>E25+F25</f>
        <v>121938</v>
      </c>
      <c r="H25" s="172">
        <f>IF($G$208=0,0,G25/$G$208)</f>
        <v>1.3828590621657103E-2</v>
      </c>
      <c r="I25" s="473"/>
      <c r="J25" s="183">
        <v>1856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'[7]Sch C'!D11</f>
        <v>0</v>
      </c>
      <c r="D26" s="501">
        <f>'[7]Sch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'[7]Sch C'!D12</f>
        <v>331129</v>
      </c>
      <c r="D27" s="501">
        <f>'[7]Sch C'!F12</f>
        <v>-121938</v>
      </c>
      <c r="E27" s="171">
        <f t="shared" si="3"/>
        <v>209191</v>
      </c>
      <c r="F27" s="171"/>
      <c r="G27" s="171">
        <f t="shared" si="4"/>
        <v>209191</v>
      </c>
      <c r="H27" s="172">
        <f t="shared" si="5"/>
        <v>2.3723668591702923E-2</v>
      </c>
      <c r="I27" s="473"/>
      <c r="J27" s="183">
        <v>10329</v>
      </c>
      <c r="K27" s="183">
        <v>10901</v>
      </c>
    </row>
    <row r="28" spans="1:11" s="167" customFormat="1">
      <c r="A28" s="169" t="s">
        <v>86</v>
      </c>
      <c r="B28" s="170" t="s">
        <v>45</v>
      </c>
      <c r="C28" s="501">
        <f>'[7]Sch C'!D13</f>
        <v>19756</v>
      </c>
      <c r="D28" s="501">
        <f>'[7]Sch C'!F13</f>
        <v>0</v>
      </c>
      <c r="E28" s="171">
        <f t="shared" si="3"/>
        <v>19756</v>
      </c>
      <c r="F28" s="171"/>
      <c r="G28" s="171">
        <f t="shared" si="4"/>
        <v>19756</v>
      </c>
      <c r="H28" s="172">
        <f t="shared" si="5"/>
        <v>2.2404634840776272E-3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'[7]Sch C'!D14</f>
        <v>0</v>
      </c>
      <c r="D29" s="501">
        <f>'[7]Sch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'[7]Sch C'!D15</f>
        <v>0</v>
      </c>
      <c r="D30" s="501">
        <f>'[7]Sch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'[7]Sch C'!D16</f>
        <v>397184</v>
      </c>
      <c r="D31" s="501">
        <f>'[7]Sch C'!F16</f>
        <v>33316</v>
      </c>
      <c r="E31" s="171">
        <f t="shared" si="3"/>
        <v>430500</v>
      </c>
      <c r="F31" s="171"/>
      <c r="G31" s="171">
        <f t="shared" si="4"/>
        <v>430500</v>
      </c>
      <c r="H31" s="172">
        <f t="shared" si="5"/>
        <v>4.8821600014953358E-2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'[7]Sch C'!D17</f>
        <v>2567</v>
      </c>
      <c r="D32" s="501">
        <f>'[7]Sch C'!F17</f>
        <v>-2567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'[7]Sch C'!D18</f>
        <v>16639</v>
      </c>
      <c r="D33" s="501">
        <f>'[7]Sch C'!F18</f>
        <v>0</v>
      </c>
      <c r="E33" s="171">
        <f t="shared" si="3"/>
        <v>16639</v>
      </c>
      <c r="F33" s="171"/>
      <c r="G33" s="171">
        <f t="shared" si="4"/>
        <v>16639</v>
      </c>
      <c r="H33" s="172">
        <f t="shared" si="5"/>
        <v>1.8869746867568153E-3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'[7]Sch C'!D19</f>
        <v>15508</v>
      </c>
      <c r="D34" s="501">
        <f>'[7]Sch C'!F19</f>
        <v>0</v>
      </c>
      <c r="E34" s="171">
        <f t="shared" si="3"/>
        <v>15508</v>
      </c>
      <c r="F34" s="171"/>
      <c r="G34" s="171">
        <f t="shared" si="4"/>
        <v>15508</v>
      </c>
      <c r="H34" s="172">
        <f t="shared" si="5"/>
        <v>1.7587116679021991E-3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'[7]Sch C'!D20</f>
        <v>17127</v>
      </c>
      <c r="D35" s="501">
        <f>'[7]Sch C'!F20</f>
        <v>0</v>
      </c>
      <c r="E35" s="171">
        <f t="shared" si="3"/>
        <v>17127</v>
      </c>
      <c r="F35" s="171"/>
      <c r="G35" s="171">
        <f t="shared" si="4"/>
        <v>17127</v>
      </c>
      <c r="H35" s="172">
        <f t="shared" si="5"/>
        <v>1.9423171741140678E-3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'[7]Sch C'!D21</f>
        <v>19295</v>
      </c>
      <c r="D36" s="501">
        <f>'[7]Sch C'!F21</f>
        <v>0</v>
      </c>
      <c r="E36" s="171">
        <f t="shared" si="3"/>
        <v>19295</v>
      </c>
      <c r="F36" s="171"/>
      <c r="G36" s="171">
        <f t="shared" si="4"/>
        <v>19295</v>
      </c>
      <c r="H36" s="172">
        <f t="shared" si="5"/>
        <v>2.1881829786028458E-3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'[7]Sch C'!D22</f>
        <v>0</v>
      </c>
      <c r="D37" s="501">
        <f>'[7]Sch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'[7]Sch C'!D23</f>
        <v>5423</v>
      </c>
      <c r="D38" s="501">
        <f>'[7]Sch C'!F23</f>
        <v>0</v>
      </c>
      <c r="E38" s="171">
        <f t="shared" si="3"/>
        <v>5423</v>
      </c>
      <c r="F38" s="171"/>
      <c r="G38" s="171">
        <f t="shared" si="4"/>
        <v>5423</v>
      </c>
      <c r="H38" s="172">
        <f t="shared" si="5"/>
        <v>6.1500473143110822E-4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'[7]Sch C'!D24</f>
        <v>0</v>
      </c>
      <c r="D39" s="501">
        <f>'[7]Sch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'[7]Sch C'!D25</f>
        <v>7629</v>
      </c>
      <c r="D40" s="501">
        <f>'[7]Sch C'!F25</f>
        <v>0</v>
      </c>
      <c r="E40" s="171">
        <f t="shared" si="3"/>
        <v>7629</v>
      </c>
      <c r="F40" s="171"/>
      <c r="G40" s="171">
        <f t="shared" si="4"/>
        <v>7629</v>
      </c>
      <c r="H40" s="172">
        <f t="shared" si="5"/>
        <v>8.6517999190262296E-4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'[7]Sch C'!D26</f>
        <v>423674</v>
      </c>
      <c r="D41" s="501">
        <f>'[7]Sch C'!F26</f>
        <v>0</v>
      </c>
      <c r="E41" s="171">
        <f t="shared" si="3"/>
        <v>423674</v>
      </c>
      <c r="F41" s="171"/>
      <c r="G41" s="171">
        <f t="shared" si="4"/>
        <v>423674</v>
      </c>
      <c r="H41" s="172">
        <f t="shared" si="5"/>
        <v>4.804748563237015E-2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'[7]Sch C'!D27</f>
        <v>37721</v>
      </c>
      <c r="D42" s="501">
        <f>'[7]Sch C'!F27</f>
        <v>-107</v>
      </c>
      <c r="E42" s="171">
        <f t="shared" si="3"/>
        <v>37614</v>
      </c>
      <c r="F42" s="171"/>
      <c r="G42" s="171">
        <f t="shared" si="4"/>
        <v>37614</v>
      </c>
      <c r="H42" s="172">
        <f t="shared" si="5"/>
        <v>4.2656809824911865E-3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'[7]Sch C'!D28</f>
        <v>0</v>
      </c>
      <c r="D43" s="501">
        <f>'[7]Sch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'[7]Sch C'!D29</f>
        <v>235826</v>
      </c>
      <c r="D44" s="501">
        <f>'[7]Sch C'!F29</f>
        <v>-235826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'[7]Sch C'!D30</f>
        <v>0</v>
      </c>
      <c r="D45" s="501">
        <f>'[7]Sch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'[7]Sch C'!D31</f>
        <v>0</v>
      </c>
      <c r="D46" s="501">
        <f>'[7]Sch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'[7]Sch C'!D32</f>
        <v>91200</v>
      </c>
      <c r="D47" s="501">
        <f>'[7]Sch C'!F32</f>
        <v>0</v>
      </c>
      <c r="E47" s="171">
        <f t="shared" si="3"/>
        <v>91200</v>
      </c>
      <c r="F47" s="171"/>
      <c r="G47" s="171">
        <f t="shared" si="4"/>
        <v>91200</v>
      </c>
      <c r="H47" s="172">
        <f t="shared" si="5"/>
        <v>1.0342694358568516E-2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'[7]Sch C'!D33</f>
        <v>0</v>
      </c>
      <c r="D48" s="501">
        <f>'[7]Sch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'[7]Sch C'!D34</f>
        <v>649</v>
      </c>
      <c r="D49" s="501">
        <f>'[7]Sch C'!F34</f>
        <v>0</v>
      </c>
      <c r="E49" s="171">
        <f t="shared" si="3"/>
        <v>649</v>
      </c>
      <c r="F49" s="171"/>
      <c r="G49" s="171">
        <f t="shared" si="4"/>
        <v>649</v>
      </c>
      <c r="H49" s="172">
        <f t="shared" si="5"/>
        <v>7.3600971915690425E-5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'[7]Sch C'!D35</f>
        <v>0</v>
      </c>
      <c r="D50" s="501">
        <f>'[7]Sch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'[7]Sch C'!D36</f>
        <v>0</v>
      </c>
      <c r="D51" s="501">
        <f>'[7]Sch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'[7]Sch C'!D37</f>
        <v>0</v>
      </c>
      <c r="D52" s="501">
        <f>'[7]Sch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'[7]Sch C'!D38</f>
        <v>31</v>
      </c>
      <c r="D53" s="501">
        <f>'[7]Sch C'!F38</f>
        <v>-31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'[7]Sch C'!D39</f>
        <v>3001</v>
      </c>
      <c r="D54" s="501">
        <f>'[7]Sch C'!F39</f>
        <v>0</v>
      </c>
      <c r="E54" s="171">
        <f t="shared" si="3"/>
        <v>3001</v>
      </c>
      <c r="F54" s="171"/>
      <c r="G54" s="171">
        <f t="shared" si="4"/>
        <v>3001</v>
      </c>
      <c r="H54" s="172">
        <f t="shared" si="5"/>
        <v>3.4033361589982583E-4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'[7]Sch C'!D40</f>
        <v>9198</v>
      </c>
      <c r="D55" s="501">
        <f>'[7]Sch C'!F40</f>
        <v>-9198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'[7]Sch C'!D41</f>
        <v>192589</v>
      </c>
      <c r="D56" s="501">
        <f>'[7]Sch C'!F41</f>
        <v>90</v>
      </c>
      <c r="E56" s="171">
        <f t="shared" si="3"/>
        <v>192679</v>
      </c>
      <c r="F56" s="171"/>
      <c r="G56" s="171">
        <f t="shared" si="4"/>
        <v>192679</v>
      </c>
      <c r="H56" s="172">
        <f t="shared" si="5"/>
        <v>2.185109656046736E-2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'[7]Sch C'!D42</f>
        <v>0</v>
      </c>
      <c r="D57" s="501">
        <f>'[7]Sch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'[7]Sch C'!D43</f>
        <v>19054</v>
      </c>
      <c r="D58" s="501">
        <f>'[7]Sch C'!F43</f>
        <v>-19054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'[7]Sch C'!D44</f>
        <v>0</v>
      </c>
      <c r="D59" s="501">
        <f>'[7]Sch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'[7]Sch C'!D45</f>
        <v>6387</v>
      </c>
      <c r="D60" s="501">
        <f>'[7]Sch C'!F45</f>
        <v>-2270</v>
      </c>
      <c r="E60" s="171">
        <f t="shared" si="3"/>
        <v>4117</v>
      </c>
      <c r="F60" s="171">
        <f>-411.38-816.28</f>
        <v>-1227.6599999999999</v>
      </c>
      <c r="G60" s="171">
        <f t="shared" si="4"/>
        <v>2889.34</v>
      </c>
      <c r="H60" s="172">
        <f t="shared" si="5"/>
        <v>3.276706197147627E-4</v>
      </c>
      <c r="I60" s="473" t="s">
        <v>402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1851587</v>
      </c>
      <c r="D61" s="501">
        <f>SUM(D25:D60)</f>
        <v>-235647</v>
      </c>
      <c r="E61" s="171">
        <f t="shared" ref="E61:F61" si="6">SUM(E25:E60)</f>
        <v>1615940</v>
      </c>
      <c r="F61" s="171">
        <f t="shared" si="6"/>
        <v>-1227.6599999999999</v>
      </c>
      <c r="G61" s="171">
        <f>SUM(G25:G60)</f>
        <v>1614712.34</v>
      </c>
      <c r="H61" s="186">
        <f t="shared" si="5"/>
        <v>0.18311925668452816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'[7]Sch C'!D57</f>
        <v>882817</v>
      </c>
      <c r="D64" s="501">
        <f>'[7]Sch C'!F57</f>
        <v>0</v>
      </c>
      <c r="E64" s="171">
        <f t="shared" ref="E64:E78" si="7">C64+D64</f>
        <v>882817</v>
      </c>
      <c r="F64" s="171"/>
      <c r="G64" s="171">
        <f t="shared" ref="G64:G78" si="8">E64+F64</f>
        <v>882817</v>
      </c>
      <c r="H64" s="172">
        <f t="shared" ref="H64:H79" si="9">IF($G$208=0,0,G64/$G$208)</f>
        <v>0.10011739479767963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'[7]Sch C'!D58</f>
        <v>27459</v>
      </c>
      <c r="D65" s="501">
        <f>'[7]Sch C'!F58</f>
        <v>0</v>
      </c>
      <c r="E65" s="171">
        <f t="shared" si="7"/>
        <v>27459</v>
      </c>
      <c r="F65" s="171"/>
      <c r="G65" s="171">
        <f t="shared" si="8"/>
        <v>27459</v>
      </c>
      <c r="H65" s="172">
        <f t="shared" si="9"/>
        <v>3.1140355744729486E-3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'[7]Sch C'!D59</f>
        <v>0</v>
      </c>
      <c r="D66" s="501">
        <f>'[7]Sch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'[7]Sch C'!D60</f>
        <v>30000</v>
      </c>
      <c r="D67" s="501">
        <f>'[7]Sch C'!F60</f>
        <v>0</v>
      </c>
      <c r="E67" s="171">
        <f t="shared" si="7"/>
        <v>30000</v>
      </c>
      <c r="F67" s="171"/>
      <c r="G67" s="171">
        <f t="shared" si="8"/>
        <v>30000</v>
      </c>
      <c r="H67" s="172">
        <f t="shared" si="9"/>
        <v>3.4022020916343806E-3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'[7]Sch C'!D61</f>
        <v>5283</v>
      </c>
      <c r="D68" s="501">
        <f>'[7]Sch C'!F61</f>
        <v>0</v>
      </c>
      <c r="E68" s="171">
        <f t="shared" si="7"/>
        <v>5283</v>
      </c>
      <c r="F68" s="171"/>
      <c r="G68" s="171">
        <f t="shared" si="8"/>
        <v>5283</v>
      </c>
      <c r="H68" s="172">
        <f t="shared" si="9"/>
        <v>5.9912778833681442E-4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'[7]Sch C'!D62</f>
        <v>0</v>
      </c>
      <c r="D69" s="501">
        <f>'[7]Sch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'[7]Sch C'!D63</f>
        <v>0</v>
      </c>
      <c r="D70" s="501">
        <f>'[7]Sch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'[7]Sch C'!D64</f>
        <v>0</v>
      </c>
      <c r="D71" s="501">
        <f>'[7]Sch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'[7]Sch C'!D65</f>
        <v>1229</v>
      </c>
      <c r="D72" s="501">
        <f>'[7]Sch C'!F65</f>
        <v>0</v>
      </c>
      <c r="E72" s="171">
        <f t="shared" si="7"/>
        <v>1229</v>
      </c>
      <c r="F72" s="171"/>
      <c r="G72" s="171">
        <f t="shared" si="8"/>
        <v>1229</v>
      </c>
      <c r="H72" s="172">
        <f t="shared" si="9"/>
        <v>1.3937687902062178E-4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'[7]Sch C'!D66</f>
        <v>80232</v>
      </c>
      <c r="D73" s="501">
        <f>'[7]Sch C'!F66</f>
        <v>-1538</v>
      </c>
      <c r="E73" s="171">
        <f t="shared" si="7"/>
        <v>78694</v>
      </c>
      <c r="F73" s="171"/>
      <c r="G73" s="171">
        <f t="shared" si="8"/>
        <v>78694</v>
      </c>
      <c r="H73" s="172">
        <f t="shared" si="9"/>
        <v>8.924429713302531E-3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'[7]Sch C'!D67</f>
        <v>48506</v>
      </c>
      <c r="D74" s="501">
        <f>'[7]Sch C'!F67</f>
        <v>0</v>
      </c>
      <c r="E74" s="171">
        <f t="shared" si="7"/>
        <v>48506</v>
      </c>
      <c r="F74" s="171"/>
      <c r="G74" s="171">
        <f t="shared" si="8"/>
        <v>48506</v>
      </c>
      <c r="H74" s="172">
        <f t="shared" si="9"/>
        <v>5.5009071552272418E-3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'[7]Sch C'!D68</f>
        <v>0</v>
      </c>
      <c r="D75" s="501">
        <f>'[7]Sch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'[7]Sch C'!D69</f>
        <v>4907</v>
      </c>
      <c r="D76" s="501">
        <f>'[7]Sch C'!F69</f>
        <v>0</v>
      </c>
      <c r="E76" s="171">
        <f t="shared" si="7"/>
        <v>4907</v>
      </c>
      <c r="F76" s="171"/>
      <c r="G76" s="171">
        <f t="shared" si="8"/>
        <v>4907</v>
      </c>
      <c r="H76" s="172">
        <f t="shared" si="9"/>
        <v>5.564868554549968E-4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'[7]Sch C'!D70</f>
        <v>0</v>
      </c>
      <c r="D77" s="501">
        <f>'[7]Sch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'[7]Sch C'!D71</f>
        <v>0</v>
      </c>
      <c r="D78" s="501">
        <f>'[7]Sch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1080433</v>
      </c>
      <c r="D79" s="501">
        <f>SUM(D64:D78)</f>
        <v>-1538</v>
      </c>
      <c r="E79" s="171">
        <f t="shared" ref="E79:F79" si="10">SUM(E64:E78)</f>
        <v>1078895</v>
      </c>
      <c r="F79" s="171">
        <f t="shared" si="10"/>
        <v>0</v>
      </c>
      <c r="G79" s="171">
        <f>SUM(G64:G78)</f>
        <v>1078895</v>
      </c>
      <c r="H79" s="172">
        <f t="shared" si="9"/>
        <v>0.12235396085512916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'[7]Sch C'!D75</f>
        <v>36826</v>
      </c>
      <c r="D82" s="501">
        <f>'[7]Sch C'!F75</f>
        <v>0</v>
      </c>
      <c r="E82" s="171">
        <f t="shared" ref="E82:E92" si="11">C82+D82</f>
        <v>36826</v>
      </c>
      <c r="F82" s="171"/>
      <c r="G82" s="171">
        <f t="shared" ref="G82:G92" si="12">E82+F82</f>
        <v>36826</v>
      </c>
      <c r="H82" s="172">
        <f t="shared" ref="H82:H93" si="13">IF($G$208=0,0,G82/$G$208)</f>
        <v>4.1763164742175899E-3</v>
      </c>
      <c r="I82" s="473"/>
      <c r="J82" s="183">
        <v>1972</v>
      </c>
      <c r="K82" s="183">
        <v>2176</v>
      </c>
    </row>
    <row r="83" spans="1:11" s="167" customFormat="1">
      <c r="A83" s="169" t="s">
        <v>86</v>
      </c>
      <c r="B83" s="199" t="s">
        <v>45</v>
      </c>
      <c r="C83" s="501">
        <f>'[7]Sch C'!D76</f>
        <v>10386</v>
      </c>
      <c r="D83" s="501">
        <f>'[7]Sch C'!F76</f>
        <v>0</v>
      </c>
      <c r="E83" s="171">
        <f t="shared" si="11"/>
        <v>10386</v>
      </c>
      <c r="F83" s="171"/>
      <c r="G83" s="171">
        <f t="shared" si="12"/>
        <v>10386</v>
      </c>
      <c r="H83" s="172">
        <f t="shared" si="13"/>
        <v>1.1778423641238226E-3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'[7]Sch C'!D77</f>
        <v>10649</v>
      </c>
      <c r="D84" s="501">
        <f>'[7]Sch C'!F77</f>
        <v>0</v>
      </c>
      <c r="E84" s="171">
        <f t="shared" si="11"/>
        <v>10649</v>
      </c>
      <c r="F84" s="171"/>
      <c r="G84" s="171">
        <f t="shared" si="12"/>
        <v>10649</v>
      </c>
      <c r="H84" s="172">
        <f t="shared" si="13"/>
        <v>1.2076683357938173E-3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'[7]Sch C'!D78</f>
        <v>0</v>
      </c>
      <c r="D85" s="501">
        <f>'[7]Sch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'[7]Sch C'!D79</f>
        <v>2466</v>
      </c>
      <c r="D86" s="501">
        <f>'[7]Sch C'!F79</f>
        <v>0</v>
      </c>
      <c r="E86" s="171">
        <f t="shared" si="11"/>
        <v>2466</v>
      </c>
      <c r="F86" s="171"/>
      <c r="G86" s="171">
        <f>E86+F86</f>
        <v>2466</v>
      </c>
      <c r="H86" s="172">
        <f t="shared" si="13"/>
        <v>2.7966101193234607E-4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'[7]Sch C'!D80</f>
        <v>27277</v>
      </c>
      <c r="D87" s="501">
        <f>'[7]Sch C'!F80</f>
        <v>0</v>
      </c>
      <c r="E87" s="171">
        <f t="shared" si="11"/>
        <v>27277</v>
      </c>
      <c r="F87" s="171"/>
      <c r="G87" s="171">
        <f t="shared" si="12"/>
        <v>27277</v>
      </c>
      <c r="H87" s="172">
        <f t="shared" si="13"/>
        <v>3.0933955484503664E-3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'[7]Sch C'!D81</f>
        <v>22802</v>
      </c>
      <c r="D88" s="501">
        <f>'[7]Sch C'!F81</f>
        <v>0</v>
      </c>
      <c r="E88" s="171">
        <f t="shared" si="11"/>
        <v>22802</v>
      </c>
      <c r="F88" s="171"/>
      <c r="G88" s="171">
        <f t="shared" si="12"/>
        <v>22802</v>
      </c>
      <c r="H88" s="172">
        <f t="shared" si="13"/>
        <v>2.5859004031149047E-3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'[7]Sch C'!D82</f>
        <v>13013</v>
      </c>
      <c r="D89" s="501">
        <f>'[7]Sch C'!F82</f>
        <v>0</v>
      </c>
      <c r="E89" s="171">
        <f t="shared" si="11"/>
        <v>13013</v>
      </c>
      <c r="F89" s="171"/>
      <c r="G89" s="171">
        <f t="shared" si="12"/>
        <v>13013</v>
      </c>
      <c r="H89" s="172">
        <f t="shared" si="13"/>
        <v>1.4757618606146064E-3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'[7]Sch C'!D83</f>
        <v>646</v>
      </c>
      <c r="D90" s="501">
        <f>'[7]Sch C'!F83</f>
        <v>0</v>
      </c>
      <c r="E90" s="171">
        <f t="shared" si="11"/>
        <v>646</v>
      </c>
      <c r="F90" s="171"/>
      <c r="G90" s="171">
        <f t="shared" si="12"/>
        <v>646</v>
      </c>
      <c r="H90" s="172">
        <f t="shared" si="13"/>
        <v>7.3260751706526994E-5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'[7]Sch C'!D84</f>
        <v>142072</v>
      </c>
      <c r="D91" s="501">
        <f>'[7]Sch C'!F84</f>
        <v>0</v>
      </c>
      <c r="E91" s="171">
        <f t="shared" si="11"/>
        <v>142072</v>
      </c>
      <c r="F91" s="171"/>
      <c r="G91" s="171">
        <f t="shared" si="12"/>
        <v>142072</v>
      </c>
      <c r="H91" s="172">
        <f t="shared" si="13"/>
        <v>1.6111921852089324E-2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'[7]Sch C'!D85</f>
        <v>0</v>
      </c>
      <c r="D92" s="501">
        <f>'[7]Sch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266137</v>
      </c>
      <c r="D93" s="501">
        <f>SUM(D82:D92)</f>
        <v>0</v>
      </c>
      <c r="E93" s="171">
        <f t="shared" ref="E93:F93" si="14">SUM(E82:E92)</f>
        <v>266137</v>
      </c>
      <c r="F93" s="171">
        <f t="shared" si="14"/>
        <v>0</v>
      </c>
      <c r="G93" s="171">
        <f>SUM(G82:G92)</f>
        <v>266137</v>
      </c>
      <c r="H93" s="172">
        <f t="shared" si="13"/>
        <v>3.0181728602043302E-2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'[7]Sch C'!D89</f>
        <v>0</v>
      </c>
      <c r="D96" s="501">
        <f>'[7]Sch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'[7]Sch C'!D90</f>
        <v>0</v>
      </c>
      <c r="D97" s="501">
        <f>'[7]Sch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'[7]Sch C'!D91</f>
        <v>594780</v>
      </c>
      <c r="D98" s="501">
        <f>'[7]Sch C'!F91</f>
        <v>0</v>
      </c>
      <c r="E98" s="171">
        <f t="shared" si="15"/>
        <v>594780</v>
      </c>
      <c r="F98" s="171"/>
      <c r="G98" s="171">
        <f t="shared" si="16"/>
        <v>594780</v>
      </c>
      <c r="H98" s="172">
        <f t="shared" si="17"/>
        <v>6.7452058668743223E-2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'[7]Sch C'!D92</f>
        <v>6413</v>
      </c>
      <c r="D99" s="501">
        <f>'[7]Sch C'!F92</f>
        <v>-12375</v>
      </c>
      <c r="E99" s="171">
        <f t="shared" si="15"/>
        <v>-5962</v>
      </c>
      <c r="F99" s="171"/>
      <c r="G99" s="171">
        <f t="shared" si="16"/>
        <v>-5962</v>
      </c>
      <c r="H99" s="172">
        <f t="shared" si="17"/>
        <v>-6.7613096234413921E-4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'[7]Sch C'!D93</f>
        <v>2889</v>
      </c>
      <c r="D100" s="501">
        <f>'[7]Sch C'!F93</f>
        <v>0</v>
      </c>
      <c r="E100" s="171">
        <f t="shared" si="15"/>
        <v>2889</v>
      </c>
      <c r="F100" s="171"/>
      <c r="G100" s="171">
        <f t="shared" si="16"/>
        <v>2889</v>
      </c>
      <c r="H100" s="172">
        <f t="shared" si="17"/>
        <v>3.2763206142439081E-4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'[7]Sch C'!D94</f>
        <v>0</v>
      </c>
      <c r="D101" s="501">
        <f>'[7]Sch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604082</v>
      </c>
      <c r="D102" s="501">
        <f>SUM(D96:D101)</f>
        <v>-12375</v>
      </c>
      <c r="E102" s="171">
        <f t="shared" ref="E102:F102" si="18">SUM(E96:E101)</f>
        <v>591707</v>
      </c>
      <c r="F102" s="171">
        <f t="shared" si="18"/>
        <v>0</v>
      </c>
      <c r="G102" s="171">
        <f>SUM(G96:G101)</f>
        <v>591707</v>
      </c>
      <c r="H102" s="172">
        <f t="shared" si="17"/>
        <v>6.7103559767823479E-2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'[7]Sch C'!D98</f>
        <v>0</v>
      </c>
      <c r="D105" s="501">
        <f>'[7]Sch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'[7]Sch C'!D99</f>
        <v>0</v>
      </c>
      <c r="D106" s="501">
        <f>'[7]Sch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'[7]Sch C'!D100</f>
        <v>0</v>
      </c>
      <c r="D107" s="501">
        <f>'[7]Sch C'!F100</f>
        <v>0</v>
      </c>
      <c r="E107" s="171">
        <f t="shared" si="19"/>
        <v>0</v>
      </c>
      <c r="F107" s="171"/>
      <c r="G107" s="171">
        <f t="shared" si="20"/>
        <v>0</v>
      </c>
      <c r="H107" s="172">
        <f t="shared" si="21"/>
        <v>0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'[7]Sch C'!D101</f>
        <v>94935</v>
      </c>
      <c r="D108" s="501">
        <f>'[7]Sch C'!F101</f>
        <v>0</v>
      </c>
      <c r="E108" s="171">
        <f t="shared" si="19"/>
        <v>94935</v>
      </c>
      <c r="F108" s="171"/>
      <c r="G108" s="171">
        <f t="shared" si="20"/>
        <v>94935</v>
      </c>
      <c r="H108" s="172">
        <f t="shared" si="21"/>
        <v>1.0766268518976998E-2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'[7]Sch C'!D102</f>
        <v>6840</v>
      </c>
      <c r="D109" s="501">
        <f>'[7]Sch C'!F102</f>
        <v>0</v>
      </c>
      <c r="E109" s="171">
        <f t="shared" si="19"/>
        <v>6840</v>
      </c>
      <c r="F109" s="171"/>
      <c r="G109" s="171">
        <f t="shared" si="20"/>
        <v>6840</v>
      </c>
      <c r="H109" s="172">
        <f t="shared" si="21"/>
        <v>7.7570207689263871E-4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'[7]Sch C'!D103</f>
        <v>0</v>
      </c>
      <c r="D110" s="501">
        <f>'[7]Sch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101775</v>
      </c>
      <c r="D111" s="501">
        <f>SUM(D105:D110)</f>
        <v>0</v>
      </c>
      <c r="E111" s="171">
        <f t="shared" ref="E111:F111" si="22">SUM(E105:E110)</f>
        <v>101775</v>
      </c>
      <c r="F111" s="171">
        <f t="shared" si="22"/>
        <v>0</v>
      </c>
      <c r="G111" s="171">
        <f>SUM(G105:G110)</f>
        <v>101775</v>
      </c>
      <c r="H111" s="172">
        <f t="shared" si="21"/>
        <v>1.1541970595869635E-2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'[7]Sch C'!D115</f>
        <v>0</v>
      </c>
      <c r="D114" s="501">
        <f>'[7]Sch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'[7]Sch C'!D116</f>
        <v>0</v>
      </c>
      <c r="D115" s="501">
        <f>'[7]Sch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'[7]Sch C'!D117</f>
        <v>16228</v>
      </c>
      <c r="D116" s="501">
        <f>'[7]Sch C'!F117</f>
        <v>0</v>
      </c>
      <c r="E116" s="171">
        <f t="shared" si="23"/>
        <v>16228</v>
      </c>
      <c r="F116" s="171"/>
      <c r="G116" s="171">
        <f>E116+F116</f>
        <v>16228</v>
      </c>
      <c r="H116" s="172">
        <f t="shared" si="24"/>
        <v>1.8403645181014241E-3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'[7]Sch C'!D118</f>
        <v>142403</v>
      </c>
      <c r="D117" s="501">
        <f>'[7]Sch C'!F118</f>
        <v>0</v>
      </c>
      <c r="E117" s="171">
        <f t="shared" si="23"/>
        <v>142403</v>
      </c>
      <c r="F117" s="171"/>
      <c r="G117" s="171">
        <f>E117+F117</f>
        <v>142403</v>
      </c>
      <c r="H117" s="172">
        <f t="shared" si="24"/>
        <v>1.6149459481833689E-2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'[7]Sch C'!D119</f>
        <v>193</v>
      </c>
      <c r="D118" s="501">
        <f>'[7]Sch C'!F119</f>
        <v>0</v>
      </c>
      <c r="E118" s="171">
        <f t="shared" si="23"/>
        <v>193</v>
      </c>
      <c r="F118" s="171"/>
      <c r="G118" s="171">
        <f>E118+F118</f>
        <v>193</v>
      </c>
      <c r="H118" s="172">
        <f t="shared" si="24"/>
        <v>2.1887500122847848E-5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158824</v>
      </c>
      <c r="D119" s="501">
        <f>SUM(D114:D118)</f>
        <v>0</v>
      </c>
      <c r="E119" s="171">
        <f t="shared" ref="E119:F119" si="25">SUM(E114:E118)</f>
        <v>158824</v>
      </c>
      <c r="F119" s="171">
        <f t="shared" si="25"/>
        <v>0</v>
      </c>
      <c r="G119" s="171">
        <f>SUM(G114:G118)</f>
        <v>158824</v>
      </c>
      <c r="H119" s="172">
        <f t="shared" si="24"/>
        <v>1.801171150005796E-2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'[7]Sch C'!D124</f>
        <v>0</v>
      </c>
      <c r="D123" s="501">
        <f>'[7]Sch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'[7]Sch C'!D125</f>
        <v>248530</v>
      </c>
      <c r="D124" s="501">
        <f>'[7]Sch C'!F125</f>
        <v>0</v>
      </c>
      <c r="E124" s="171">
        <f t="shared" si="26"/>
        <v>248530</v>
      </c>
      <c r="F124" s="171"/>
      <c r="G124" s="171">
        <f>E124+F124</f>
        <v>248530</v>
      </c>
      <c r="H124" s="172">
        <f>IF($G$208=0,0,G124/$G$208)</f>
        <v>2.8184976194463085E-2</v>
      </c>
      <c r="I124" s="473"/>
      <c r="J124" s="183">
        <v>7742</v>
      </c>
      <c r="K124" s="183">
        <v>8361</v>
      </c>
    </row>
    <row r="125" spans="1:11" s="167" customFormat="1">
      <c r="A125" s="163" t="s">
        <v>198</v>
      </c>
      <c r="B125" s="163" t="s">
        <v>195</v>
      </c>
      <c r="C125" s="501">
        <f>'[7]Sch C'!D126</f>
        <v>0</v>
      </c>
      <c r="D125" s="501">
        <f>'[7]Sch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'[7]Sch C'!D127</f>
        <v>0</v>
      </c>
      <c r="D126" s="501">
        <f>'[7]Sch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'[7]Sch C'!D128</f>
        <v>73073</v>
      </c>
      <c r="D127" s="501">
        <f>'[7]Sch C'!F128</f>
        <v>0</v>
      </c>
      <c r="E127" s="171">
        <f t="shared" si="26"/>
        <v>73073</v>
      </c>
      <c r="F127" s="171"/>
      <c r="G127" s="171">
        <f>E127+F127</f>
        <v>73073</v>
      </c>
      <c r="H127" s="172">
        <f>IF($G$208=0,0,G127/$G$208)</f>
        <v>8.2869704480666353E-3</v>
      </c>
      <c r="I127" s="473"/>
      <c r="J127" s="183">
        <v>4307</v>
      </c>
      <c r="K127" s="183">
        <v>4895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'[7]Sch C'!D130</f>
        <v>0</v>
      </c>
      <c r="D129" s="501">
        <f>'[7]Sch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'[7]Sch C'!D131</f>
        <v>47005</v>
      </c>
      <c r="D130" s="501">
        <f>'[7]Sch C'!F131</f>
        <v>0</v>
      </c>
      <c r="E130" s="171">
        <f t="shared" si="27"/>
        <v>47005</v>
      </c>
      <c r="F130" s="171"/>
      <c r="G130" s="171">
        <f>E130+F130</f>
        <v>47005</v>
      </c>
      <c r="H130" s="172">
        <f>IF($G$208=0,0,G130/$G$208)</f>
        <v>5.3306836439091353E-3</v>
      </c>
      <c r="I130" s="473"/>
      <c r="J130" s="204"/>
      <c r="K130" s="204"/>
    </row>
    <row r="131" spans="1:11" s="167" customFormat="1">
      <c r="B131" s="163" t="s">
        <v>195</v>
      </c>
      <c r="C131" s="501">
        <f>'[7]Sch C'!D132</f>
        <v>0</v>
      </c>
      <c r="D131" s="501">
        <f>'[7]Sch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'[7]Sch C'!D133</f>
        <v>0</v>
      </c>
      <c r="D132" s="501">
        <f>'[7]Sch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'[7]Sch C'!D134</f>
        <v>21537</v>
      </c>
      <c r="D133" s="501">
        <f>'[7]Sch C'!F134</f>
        <v>0</v>
      </c>
      <c r="E133" s="171">
        <f t="shared" si="27"/>
        <v>21537</v>
      </c>
      <c r="F133" s="171"/>
      <c r="G133" s="171">
        <f>E133+F133</f>
        <v>21537</v>
      </c>
      <c r="H133" s="172">
        <f>IF($G$208=0,0,G133/$G$208)</f>
        <v>2.4424408815843218E-3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'[7]Sch C'!D136</f>
        <v>992629</v>
      </c>
      <c r="D135" s="501">
        <f>'[7]Sch C'!F136</f>
        <v>0</v>
      </c>
      <c r="E135" s="171">
        <f t="shared" ref="E135:E138" si="28">C135+D135</f>
        <v>992629</v>
      </c>
      <c r="F135" s="171"/>
      <c r="G135" s="171">
        <f>E135+F135</f>
        <v>992629</v>
      </c>
      <c r="H135" s="172">
        <f>IF($G$208=0,0,G135/$G$208)</f>
        <v>0.11257081533389811</v>
      </c>
      <c r="I135" s="473"/>
      <c r="J135" s="183">
        <v>32185</v>
      </c>
      <c r="K135" s="183">
        <v>34532</v>
      </c>
    </row>
    <row r="136" spans="1:11" s="167" customFormat="1">
      <c r="A136" s="169"/>
      <c r="B136" s="163" t="s">
        <v>195</v>
      </c>
      <c r="C136" s="501">
        <f>'[7]Sch C'!D137</f>
        <v>176779</v>
      </c>
      <c r="D136" s="501">
        <f>'[7]Sch C'!F137</f>
        <v>0</v>
      </c>
      <c r="E136" s="171">
        <f t="shared" si="28"/>
        <v>176779</v>
      </c>
      <c r="F136" s="171"/>
      <c r="G136" s="171">
        <f>E136+F136</f>
        <v>176779</v>
      </c>
      <c r="H136" s="172">
        <f>IF($G$208=0,0,G136/$G$208)</f>
        <v>2.0047929451901137E-2</v>
      </c>
      <c r="I136" s="473"/>
      <c r="J136" s="183">
        <v>6642</v>
      </c>
      <c r="K136" s="183">
        <v>7135</v>
      </c>
    </row>
    <row r="137" spans="1:11" s="167" customFormat="1">
      <c r="A137" s="169"/>
      <c r="B137" s="163" t="s">
        <v>196</v>
      </c>
      <c r="C137" s="501">
        <f>'[7]Sch C'!D138</f>
        <v>770800</v>
      </c>
      <c r="D137" s="501">
        <f>'[7]Sch C'!F138</f>
        <v>19003</v>
      </c>
      <c r="E137" s="171">
        <f t="shared" si="28"/>
        <v>789803</v>
      </c>
      <c r="F137" s="171"/>
      <c r="G137" s="171">
        <f>E137+F137</f>
        <v>789803</v>
      </c>
      <c r="H137" s="172">
        <f>IF($G$208=0,0,G137/$G$208)</f>
        <v>8.9568980619303615E-2</v>
      </c>
      <c r="I137" s="473"/>
      <c r="J137" s="183">
        <v>59098</v>
      </c>
      <c r="K137" s="183">
        <v>63727</v>
      </c>
    </row>
    <row r="138" spans="1:11" s="167" customFormat="1">
      <c r="A138" s="169"/>
      <c r="B138" s="163" t="s">
        <v>197</v>
      </c>
      <c r="C138" s="501">
        <f>'[7]Sch C'!D139</f>
        <v>19003</v>
      </c>
      <c r="D138" s="501">
        <f>'[7]Sch C'!F139</f>
        <v>-19003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'[7]Sch C'!D141</f>
        <v>421410</v>
      </c>
      <c r="D140" s="501">
        <f>'[7]Sch C'!F141</f>
        <v>-207903.75340889776</v>
      </c>
      <c r="E140" s="171">
        <f t="shared" ref="E140:E143" si="29">C140+D140</f>
        <v>213506.24659110224</v>
      </c>
      <c r="F140" s="171"/>
      <c r="G140" s="171">
        <f>E140+F140</f>
        <v>213506.24659110224</v>
      </c>
      <c r="H140" s="172">
        <f>IF($G$208=0,0,G140/$G$208)</f>
        <v>2.4213046624308461E-2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'[7]Sch C'!D142</f>
        <v>0</v>
      </c>
      <c r="D141" s="501">
        <f>'[7]Sch C'!F142</f>
        <v>38023.693410255459</v>
      </c>
      <c r="E141" s="171">
        <f t="shared" si="29"/>
        <v>38023.693410255459</v>
      </c>
      <c r="F141" s="171"/>
      <c r="G141" s="171">
        <f>E141+F141</f>
        <v>38023.693410255459</v>
      </c>
      <c r="H141" s="172">
        <f>IF($G$208=0,0,G141/$G$208)</f>
        <v>4.3121429750678508E-3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'[7]Sch C'!D143</f>
        <v>0</v>
      </c>
      <c r="D142" s="501">
        <f>'[7]Sch C'!F143</f>
        <v>169880.0599986423</v>
      </c>
      <c r="E142" s="171">
        <f t="shared" si="29"/>
        <v>169880.0599986423</v>
      </c>
      <c r="F142" s="171"/>
      <c r="G142" s="171">
        <f>E142+F142</f>
        <v>169880.0599986423</v>
      </c>
      <c r="H142" s="172">
        <f>IF($G$208=0,0,G142/$G$208)</f>
        <v>1.9265543181811829E-2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'[7]Sch C'!D144</f>
        <v>0</v>
      </c>
      <c r="D143" s="501">
        <f>'[7]Sch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'[7]Sch C'!D146</f>
        <v>48668</v>
      </c>
      <c r="D145" s="501">
        <f>'[7]Sch C'!F146</f>
        <v>0</v>
      </c>
      <c r="E145" s="171">
        <f t="shared" ref="E145:E153" si="30">C145+D145</f>
        <v>48668</v>
      </c>
      <c r="F145" s="171"/>
      <c r="G145" s="171">
        <f t="shared" ref="G145:G153" si="31">E145+F145</f>
        <v>48668</v>
      </c>
      <c r="H145" s="172">
        <f t="shared" ref="H145:H153" si="32">IF($G$208=0,0,G145/$G$208)</f>
        <v>5.5192790465220676E-3</v>
      </c>
      <c r="I145" s="473"/>
      <c r="J145" s="183">
        <v>194</v>
      </c>
      <c r="K145" s="183">
        <v>194</v>
      </c>
    </row>
    <row r="146" spans="1:11" s="167" customFormat="1">
      <c r="A146" s="169"/>
      <c r="B146" s="163" t="s">
        <v>194</v>
      </c>
      <c r="C146" s="501">
        <f>'[7]Sch C'!D147</f>
        <v>41839</v>
      </c>
      <c r="D146" s="501">
        <f>'[7]Sch C'!F147</f>
        <v>0</v>
      </c>
      <c r="E146" s="171">
        <f t="shared" si="30"/>
        <v>41839</v>
      </c>
      <c r="F146" s="171"/>
      <c r="G146" s="171">
        <f t="shared" si="31"/>
        <v>41839</v>
      </c>
      <c r="H146" s="172">
        <f t="shared" si="32"/>
        <v>4.7448244437296944E-3</v>
      </c>
      <c r="I146" s="473"/>
      <c r="J146" s="183">
        <v>725.25</v>
      </c>
      <c r="K146" s="183">
        <v>725.25</v>
      </c>
    </row>
    <row r="147" spans="1:11" s="167" customFormat="1">
      <c r="A147" s="169"/>
      <c r="B147" s="163" t="s">
        <v>195</v>
      </c>
      <c r="C147" s="501">
        <f>'[7]Sch C'!D148</f>
        <v>55759</v>
      </c>
      <c r="D147" s="501">
        <f>'[7]Sch C'!F148</f>
        <v>0</v>
      </c>
      <c r="E147" s="171">
        <f t="shared" si="30"/>
        <v>55759</v>
      </c>
      <c r="F147" s="171"/>
      <c r="G147" s="171">
        <f t="shared" si="31"/>
        <v>55759</v>
      </c>
      <c r="H147" s="172">
        <f t="shared" si="32"/>
        <v>6.3234462142480472E-3</v>
      </c>
      <c r="I147" s="473"/>
      <c r="J147" s="183">
        <v>1347.97</v>
      </c>
      <c r="K147" s="183">
        <v>1347.97</v>
      </c>
    </row>
    <row r="148" spans="1:11" s="167" customFormat="1">
      <c r="A148" s="169"/>
      <c r="B148" s="163" t="s">
        <v>196</v>
      </c>
      <c r="C148" s="501">
        <f>'[7]Sch C'!D149</f>
        <v>113337</v>
      </c>
      <c r="D148" s="501">
        <f>'[7]Sch C'!F149</f>
        <v>0</v>
      </c>
      <c r="E148" s="171">
        <f t="shared" si="30"/>
        <v>113337</v>
      </c>
      <c r="F148" s="171"/>
      <c r="G148" s="171">
        <f t="shared" si="31"/>
        <v>113337</v>
      </c>
      <c r="H148" s="172">
        <f t="shared" si="32"/>
        <v>1.2853179281985526E-2</v>
      </c>
      <c r="I148" s="473"/>
      <c r="J148" s="183">
        <v>5139.3599999999997</v>
      </c>
      <c r="K148" s="183">
        <v>5139.3599999999997</v>
      </c>
    </row>
    <row r="149" spans="1:11" s="167" customFormat="1">
      <c r="A149" s="169"/>
      <c r="B149" s="163" t="s">
        <v>197</v>
      </c>
      <c r="C149" s="501">
        <f>'[7]Sch C'!D150</f>
        <v>6951</v>
      </c>
      <c r="D149" s="501">
        <f>'[7]Sch C'!F150</f>
        <v>0</v>
      </c>
      <c r="E149" s="171">
        <f t="shared" si="30"/>
        <v>6951</v>
      </c>
      <c r="F149" s="171"/>
      <c r="G149" s="171">
        <f t="shared" si="31"/>
        <v>6951</v>
      </c>
      <c r="H149" s="172">
        <f t="shared" si="32"/>
        <v>7.8829022463168595E-4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'[7]Sch C'!D151</f>
        <v>231617</v>
      </c>
      <c r="D150" s="501">
        <f>'[7]Sch C'!F151</f>
        <v>6912</v>
      </c>
      <c r="E150" s="171">
        <f t="shared" si="30"/>
        <v>238529</v>
      </c>
      <c r="F150" s="171"/>
      <c r="G150" s="171">
        <f t="shared" si="31"/>
        <v>238529</v>
      </c>
      <c r="H150" s="172">
        <f t="shared" si="32"/>
        <v>2.705079542384857E-2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'[7]Sch C'!D152</f>
        <v>4282</v>
      </c>
      <c r="D151" s="501">
        <f>'[7]Sch C'!F152</f>
        <v>0</v>
      </c>
      <c r="E151" s="171">
        <f t="shared" si="30"/>
        <v>4282</v>
      </c>
      <c r="F151" s="171"/>
      <c r="G151" s="171">
        <f t="shared" si="31"/>
        <v>4282</v>
      </c>
      <c r="H151" s="172">
        <f t="shared" si="32"/>
        <v>4.856076452126139E-4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'[7]Sch C'!D153</f>
        <v>0</v>
      </c>
      <c r="D152" s="501">
        <f>'[7]Sch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'[7]Sch C'!D154</f>
        <v>0</v>
      </c>
      <c r="D153" s="501">
        <f>'[7]Sch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'[7]Sch C'!D156</f>
        <v>0</v>
      </c>
      <c r="D155" s="501">
        <f>'[7]Sch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'[7]Sch C'!D157</f>
        <v>0</v>
      </c>
      <c r="D156" s="501">
        <f>'[7]Sch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'[7]Sch C'!D158</f>
        <v>1885</v>
      </c>
      <c r="D157" s="501">
        <f>'[7]Sch C'!F158</f>
        <v>0</v>
      </c>
      <c r="E157" s="171">
        <f t="shared" si="33"/>
        <v>1885</v>
      </c>
      <c r="F157" s="171"/>
      <c r="G157" s="171">
        <f t="shared" si="34"/>
        <v>1885</v>
      </c>
      <c r="H157" s="172">
        <f t="shared" si="35"/>
        <v>2.137716980910269E-4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'[7]Sch C'!D159</f>
        <v>0</v>
      </c>
      <c r="D158" s="501">
        <f>'[7]Sch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'[7]Sch C'!D160</f>
        <v>0</v>
      </c>
      <c r="D159" s="501">
        <f>'[7]Sch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'[7]Sch C'!D161</f>
        <v>14445</v>
      </c>
      <c r="D160" s="501">
        <f>'[7]Sch C'!F161</f>
        <v>722</v>
      </c>
      <c r="E160" s="171">
        <f t="shared" si="33"/>
        <v>15167</v>
      </c>
      <c r="F160" s="171"/>
      <c r="G160" s="171">
        <f t="shared" si="34"/>
        <v>15167</v>
      </c>
      <c r="H160" s="172">
        <f t="shared" si="35"/>
        <v>1.720039970793955E-3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3289549</v>
      </c>
      <c r="D161" s="501">
        <f>SUM(D123:D160)</f>
        <v>7634</v>
      </c>
      <c r="E161" s="171">
        <f t="shared" ref="E161:F161" si="36">SUM(E123:E160)</f>
        <v>3297183</v>
      </c>
      <c r="F161" s="171">
        <f t="shared" si="36"/>
        <v>0</v>
      </c>
      <c r="G161" s="171">
        <f>SUM(G123:G160)</f>
        <v>3297183</v>
      </c>
      <c r="H161" s="172">
        <f t="shared" si="35"/>
        <v>0.37392276330337737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'[7]Sch C'!D175</f>
        <v>0</v>
      </c>
      <c r="D164" s="501">
        <f>'[7]Sch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'[7]Sch C'!D176</f>
        <v>0</v>
      </c>
      <c r="D165" s="501">
        <f>'[7]Sch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'[7]Sch C'!D177</f>
        <v>0</v>
      </c>
      <c r="D166" s="501">
        <f>'[7]Sch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'[7]Sch C'!D178</f>
        <v>0</v>
      </c>
      <c r="D167" s="501">
        <f>'[7]Sch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'[7]Sch C'!D179</f>
        <v>0</v>
      </c>
      <c r="D168" s="501">
        <f>'[7]Sch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'[7]Sch C'!D180</f>
        <v>0</v>
      </c>
      <c r="D169" s="501">
        <f>'[7]Sch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'[7]Sch C'!D181</f>
        <v>0</v>
      </c>
      <c r="D170" s="501">
        <f>'[7]Sch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'[7]Sch C'!D182</f>
        <v>0</v>
      </c>
      <c r="D171" s="501">
        <f>'[7]Sch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'[7]Sch C'!D183</f>
        <v>0</v>
      </c>
      <c r="D172" s="501">
        <f>'[7]Sch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'[7]Sch C'!D184</f>
        <v>0</v>
      </c>
      <c r="D173" s="501">
        <f>'[7]Sch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'[7]Sch C'!D185</f>
        <v>0</v>
      </c>
      <c r="D174" s="501">
        <f>'[7]Sch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'[7]Sch C'!D186</f>
        <v>0</v>
      </c>
      <c r="D175" s="501">
        <f>'[7]Sch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'[7]Sch C'!D187</f>
        <v>0</v>
      </c>
      <c r="D176" s="501">
        <f>'[7]Sch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'[7]Sch C'!D188</f>
        <v>0</v>
      </c>
      <c r="D177" s="501">
        <f>'[7]Sch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'[7]Sch C'!D189</f>
        <v>0</v>
      </c>
      <c r="D178" s="501">
        <f>'[7]Sch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'[7]Sch C'!D190</f>
        <v>0</v>
      </c>
      <c r="D179" s="501">
        <f>'[7]Sch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'[7]Sch C'!D191</f>
        <v>0</v>
      </c>
      <c r="D180" s="501">
        <f>'[7]Sch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'[7]Sch C'!D192</f>
        <v>0</v>
      </c>
      <c r="D181" s="501">
        <f>'[7]Sch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'[7]Sch C'!D193</f>
        <v>2050</v>
      </c>
      <c r="D182" s="501">
        <f>'[7]Sch C'!F193</f>
        <v>0</v>
      </c>
      <c r="E182" s="171">
        <f t="shared" si="37"/>
        <v>2050</v>
      </c>
      <c r="F182" s="216"/>
      <c r="G182" s="171">
        <f t="shared" si="38"/>
        <v>2050</v>
      </c>
      <c r="H182" s="172">
        <f t="shared" si="39"/>
        <v>2.3248380959501599E-4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'[7]Sch C'!D194</f>
        <v>473614</v>
      </c>
      <c r="D183" s="501">
        <f>'[7]Sch C'!F194</f>
        <v>-18329</v>
      </c>
      <c r="E183" s="171">
        <f t="shared" si="37"/>
        <v>455285</v>
      </c>
      <c r="F183" s="216"/>
      <c r="G183" s="171">
        <f t="shared" si="38"/>
        <v>455285</v>
      </c>
      <c r="H183" s="172">
        <f t="shared" si="39"/>
        <v>5.1632385976325294E-2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'[7]Sch C'!D195</f>
        <v>182521</v>
      </c>
      <c r="D184" s="501">
        <f>'[7]Sch C'!F195</f>
        <v>-7064</v>
      </c>
      <c r="E184" s="171">
        <f t="shared" si="37"/>
        <v>175457</v>
      </c>
      <c r="F184" s="216"/>
      <c r="G184" s="171">
        <f t="shared" si="38"/>
        <v>175457</v>
      </c>
      <c r="H184" s="172">
        <f t="shared" si="39"/>
        <v>1.9898005746396448E-2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'[7]Sch C'!D196</f>
        <v>0</v>
      </c>
      <c r="D185" s="501">
        <f>'[7]Sch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'[7]Sch C'!D197</f>
        <v>380817</v>
      </c>
      <c r="D186" s="501">
        <f>'[7]Sch C'!F197</f>
        <v>-14738</v>
      </c>
      <c r="E186" s="171">
        <f t="shared" si="37"/>
        <v>366079</v>
      </c>
      <c r="F186" s="216"/>
      <c r="G186" s="171">
        <f t="shared" si="38"/>
        <v>366079</v>
      </c>
      <c r="H186" s="172">
        <f t="shared" si="39"/>
        <v>4.151582465011408E-2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'[7]Sch C'!D198</f>
        <v>110152</v>
      </c>
      <c r="D187" s="501">
        <f>'[7]Sch C'!F198</f>
        <v>0</v>
      </c>
      <c r="E187" s="171">
        <f t="shared" si="37"/>
        <v>110152</v>
      </c>
      <c r="F187" s="216"/>
      <c r="G187" s="171">
        <f t="shared" si="38"/>
        <v>110152</v>
      </c>
      <c r="H187" s="172">
        <f t="shared" si="39"/>
        <v>1.2491978826590342E-2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'[7]Sch C'!D199</f>
        <v>0</v>
      </c>
      <c r="D188" s="501">
        <f>'[7]Sch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'[7]Sch C'!D200</f>
        <v>0</v>
      </c>
      <c r="D189" s="501">
        <f>'[7]Sch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'[7]Sch C'!D201</f>
        <v>0</v>
      </c>
      <c r="D190" s="501">
        <f>'[7]Sch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'[7]Sch C'!D202</f>
        <v>0</v>
      </c>
      <c r="D191" s="501">
        <f>'[7]Sch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'[7]Sch C'!D203</f>
        <v>0</v>
      </c>
      <c r="D192" s="501">
        <f>'[7]Sch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'[7]Sch C'!D204</f>
        <v>0</v>
      </c>
      <c r="D193" s="501">
        <f>'[7]Sch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'[7]Sch C'!D205</f>
        <v>393867</v>
      </c>
      <c r="D194" s="501">
        <f>'[7]Sch C'!F205</f>
        <v>27233</v>
      </c>
      <c r="E194" s="171">
        <f t="shared" si="37"/>
        <v>421100</v>
      </c>
      <c r="F194" s="216"/>
      <c r="G194" s="171">
        <f t="shared" si="38"/>
        <v>421100</v>
      </c>
      <c r="H194" s="172">
        <f t="shared" si="39"/>
        <v>4.775557669290792E-2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'[7]Sch C'!D206</f>
        <v>3301</v>
      </c>
      <c r="D195" s="501">
        <f>'[7]Sch C'!F206</f>
        <v>0</v>
      </c>
      <c r="E195" s="171">
        <f t="shared" si="37"/>
        <v>3301</v>
      </c>
      <c r="F195" s="216"/>
      <c r="G195" s="171">
        <f t="shared" si="38"/>
        <v>3301</v>
      </c>
      <c r="H195" s="172">
        <f t="shared" si="39"/>
        <v>3.7435563681616966E-4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'[7]Sch C'!D207</f>
        <v>3135</v>
      </c>
      <c r="D196" s="501">
        <f>'[7]Sch C'!F207</f>
        <v>0</v>
      </c>
      <c r="E196" s="171">
        <f t="shared" si="37"/>
        <v>3135</v>
      </c>
      <c r="F196" s="216"/>
      <c r="G196" s="171">
        <f t="shared" si="38"/>
        <v>3135</v>
      </c>
      <c r="H196" s="172">
        <f t="shared" si="39"/>
        <v>3.5553011857579275E-4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1549457</v>
      </c>
      <c r="D197" s="501">
        <f>SUM(D164:D196)</f>
        <v>-12898</v>
      </c>
      <c r="E197" s="171">
        <f t="shared" ref="E197:F197" si="40">SUM(E164:E196)</f>
        <v>1536559</v>
      </c>
      <c r="F197" s="171">
        <f t="shared" si="40"/>
        <v>0</v>
      </c>
      <c r="G197" s="171">
        <f>SUM(G164:G196)</f>
        <v>1536559</v>
      </c>
      <c r="H197" s="172">
        <f>IF($G$208=0,0,G197/$G$208)</f>
        <v>0.17425614145732107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'[7]Sch C'!D211</f>
        <v>131916</v>
      </c>
      <c r="D200" s="501">
        <f>'[7]Sch C'!F211</f>
        <v>0</v>
      </c>
      <c r="E200" s="171">
        <f t="shared" ref="E200:E205" si="41">C200+D200</f>
        <v>131916</v>
      </c>
      <c r="F200" s="171"/>
      <c r="G200" s="171">
        <f t="shared" ref="G200:G205" si="42">E200+F200</f>
        <v>131916</v>
      </c>
      <c r="H200" s="172">
        <f t="shared" ref="H200:H206" si="43">IF($G$208=0,0,G200/$G$208)</f>
        <v>1.4960163037334698E-2</v>
      </c>
      <c r="I200" s="473"/>
      <c r="J200" s="183">
        <v>7895</v>
      </c>
      <c r="K200" s="183">
        <v>8597</v>
      </c>
    </row>
    <row r="201" spans="1:14" s="167" customFormat="1">
      <c r="A201" s="169" t="s">
        <v>86</v>
      </c>
      <c r="B201" s="170" t="s">
        <v>45</v>
      </c>
      <c r="C201" s="501">
        <f>'[7]Sch C'!D212</f>
        <v>30330</v>
      </c>
      <c r="D201" s="501">
        <f>'[7]Sch C'!F212</f>
        <v>0</v>
      </c>
      <c r="E201" s="171">
        <f t="shared" si="41"/>
        <v>30330</v>
      </c>
      <c r="F201" s="171"/>
      <c r="G201" s="171">
        <f t="shared" si="42"/>
        <v>30330</v>
      </c>
      <c r="H201" s="172">
        <f t="shared" si="43"/>
        <v>3.4396263146423585E-3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'[7]Sch C'!D213</f>
        <v>8449</v>
      </c>
      <c r="D202" s="501">
        <f>'[7]Sch C'!F213</f>
        <v>0</v>
      </c>
      <c r="E202" s="171">
        <f t="shared" si="41"/>
        <v>8449</v>
      </c>
      <c r="F202" s="171"/>
      <c r="G202" s="171">
        <f t="shared" si="42"/>
        <v>8449</v>
      </c>
      <c r="H202" s="172">
        <f t="shared" si="43"/>
        <v>9.5817351574062934E-4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'[7]Sch C'!D214</f>
        <v>0</v>
      </c>
      <c r="D203" s="501">
        <f>'[7]Sch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'[7]Sch C'!D215</f>
        <v>0</v>
      </c>
      <c r="D204" s="501">
        <f>'[7]Sch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'[7]Sch C'!D216</f>
        <v>1331</v>
      </c>
      <c r="D205" s="501">
        <f>'[7]Sch C'!F216</f>
        <v>0</v>
      </c>
      <c r="E205" s="171">
        <f t="shared" si="41"/>
        <v>1331</v>
      </c>
      <c r="F205" s="171"/>
      <c r="G205" s="171">
        <f t="shared" si="42"/>
        <v>1331</v>
      </c>
      <c r="H205" s="172">
        <f t="shared" si="43"/>
        <v>1.5094436613217869E-4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172026</v>
      </c>
      <c r="D206" s="501">
        <f>SUM(D200:D205)</f>
        <v>0</v>
      </c>
      <c r="E206" s="171">
        <f t="shared" ref="E206:F206" si="44">SUM(E200:E205)</f>
        <v>172026</v>
      </c>
      <c r="F206" s="171">
        <f t="shared" si="44"/>
        <v>0</v>
      </c>
      <c r="G206" s="171">
        <f>SUM(G200:G205)</f>
        <v>172026</v>
      </c>
      <c r="H206" s="172">
        <f t="shared" si="43"/>
        <v>1.9508907233849865E-2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9073870</v>
      </c>
      <c r="D208" s="501">
        <f>SUM(D25:D206)/2</f>
        <v>-254824</v>
      </c>
      <c r="E208" s="171">
        <f t="shared" ref="E208:F208" si="45">SUM(E25:E206)/2</f>
        <v>8819046</v>
      </c>
      <c r="F208" s="171">
        <f t="shared" si="45"/>
        <v>-1227.6599999999999</v>
      </c>
      <c r="G208" s="171">
        <f>SUM(G25:G206)/2</f>
        <v>8817818.3399999999</v>
      </c>
      <c r="H208" s="172">
        <f>IF($G$208=0,0,G208/$G$208)</f>
        <v>1</v>
      </c>
      <c r="I208" s="473"/>
      <c r="J208" s="183">
        <f>SUM(J25:J200)</f>
        <v>139432.57999999999</v>
      </c>
      <c r="K208" s="183">
        <f>SUM(K25:K200)</f>
        <v>149810.57999999999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'[7]Sch C'!D221</f>
        <v>9073870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-1123541</v>
      </c>
      <c r="D215" s="501">
        <f>D21-D208</f>
        <v>244572</v>
      </c>
      <c r="E215" s="171">
        <f t="shared" ref="E215:F215" si="46">E21-E208</f>
        <v>-878969</v>
      </c>
      <c r="F215" s="171">
        <f t="shared" si="46"/>
        <v>1227.6599999999999</v>
      </c>
      <c r="G215" s="171">
        <f>G21-G208</f>
        <v>-877741.33999999985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'[7]Sch D'!C9</f>
        <v>16820</v>
      </c>
      <c r="D219" s="530"/>
      <c r="E219" s="234">
        <f t="shared" ref="E219:G227" si="47">C219+D219</f>
        <v>16820</v>
      </c>
      <c r="F219" s="233"/>
      <c r="G219" s="234">
        <f t="shared" si="47"/>
        <v>16820</v>
      </c>
      <c r="H219" s="172">
        <f t="shared" ref="H219:H228" si="48">IF($G$228=0,0,G219/$G$228)</f>
        <v>0.57238140611175392</v>
      </c>
      <c r="I219" s="473"/>
      <c r="J219" s="168"/>
      <c r="K219" s="168"/>
    </row>
    <row r="220" spans="1:11">
      <c r="A220" s="163"/>
      <c r="B220" s="170" t="s">
        <v>217</v>
      </c>
      <c r="C220" s="530">
        <f>'[7]Sch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'[7]Sch D'!E9</f>
        <v>2862</v>
      </c>
      <c r="D221" s="530"/>
      <c r="E221" s="234">
        <f t="shared" si="49"/>
        <v>2862</v>
      </c>
      <c r="F221" s="233"/>
      <c r="G221" s="234">
        <f t="shared" si="47"/>
        <v>2862</v>
      </c>
      <c r="H221" s="172">
        <f t="shared" si="48"/>
        <v>9.7393316545293679E-2</v>
      </c>
      <c r="I221" s="473"/>
      <c r="J221" s="168"/>
      <c r="K221" s="168"/>
    </row>
    <row r="222" spans="1:11">
      <c r="A222" s="163"/>
      <c r="B222" s="202" t="s">
        <v>334</v>
      </c>
      <c r="C222" s="530">
        <f>'[7]Sch D'!F9</f>
        <v>3755</v>
      </c>
      <c r="D222" s="530"/>
      <c r="E222" s="234">
        <f>C222+D222</f>
        <v>3755</v>
      </c>
      <c r="F222" s="233"/>
      <c r="G222" s="234">
        <f>E222+F222</f>
        <v>3755</v>
      </c>
      <c r="H222" s="172">
        <f t="shared" si="48"/>
        <v>0.12778193697679166</v>
      </c>
      <c r="I222" s="473"/>
      <c r="J222" s="168"/>
      <c r="K222" s="168"/>
    </row>
    <row r="223" spans="1:11">
      <c r="A223" s="163"/>
      <c r="B223" s="170" t="s">
        <v>73</v>
      </c>
      <c r="C223" s="530">
        <f>'[7]Sch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'[7]Sch D'!H9</f>
        <v>1680</v>
      </c>
      <c r="D224" s="530"/>
      <c r="E224" s="234">
        <f t="shared" si="49"/>
        <v>1680</v>
      </c>
      <c r="F224" s="233"/>
      <c r="G224" s="234">
        <f t="shared" si="47"/>
        <v>1680</v>
      </c>
      <c r="H224" s="172">
        <f t="shared" si="48"/>
        <v>5.7170080990948072E-2</v>
      </c>
      <c r="I224" s="473"/>
      <c r="J224" s="168"/>
      <c r="K224" s="168"/>
    </row>
    <row r="225" spans="1:11">
      <c r="A225" s="163"/>
      <c r="B225" s="170" t="s">
        <v>236</v>
      </c>
      <c r="C225" s="530">
        <f>'[7]Sch D'!I9</f>
        <v>3151</v>
      </c>
      <c r="D225" s="530"/>
      <c r="E225" s="234">
        <f t="shared" si="49"/>
        <v>3151</v>
      </c>
      <c r="F225" s="233"/>
      <c r="G225" s="234">
        <f t="shared" si="47"/>
        <v>3151</v>
      </c>
      <c r="H225" s="172">
        <f t="shared" si="48"/>
        <v>0.10722793166814129</v>
      </c>
      <c r="I225" s="473"/>
      <c r="J225" s="168"/>
      <c r="K225" s="168"/>
    </row>
    <row r="226" spans="1:11">
      <c r="A226" s="163"/>
      <c r="B226" s="170" t="s">
        <v>235</v>
      </c>
      <c r="C226" s="530">
        <f>'[7]Sch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'[7]Sch D'!K9</f>
        <v>1118</v>
      </c>
      <c r="D227" s="530"/>
      <c r="E227" s="234">
        <f t="shared" si="49"/>
        <v>1118</v>
      </c>
      <c r="F227" s="233"/>
      <c r="G227" s="234">
        <f t="shared" si="47"/>
        <v>1118</v>
      </c>
      <c r="H227" s="172">
        <f t="shared" si="48"/>
        <v>3.8045327707071391E-2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29386</v>
      </c>
      <c r="D228" s="530">
        <f>SUM(D219:D227)</f>
        <v>0</v>
      </c>
      <c r="E228" s="236">
        <f>SUM(E219:E227)</f>
        <v>29386</v>
      </c>
      <c r="F228" s="236">
        <f>SUM(F219:F227)</f>
        <v>0</v>
      </c>
      <c r="G228" s="236">
        <f>SUM(G219:G227)</f>
        <v>29386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'[7]Sch D'!N22</f>
        <v>120</v>
      </c>
      <c r="D231" s="502"/>
      <c r="E231" s="234">
        <f>C231+D231</f>
        <v>120</v>
      </c>
      <c r="F231" s="234"/>
      <c r="G231" s="234">
        <f>E231+F231</f>
        <v>120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'[7]Sch D'!N24</f>
        <v>120</v>
      </c>
      <c r="D232" s="502"/>
      <c r="E232" s="234">
        <f>C232+D232</f>
        <v>120</v>
      </c>
      <c r="F232" s="234"/>
      <c r="G232" s="234">
        <f>E232+F232</f>
        <v>120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'[7]Sch D'!N28</f>
        <v>43800</v>
      </c>
      <c r="D235" s="438"/>
      <c r="E235" s="233">
        <f>E231*E233</f>
        <v>43800</v>
      </c>
      <c r="F235" s="238"/>
      <c r="G235" s="233">
        <f>G231*G233</f>
        <v>43800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'[7]Sch D'!N30</f>
        <v>0.67091324200913238</v>
      </c>
      <c r="D236" s="238"/>
      <c r="E236" s="242">
        <f>E228/E235</f>
        <v>0.67091324200913238</v>
      </c>
      <c r="F236" s="243"/>
      <c r="G236" s="242">
        <f>G228/G235</f>
        <v>0.67091324200913238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'[7]Sch D'!N32</f>
        <v>0.38401826484018264</v>
      </c>
      <c r="D237" s="238"/>
      <c r="E237" s="242">
        <f>(E219+E220)/E235</f>
        <v>0.38401826484018264</v>
      </c>
      <c r="F237" s="243"/>
      <c r="G237" s="242">
        <f>(G219+G220)/G235</f>
        <v>0.38401826484018264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'[7]Sch D'!N34</f>
        <v>0.57238140611175392</v>
      </c>
      <c r="D238" s="238"/>
      <c r="E238" s="242">
        <f>(E237/E236)</f>
        <v>0.57238140611175392</v>
      </c>
      <c r="F238" s="243"/>
      <c r="G238" s="242">
        <f>(G237/G236)</f>
        <v>0.57238140611175392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'[7]Sch B'!C85</f>
        <v>217.77187499999999</v>
      </c>
      <c r="I241" s="475"/>
    </row>
    <row r="242" spans="2:9">
      <c r="F242" s="142" t="s">
        <v>341</v>
      </c>
      <c r="G242" s="501">
        <f>'[7]Sch B'!E85</f>
        <v>217.77258566978193</v>
      </c>
      <c r="I242" s="475"/>
    </row>
    <row r="243" spans="2:9">
      <c r="F243" s="142" t="s">
        <v>342</v>
      </c>
      <c r="G243" s="501">
        <f>'[7]Sch B'!G85</f>
        <v>217.77333333333334</v>
      </c>
      <c r="I243" s="475"/>
    </row>
    <row r="244" spans="2:9">
      <c r="F244" s="142" t="s">
        <v>343</v>
      </c>
      <c r="G244" s="501">
        <f>'[7]Sch B'!I85</f>
        <v>217.77238805970148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9" sqref="F9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6">
    <tabColor rgb="FFE28CAB"/>
  </sheetPr>
  <dimension ref="A1:O246"/>
  <sheetViews>
    <sheetView showGridLines="0" topLeftCell="A194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352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32"/>
      <c r="G1" s="432"/>
      <c r="H1" s="432"/>
      <c r="I1" s="430"/>
    </row>
    <row r="2" spans="1:11" ht="23">
      <c r="B2" s="143" t="s">
        <v>189</v>
      </c>
      <c r="C2" s="244" t="s">
        <v>508</v>
      </c>
      <c r="D2" s="244"/>
      <c r="E2"/>
      <c r="F2"/>
      <c r="G2"/>
      <c r="H2"/>
    </row>
    <row r="3" spans="1:11" ht="15.5">
      <c r="A3" s="145"/>
      <c r="B3" s="140" t="s">
        <v>79</v>
      </c>
      <c r="C3" s="441">
        <v>42552</v>
      </c>
      <c r="D3" s="345"/>
      <c r="E3" s="147"/>
      <c r="F3" s="416"/>
      <c r="G3"/>
      <c r="H3"/>
    </row>
    <row r="4" spans="1:11" ht="15.5">
      <c r="A4" s="145"/>
      <c r="B4" s="148" t="s">
        <v>80</v>
      </c>
      <c r="C4" s="441">
        <v>42916</v>
      </c>
      <c r="D4" s="345"/>
      <c r="E4" s="149"/>
      <c r="F4" s="416"/>
      <c r="G4"/>
      <c r="H4"/>
    </row>
    <row r="5" spans="1:11" ht="15.5">
      <c r="A5" s="145"/>
      <c r="B5" s="148"/>
      <c r="C5" s="151"/>
      <c r="D5" s="144"/>
      <c r="F5" s="416"/>
      <c r="G5"/>
      <c r="H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346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347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348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447"/>
      <c r="D10" s="447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'[69]Sch B'!E10</f>
        <v>2139959.4</v>
      </c>
      <c r="D11" s="501">
        <f>'[69]Sch B'!G10</f>
        <v>0</v>
      </c>
      <c r="E11" s="171">
        <f>C11+D11</f>
        <v>2139959.4</v>
      </c>
      <c r="F11" s="666">
        <v>904534</v>
      </c>
      <c r="G11" s="171">
        <f t="shared" ref="G11:G20" si="0">E11+F11</f>
        <v>3044493.4</v>
      </c>
      <c r="H11" s="172">
        <f t="shared" ref="H11:H21" si="1">IF($G$21=0,0,G11/$G$21)</f>
        <v>0.72324467578399587</v>
      </c>
      <c r="I11" s="473"/>
      <c r="J11" s="336" t="s">
        <v>344</v>
      </c>
      <c r="K11" s="337">
        <f>G21</f>
        <v>4209493</v>
      </c>
    </row>
    <row r="12" spans="1:11" s="167" customFormat="1">
      <c r="A12" s="169" t="s">
        <v>15</v>
      </c>
      <c r="B12" s="170" t="s">
        <v>212</v>
      </c>
      <c r="C12" s="501">
        <f>'[69]Sch B'!E15</f>
        <v>0</v>
      </c>
      <c r="D12" s="501">
        <f>'[69]Sch B'!G15</f>
        <v>0</v>
      </c>
      <c r="E12" s="171">
        <f t="shared" ref="E12:E20" si="2">C12+D12</f>
        <v>0</v>
      </c>
      <c r="F12" s="35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2166953</v>
      </c>
    </row>
    <row r="13" spans="1:11" s="167" customFormat="1">
      <c r="A13" s="169" t="s">
        <v>16</v>
      </c>
      <c r="B13" s="170" t="s">
        <v>170</v>
      </c>
      <c r="C13" s="501">
        <f>'[69]Sch B'!E21</f>
        <v>1057807.2</v>
      </c>
      <c r="D13" s="501">
        <f>'[69]Sch B'!G21</f>
        <v>0</v>
      </c>
      <c r="E13" s="171">
        <f t="shared" si="2"/>
        <v>1057807.2</v>
      </c>
      <c r="F13" s="351"/>
      <c r="G13" s="171">
        <f t="shared" si="0"/>
        <v>1057807.2</v>
      </c>
      <c r="H13" s="172">
        <f t="shared" si="1"/>
        <v>0.25129087992306909</v>
      </c>
      <c r="I13" s="473"/>
      <c r="J13" s="338" t="s">
        <v>346</v>
      </c>
      <c r="K13" s="339">
        <f>G228</f>
        <v>10066</v>
      </c>
    </row>
    <row r="14" spans="1:11" s="167" customFormat="1">
      <c r="A14" s="173" t="s">
        <v>18</v>
      </c>
      <c r="B14" s="174" t="s">
        <v>306</v>
      </c>
      <c r="C14" s="501">
        <f>'[69]Sch B'!E27</f>
        <v>41126.400000000001</v>
      </c>
      <c r="D14" s="501">
        <f>'[69]Sch B'!G27</f>
        <v>0</v>
      </c>
      <c r="E14" s="171">
        <f t="shared" si="2"/>
        <v>41126.400000000001</v>
      </c>
      <c r="F14" s="351"/>
      <c r="G14" s="175">
        <f>E14+F14</f>
        <v>41126.400000000001</v>
      </c>
      <c r="H14" s="176">
        <f t="shared" si="1"/>
        <v>9.7699176599177154E-3</v>
      </c>
      <c r="I14" s="479"/>
      <c r="J14" s="338" t="s">
        <v>347</v>
      </c>
      <c r="K14" s="339">
        <f>G231</f>
        <v>29</v>
      </c>
    </row>
    <row r="15" spans="1:11" s="167" customFormat="1">
      <c r="A15" s="169" t="s">
        <v>19</v>
      </c>
      <c r="B15" s="170" t="s">
        <v>171</v>
      </c>
      <c r="C15" s="501">
        <f>'[69]Sch B'!E32</f>
        <v>0</v>
      </c>
      <c r="D15" s="501">
        <f>'[69]Sch B'!G32</f>
        <v>0</v>
      </c>
      <c r="E15" s="171">
        <f t="shared" si="2"/>
        <v>0</v>
      </c>
      <c r="F15" s="35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10585</v>
      </c>
    </row>
    <row r="16" spans="1:11" s="167" customFormat="1">
      <c r="A16" s="169" t="s">
        <v>21</v>
      </c>
      <c r="B16" s="170" t="s">
        <v>172</v>
      </c>
      <c r="C16" s="501">
        <f>'[69]Sch B'!E37</f>
        <v>36946</v>
      </c>
      <c r="D16" s="501">
        <f>'[69]Sch B'!G37</f>
        <v>0</v>
      </c>
      <c r="E16" s="171">
        <f t="shared" si="2"/>
        <v>36946</v>
      </c>
      <c r="F16" s="351"/>
      <c r="G16" s="171">
        <f t="shared" si="0"/>
        <v>36946</v>
      </c>
      <c r="H16" s="172">
        <f t="shared" si="1"/>
        <v>8.7768289435331045E-3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'[69]Sch B'!E42</f>
        <v>1602</v>
      </c>
      <c r="D17" s="501">
        <f>'[69]Sch B'!G42</f>
        <v>0</v>
      </c>
      <c r="E17" s="171">
        <f t="shared" si="2"/>
        <v>1602</v>
      </c>
      <c r="F17" s="351"/>
      <c r="G17" s="171">
        <f>E17+F17</f>
        <v>1602</v>
      </c>
      <c r="H17" s="172">
        <f t="shared" si="1"/>
        <v>3.8056839624154264E-4</v>
      </c>
      <c r="I17" s="473"/>
      <c r="J17" s="338" t="s">
        <v>156</v>
      </c>
      <c r="K17" s="339">
        <f>J208</f>
        <v>46785</v>
      </c>
    </row>
    <row r="18" spans="1:11" s="167" customFormat="1" ht="13.5" thickBot="1">
      <c r="A18" s="169" t="s">
        <v>216</v>
      </c>
      <c r="B18" s="170" t="s">
        <v>229</v>
      </c>
      <c r="C18" s="501">
        <f>'[69]Sch B'!E47</f>
        <v>0</v>
      </c>
      <c r="D18" s="501">
        <f>'[69]Sch B'!G47</f>
        <v>0</v>
      </c>
      <c r="E18" s="171">
        <f t="shared" si="2"/>
        <v>0</v>
      </c>
      <c r="F18" s="35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47807</v>
      </c>
    </row>
    <row r="19" spans="1:11" s="167" customFormat="1">
      <c r="A19" s="169" t="s">
        <v>227</v>
      </c>
      <c r="B19" s="177" t="s">
        <v>173</v>
      </c>
      <c r="C19" s="501">
        <f>'[69]Sch B'!E52</f>
        <v>0</v>
      </c>
      <c r="D19" s="501">
        <f>'[69]Sch B'!G52</f>
        <v>0</v>
      </c>
      <c r="E19" s="171">
        <f t="shared" si="2"/>
        <v>0</v>
      </c>
      <c r="F19" s="35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'[69]Sch B'!E67</f>
        <v>27518</v>
      </c>
      <c r="D20" s="501">
        <f>'[69]Sch B'!G67</f>
        <v>0</v>
      </c>
      <c r="E20" s="171">
        <f t="shared" si="2"/>
        <v>27518</v>
      </c>
      <c r="F20" s="351"/>
      <c r="G20" s="171">
        <f t="shared" si="0"/>
        <v>27518</v>
      </c>
      <c r="H20" s="172">
        <f t="shared" si="1"/>
        <v>6.5371292932426776E-3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3304958.9999999995</v>
      </c>
      <c r="D21" s="501">
        <f>SUM(D11:D20)</f>
        <v>0</v>
      </c>
      <c r="E21" s="171">
        <f>SUM(E11:E20)</f>
        <v>3304958.9999999995</v>
      </c>
      <c r="F21" s="351">
        <f>SUM(F11:F20)</f>
        <v>904534</v>
      </c>
      <c r="G21" s="171">
        <f>SUM(G11:G20)</f>
        <v>4209493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349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349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'[69]Sch C'!D10</f>
        <v>143845</v>
      </c>
      <c r="D25" s="501">
        <f>'[69]Sch C'!F10</f>
        <v>0</v>
      </c>
      <c r="E25" s="171">
        <f t="shared" ref="E25:E60" si="3">C25+D25</f>
        <v>143845</v>
      </c>
      <c r="F25" s="351"/>
      <c r="G25" s="182">
        <f>E25+F25</f>
        <v>143845</v>
      </c>
      <c r="H25" s="172">
        <f>IF($G$208=0,0,G25/$G$208)</f>
        <v>6.6381227465478018E-2</v>
      </c>
      <c r="I25" s="473"/>
      <c r="J25" s="183">
        <v>2000</v>
      </c>
      <c r="K25" s="183">
        <v>2064</v>
      </c>
    </row>
    <row r="26" spans="1:11" s="167" customFormat="1">
      <c r="A26" s="169" t="s">
        <v>84</v>
      </c>
      <c r="B26" s="170" t="s">
        <v>176</v>
      </c>
      <c r="C26" s="501">
        <f>'[69]Sch C'!D11</f>
        <v>0</v>
      </c>
      <c r="D26" s="501">
        <f>'[69]Sch C'!F11</f>
        <v>0</v>
      </c>
      <c r="E26" s="171">
        <f t="shared" si="3"/>
        <v>0</v>
      </c>
      <c r="F26" s="35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'[69]Sch C'!D12</f>
        <v>41659</v>
      </c>
      <c r="D27" s="501">
        <f>'[69]Sch C'!F12</f>
        <v>0</v>
      </c>
      <c r="E27" s="171">
        <f t="shared" si="3"/>
        <v>41659</v>
      </c>
      <c r="F27" s="351"/>
      <c r="G27" s="171">
        <f t="shared" si="4"/>
        <v>41659</v>
      </c>
      <c r="H27" s="172">
        <f t="shared" si="5"/>
        <v>1.9224690152486002E-2</v>
      </c>
      <c r="I27" s="473"/>
      <c r="J27" s="183">
        <v>2029</v>
      </c>
      <c r="K27" s="183">
        <v>2110</v>
      </c>
    </row>
    <row r="28" spans="1:11" s="167" customFormat="1">
      <c r="A28" s="169" t="s">
        <v>86</v>
      </c>
      <c r="B28" s="170" t="s">
        <v>45</v>
      </c>
      <c r="C28" s="501">
        <f>'[69]Sch C'!D13</f>
        <v>72120</v>
      </c>
      <c r="D28" s="501">
        <f>'[69]Sch C'!F13</f>
        <v>-48977</v>
      </c>
      <c r="E28" s="171">
        <f t="shared" si="3"/>
        <v>23143</v>
      </c>
      <c r="F28" s="351"/>
      <c r="G28" s="171">
        <f t="shared" si="4"/>
        <v>23143</v>
      </c>
      <c r="H28" s="172">
        <f t="shared" si="5"/>
        <v>1.0679973215847322E-2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'[69]Sch C'!D14</f>
        <v>0</v>
      </c>
      <c r="D29" s="501">
        <f>'[69]Sch C'!F14</f>
        <v>0</v>
      </c>
      <c r="E29" s="171">
        <f t="shared" si="3"/>
        <v>0</v>
      </c>
      <c r="F29" s="35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'[69]Sch C'!D15</f>
        <v>772520</v>
      </c>
      <c r="D30" s="501">
        <f>'[69]Sch C'!F15</f>
        <v>-772520</v>
      </c>
      <c r="E30" s="171">
        <f t="shared" si="3"/>
        <v>0</v>
      </c>
      <c r="F30" s="35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'[69]Sch C'!D16</f>
        <v>52236</v>
      </c>
      <c r="D31" s="501">
        <f>'[69]Sch C'!F16</f>
        <v>9076</v>
      </c>
      <c r="E31" s="171">
        <f t="shared" si="3"/>
        <v>61312</v>
      </c>
      <c r="F31" s="351"/>
      <c r="G31" s="171">
        <f t="shared" si="4"/>
        <v>61312</v>
      </c>
      <c r="H31" s="172">
        <f t="shared" si="5"/>
        <v>2.829410697878542E-2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'[69]Sch C'!D17</f>
        <v>1675</v>
      </c>
      <c r="D32" s="501">
        <f>'[69]Sch C'!F17</f>
        <v>-1675</v>
      </c>
      <c r="E32" s="171">
        <f t="shared" si="3"/>
        <v>0</v>
      </c>
      <c r="F32" s="35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'[69]Sch C'!D18</f>
        <v>6360</v>
      </c>
      <c r="D33" s="501">
        <f>'[69]Sch C'!F18</f>
        <v>0</v>
      </c>
      <c r="E33" s="171">
        <f t="shared" si="3"/>
        <v>6360</v>
      </c>
      <c r="F33" s="351"/>
      <c r="G33" s="171">
        <f t="shared" si="4"/>
        <v>6360</v>
      </c>
      <c r="H33" s="172">
        <f t="shared" si="5"/>
        <v>2.9349967442764101E-3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'[69]Sch C'!D19</f>
        <v>20687</v>
      </c>
      <c r="D34" s="501">
        <f>'[69]Sch C'!F19</f>
        <v>0</v>
      </c>
      <c r="E34" s="171">
        <f t="shared" si="3"/>
        <v>20687</v>
      </c>
      <c r="F34" s="351"/>
      <c r="G34" s="171">
        <f t="shared" si="4"/>
        <v>20687</v>
      </c>
      <c r="H34" s="172">
        <f t="shared" si="5"/>
        <v>9.5465845359820906E-3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'[69]Sch C'!D20</f>
        <v>5583</v>
      </c>
      <c r="D35" s="501">
        <f>'[69]Sch C'!F20</f>
        <v>0</v>
      </c>
      <c r="E35" s="171">
        <f t="shared" si="3"/>
        <v>5583</v>
      </c>
      <c r="F35" s="351"/>
      <c r="G35" s="171">
        <f t="shared" si="4"/>
        <v>5583</v>
      </c>
      <c r="H35" s="172">
        <f t="shared" si="5"/>
        <v>2.5764287458011318E-3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'[69]Sch C'!D21</f>
        <v>28427</v>
      </c>
      <c r="D36" s="501">
        <f>'[69]Sch C'!F21</f>
        <v>0</v>
      </c>
      <c r="E36" s="171">
        <f t="shared" si="3"/>
        <v>28427</v>
      </c>
      <c r="F36" s="666">
        <v>-1177</v>
      </c>
      <c r="G36" s="171">
        <f t="shared" si="4"/>
        <v>27250</v>
      </c>
      <c r="H36" s="172">
        <f t="shared" si="5"/>
        <v>1.2575261207788079E-2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'[69]Sch C'!D22</f>
        <v>0</v>
      </c>
      <c r="D37" s="501">
        <f>'[69]Sch C'!F22</f>
        <v>0</v>
      </c>
      <c r="E37" s="171">
        <f t="shared" si="3"/>
        <v>0</v>
      </c>
      <c r="F37" s="35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'[69]Sch C'!D23</f>
        <v>8646</v>
      </c>
      <c r="D38" s="501">
        <f>'[69]Sch C'!F23</f>
        <v>0</v>
      </c>
      <c r="E38" s="171">
        <f t="shared" si="3"/>
        <v>8646</v>
      </c>
      <c r="F38" s="351"/>
      <c r="G38" s="171">
        <f t="shared" si="4"/>
        <v>8646</v>
      </c>
      <c r="H38" s="172">
        <f t="shared" si="5"/>
        <v>3.9899342533040632E-3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'[69]Sch C'!D24</f>
        <v>0</v>
      </c>
      <c r="D39" s="501">
        <f>'[69]Sch C'!F24</f>
        <v>0</v>
      </c>
      <c r="E39" s="171">
        <f t="shared" si="3"/>
        <v>0</v>
      </c>
      <c r="F39" s="35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'[69]Sch C'!D25</f>
        <v>0</v>
      </c>
      <c r="D40" s="501">
        <f>'[69]Sch C'!F25</f>
        <v>0</v>
      </c>
      <c r="E40" s="171">
        <f t="shared" si="3"/>
        <v>0</v>
      </c>
      <c r="F40" s="35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'[69]Sch C'!D26</f>
        <v>147256</v>
      </c>
      <c r="D41" s="501">
        <f>'[69]Sch C'!F26</f>
        <v>0</v>
      </c>
      <c r="E41" s="171">
        <f t="shared" si="3"/>
        <v>147256</v>
      </c>
      <c r="F41" s="351"/>
      <c r="G41" s="171">
        <f t="shared" si="4"/>
        <v>147256</v>
      </c>
      <c r="H41" s="172">
        <f t="shared" si="5"/>
        <v>6.7955327134460231E-2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'[69]Sch C'!D27</f>
        <v>0</v>
      </c>
      <c r="D42" s="501">
        <f>'[69]Sch C'!F27</f>
        <v>0</v>
      </c>
      <c r="E42" s="171">
        <f t="shared" si="3"/>
        <v>0</v>
      </c>
      <c r="F42" s="35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'[69]Sch C'!D28</f>
        <v>0</v>
      </c>
      <c r="D43" s="501">
        <f>'[69]Sch C'!F28</f>
        <v>0</v>
      </c>
      <c r="E43" s="171">
        <f t="shared" si="3"/>
        <v>0</v>
      </c>
      <c r="F43" s="35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'[69]Sch C'!D29</f>
        <v>0</v>
      </c>
      <c r="D44" s="501">
        <f>'[69]Sch C'!F29</f>
        <v>0</v>
      </c>
      <c r="E44" s="171">
        <f t="shared" si="3"/>
        <v>0</v>
      </c>
      <c r="F44" s="35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'[69]Sch C'!D30</f>
        <v>1620</v>
      </c>
      <c r="D45" s="501">
        <f>'[69]Sch C'!F30</f>
        <v>-1620</v>
      </c>
      <c r="E45" s="171">
        <f t="shared" si="3"/>
        <v>0</v>
      </c>
      <c r="F45" s="35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'[69]Sch C'!D31</f>
        <v>12506</v>
      </c>
      <c r="D46" s="501">
        <f>'[69]Sch C'!F31</f>
        <v>-3295</v>
      </c>
      <c r="E46" s="171">
        <f t="shared" si="3"/>
        <v>9211</v>
      </c>
      <c r="F46" s="351"/>
      <c r="G46" s="171">
        <f t="shared" si="4"/>
        <v>9211</v>
      </c>
      <c r="H46" s="172">
        <f t="shared" si="5"/>
        <v>4.2506690269701278E-3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'[69]Sch C'!D32</f>
        <v>34667</v>
      </c>
      <c r="D47" s="501">
        <f>'[69]Sch C'!F32</f>
        <v>-5416</v>
      </c>
      <c r="E47" s="171">
        <f t="shared" si="3"/>
        <v>29251</v>
      </c>
      <c r="F47" s="351"/>
      <c r="G47" s="171">
        <f t="shared" si="4"/>
        <v>29251</v>
      </c>
      <c r="H47" s="172">
        <f t="shared" si="5"/>
        <v>1.3498677636293911E-2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'[69]Sch C'!D33</f>
        <v>0</v>
      </c>
      <c r="D48" s="501">
        <f>'[69]Sch C'!F33</f>
        <v>0</v>
      </c>
      <c r="E48" s="171">
        <f t="shared" si="3"/>
        <v>0</v>
      </c>
      <c r="F48" s="35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'[69]Sch C'!D34</f>
        <v>0</v>
      </c>
      <c r="D49" s="501">
        <f>'[69]Sch C'!F34</f>
        <v>0</v>
      </c>
      <c r="E49" s="171">
        <f t="shared" si="3"/>
        <v>0</v>
      </c>
      <c r="F49" s="35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'[69]Sch C'!D35</f>
        <v>0</v>
      </c>
      <c r="D50" s="501">
        <f>'[69]Sch C'!F35</f>
        <v>0</v>
      </c>
      <c r="E50" s="171">
        <f t="shared" si="3"/>
        <v>0</v>
      </c>
      <c r="F50" s="35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'[69]Sch C'!D36</f>
        <v>0</v>
      </c>
      <c r="D51" s="501">
        <f>'[69]Sch C'!F36</f>
        <v>0</v>
      </c>
      <c r="E51" s="171">
        <f t="shared" si="3"/>
        <v>0</v>
      </c>
      <c r="F51" s="35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'[69]Sch C'!D37</f>
        <v>0</v>
      </c>
      <c r="D52" s="501">
        <f>'[69]Sch C'!F37</f>
        <v>0</v>
      </c>
      <c r="E52" s="171">
        <f t="shared" si="3"/>
        <v>0</v>
      </c>
      <c r="F52" s="35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'[69]Sch C'!D38</f>
        <v>0</v>
      </c>
      <c r="D53" s="501">
        <f>'[69]Sch C'!F38</f>
        <v>0</v>
      </c>
      <c r="E53" s="171">
        <f t="shared" si="3"/>
        <v>0</v>
      </c>
      <c r="F53" s="35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'[69]Sch C'!D39</f>
        <v>1832</v>
      </c>
      <c r="D54" s="501">
        <f>'[69]Sch C'!F39</f>
        <v>0</v>
      </c>
      <c r="E54" s="171">
        <f t="shared" si="3"/>
        <v>1832</v>
      </c>
      <c r="F54" s="351"/>
      <c r="G54" s="171">
        <f t="shared" si="4"/>
        <v>1832</v>
      </c>
      <c r="H54" s="172">
        <f t="shared" si="5"/>
        <v>8.4542673514377098E-4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'[69]Sch C'!D40</f>
        <v>0</v>
      </c>
      <c r="D55" s="501">
        <f>'[69]Sch C'!F40</f>
        <v>0</v>
      </c>
      <c r="E55" s="171">
        <f t="shared" si="3"/>
        <v>0</v>
      </c>
      <c r="F55" s="35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'[69]Sch C'!D41</f>
        <v>10554</v>
      </c>
      <c r="D56" s="501">
        <f>'[69]Sch C'!F41</f>
        <v>0</v>
      </c>
      <c r="E56" s="171">
        <f t="shared" si="3"/>
        <v>10554</v>
      </c>
      <c r="F56" s="351"/>
      <c r="G56" s="171">
        <f t="shared" si="4"/>
        <v>10554</v>
      </c>
      <c r="H56" s="172">
        <f t="shared" si="5"/>
        <v>4.8704332765869864E-3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'[69]Sch C'!D42</f>
        <v>7546</v>
      </c>
      <c r="D57" s="501">
        <f>'[69]Sch C'!F42</f>
        <v>0</v>
      </c>
      <c r="E57" s="171">
        <f t="shared" si="3"/>
        <v>7546</v>
      </c>
      <c r="F57" s="351"/>
      <c r="G57" s="171">
        <f t="shared" si="4"/>
        <v>7546</v>
      </c>
      <c r="H57" s="172">
        <f t="shared" si="5"/>
        <v>3.4823090302373888E-3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'[69]Sch C'!D43</f>
        <v>5310</v>
      </c>
      <c r="D58" s="501">
        <f>'[69]Sch C'!F43</f>
        <v>-5310</v>
      </c>
      <c r="E58" s="171">
        <f t="shared" si="3"/>
        <v>0</v>
      </c>
      <c r="F58" s="35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'[69]Sch C'!D44</f>
        <v>0</v>
      </c>
      <c r="D59" s="501">
        <f>'[69]Sch C'!F44</f>
        <v>0</v>
      </c>
      <c r="E59" s="171">
        <f t="shared" si="3"/>
        <v>0</v>
      </c>
      <c r="F59" s="35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'[69]Sch C'!D45</f>
        <v>13408</v>
      </c>
      <c r="D60" s="501">
        <f>'[69]Sch C'!F45</f>
        <v>0</v>
      </c>
      <c r="E60" s="171">
        <f t="shared" si="3"/>
        <v>13408</v>
      </c>
      <c r="F60" s="351"/>
      <c r="G60" s="171">
        <f t="shared" si="4"/>
        <v>13408</v>
      </c>
      <c r="H60" s="172">
        <f t="shared" si="5"/>
        <v>6.1874899917072502E-3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1388457</v>
      </c>
      <c r="D61" s="501">
        <f>SUM(D25:D60)</f>
        <v>-829737</v>
      </c>
      <c r="E61" s="171">
        <f t="shared" ref="E61:F61" si="6">SUM(E25:E60)</f>
        <v>558720</v>
      </c>
      <c r="F61" s="171">
        <f t="shared" si="6"/>
        <v>-1177</v>
      </c>
      <c r="G61" s="171">
        <f>SUM(G25:G60)</f>
        <v>557543</v>
      </c>
      <c r="H61" s="186">
        <f t="shared" si="5"/>
        <v>0.25729353613114819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350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350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'[69]Sch C'!D57</f>
        <v>285792</v>
      </c>
      <c r="D64" s="501">
        <f>'[69]Sch C'!F57</f>
        <v>-280913</v>
      </c>
      <c r="E64" s="171">
        <f t="shared" ref="E64:E78" si="7">C64+D64</f>
        <v>4879</v>
      </c>
      <c r="F64" s="351"/>
      <c r="G64" s="171">
        <f t="shared" ref="G64:G78" si="8">E64+F64</f>
        <v>4879</v>
      </c>
      <c r="H64" s="172">
        <f t="shared" ref="H64:H79" si="9">IF($G$208=0,0,G64/$G$208)</f>
        <v>2.2515486030384598E-3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'[69]Sch C'!D58</f>
        <v>0</v>
      </c>
      <c r="D65" s="501">
        <f>'[69]Sch C'!F58</f>
        <v>51475</v>
      </c>
      <c r="E65" s="171">
        <f t="shared" si="7"/>
        <v>51475</v>
      </c>
      <c r="F65" s="351"/>
      <c r="G65" s="171">
        <f t="shared" si="8"/>
        <v>51475</v>
      </c>
      <c r="H65" s="172">
        <f t="shared" si="9"/>
        <v>2.3754553052142802E-2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'[69]Sch C'!D59</f>
        <v>0</v>
      </c>
      <c r="D66" s="501">
        <f>'[69]Sch C'!F59</f>
        <v>53255</v>
      </c>
      <c r="E66" s="171">
        <f t="shared" si="7"/>
        <v>53255</v>
      </c>
      <c r="F66" s="351"/>
      <c r="G66" s="171">
        <f t="shared" si="8"/>
        <v>53255</v>
      </c>
      <c r="H66" s="172">
        <f t="shared" si="9"/>
        <v>2.4575982958559783E-2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'[69]Sch C'!D60</f>
        <v>5340</v>
      </c>
      <c r="D67" s="501">
        <f>'[69]Sch C'!F60</f>
        <v>0</v>
      </c>
      <c r="E67" s="171">
        <f t="shared" si="7"/>
        <v>5340</v>
      </c>
      <c r="F67" s="351"/>
      <c r="G67" s="171">
        <f t="shared" si="8"/>
        <v>5340</v>
      </c>
      <c r="H67" s="172">
        <f t="shared" si="9"/>
        <v>2.464289719250948E-3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'[69]Sch C'!D61</f>
        <v>0</v>
      </c>
      <c r="D68" s="501">
        <f>'[69]Sch C'!F61</f>
        <v>4663</v>
      </c>
      <c r="E68" s="171">
        <f t="shared" si="7"/>
        <v>4663</v>
      </c>
      <c r="F68" s="351"/>
      <c r="G68" s="171">
        <f t="shared" si="8"/>
        <v>4663</v>
      </c>
      <c r="H68" s="172">
        <f t="shared" si="9"/>
        <v>2.1518694683271859E-3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'[69]Sch C'!D62</f>
        <v>0</v>
      </c>
      <c r="D69" s="501">
        <f>'[69]Sch C'!F62</f>
        <v>0</v>
      </c>
      <c r="E69" s="171">
        <f t="shared" si="7"/>
        <v>0</v>
      </c>
      <c r="F69" s="35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'[69]Sch C'!D63</f>
        <v>0</v>
      </c>
      <c r="D70" s="501">
        <f>'[69]Sch C'!F63</f>
        <v>0</v>
      </c>
      <c r="E70" s="171">
        <f t="shared" si="7"/>
        <v>0</v>
      </c>
      <c r="F70" s="35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'[69]Sch C'!D64</f>
        <v>0</v>
      </c>
      <c r="D71" s="501">
        <f>'[69]Sch C'!F64</f>
        <v>0</v>
      </c>
      <c r="E71" s="171">
        <f t="shared" si="7"/>
        <v>0</v>
      </c>
      <c r="F71" s="35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'[69]Sch C'!D65</f>
        <v>0</v>
      </c>
      <c r="D72" s="501">
        <f>'[69]Sch C'!F65</f>
        <v>3295</v>
      </c>
      <c r="E72" s="171">
        <f t="shared" si="7"/>
        <v>3295</v>
      </c>
      <c r="F72" s="351"/>
      <c r="G72" s="171">
        <f t="shared" si="8"/>
        <v>3295</v>
      </c>
      <c r="H72" s="172">
        <f t="shared" si="9"/>
        <v>1.5205682818224483E-3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'[69]Sch C'!D66</f>
        <v>0</v>
      </c>
      <c r="D73" s="501">
        <f>'[69]Sch C'!F66</f>
        <v>0</v>
      </c>
      <c r="E73" s="171">
        <f t="shared" si="7"/>
        <v>0</v>
      </c>
      <c r="F73" s="35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'[69]Sch C'!D67</f>
        <v>0</v>
      </c>
      <c r="D74" s="501">
        <f>'[69]Sch C'!F67</f>
        <v>3022</v>
      </c>
      <c r="E74" s="171">
        <f t="shared" si="7"/>
        <v>3022</v>
      </c>
      <c r="F74" s="351"/>
      <c r="G74" s="171">
        <f t="shared" si="8"/>
        <v>3022</v>
      </c>
      <c r="H74" s="172">
        <f t="shared" si="9"/>
        <v>1.39458493100681E-3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'[69]Sch C'!D68</f>
        <v>0</v>
      </c>
      <c r="D75" s="501">
        <f>'[69]Sch C'!F68</f>
        <v>0</v>
      </c>
      <c r="E75" s="171">
        <f t="shared" si="7"/>
        <v>0</v>
      </c>
      <c r="F75" s="35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'[69]Sch C'!D69</f>
        <v>0</v>
      </c>
      <c r="D76" s="501">
        <f>'[69]Sch C'!F69</f>
        <v>0</v>
      </c>
      <c r="E76" s="171">
        <f t="shared" si="7"/>
        <v>0</v>
      </c>
      <c r="F76" s="35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'[69]Sch C'!D70</f>
        <v>0</v>
      </c>
      <c r="D77" s="501">
        <f>'[69]Sch C'!F70</f>
        <v>0</v>
      </c>
      <c r="E77" s="171">
        <f t="shared" si="7"/>
        <v>0</v>
      </c>
      <c r="F77" s="35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'[69]Sch C'!D71</f>
        <v>0</v>
      </c>
      <c r="D78" s="501">
        <f>'[69]Sch C'!F71</f>
        <v>0</v>
      </c>
      <c r="E78" s="171">
        <f t="shared" si="7"/>
        <v>0</v>
      </c>
      <c r="F78" s="35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291132</v>
      </c>
      <c r="D79" s="501">
        <f>SUM(D64:D78)</f>
        <v>-165203</v>
      </c>
      <c r="E79" s="171">
        <f t="shared" ref="E79:F79" si="10">SUM(E64:E78)</f>
        <v>125929</v>
      </c>
      <c r="F79" s="171">
        <f t="shared" si="10"/>
        <v>0</v>
      </c>
      <c r="G79" s="171">
        <f>SUM(G64:G78)</f>
        <v>125929</v>
      </c>
      <c r="H79" s="172">
        <f t="shared" si="9"/>
        <v>5.8113397014148437E-2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353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350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'[69]Sch C'!D75</f>
        <v>8150</v>
      </c>
      <c r="D82" s="501">
        <f>'[69]Sch C'!F75</f>
        <v>0</v>
      </c>
      <c r="E82" s="171">
        <f t="shared" ref="E82:E92" si="11">C82+D82</f>
        <v>8150</v>
      </c>
      <c r="F82" s="351"/>
      <c r="G82" s="171">
        <f t="shared" ref="G82:G92" si="12">E82+F82</f>
        <v>8150</v>
      </c>
      <c r="H82" s="172">
        <f t="shared" ref="H82:H93" si="13">IF($G$208=0,0,G82/$G$208)</f>
        <v>3.7610414254485446E-3</v>
      </c>
      <c r="I82" s="473"/>
      <c r="J82" s="183">
        <v>233</v>
      </c>
      <c r="K82" s="183">
        <v>233</v>
      </c>
    </row>
    <row r="83" spans="1:11" s="167" customFormat="1">
      <c r="A83" s="169" t="s">
        <v>86</v>
      </c>
      <c r="B83" s="199" t="s">
        <v>45</v>
      </c>
      <c r="C83" s="501">
        <f>'[69]Sch C'!D76</f>
        <v>594</v>
      </c>
      <c r="D83" s="501">
        <f>'[69]Sch C'!F76</f>
        <v>516</v>
      </c>
      <c r="E83" s="171">
        <f t="shared" si="11"/>
        <v>1110</v>
      </c>
      <c r="F83" s="351"/>
      <c r="G83" s="171">
        <f t="shared" si="12"/>
        <v>1110</v>
      </c>
      <c r="H83" s="172">
        <f t="shared" si="13"/>
        <v>5.122399978218263E-4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'[69]Sch C'!D77</f>
        <v>3942</v>
      </c>
      <c r="D84" s="501">
        <f>'[69]Sch C'!F77</f>
        <v>0</v>
      </c>
      <c r="E84" s="171">
        <f t="shared" si="11"/>
        <v>3942</v>
      </c>
      <c r="F84" s="351"/>
      <c r="G84" s="171">
        <f t="shared" si="12"/>
        <v>3942</v>
      </c>
      <c r="H84" s="172">
        <f t="shared" si="13"/>
        <v>1.8191442084807561E-3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'[69]Sch C'!D78</f>
        <v>400</v>
      </c>
      <c r="D85" s="501">
        <f>'[69]Sch C'!F78</f>
        <v>0</v>
      </c>
      <c r="E85" s="171">
        <f t="shared" si="11"/>
        <v>400</v>
      </c>
      <c r="F85" s="351"/>
      <c r="G85" s="171">
        <f t="shared" si="12"/>
        <v>400</v>
      </c>
      <c r="H85" s="172">
        <f t="shared" si="13"/>
        <v>1.8459099020606354E-4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'[69]Sch C'!D79</f>
        <v>123</v>
      </c>
      <c r="D86" s="501">
        <f>'[69]Sch C'!F79</f>
        <v>0</v>
      </c>
      <c r="E86" s="171">
        <f t="shared" si="11"/>
        <v>123</v>
      </c>
      <c r="F86" s="351"/>
      <c r="G86" s="171">
        <f>E86+F86</f>
        <v>123</v>
      </c>
      <c r="H86" s="172">
        <f t="shared" si="13"/>
        <v>5.6761729488364539E-5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'[69]Sch C'!D80</f>
        <v>17597</v>
      </c>
      <c r="D87" s="501">
        <f>'[69]Sch C'!F80</f>
        <v>0</v>
      </c>
      <c r="E87" s="171">
        <f t="shared" si="11"/>
        <v>17597</v>
      </c>
      <c r="F87" s="351"/>
      <c r="G87" s="171">
        <f t="shared" si="12"/>
        <v>17597</v>
      </c>
      <c r="H87" s="172">
        <f t="shared" si="13"/>
        <v>8.1206191366402503E-3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'[69]Sch C'!D81</f>
        <v>15185</v>
      </c>
      <c r="D88" s="501">
        <f>'[69]Sch C'!F81</f>
        <v>-10838</v>
      </c>
      <c r="E88" s="171">
        <f t="shared" si="11"/>
        <v>4347</v>
      </c>
      <c r="F88" s="351"/>
      <c r="G88" s="171">
        <f t="shared" si="12"/>
        <v>4347</v>
      </c>
      <c r="H88" s="172">
        <f t="shared" si="13"/>
        <v>2.0060425860643953E-3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'[69]Sch C'!D82</f>
        <v>0</v>
      </c>
      <c r="D89" s="501">
        <f>'[69]Sch C'!F82</f>
        <v>0</v>
      </c>
      <c r="E89" s="171">
        <f t="shared" si="11"/>
        <v>0</v>
      </c>
      <c r="F89" s="351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'[69]Sch C'!D83</f>
        <v>0</v>
      </c>
      <c r="D90" s="501">
        <f>'[69]Sch C'!F83</f>
        <v>0</v>
      </c>
      <c r="E90" s="171">
        <f t="shared" si="11"/>
        <v>0</v>
      </c>
      <c r="F90" s="35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'[69]Sch C'!D84</f>
        <v>19672</v>
      </c>
      <c r="D91" s="501">
        <f>'[69]Sch C'!F84</f>
        <v>0</v>
      </c>
      <c r="E91" s="171">
        <f t="shared" si="11"/>
        <v>19672</v>
      </c>
      <c r="F91" s="351"/>
      <c r="G91" s="171">
        <f t="shared" si="12"/>
        <v>19672</v>
      </c>
      <c r="H91" s="172">
        <f t="shared" si="13"/>
        <v>9.0781848983342052E-3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'[69]Sch C'!D85</f>
        <v>1563</v>
      </c>
      <c r="D92" s="501">
        <f>'[69]Sch C'!F85</f>
        <v>0</v>
      </c>
      <c r="E92" s="171">
        <f t="shared" si="11"/>
        <v>1563</v>
      </c>
      <c r="F92" s="351"/>
      <c r="G92" s="171">
        <f t="shared" si="12"/>
        <v>1563</v>
      </c>
      <c r="H92" s="172">
        <f t="shared" si="13"/>
        <v>7.2128929423019323E-4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67226</v>
      </c>
      <c r="D93" s="501">
        <f>SUM(D82:D92)</f>
        <v>-10322</v>
      </c>
      <c r="E93" s="171">
        <f t="shared" ref="E93:F93" si="14">SUM(E82:E92)</f>
        <v>56904</v>
      </c>
      <c r="F93" s="171">
        <f t="shared" si="14"/>
        <v>0</v>
      </c>
      <c r="G93" s="171">
        <f>SUM(G82:G92)</f>
        <v>56904</v>
      </c>
      <c r="H93" s="172">
        <f t="shared" si="13"/>
        <v>2.6259914266714597E-2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350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350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'[69]Sch C'!D89</f>
        <v>74374</v>
      </c>
      <c r="D96" s="501">
        <f>'[69]Sch C'!F89</f>
        <v>0</v>
      </c>
      <c r="E96" s="171">
        <f t="shared" ref="E96:E101" si="15">C96+D96</f>
        <v>74374</v>
      </c>
      <c r="F96" s="351"/>
      <c r="G96" s="171">
        <f t="shared" ref="G96:G101" si="16">E96+F96</f>
        <v>74374</v>
      </c>
      <c r="H96" s="172">
        <f t="shared" ref="H96:H102" si="17">IF($G$208=0,0,G96/$G$208)</f>
        <v>3.4321925763964423E-2</v>
      </c>
      <c r="I96" s="473"/>
      <c r="J96" s="183">
        <v>5204</v>
      </c>
      <c r="K96" s="183">
        <v>5260</v>
      </c>
    </row>
    <row r="97" spans="1:11" s="167" customFormat="1">
      <c r="A97" s="169" t="s">
        <v>86</v>
      </c>
      <c r="B97" s="170" t="s">
        <v>45</v>
      </c>
      <c r="C97" s="501">
        <f>'[69]Sch C'!D90</f>
        <v>6148</v>
      </c>
      <c r="D97" s="501">
        <f>'[69]Sch C'!F90</f>
        <v>4711</v>
      </c>
      <c r="E97" s="171">
        <f t="shared" si="15"/>
        <v>10859</v>
      </c>
      <c r="F97" s="351"/>
      <c r="G97" s="171">
        <f t="shared" si="16"/>
        <v>10859</v>
      </c>
      <c r="H97" s="172">
        <f t="shared" si="17"/>
        <v>5.0111839066191103E-3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'[69]Sch C'!D91</f>
        <v>7098</v>
      </c>
      <c r="D98" s="501">
        <f>'[69]Sch C'!F91</f>
        <v>0</v>
      </c>
      <c r="E98" s="171">
        <f t="shared" si="15"/>
        <v>7098</v>
      </c>
      <c r="F98" s="351"/>
      <c r="G98" s="171">
        <f t="shared" si="16"/>
        <v>7098</v>
      </c>
      <c r="H98" s="172">
        <f t="shared" si="17"/>
        <v>3.2755671212065973E-3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'[69]Sch C'!D92</f>
        <v>62099</v>
      </c>
      <c r="D99" s="501">
        <f>'[69]Sch C'!F92</f>
        <v>0</v>
      </c>
      <c r="E99" s="171">
        <f t="shared" si="15"/>
        <v>62099</v>
      </c>
      <c r="F99" s="351"/>
      <c r="G99" s="171">
        <f t="shared" si="16"/>
        <v>62099</v>
      </c>
      <c r="H99" s="172">
        <f t="shared" si="17"/>
        <v>2.8657289752015848E-2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'[69]Sch C'!D93</f>
        <v>10151</v>
      </c>
      <c r="D100" s="501">
        <f>'[69]Sch C'!F93</f>
        <v>0</v>
      </c>
      <c r="E100" s="171">
        <f t="shared" si="15"/>
        <v>10151</v>
      </c>
      <c r="F100" s="351"/>
      <c r="G100" s="171">
        <f t="shared" si="16"/>
        <v>10151</v>
      </c>
      <c r="H100" s="172">
        <f t="shared" si="17"/>
        <v>4.6844578539543772E-3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'[69]Sch C'!D94</f>
        <v>0</v>
      </c>
      <c r="D101" s="501">
        <f>'[69]Sch C'!F94</f>
        <v>0</v>
      </c>
      <c r="E101" s="171">
        <f t="shared" si="15"/>
        <v>0</v>
      </c>
      <c r="F101" s="35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159870</v>
      </c>
      <c r="D102" s="501">
        <f>SUM(D96:D101)</f>
        <v>4711</v>
      </c>
      <c r="E102" s="171">
        <f t="shared" ref="E102:F102" si="18">SUM(E96:E101)</f>
        <v>164581</v>
      </c>
      <c r="F102" s="171">
        <f t="shared" si="18"/>
        <v>0</v>
      </c>
      <c r="G102" s="171">
        <f>SUM(G96:G101)</f>
        <v>164581</v>
      </c>
      <c r="H102" s="172">
        <f t="shared" si="17"/>
        <v>7.5950424397760355E-2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350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350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'[69]Sch C'!D98</f>
        <v>0</v>
      </c>
      <c r="D105" s="501">
        <f>'[69]Sch C'!F98</f>
        <v>0</v>
      </c>
      <c r="E105" s="171">
        <f t="shared" ref="E105:E110" si="19">C105+D105</f>
        <v>0</v>
      </c>
      <c r="F105" s="35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'[69]Sch C'!D99</f>
        <v>0</v>
      </c>
      <c r="D106" s="501">
        <f>'[69]Sch C'!F99</f>
        <v>0</v>
      </c>
      <c r="E106" s="171">
        <f t="shared" si="19"/>
        <v>0</v>
      </c>
      <c r="F106" s="35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'[69]Sch C'!D100</f>
        <v>2162</v>
      </c>
      <c r="D107" s="501">
        <f>'[69]Sch C'!F100</f>
        <v>0</v>
      </c>
      <c r="E107" s="171">
        <f t="shared" si="19"/>
        <v>2162</v>
      </c>
      <c r="F107" s="351"/>
      <c r="G107" s="171">
        <f t="shared" si="20"/>
        <v>2162</v>
      </c>
      <c r="H107" s="172">
        <f t="shared" si="21"/>
        <v>9.9771430206377332E-4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'[69]Sch C'!D101</f>
        <v>0</v>
      </c>
      <c r="D108" s="501">
        <f>'[69]Sch C'!F101</f>
        <v>0</v>
      </c>
      <c r="E108" s="171">
        <f t="shared" si="19"/>
        <v>0</v>
      </c>
      <c r="F108" s="35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'[69]Sch C'!D102</f>
        <v>599</v>
      </c>
      <c r="D109" s="501">
        <f>'[69]Sch C'!F102</f>
        <v>0</v>
      </c>
      <c r="E109" s="171">
        <f t="shared" si="19"/>
        <v>599</v>
      </c>
      <c r="F109" s="351"/>
      <c r="G109" s="171">
        <f t="shared" si="20"/>
        <v>599</v>
      </c>
      <c r="H109" s="172">
        <f t="shared" si="21"/>
        <v>2.7642500783358015E-4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'[69]Sch C'!D103</f>
        <v>773</v>
      </c>
      <c r="D110" s="501">
        <f>'[69]Sch C'!F103</f>
        <v>0</v>
      </c>
      <c r="E110" s="171">
        <f t="shared" si="19"/>
        <v>773</v>
      </c>
      <c r="F110" s="351"/>
      <c r="G110" s="171">
        <f t="shared" si="20"/>
        <v>773</v>
      </c>
      <c r="H110" s="172">
        <f t="shared" si="21"/>
        <v>3.5672208857321779E-4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3534</v>
      </c>
      <c r="D111" s="501">
        <f>SUM(D105:D110)</f>
        <v>0</v>
      </c>
      <c r="E111" s="171">
        <f t="shared" ref="E111:F111" si="22">SUM(E105:E110)</f>
        <v>3534</v>
      </c>
      <c r="F111" s="171">
        <f t="shared" si="22"/>
        <v>0</v>
      </c>
      <c r="G111" s="171">
        <f>SUM(G105:G110)</f>
        <v>3534</v>
      </c>
      <c r="H111" s="172">
        <f t="shared" si="21"/>
        <v>1.6308613984705714E-3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350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350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'[69]Sch C'!D115</f>
        <v>38207</v>
      </c>
      <c r="D114" s="501">
        <f>'[69]Sch C'!F115</f>
        <v>0</v>
      </c>
      <c r="E114" s="171">
        <f t="shared" ref="E114:E118" si="23">C114+D114</f>
        <v>38207</v>
      </c>
      <c r="F114" s="351"/>
      <c r="G114" s="171">
        <f>E114+F114</f>
        <v>38207</v>
      </c>
      <c r="H114" s="172">
        <f t="shared" ref="H114:H119" si="24">IF($G$208=0,0,G114/$G$208)</f>
        <v>1.7631669907007673E-2</v>
      </c>
      <c r="I114" s="473"/>
      <c r="J114" s="183">
        <v>2564</v>
      </c>
      <c r="K114" s="183">
        <v>2663</v>
      </c>
    </row>
    <row r="115" spans="1:11" s="167" customFormat="1">
      <c r="A115" s="169" t="s">
        <v>86</v>
      </c>
      <c r="B115" s="170" t="s">
        <v>151</v>
      </c>
      <c r="C115" s="501">
        <f>'[69]Sch C'!D116</f>
        <v>3033</v>
      </c>
      <c r="D115" s="501">
        <f>'[69]Sch C'!F116</f>
        <v>2420</v>
      </c>
      <c r="E115" s="171">
        <f t="shared" si="23"/>
        <v>5453</v>
      </c>
      <c r="F115" s="351"/>
      <c r="G115" s="171">
        <f>E115+F115</f>
        <v>5453</v>
      </c>
      <c r="H115" s="172">
        <f t="shared" si="24"/>
        <v>2.5164366739841614E-3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'[69]Sch C'!D117</f>
        <v>6534</v>
      </c>
      <c r="D116" s="501">
        <f>'[69]Sch C'!F117</f>
        <v>0</v>
      </c>
      <c r="E116" s="171">
        <f t="shared" si="23"/>
        <v>6534</v>
      </c>
      <c r="F116" s="351"/>
      <c r="G116" s="171">
        <f>E116+F116</f>
        <v>6534</v>
      </c>
      <c r="H116" s="172">
        <f t="shared" si="24"/>
        <v>3.0152938250160477E-3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'[69]Sch C'!D118</f>
        <v>2697</v>
      </c>
      <c r="D117" s="501">
        <f>'[69]Sch C'!F118</f>
        <v>0</v>
      </c>
      <c r="E117" s="171">
        <f t="shared" si="23"/>
        <v>2697</v>
      </c>
      <c r="F117" s="351"/>
      <c r="G117" s="171">
        <f>E117+F117</f>
        <v>2697</v>
      </c>
      <c r="H117" s="172">
        <f t="shared" si="24"/>
        <v>1.2446047514643834E-3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'[69]Sch C'!D119</f>
        <v>0</v>
      </c>
      <c r="D118" s="501">
        <f>'[69]Sch C'!F119</f>
        <v>0</v>
      </c>
      <c r="E118" s="171">
        <f t="shared" si="23"/>
        <v>0</v>
      </c>
      <c r="F118" s="35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50471</v>
      </c>
      <c r="D119" s="501">
        <f>SUM(D114:D118)</f>
        <v>2420</v>
      </c>
      <c r="E119" s="171">
        <f t="shared" ref="E119:F119" si="25">SUM(E114:E118)</f>
        <v>52891</v>
      </c>
      <c r="F119" s="171">
        <f t="shared" si="25"/>
        <v>0</v>
      </c>
      <c r="G119" s="171">
        <f>SUM(G114:G118)</f>
        <v>52891</v>
      </c>
      <c r="H119" s="172">
        <f t="shared" si="24"/>
        <v>2.4408005157472268E-2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353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350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350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'[69]Sch C'!D124</f>
        <v>84019</v>
      </c>
      <c r="D123" s="501">
        <f>'[69]Sch C'!F124</f>
        <v>0</v>
      </c>
      <c r="E123" s="171">
        <f t="shared" ref="E123:E127" si="26">C123+D123</f>
        <v>84019</v>
      </c>
      <c r="F123" s="351"/>
      <c r="G123" s="171">
        <f>E123+F123</f>
        <v>84019</v>
      </c>
      <c r="H123" s="172">
        <f>IF($G$208=0,0,G123/$G$208)</f>
        <v>3.8772876015308128E-2</v>
      </c>
      <c r="I123" s="473"/>
      <c r="J123" s="183">
        <v>2335</v>
      </c>
      <c r="K123" s="183">
        <v>2455</v>
      </c>
    </row>
    <row r="124" spans="1:11" s="167" customFormat="1">
      <c r="B124" s="163" t="s">
        <v>194</v>
      </c>
      <c r="C124" s="501">
        <f>'[69]Sch C'!D125</f>
        <v>0</v>
      </c>
      <c r="D124" s="501">
        <f>'[69]Sch C'!F125</f>
        <v>0</v>
      </c>
      <c r="E124" s="171">
        <f t="shared" si="26"/>
        <v>0</v>
      </c>
      <c r="F124" s="351"/>
      <c r="G124" s="171">
        <f>E124+F124</f>
        <v>0</v>
      </c>
      <c r="H124" s="172">
        <f>IF($G$208=0,0,G124/$G$208)</f>
        <v>0</v>
      </c>
      <c r="I124" s="473"/>
      <c r="J124" s="183">
        <v>0</v>
      </c>
      <c r="K124" s="183">
        <v>0</v>
      </c>
    </row>
    <row r="125" spans="1:11" s="167" customFormat="1">
      <c r="A125" s="163" t="s">
        <v>198</v>
      </c>
      <c r="B125" s="163" t="s">
        <v>195</v>
      </c>
      <c r="C125" s="501">
        <f>'[69]Sch C'!D126</f>
        <v>0</v>
      </c>
      <c r="D125" s="501">
        <f>'[69]Sch C'!F126</f>
        <v>0</v>
      </c>
      <c r="E125" s="171">
        <f t="shared" si="26"/>
        <v>0</v>
      </c>
      <c r="F125" s="35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'[69]Sch C'!D127</f>
        <v>0</v>
      </c>
      <c r="D126" s="501">
        <f>'[69]Sch C'!F127</f>
        <v>0</v>
      </c>
      <c r="E126" s="171">
        <f t="shared" si="26"/>
        <v>0</v>
      </c>
      <c r="F126" s="35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'[69]Sch C'!D128</f>
        <v>0</v>
      </c>
      <c r="D127" s="501">
        <f>'[69]Sch C'!F128</f>
        <v>0</v>
      </c>
      <c r="E127" s="171">
        <f t="shared" si="26"/>
        <v>0</v>
      </c>
      <c r="F127" s="351"/>
      <c r="G127" s="171">
        <f>E127+F127</f>
        <v>0</v>
      </c>
      <c r="H127" s="172">
        <f>IF($G$208=0,0,G127/$G$208)</f>
        <v>0</v>
      </c>
      <c r="I127" s="473"/>
      <c r="J127" s="183">
        <v>0</v>
      </c>
      <c r="K127" s="183">
        <v>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353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'[69]Sch C'!D130</f>
        <v>0</v>
      </c>
      <c r="D129" s="501">
        <f>'[69]Sch C'!F130</f>
        <v>12276</v>
      </c>
      <c r="E129" s="171">
        <f t="shared" ref="E129:E133" si="27">C129+D129</f>
        <v>12276</v>
      </c>
      <c r="F129" s="351"/>
      <c r="G129" s="171">
        <f>E129+F129</f>
        <v>12276</v>
      </c>
      <c r="H129" s="172">
        <f>IF($G$208=0,0,G129/$G$208)</f>
        <v>5.6650974894240898E-3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'[69]Sch C'!D131</f>
        <v>0</v>
      </c>
      <c r="D130" s="501">
        <f>'[69]Sch C'!F131</f>
        <v>0</v>
      </c>
      <c r="E130" s="171">
        <f t="shared" si="27"/>
        <v>0</v>
      </c>
      <c r="F130" s="351"/>
      <c r="G130" s="171">
        <f>E130+F130</f>
        <v>0</v>
      </c>
      <c r="H130" s="172">
        <f>IF($G$208=0,0,G130/$G$208)</f>
        <v>0</v>
      </c>
      <c r="I130" s="473"/>
      <c r="J130" s="204"/>
      <c r="K130" s="204"/>
    </row>
    <row r="131" spans="1:11" s="167" customFormat="1">
      <c r="B131" s="163" t="s">
        <v>195</v>
      </c>
      <c r="C131" s="501">
        <f>'[69]Sch C'!D132</f>
        <v>0</v>
      </c>
      <c r="D131" s="501">
        <f>'[69]Sch C'!F132</f>
        <v>0</v>
      </c>
      <c r="E131" s="171">
        <f t="shared" si="27"/>
        <v>0</v>
      </c>
      <c r="F131" s="35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'[69]Sch C'!D133</f>
        <v>0</v>
      </c>
      <c r="D132" s="501">
        <f>'[69]Sch C'!F133</f>
        <v>0</v>
      </c>
      <c r="E132" s="171">
        <f t="shared" si="27"/>
        <v>0</v>
      </c>
      <c r="F132" s="35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'[69]Sch C'!D134</f>
        <v>0</v>
      </c>
      <c r="D133" s="501">
        <f>'[69]Sch C'!F134</f>
        <v>0</v>
      </c>
      <c r="E133" s="171">
        <f t="shared" si="27"/>
        <v>0</v>
      </c>
      <c r="F133" s="35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353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'[69]Sch C'!D136</f>
        <v>135052</v>
      </c>
      <c r="D135" s="501">
        <f>'[69]Sch C'!F136</f>
        <v>-10765</v>
      </c>
      <c r="E135" s="171">
        <f t="shared" ref="E135:E138" si="28">C135+D135</f>
        <v>124287</v>
      </c>
      <c r="F135" s="351"/>
      <c r="G135" s="171">
        <f>E135+F135</f>
        <v>124287</v>
      </c>
      <c r="H135" s="172">
        <f>IF($G$208=0,0,G135/$G$208)</f>
        <v>5.7355650999352546E-2</v>
      </c>
      <c r="I135" s="473"/>
      <c r="J135" s="183">
        <v>4105</v>
      </c>
      <c r="K135" s="183">
        <v>4202</v>
      </c>
    </row>
    <row r="136" spans="1:11" s="167" customFormat="1">
      <c r="A136" s="169"/>
      <c r="B136" s="163" t="s">
        <v>195</v>
      </c>
      <c r="C136" s="501">
        <f>'[69]Sch C'!D137</f>
        <v>121581</v>
      </c>
      <c r="D136" s="501">
        <f>'[69]Sch C'!F137</f>
        <v>10765</v>
      </c>
      <c r="E136" s="171">
        <f t="shared" si="28"/>
        <v>132346</v>
      </c>
      <c r="F136" s="351"/>
      <c r="G136" s="171">
        <f>E136+F136</f>
        <v>132346</v>
      </c>
      <c r="H136" s="172">
        <f>IF($G$208=0,0,G136/$G$208)</f>
        <v>6.1074697974529212E-2</v>
      </c>
      <c r="I136" s="473"/>
      <c r="J136" s="183">
        <v>4648</v>
      </c>
      <c r="K136" s="183">
        <v>4720</v>
      </c>
    </row>
    <row r="137" spans="1:11" s="167" customFormat="1">
      <c r="A137" s="169"/>
      <c r="B137" s="163" t="s">
        <v>196</v>
      </c>
      <c r="C137" s="501">
        <f>'[69]Sch C'!D138</f>
        <v>254036</v>
      </c>
      <c r="D137" s="501">
        <f>'[69]Sch C'!F138</f>
        <v>0</v>
      </c>
      <c r="E137" s="171">
        <f t="shared" si="28"/>
        <v>254036</v>
      </c>
      <c r="F137" s="351"/>
      <c r="G137" s="171">
        <f>E137+F137</f>
        <v>254036</v>
      </c>
      <c r="H137" s="172">
        <f>IF($G$208=0,0,G137/$G$208)</f>
        <v>0.11723189196996889</v>
      </c>
      <c r="I137" s="473"/>
      <c r="J137" s="183">
        <v>19422</v>
      </c>
      <c r="K137" s="183">
        <v>19715</v>
      </c>
    </row>
    <row r="138" spans="1:11" s="167" customFormat="1">
      <c r="A138" s="169"/>
      <c r="B138" s="163" t="s">
        <v>197</v>
      </c>
      <c r="C138" s="501">
        <f>'[69]Sch C'!D139</f>
        <v>0</v>
      </c>
      <c r="D138" s="501">
        <f>'[69]Sch C'!F139</f>
        <v>0</v>
      </c>
      <c r="E138" s="171">
        <f t="shared" si="28"/>
        <v>0</v>
      </c>
      <c r="F138" s="35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353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'[69]Sch C'!D141</f>
        <v>28193</v>
      </c>
      <c r="D140" s="501">
        <f>'[69]Sch C'!F141</f>
        <v>-10034</v>
      </c>
      <c r="E140" s="171">
        <f t="shared" ref="E140:E143" si="29">C140+D140</f>
        <v>18159</v>
      </c>
      <c r="F140" s="351"/>
      <c r="G140" s="171">
        <f>E140+F140</f>
        <v>18159</v>
      </c>
      <c r="H140" s="172">
        <f>IF($G$208=0,0,G140/$G$208)</f>
        <v>8.3799694778797697E-3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'[69]Sch C'!D142</f>
        <v>0</v>
      </c>
      <c r="D141" s="501">
        <f>'[69]Sch C'!F142</f>
        <v>19337</v>
      </c>
      <c r="E141" s="171">
        <f t="shared" si="29"/>
        <v>19337</v>
      </c>
      <c r="F141" s="351"/>
      <c r="G141" s="171">
        <f>E141+F141</f>
        <v>19337</v>
      </c>
      <c r="H141" s="172">
        <f>IF($G$208=0,0,G141/$G$208)</f>
        <v>8.9235899440366258E-3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'[69]Sch C'!D143</f>
        <v>21083</v>
      </c>
      <c r="D142" s="501">
        <f>'[69]Sch C'!F143</f>
        <v>16092</v>
      </c>
      <c r="E142" s="171">
        <f t="shared" si="29"/>
        <v>37175</v>
      </c>
      <c r="F142" s="351"/>
      <c r="G142" s="171">
        <f>E142+F142</f>
        <v>37175</v>
      </c>
      <c r="H142" s="172">
        <f>IF($G$208=0,0,G142/$G$208)</f>
        <v>1.7155425152276031E-2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'[69]Sch C'!D144</f>
        <v>0</v>
      </c>
      <c r="D143" s="501">
        <f>'[69]Sch C'!F144</f>
        <v>0</v>
      </c>
      <c r="E143" s="171">
        <f t="shared" si="29"/>
        <v>0</v>
      </c>
      <c r="F143" s="35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353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'[69]Sch C'!D146</f>
        <v>12125</v>
      </c>
      <c r="D145" s="501">
        <f>'[69]Sch C'!F146</f>
        <v>0</v>
      </c>
      <c r="E145" s="171">
        <f t="shared" ref="E145:E153" si="30">C145+D145</f>
        <v>12125</v>
      </c>
      <c r="F145" s="351"/>
      <c r="G145" s="171">
        <f t="shared" ref="G145:G153" si="31">E145+F145</f>
        <v>12125</v>
      </c>
      <c r="H145" s="172">
        <f t="shared" ref="H145:H153" si="32">IF($G$208=0,0,G145/$G$208)</f>
        <v>5.5954143906213009E-3</v>
      </c>
      <c r="I145" s="473"/>
      <c r="J145" s="183">
        <v>208</v>
      </c>
      <c r="K145" s="183">
        <v>208</v>
      </c>
    </row>
    <row r="146" spans="1:11" s="167" customFormat="1">
      <c r="A146" s="169"/>
      <c r="B146" s="163" t="s">
        <v>194</v>
      </c>
      <c r="C146" s="501">
        <f>'[69]Sch C'!D147</f>
        <v>0</v>
      </c>
      <c r="D146" s="501">
        <f>'[69]Sch C'!F147</f>
        <v>0</v>
      </c>
      <c r="E146" s="171">
        <f t="shared" si="30"/>
        <v>0</v>
      </c>
      <c r="F146" s="35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'[69]Sch C'!D148</f>
        <v>0</v>
      </c>
      <c r="D147" s="501">
        <f>'[69]Sch C'!F148</f>
        <v>0</v>
      </c>
      <c r="E147" s="171">
        <f t="shared" si="30"/>
        <v>0</v>
      </c>
      <c r="F147" s="35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'[69]Sch C'!D149</f>
        <v>0</v>
      </c>
      <c r="D148" s="501">
        <f>'[69]Sch C'!F149</f>
        <v>0</v>
      </c>
      <c r="E148" s="171">
        <f t="shared" si="30"/>
        <v>0</v>
      </c>
      <c r="F148" s="35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'[69]Sch C'!D150</f>
        <v>5184</v>
      </c>
      <c r="D149" s="501">
        <f>'[69]Sch C'!F150</f>
        <v>0</v>
      </c>
      <c r="E149" s="171">
        <f t="shared" si="30"/>
        <v>5184</v>
      </c>
      <c r="F149" s="351"/>
      <c r="G149" s="171">
        <f t="shared" si="31"/>
        <v>5184</v>
      </c>
      <c r="H149" s="172">
        <f t="shared" si="32"/>
        <v>2.3922992330705833E-3</v>
      </c>
      <c r="I149" s="473"/>
      <c r="J149" s="183">
        <v>117</v>
      </c>
      <c r="K149" s="183">
        <v>117</v>
      </c>
    </row>
    <row r="150" spans="1:11" s="167" customFormat="1">
      <c r="A150" s="169">
        <v>110</v>
      </c>
      <c r="B150" s="167" t="s">
        <v>65</v>
      </c>
      <c r="C150" s="501">
        <f>'[69]Sch C'!D151</f>
        <v>30937</v>
      </c>
      <c r="D150" s="501">
        <f>'[69]Sch C'!F151</f>
        <v>0</v>
      </c>
      <c r="E150" s="171">
        <f t="shared" si="30"/>
        <v>30937</v>
      </c>
      <c r="F150" s="351"/>
      <c r="G150" s="171">
        <f t="shared" si="31"/>
        <v>30937</v>
      </c>
      <c r="H150" s="172">
        <f t="shared" si="32"/>
        <v>1.4276728660012469E-2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'[69]Sch C'!D152</f>
        <v>5240</v>
      </c>
      <c r="D151" s="501">
        <f>'[69]Sch C'!F152</f>
        <v>0</v>
      </c>
      <c r="E151" s="171">
        <f t="shared" si="30"/>
        <v>5240</v>
      </c>
      <c r="F151" s="351"/>
      <c r="G151" s="171">
        <f t="shared" si="31"/>
        <v>5240</v>
      </c>
      <c r="H151" s="172">
        <f t="shared" si="32"/>
        <v>2.4181419716994322E-3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'[69]Sch C'!D153</f>
        <v>0</v>
      </c>
      <c r="D152" s="501">
        <f>'[69]Sch C'!F153</f>
        <v>0</v>
      </c>
      <c r="E152" s="171">
        <f t="shared" si="30"/>
        <v>0</v>
      </c>
      <c r="F152" s="35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'[69]Sch C'!D154</f>
        <v>0</v>
      </c>
      <c r="D153" s="501">
        <f>'[69]Sch C'!F154</f>
        <v>0</v>
      </c>
      <c r="E153" s="171">
        <f t="shared" si="30"/>
        <v>0</v>
      </c>
      <c r="F153" s="35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354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'[69]Sch C'!D156</f>
        <v>0</v>
      </c>
      <c r="D155" s="501">
        <f>'[69]Sch C'!F156</f>
        <v>0</v>
      </c>
      <c r="E155" s="171">
        <f t="shared" ref="E155:E160" si="33">C155+D155</f>
        <v>0</v>
      </c>
      <c r="F155" s="35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'[69]Sch C'!D157</f>
        <v>0</v>
      </c>
      <c r="D156" s="501">
        <f>'[69]Sch C'!F157</f>
        <v>0</v>
      </c>
      <c r="E156" s="171">
        <f t="shared" si="33"/>
        <v>0</v>
      </c>
      <c r="F156" s="35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'[69]Sch C'!D158</f>
        <v>0</v>
      </c>
      <c r="D157" s="501">
        <f>'[69]Sch C'!F158</f>
        <v>0</v>
      </c>
      <c r="E157" s="171">
        <f t="shared" si="33"/>
        <v>0</v>
      </c>
      <c r="F157" s="35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'[69]Sch C'!D159</f>
        <v>0</v>
      </c>
      <c r="D158" s="501">
        <f>'[69]Sch C'!F159</f>
        <v>0</v>
      </c>
      <c r="E158" s="171">
        <f t="shared" si="33"/>
        <v>0</v>
      </c>
      <c r="F158" s="35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'[69]Sch C'!D160</f>
        <v>0</v>
      </c>
      <c r="D159" s="501">
        <f>'[69]Sch C'!F160</f>
        <v>0</v>
      </c>
      <c r="E159" s="171">
        <f t="shared" si="33"/>
        <v>0</v>
      </c>
      <c r="F159" s="35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'[69]Sch C'!D161</f>
        <v>0</v>
      </c>
      <c r="D160" s="501">
        <f>'[69]Sch C'!F161</f>
        <v>0</v>
      </c>
      <c r="E160" s="171">
        <f t="shared" si="33"/>
        <v>0</v>
      </c>
      <c r="F160" s="35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697450</v>
      </c>
      <c r="D161" s="501">
        <f>SUM(D123:D160)</f>
        <v>37671</v>
      </c>
      <c r="E161" s="171">
        <f t="shared" ref="E161:F161" si="36">SUM(E123:E160)</f>
        <v>735121</v>
      </c>
      <c r="F161" s="171">
        <f t="shared" si="36"/>
        <v>0</v>
      </c>
      <c r="G161" s="171">
        <f>SUM(G123:G160)</f>
        <v>735121</v>
      </c>
      <c r="H161" s="172">
        <f t="shared" si="35"/>
        <v>0.33924178327817911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353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355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'[69]Sch C'!D175</f>
        <v>0</v>
      </c>
      <c r="D164" s="501">
        <f>'[69]Sch C'!F175</f>
        <v>0</v>
      </c>
      <c r="E164" s="171">
        <f t="shared" ref="E164:E196" si="37">C164+D164</f>
        <v>0</v>
      </c>
      <c r="F164" s="35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'[69]Sch C'!D176</f>
        <v>0</v>
      </c>
      <c r="D165" s="501">
        <f>'[69]Sch C'!F176</f>
        <v>0</v>
      </c>
      <c r="E165" s="171">
        <f t="shared" si="37"/>
        <v>0</v>
      </c>
      <c r="F165" s="35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'[69]Sch C'!D177</f>
        <v>0</v>
      </c>
      <c r="D166" s="501">
        <f>'[69]Sch C'!F177</f>
        <v>0</v>
      </c>
      <c r="E166" s="171">
        <f t="shared" si="37"/>
        <v>0</v>
      </c>
      <c r="F166" s="35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'[69]Sch C'!D178</f>
        <v>0</v>
      </c>
      <c r="D167" s="501">
        <f>'[69]Sch C'!F178</f>
        <v>0</v>
      </c>
      <c r="E167" s="171">
        <f t="shared" si="37"/>
        <v>0</v>
      </c>
      <c r="F167" s="35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'[69]Sch C'!D179</f>
        <v>0</v>
      </c>
      <c r="D168" s="501">
        <f>'[69]Sch C'!F179</f>
        <v>0</v>
      </c>
      <c r="E168" s="171">
        <f t="shared" si="37"/>
        <v>0</v>
      </c>
      <c r="F168" s="35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'[69]Sch C'!D180</f>
        <v>0</v>
      </c>
      <c r="D169" s="501">
        <f>'[69]Sch C'!F180</f>
        <v>0</v>
      </c>
      <c r="E169" s="171">
        <f t="shared" si="37"/>
        <v>0</v>
      </c>
      <c r="F169" s="35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'[69]Sch C'!D181</f>
        <v>0</v>
      </c>
      <c r="D170" s="501">
        <f>'[69]Sch C'!F181</f>
        <v>0</v>
      </c>
      <c r="E170" s="171">
        <f t="shared" si="37"/>
        <v>0</v>
      </c>
      <c r="F170" s="35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'[69]Sch C'!D182</f>
        <v>0</v>
      </c>
      <c r="D171" s="501">
        <f>'[69]Sch C'!F182</f>
        <v>0</v>
      </c>
      <c r="E171" s="171">
        <f t="shared" si="37"/>
        <v>0</v>
      </c>
      <c r="F171" s="35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'[69]Sch C'!D183</f>
        <v>0</v>
      </c>
      <c r="D172" s="501">
        <f>'[69]Sch C'!F183</f>
        <v>0</v>
      </c>
      <c r="E172" s="171">
        <f t="shared" si="37"/>
        <v>0</v>
      </c>
      <c r="F172" s="35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'[69]Sch C'!D184</f>
        <v>0</v>
      </c>
      <c r="D173" s="501">
        <f>'[69]Sch C'!F184</f>
        <v>0</v>
      </c>
      <c r="E173" s="171">
        <f t="shared" si="37"/>
        <v>0</v>
      </c>
      <c r="F173" s="35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'[69]Sch C'!D185</f>
        <v>0</v>
      </c>
      <c r="D174" s="501">
        <f>'[69]Sch C'!F185</f>
        <v>0</v>
      </c>
      <c r="E174" s="171">
        <f t="shared" si="37"/>
        <v>0</v>
      </c>
      <c r="F174" s="35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'[69]Sch C'!D186</f>
        <v>0</v>
      </c>
      <c r="D175" s="501">
        <f>'[69]Sch C'!F186</f>
        <v>0</v>
      </c>
      <c r="E175" s="171">
        <f t="shared" si="37"/>
        <v>0</v>
      </c>
      <c r="F175" s="35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'[69]Sch C'!D187</f>
        <v>0</v>
      </c>
      <c r="D176" s="501">
        <f>'[69]Sch C'!F187</f>
        <v>0</v>
      </c>
      <c r="E176" s="171">
        <f t="shared" si="37"/>
        <v>0</v>
      </c>
      <c r="F176" s="35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'[69]Sch C'!D188</f>
        <v>0</v>
      </c>
      <c r="D177" s="501">
        <f>'[69]Sch C'!F188</f>
        <v>0</v>
      </c>
      <c r="E177" s="171">
        <f t="shared" si="37"/>
        <v>0</v>
      </c>
      <c r="F177" s="35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'[69]Sch C'!D189</f>
        <v>0</v>
      </c>
      <c r="D178" s="501">
        <f>'[69]Sch C'!F189</f>
        <v>0</v>
      </c>
      <c r="E178" s="171">
        <f t="shared" si="37"/>
        <v>0</v>
      </c>
      <c r="F178" s="35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'[69]Sch C'!D190</f>
        <v>0</v>
      </c>
      <c r="D179" s="501">
        <f>'[69]Sch C'!F190</f>
        <v>0</v>
      </c>
      <c r="E179" s="171">
        <f t="shared" si="37"/>
        <v>0</v>
      </c>
      <c r="F179" s="35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'[69]Sch C'!D191</f>
        <v>0</v>
      </c>
      <c r="D180" s="501">
        <f>'[69]Sch C'!F191</f>
        <v>0</v>
      </c>
      <c r="E180" s="171">
        <f t="shared" si="37"/>
        <v>0</v>
      </c>
      <c r="F180" s="35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'[69]Sch C'!D192</f>
        <v>0</v>
      </c>
      <c r="D181" s="501">
        <f>'[69]Sch C'!F192</f>
        <v>0</v>
      </c>
      <c r="E181" s="171">
        <f t="shared" si="37"/>
        <v>0</v>
      </c>
      <c r="F181" s="35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'[69]Sch C'!D193</f>
        <v>0</v>
      </c>
      <c r="D182" s="501">
        <f>'[69]Sch C'!F193</f>
        <v>0</v>
      </c>
      <c r="E182" s="171">
        <f t="shared" si="37"/>
        <v>0</v>
      </c>
      <c r="F182" s="35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'[69]Sch C'!D194</f>
        <v>142852</v>
      </c>
      <c r="D183" s="501">
        <f>'[69]Sch C'!F194</f>
        <v>0</v>
      </c>
      <c r="E183" s="171">
        <f t="shared" si="37"/>
        <v>142852</v>
      </c>
      <c r="F183" s="356"/>
      <c r="G183" s="171">
        <f t="shared" si="38"/>
        <v>142852</v>
      </c>
      <c r="H183" s="172">
        <f t="shared" si="39"/>
        <v>6.5922980332291464E-2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'[69]Sch C'!D195</f>
        <v>10017</v>
      </c>
      <c r="D184" s="501">
        <f>'[69]Sch C'!F195</f>
        <v>0</v>
      </c>
      <c r="E184" s="171">
        <f t="shared" si="37"/>
        <v>10017</v>
      </c>
      <c r="F184" s="356"/>
      <c r="G184" s="171">
        <f t="shared" si="38"/>
        <v>10017</v>
      </c>
      <c r="H184" s="172">
        <f t="shared" si="39"/>
        <v>4.6226198722353461E-3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'[69]Sch C'!D196</f>
        <v>0</v>
      </c>
      <c r="D185" s="501">
        <f>'[69]Sch C'!F196</f>
        <v>0</v>
      </c>
      <c r="E185" s="171">
        <f t="shared" si="37"/>
        <v>0</v>
      </c>
      <c r="F185" s="35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'[69]Sch C'!D197</f>
        <v>137587</v>
      </c>
      <c r="D186" s="501">
        <f>'[69]Sch C'!F197</f>
        <v>0</v>
      </c>
      <c r="E186" s="171">
        <f t="shared" si="37"/>
        <v>137587</v>
      </c>
      <c r="F186" s="356"/>
      <c r="G186" s="171">
        <f t="shared" si="38"/>
        <v>137587</v>
      </c>
      <c r="H186" s="172">
        <f t="shared" si="39"/>
        <v>6.3493301423704157E-2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'[69]Sch C'!D198</f>
        <v>7822</v>
      </c>
      <c r="D187" s="501">
        <f>'[69]Sch C'!F198</f>
        <v>0</v>
      </c>
      <c r="E187" s="171">
        <f t="shared" si="37"/>
        <v>7822</v>
      </c>
      <c r="F187" s="356"/>
      <c r="G187" s="171">
        <f t="shared" si="38"/>
        <v>7822</v>
      </c>
      <c r="H187" s="172">
        <f t="shared" si="39"/>
        <v>3.6096768134795724E-3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'[69]Sch C'!D199</f>
        <v>0</v>
      </c>
      <c r="D188" s="501">
        <f>'[69]Sch C'!F199</f>
        <v>0</v>
      </c>
      <c r="E188" s="171">
        <f t="shared" si="37"/>
        <v>0</v>
      </c>
      <c r="F188" s="35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'[69]Sch C'!D200</f>
        <v>0</v>
      </c>
      <c r="D189" s="501">
        <f>'[69]Sch C'!F200</f>
        <v>0</v>
      </c>
      <c r="E189" s="171">
        <f t="shared" si="37"/>
        <v>0</v>
      </c>
      <c r="F189" s="35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'[69]Sch C'!D201</f>
        <v>0</v>
      </c>
      <c r="D190" s="501">
        <f>'[69]Sch C'!F201</f>
        <v>0</v>
      </c>
      <c r="E190" s="171">
        <f t="shared" si="37"/>
        <v>0</v>
      </c>
      <c r="F190" s="35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'[69]Sch C'!D202</f>
        <v>0</v>
      </c>
      <c r="D191" s="501">
        <f>'[69]Sch C'!F202</f>
        <v>0</v>
      </c>
      <c r="E191" s="171">
        <f t="shared" si="37"/>
        <v>0</v>
      </c>
      <c r="F191" s="35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'[69]Sch C'!D203</f>
        <v>0</v>
      </c>
      <c r="D192" s="501">
        <f>'[69]Sch C'!F203</f>
        <v>0</v>
      </c>
      <c r="E192" s="171">
        <f t="shared" si="37"/>
        <v>0</v>
      </c>
      <c r="F192" s="35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'[69]Sch C'!D204</f>
        <v>0</v>
      </c>
      <c r="D193" s="501">
        <f>'[69]Sch C'!F204</f>
        <v>0</v>
      </c>
      <c r="E193" s="171">
        <f t="shared" si="37"/>
        <v>0</v>
      </c>
      <c r="F193" s="35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'[69]Sch C'!D205</f>
        <v>92556</v>
      </c>
      <c r="D194" s="501">
        <f>'[69]Sch C'!F205</f>
        <v>0</v>
      </c>
      <c r="E194" s="171">
        <f t="shared" si="37"/>
        <v>92556</v>
      </c>
      <c r="F194" s="356"/>
      <c r="G194" s="171">
        <f t="shared" si="38"/>
        <v>92556</v>
      </c>
      <c r="H194" s="172">
        <f t="shared" si="39"/>
        <v>4.2712509223781045E-2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'[69]Sch C'!D206</f>
        <v>0</v>
      </c>
      <c r="D195" s="501">
        <f>'[69]Sch C'!F206</f>
        <v>0</v>
      </c>
      <c r="E195" s="171">
        <f t="shared" si="37"/>
        <v>0</v>
      </c>
      <c r="F195" s="356"/>
      <c r="G195" s="171">
        <f t="shared" si="38"/>
        <v>0</v>
      </c>
      <c r="H195" s="172">
        <f t="shared" si="39"/>
        <v>0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'[69]Sch C'!D207</f>
        <v>0</v>
      </c>
      <c r="D196" s="501">
        <f>'[69]Sch C'!F207</f>
        <v>0</v>
      </c>
      <c r="E196" s="171">
        <f t="shared" si="37"/>
        <v>0</v>
      </c>
      <c r="F196" s="35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390834</v>
      </c>
      <c r="D197" s="501">
        <f>SUM(D164:D196)</f>
        <v>0</v>
      </c>
      <c r="E197" s="171">
        <f t="shared" ref="E197:F197" si="40">SUM(E164:E196)</f>
        <v>390834</v>
      </c>
      <c r="F197" s="171">
        <f t="shared" si="40"/>
        <v>0</v>
      </c>
      <c r="G197" s="171">
        <f>SUM(G164:G196)</f>
        <v>390834</v>
      </c>
      <c r="H197" s="172">
        <f>IF($G$208=0,0,G197/$G$208)</f>
        <v>0.18036108766549158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350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350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'[69]Sch C'!D211</f>
        <v>57740</v>
      </c>
      <c r="D200" s="501">
        <f>'[69]Sch C'!F211</f>
        <v>0</v>
      </c>
      <c r="E200" s="171">
        <f t="shared" ref="E200:E205" si="41">C200+D200</f>
        <v>57740</v>
      </c>
      <c r="F200" s="351"/>
      <c r="G200" s="171">
        <f t="shared" ref="G200:G205" si="42">E200+F200</f>
        <v>57740</v>
      </c>
      <c r="H200" s="172">
        <f t="shared" ref="H200:H206" si="43">IF($G$208=0,0,G200/$G$208)</f>
        <v>2.6645709436245273E-2</v>
      </c>
      <c r="I200" s="473"/>
      <c r="J200" s="183">
        <v>3920</v>
      </c>
      <c r="K200" s="183">
        <v>4060</v>
      </c>
    </row>
    <row r="201" spans="1:14" s="167" customFormat="1">
      <c r="A201" s="169" t="s">
        <v>86</v>
      </c>
      <c r="B201" s="170" t="s">
        <v>45</v>
      </c>
      <c r="C201" s="501">
        <f>'[69]Sch C'!D212</f>
        <v>4695</v>
      </c>
      <c r="D201" s="501">
        <f>'[69]Sch C'!F212</f>
        <v>3658</v>
      </c>
      <c r="E201" s="171">
        <f t="shared" si="41"/>
        <v>8353</v>
      </c>
      <c r="F201" s="351"/>
      <c r="G201" s="171">
        <f t="shared" si="42"/>
        <v>8353</v>
      </c>
      <c r="H201" s="172">
        <f t="shared" si="43"/>
        <v>3.8547213529781217E-3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'[69]Sch C'!D213</f>
        <v>8900</v>
      </c>
      <c r="D202" s="501">
        <f>'[69]Sch C'!F213</f>
        <v>0</v>
      </c>
      <c r="E202" s="171">
        <f t="shared" si="41"/>
        <v>8900</v>
      </c>
      <c r="F202" s="351"/>
      <c r="G202" s="171">
        <f t="shared" si="42"/>
        <v>8900</v>
      </c>
      <c r="H202" s="172">
        <f t="shared" si="43"/>
        <v>4.1071495320849135E-3</v>
      </c>
      <c r="I202" s="473"/>
      <c r="J202" s="168"/>
      <c r="K202" s="245"/>
    </row>
    <row r="203" spans="1:14" s="167" customFormat="1">
      <c r="A203" s="169" t="s">
        <v>141</v>
      </c>
      <c r="B203" s="170" t="s">
        <v>70</v>
      </c>
      <c r="C203" s="501">
        <f>'[69]Sch C'!D214</f>
        <v>0</v>
      </c>
      <c r="D203" s="501">
        <f>'[69]Sch C'!F214</f>
        <v>0</v>
      </c>
      <c r="E203" s="171">
        <f t="shared" si="41"/>
        <v>0</v>
      </c>
      <c r="F203" s="351"/>
      <c r="G203" s="171">
        <f t="shared" si="42"/>
        <v>0</v>
      </c>
      <c r="H203" s="172">
        <f t="shared" si="43"/>
        <v>0</v>
      </c>
      <c r="I203" s="473"/>
      <c r="J203" s="168"/>
      <c r="K203" s="245"/>
    </row>
    <row r="204" spans="1:14" s="167" customFormat="1">
      <c r="A204" s="169" t="s">
        <v>142</v>
      </c>
      <c r="B204" s="202" t="s">
        <v>71</v>
      </c>
      <c r="C204" s="501">
        <f>'[69]Sch C'!D215</f>
        <v>0</v>
      </c>
      <c r="D204" s="501">
        <f>'[69]Sch C'!F215</f>
        <v>0</v>
      </c>
      <c r="E204" s="171">
        <f t="shared" si="41"/>
        <v>0</v>
      </c>
      <c r="F204" s="35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'[69]Sch C'!D216</f>
        <v>4623</v>
      </c>
      <c r="D205" s="501">
        <f>'[69]Sch C'!F216</f>
        <v>0</v>
      </c>
      <c r="E205" s="171">
        <f t="shared" si="41"/>
        <v>4623</v>
      </c>
      <c r="F205" s="351"/>
      <c r="G205" s="171">
        <f t="shared" si="42"/>
        <v>4623</v>
      </c>
      <c r="H205" s="172">
        <f t="shared" si="43"/>
        <v>2.1334103693065793E-3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75958</v>
      </c>
      <c r="D206" s="501">
        <f>SUM(D200:D205)</f>
        <v>3658</v>
      </c>
      <c r="E206" s="171">
        <f t="shared" ref="E206:F206" si="44">SUM(E200:E205)</f>
        <v>79616</v>
      </c>
      <c r="F206" s="171">
        <f t="shared" si="44"/>
        <v>0</v>
      </c>
      <c r="G206" s="171">
        <f>SUM(G200:G205)</f>
        <v>79616</v>
      </c>
      <c r="H206" s="172">
        <f t="shared" si="43"/>
        <v>3.6740990690614886E-2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350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3124932</v>
      </c>
      <c r="D208" s="501">
        <f>SUM(D25:D206)/2</f>
        <v>-956802</v>
      </c>
      <c r="E208" s="171">
        <f t="shared" ref="E208:F208" si="45">SUM(E25:E206)/2</f>
        <v>2168130</v>
      </c>
      <c r="F208" s="171">
        <f t="shared" si="45"/>
        <v>-1177</v>
      </c>
      <c r="G208" s="171">
        <f>SUM(G25:G206)/2</f>
        <v>2166953</v>
      </c>
      <c r="H208" s="172">
        <f>IF($G$208=0,0,G208/$G$208)</f>
        <v>1</v>
      </c>
      <c r="I208" s="473"/>
      <c r="J208" s="183">
        <f>SUM(J25:J200)</f>
        <v>46785</v>
      </c>
      <c r="K208" s="183">
        <f>SUM(K25:K200)</f>
        <v>47807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 s="416" t="s">
        <v>198</v>
      </c>
      <c r="G210"/>
      <c r="I210" s="475"/>
      <c r="J210"/>
      <c r="K210"/>
    </row>
    <row r="211" spans="1:11" s="167" customFormat="1" ht="15.5">
      <c r="A211" s="163"/>
      <c r="B211" s="228" t="s">
        <v>181</v>
      </c>
      <c r="C211" s="501">
        <f>'[69]Sch C'!D221</f>
        <v>3124932</v>
      </c>
      <c r="D211" s="196"/>
      <c r="E211" s="165"/>
      <c r="F211" s="416"/>
      <c r="G211"/>
      <c r="I211" s="475"/>
      <c r="J211"/>
      <c r="K211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 s="416"/>
      <c r="G212"/>
      <c r="I212" s="475"/>
      <c r="J212"/>
      <c r="K212"/>
    </row>
    <row r="213" spans="1:11" s="167" customFormat="1" ht="15.5">
      <c r="A213" s="163"/>
      <c r="B213" s="230"/>
      <c r="C213" s="581"/>
      <c r="D213" s="231"/>
      <c r="E213" s="231"/>
      <c r="F213" s="357"/>
      <c r="G213" s="231"/>
      <c r="H213" s="166"/>
      <c r="I213" s="478"/>
      <c r="J213"/>
      <c r="K213"/>
    </row>
    <row r="214" spans="1:11" s="167" customFormat="1" ht="15.5">
      <c r="A214" s="169"/>
      <c r="B214" s="228"/>
      <c r="C214" s="165"/>
      <c r="D214" s="165"/>
      <c r="E214" s="165"/>
      <c r="F214" s="350"/>
      <c r="G214" s="165"/>
      <c r="I214" s="475"/>
      <c r="J214"/>
      <c r="K214"/>
    </row>
    <row r="215" spans="1:11" s="167" customFormat="1">
      <c r="A215" s="163"/>
      <c r="B215" s="228" t="s">
        <v>78</v>
      </c>
      <c r="C215" s="501">
        <f>C21-C208</f>
        <v>180026.99999999953</v>
      </c>
      <c r="D215" s="501">
        <f>D21-D208</f>
        <v>956802</v>
      </c>
      <c r="E215" s="171">
        <f t="shared" ref="E215:F215" si="46">E21-E208</f>
        <v>1136828.9999999995</v>
      </c>
      <c r="F215" s="171">
        <f t="shared" si="46"/>
        <v>905711</v>
      </c>
      <c r="G215" s="171">
        <f>G21-G208</f>
        <v>2042540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353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353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350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'[69]Sch D'!C9</f>
        <v>7674</v>
      </c>
      <c r="D219" s="530"/>
      <c r="E219" s="234">
        <f t="shared" ref="E219:G227" si="47">C219+D219</f>
        <v>7674</v>
      </c>
      <c r="F219" s="358"/>
      <c r="G219" s="234">
        <f t="shared" si="47"/>
        <v>7674</v>
      </c>
      <c r="H219" s="172">
        <f t="shared" ref="H219:H228" si="48">IF($G$228=0,0,G219/$G$228)</f>
        <v>0.76236836876614344</v>
      </c>
      <c r="I219" s="473"/>
      <c r="J219" s="168"/>
      <c r="K219" s="168"/>
    </row>
    <row r="220" spans="1:11">
      <c r="A220" s="163"/>
      <c r="B220" s="170" t="s">
        <v>217</v>
      </c>
      <c r="C220" s="530">
        <f>'[69]Sch D'!D9</f>
        <v>0</v>
      </c>
      <c r="D220" s="530"/>
      <c r="E220" s="234">
        <f t="shared" ref="E220:E227" si="49">C220+D220</f>
        <v>0</v>
      </c>
      <c r="F220" s="358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'[69]Sch D'!E9</f>
        <v>2129</v>
      </c>
      <c r="D221" s="530"/>
      <c r="E221" s="234">
        <f t="shared" si="49"/>
        <v>2129</v>
      </c>
      <c r="F221" s="358"/>
      <c r="G221" s="234">
        <f t="shared" si="47"/>
        <v>2129</v>
      </c>
      <c r="H221" s="172">
        <f t="shared" si="48"/>
        <v>0.211504073117425</v>
      </c>
      <c r="I221" s="473"/>
      <c r="J221" s="168"/>
      <c r="K221" s="168"/>
    </row>
    <row r="222" spans="1:11">
      <c r="A222" s="163"/>
      <c r="B222" s="202" t="s">
        <v>334</v>
      </c>
      <c r="C222" s="530">
        <f>'[69]Sch D'!F9</f>
        <v>42</v>
      </c>
      <c r="D222" s="530"/>
      <c r="E222" s="234">
        <f>C222+D222</f>
        <v>42</v>
      </c>
      <c r="F222" s="358"/>
      <c r="G222" s="234">
        <f>E222+F222</f>
        <v>42</v>
      </c>
      <c r="H222" s="172">
        <f t="shared" si="48"/>
        <v>4.172461752433936E-3</v>
      </c>
      <c r="I222" s="473"/>
      <c r="J222" s="168"/>
      <c r="K222" s="168"/>
    </row>
    <row r="223" spans="1:11">
      <c r="A223" s="163"/>
      <c r="B223" s="170" t="s">
        <v>73</v>
      </c>
      <c r="C223" s="530">
        <f>'[69]Sch D'!G9</f>
        <v>0</v>
      </c>
      <c r="D223" s="530"/>
      <c r="E223" s="234">
        <f t="shared" si="49"/>
        <v>0</v>
      </c>
      <c r="F223" s="358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'[69]Sch D'!H9</f>
        <v>213</v>
      </c>
      <c r="D224" s="530"/>
      <c r="E224" s="234">
        <f t="shared" si="49"/>
        <v>213</v>
      </c>
      <c r="F224" s="358"/>
      <c r="G224" s="234">
        <f t="shared" si="47"/>
        <v>213</v>
      </c>
      <c r="H224" s="172">
        <f t="shared" si="48"/>
        <v>2.1160341744486388E-2</v>
      </c>
      <c r="I224" s="473"/>
      <c r="J224" s="168"/>
      <c r="K224" s="168"/>
    </row>
    <row r="225" spans="1:11">
      <c r="A225" s="163"/>
      <c r="B225" s="170" t="s">
        <v>236</v>
      </c>
      <c r="C225" s="530">
        <f>'[69]Sch D'!I9</f>
        <v>8</v>
      </c>
      <c r="D225" s="530"/>
      <c r="E225" s="234">
        <f t="shared" si="49"/>
        <v>8</v>
      </c>
      <c r="F225" s="358"/>
      <c r="G225" s="234">
        <f t="shared" si="47"/>
        <v>8</v>
      </c>
      <c r="H225" s="172">
        <f t="shared" si="48"/>
        <v>7.947546195112259E-4</v>
      </c>
      <c r="I225" s="473"/>
      <c r="J225" s="168"/>
      <c r="K225" s="168"/>
    </row>
    <row r="226" spans="1:11">
      <c r="A226" s="163"/>
      <c r="B226" s="170" t="s">
        <v>235</v>
      </c>
      <c r="C226" s="530">
        <f>'[69]Sch D'!J9</f>
        <v>0</v>
      </c>
      <c r="D226" s="530"/>
      <c r="E226" s="234">
        <f>C226+D226</f>
        <v>0</v>
      </c>
      <c r="F226" s="358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'[69]Sch D'!K9</f>
        <v>0</v>
      </c>
      <c r="D227" s="530"/>
      <c r="E227" s="234">
        <f t="shared" si="49"/>
        <v>0</v>
      </c>
      <c r="F227" s="358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10066</v>
      </c>
      <c r="D228" s="530">
        <f>SUM(D219:D227)</f>
        <v>0</v>
      </c>
      <c r="E228" s="236">
        <f>SUM(E219:E227)</f>
        <v>10066</v>
      </c>
      <c r="F228" s="359">
        <f>SUM(F219:F227)</f>
        <v>0</v>
      </c>
      <c r="G228" s="236">
        <f>SUM(G219:G227)</f>
        <v>10066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360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357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'[69]Sch D'!N22</f>
        <v>29</v>
      </c>
      <c r="D231" s="502"/>
      <c r="E231" s="234">
        <f>C231+D231</f>
        <v>29</v>
      </c>
      <c r="F231" s="361"/>
      <c r="G231" s="234">
        <f>E231+F231</f>
        <v>29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'[69]Sch D'!N24</f>
        <v>29</v>
      </c>
      <c r="D232" s="502"/>
      <c r="E232" s="234">
        <f>C232+D232</f>
        <v>29</v>
      </c>
      <c r="F232" s="361"/>
      <c r="G232" s="234">
        <f>E232+F232</f>
        <v>29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362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362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'[69]Sch D'!N28</f>
        <v>10585</v>
      </c>
      <c r="D235" s="438"/>
      <c r="E235" s="233">
        <f>E231*E233</f>
        <v>10585</v>
      </c>
      <c r="F235" s="362"/>
      <c r="G235" s="233">
        <f>G231*G233</f>
        <v>10585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'[69]Sch D'!N30</f>
        <v>0.95096835144071801</v>
      </c>
      <c r="D236" s="238"/>
      <c r="E236" s="242">
        <f>E228/E235</f>
        <v>0.95096835144071801</v>
      </c>
      <c r="F236" s="363"/>
      <c r="G236" s="242">
        <f>G228/G235</f>
        <v>0.95096835144071801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'[69]Sch D'!N32</f>
        <v>0.72498819083608879</v>
      </c>
      <c r="D237" s="238"/>
      <c r="E237" s="242">
        <f>(E219+E220)/E235</f>
        <v>0.72498819083608879</v>
      </c>
      <c r="F237" s="363"/>
      <c r="G237" s="242">
        <f>(G219+G220)/G235</f>
        <v>0.72498819083608879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'[69]Sch D'!N34</f>
        <v>0.76236836876614344</v>
      </c>
      <c r="D238" s="238"/>
      <c r="E238" s="242">
        <f>(E237/E236)</f>
        <v>0.76236836876614344</v>
      </c>
      <c r="F238" s="363"/>
      <c r="G238" s="242">
        <f>(G237/G236)</f>
        <v>0.76236836876614344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364" t="s">
        <v>340</v>
      </c>
      <c r="G241" s="501">
        <f>'[69]Sch B'!C85</f>
        <v>109.85869565217391</v>
      </c>
      <c r="I241" s="475"/>
    </row>
    <row r="242" spans="2:9">
      <c r="F242" s="364" t="s">
        <v>341</v>
      </c>
      <c r="G242" s="501">
        <f>'[69]Sch B'!E85</f>
        <v>20.781914893617021</v>
      </c>
      <c r="I242" s="475"/>
    </row>
    <row r="243" spans="2:9">
      <c r="F243" s="364" t="s">
        <v>342</v>
      </c>
      <c r="G243" s="501">
        <f>'[69]Sch B'!G85</f>
        <v>381.60317460317458</v>
      </c>
      <c r="I243" s="475"/>
    </row>
    <row r="244" spans="2:9">
      <c r="F244" s="364" t="s">
        <v>343</v>
      </c>
      <c r="G244" s="501">
        <f>'[69]Sch B'!I85</f>
        <v>589.79999999999995</v>
      </c>
      <c r="I244" s="475"/>
    </row>
    <row r="245" spans="2:9">
      <c r="F245" s="364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7" sqref="F17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21">
    <tabColor rgb="FFE28CAB"/>
    <pageSetUpPr fitToPage="1"/>
  </sheetPr>
  <dimension ref="A1:L246"/>
  <sheetViews>
    <sheetView showGridLines="0" topLeftCell="A2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446</v>
      </c>
      <c r="D2" s="244"/>
      <c r="E2" s="144"/>
      <c r="F2" s="414" t="s">
        <v>540</v>
      </c>
    </row>
    <row r="3" spans="1:11" ht="18" customHeight="1">
      <c r="A3" s="145"/>
      <c r="B3" s="140" t="s">
        <v>79</v>
      </c>
      <c r="C3" s="441">
        <v>42552</v>
      </c>
      <c r="D3" s="365"/>
      <c r="E3" s="366"/>
      <c r="F3" s="520"/>
      <c r="G3" s="366"/>
    </row>
    <row r="4" spans="1:11" ht="23.25" customHeight="1">
      <c r="A4" s="145"/>
      <c r="B4" s="148" t="s">
        <v>80</v>
      </c>
      <c r="C4" s="441">
        <v>42916</v>
      </c>
      <c r="D4" s="365"/>
      <c r="E4" s="366"/>
      <c r="F4"/>
      <c r="G4" s="366"/>
    </row>
    <row r="5" spans="1:11" ht="15.5">
      <c r="A5" s="145"/>
      <c r="B5" s="148"/>
      <c r="C5" s="151"/>
      <c r="D5" s="144"/>
      <c r="F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'[70]Sch B'!E10</f>
        <v>3948304.4899999998</v>
      </c>
      <c r="D11" s="501">
        <f>'[70]Sch B'!G10</f>
        <v>0</v>
      </c>
      <c r="E11" s="171">
        <f>C11+D11</f>
        <v>3948304.4899999998</v>
      </c>
      <c r="F11" s="171">
        <v>497816</v>
      </c>
      <c r="G11" s="171">
        <f t="shared" ref="G11:G20" si="0">E11+F11</f>
        <v>4446120.49</v>
      </c>
      <c r="H11" s="172">
        <f t="shared" ref="H11:H21" si="1">IF($G$21=0,0,G11/$G$21)</f>
        <v>0.63123941583688992</v>
      </c>
      <c r="I11" s="473"/>
      <c r="J11" s="336" t="s">
        <v>344</v>
      </c>
      <c r="K11" s="337">
        <f>G21</f>
        <v>7043477.29</v>
      </c>
    </row>
    <row r="12" spans="1:11" s="167" customFormat="1">
      <c r="A12" s="169" t="s">
        <v>15</v>
      </c>
      <c r="B12" s="170" t="s">
        <v>212</v>
      </c>
      <c r="C12" s="501">
        <f>'[70]Sch B'!E15</f>
        <v>0</v>
      </c>
      <c r="D12" s="501">
        <f>'[70]Sch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6424638.8299999963</v>
      </c>
    </row>
    <row r="13" spans="1:11" s="167" customFormat="1">
      <c r="A13" s="169" t="s">
        <v>16</v>
      </c>
      <c r="B13" s="170" t="s">
        <v>170</v>
      </c>
      <c r="C13" s="501">
        <f>'[70]Sch B'!E21</f>
        <v>1378224.0899999999</v>
      </c>
      <c r="D13" s="501">
        <f>'[70]Sch B'!G21</f>
        <v>0</v>
      </c>
      <c r="E13" s="171">
        <f t="shared" si="2"/>
        <v>1378224.0899999999</v>
      </c>
      <c r="F13" s="171"/>
      <c r="G13" s="171">
        <f t="shared" si="0"/>
        <v>1378224.0899999999</v>
      </c>
      <c r="H13" s="172">
        <f t="shared" si="1"/>
        <v>0.19567381752713792</v>
      </c>
      <c r="I13" s="473"/>
      <c r="J13" s="338" t="s">
        <v>346</v>
      </c>
      <c r="K13" s="339">
        <f>G228</f>
        <v>22089</v>
      </c>
    </row>
    <row r="14" spans="1:11" s="167" customFormat="1">
      <c r="A14" s="173" t="s">
        <v>18</v>
      </c>
      <c r="B14" s="174" t="s">
        <v>306</v>
      </c>
      <c r="C14" s="501">
        <f>'[70]Sch B'!E27</f>
        <v>462803.32</v>
      </c>
      <c r="D14" s="501">
        <f>'[70]Sch B'!G27</f>
        <v>0</v>
      </c>
      <c r="E14" s="171">
        <f t="shared" si="2"/>
        <v>462803.32</v>
      </c>
      <c r="F14" s="175"/>
      <c r="G14" s="175">
        <f>E14+F14</f>
        <v>462803.32</v>
      </c>
      <c r="H14" s="176">
        <f t="shared" si="1"/>
        <v>6.5706653254503505E-2</v>
      </c>
      <c r="I14" s="479"/>
      <c r="J14" s="338" t="s">
        <v>347</v>
      </c>
      <c r="K14" s="339">
        <f>G231</f>
        <v>100</v>
      </c>
    </row>
    <row r="15" spans="1:11" s="167" customFormat="1">
      <c r="A15" s="169" t="s">
        <v>19</v>
      </c>
      <c r="B15" s="170" t="s">
        <v>171</v>
      </c>
      <c r="C15" s="501">
        <f>'[70]Sch B'!E32</f>
        <v>0</v>
      </c>
      <c r="D15" s="501">
        <f>'[70]Sch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36500</v>
      </c>
    </row>
    <row r="16" spans="1:11" s="167" customFormat="1">
      <c r="A16" s="169" t="s">
        <v>21</v>
      </c>
      <c r="B16" s="170" t="s">
        <v>172</v>
      </c>
      <c r="C16" s="501">
        <f>'[70]Sch B'!E37</f>
        <v>268117.31</v>
      </c>
      <c r="D16" s="501">
        <f>'[70]Sch B'!G37</f>
        <v>0</v>
      </c>
      <c r="E16" s="171">
        <f t="shared" si="2"/>
        <v>268117.31</v>
      </c>
      <c r="F16" s="171"/>
      <c r="G16" s="171">
        <f t="shared" si="0"/>
        <v>268117.31</v>
      </c>
      <c r="H16" s="172">
        <f t="shared" si="1"/>
        <v>3.8066043086510751E-2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'[70]Sch B'!E42</f>
        <v>406716.75</v>
      </c>
      <c r="D17" s="501">
        <f>'[70]Sch B'!G42</f>
        <v>0</v>
      </c>
      <c r="E17" s="171">
        <f t="shared" si="2"/>
        <v>406716.75</v>
      </c>
      <c r="F17" s="171"/>
      <c r="G17" s="171">
        <f>E17+F17</f>
        <v>406716.75</v>
      </c>
      <c r="H17" s="172">
        <f t="shared" si="1"/>
        <v>5.7743744070480281E-2</v>
      </c>
      <c r="I17" s="473"/>
      <c r="J17" s="338" t="s">
        <v>156</v>
      </c>
      <c r="K17" s="339">
        <f>J208</f>
        <v>142113.16000000003</v>
      </c>
    </row>
    <row r="18" spans="1:11" s="167" customFormat="1" ht="13.5" thickBot="1">
      <c r="A18" s="169" t="s">
        <v>216</v>
      </c>
      <c r="B18" s="170" t="s">
        <v>229</v>
      </c>
      <c r="C18" s="501">
        <f>'[70]Sch B'!E47</f>
        <v>25995.510000000002</v>
      </c>
      <c r="D18" s="501">
        <f>'[70]Sch B'!G47</f>
        <v>0</v>
      </c>
      <c r="E18" s="171">
        <f t="shared" si="2"/>
        <v>25995.510000000002</v>
      </c>
      <c r="F18" s="171"/>
      <c r="G18" s="171">
        <f>E18+F18</f>
        <v>25995.510000000002</v>
      </c>
      <c r="H18" s="172">
        <f t="shared" si="1"/>
        <v>3.6907210642827246E-3</v>
      </c>
      <c r="I18" s="473"/>
      <c r="J18" s="341" t="s">
        <v>252</v>
      </c>
      <c r="K18" s="342">
        <f>K208</f>
        <v>148295.48088199997</v>
      </c>
    </row>
    <row r="19" spans="1:11" s="167" customFormat="1">
      <c r="A19" s="169" t="s">
        <v>227</v>
      </c>
      <c r="B19" s="177" t="s">
        <v>173</v>
      </c>
      <c r="C19" s="501">
        <f>'[70]Sch B'!E52</f>
        <v>0</v>
      </c>
      <c r="D19" s="501">
        <f>'[70]Sch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'[70]Sch B'!E67</f>
        <v>73748.200000000012</v>
      </c>
      <c r="D20" s="501">
        <f>'[70]Sch B'!G67</f>
        <v>-18248.379999999997</v>
      </c>
      <c r="E20" s="171">
        <f t="shared" si="2"/>
        <v>55499.820000000014</v>
      </c>
      <c r="F20" s="171"/>
      <c r="G20" s="171">
        <f t="shared" si="0"/>
        <v>55499.820000000014</v>
      </c>
      <c r="H20" s="172">
        <f t="shared" si="1"/>
        <v>7.8796051601949593E-3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6563909.6699999999</v>
      </c>
      <c r="D21" s="501">
        <f>SUM(D11:D20)</f>
        <v>-18248.379999999997</v>
      </c>
      <c r="E21" s="171">
        <f>SUM(E11:E20)</f>
        <v>6545661.29</v>
      </c>
      <c r="F21" s="171">
        <f>SUM(F11:F20)</f>
        <v>497816</v>
      </c>
      <c r="G21" s="171">
        <f>SUM(G11:G20)</f>
        <v>7043477.29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/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f>'[70]Sch C'!D10</f>
        <v>75289.08</v>
      </c>
      <c r="D25" s="501">
        <f>'[70]Sch C'!F10</f>
        <v>0</v>
      </c>
      <c r="E25" s="171">
        <f t="shared" ref="E25:E60" si="3">C25+D25</f>
        <v>75289.08</v>
      </c>
      <c r="F25" s="171"/>
      <c r="G25" s="182">
        <f>E25+F25</f>
        <v>75289.08</v>
      </c>
      <c r="H25" s="172">
        <f>IF($G$208=0,0,G25/$G$208)</f>
        <v>1.1718803498873109E-2</v>
      </c>
      <c r="I25" s="473"/>
      <c r="J25" s="183">
        <v>1872.04</v>
      </c>
      <c r="K25" s="183">
        <v>1872.04</v>
      </c>
    </row>
    <row r="26" spans="1:11" s="167" customFormat="1">
      <c r="A26" s="169" t="s">
        <v>84</v>
      </c>
      <c r="B26" s="170" t="s">
        <v>176</v>
      </c>
      <c r="C26" s="501">
        <f>'[70]Sch C'!D11</f>
        <v>0</v>
      </c>
      <c r="D26" s="501">
        <f>'[70]Sch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'[70]Sch C'!D12</f>
        <v>230353.41</v>
      </c>
      <c r="D27" s="501">
        <f>'[70]Sch C'!F12</f>
        <v>-74207.66</v>
      </c>
      <c r="E27" s="171">
        <f t="shared" si="3"/>
        <v>156145.75</v>
      </c>
      <c r="F27" s="171"/>
      <c r="G27" s="171">
        <f t="shared" si="4"/>
        <v>156145.75</v>
      </c>
      <c r="H27" s="172">
        <f t="shared" si="5"/>
        <v>2.4304206684876026E-2</v>
      </c>
      <c r="I27" s="473"/>
      <c r="J27" s="183">
        <v>9527.4</v>
      </c>
      <c r="K27" s="183">
        <v>9979.4</v>
      </c>
    </row>
    <row r="28" spans="1:11" s="167" customFormat="1">
      <c r="A28" s="169" t="s">
        <v>86</v>
      </c>
      <c r="B28" s="170" t="s">
        <v>45</v>
      </c>
      <c r="C28" s="501">
        <f>'[70]Sch C'!D13</f>
        <v>89594.60000000002</v>
      </c>
      <c r="D28" s="501">
        <f>'[70]Sch C'!F13</f>
        <v>-22155.5</v>
      </c>
      <c r="E28" s="171">
        <f t="shared" si="3"/>
        <v>67439.10000000002</v>
      </c>
      <c r="F28" s="171"/>
      <c r="G28" s="171">
        <f t="shared" si="4"/>
        <v>67439.10000000002</v>
      </c>
      <c r="H28" s="172">
        <f t="shared" si="5"/>
        <v>1.0496948044003909E-2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'[70]Sch C'!D14</f>
        <v>0</v>
      </c>
      <c r="D29" s="501">
        <f>'[70]Sch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'[70]Sch C'!D15</f>
        <v>407820.16000000003</v>
      </c>
      <c r="D30" s="501">
        <f>'[70]Sch C'!F15</f>
        <v>-407820.16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'[70]Sch C'!D16</f>
        <v>0</v>
      </c>
      <c r="D31" s="501">
        <f>'[70]Sch C'!F16</f>
        <v>248460</v>
      </c>
      <c r="E31" s="171">
        <f t="shared" si="3"/>
        <v>248460</v>
      </c>
      <c r="F31" s="171"/>
      <c r="G31" s="171">
        <f t="shared" si="4"/>
        <v>248460</v>
      </c>
      <c r="H31" s="172">
        <f t="shared" si="5"/>
        <v>3.8672991054346961E-2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'[70]Sch C'!D17</f>
        <v>0</v>
      </c>
      <c r="D32" s="501">
        <f>'[70]Sch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'[70]Sch C'!D18</f>
        <v>27107.329999999998</v>
      </c>
      <c r="D33" s="501">
        <f>'[70]Sch C'!F18</f>
        <v>0</v>
      </c>
      <c r="E33" s="171">
        <f t="shared" si="3"/>
        <v>27107.329999999998</v>
      </c>
      <c r="F33" s="171"/>
      <c r="G33" s="171">
        <f t="shared" si="4"/>
        <v>27107.329999999998</v>
      </c>
      <c r="H33" s="172">
        <f t="shared" si="5"/>
        <v>4.2192768678951578E-3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'[70]Sch C'!D19</f>
        <v>16921.8</v>
      </c>
      <c r="D34" s="501">
        <f>'[70]Sch C'!F19</f>
        <v>0</v>
      </c>
      <c r="E34" s="171">
        <f t="shared" si="3"/>
        <v>16921.8</v>
      </c>
      <c r="F34" s="171"/>
      <c r="G34" s="171">
        <f t="shared" si="4"/>
        <v>16921.8</v>
      </c>
      <c r="H34" s="172">
        <f t="shared" si="5"/>
        <v>2.6338912501949947E-3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'[70]Sch C'!D20</f>
        <v>12938.35</v>
      </c>
      <c r="D35" s="501">
        <f>'[70]Sch C'!F20</f>
        <v>0</v>
      </c>
      <c r="E35" s="171">
        <f t="shared" si="3"/>
        <v>12938.35</v>
      </c>
      <c r="F35" s="171"/>
      <c r="G35" s="171">
        <f t="shared" si="4"/>
        <v>12938.35</v>
      </c>
      <c r="H35" s="172">
        <f t="shared" si="5"/>
        <v>2.0138641785720441E-3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'[70]Sch C'!D21</f>
        <v>21431.11</v>
      </c>
      <c r="D36" s="501">
        <f>'[70]Sch C'!F21</f>
        <v>52600</v>
      </c>
      <c r="E36" s="171">
        <f t="shared" si="3"/>
        <v>74031.11</v>
      </c>
      <c r="F36" s="171"/>
      <c r="G36" s="171">
        <f t="shared" si="4"/>
        <v>74031.11</v>
      </c>
      <c r="H36" s="172">
        <f t="shared" si="5"/>
        <v>1.1522999495988796E-2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'[70]Sch C'!D22</f>
        <v>0</v>
      </c>
      <c r="D37" s="501">
        <f>'[70]Sch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'[70]Sch C'!D23</f>
        <v>37326.97</v>
      </c>
      <c r="D38" s="501">
        <f>'[70]Sch C'!F23</f>
        <v>19560</v>
      </c>
      <c r="E38" s="171">
        <f t="shared" si="3"/>
        <v>56886.97</v>
      </c>
      <c r="F38" s="171"/>
      <c r="G38" s="171">
        <f t="shared" si="4"/>
        <v>56886.97</v>
      </c>
      <c r="H38" s="172">
        <f t="shared" si="5"/>
        <v>8.8545008529296639E-3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'[70]Sch C'!D24</f>
        <v>35556</v>
      </c>
      <c r="D39" s="501">
        <f>'[70]Sch C'!F24</f>
        <v>0</v>
      </c>
      <c r="E39" s="171">
        <f t="shared" si="3"/>
        <v>35556</v>
      </c>
      <c r="F39" s="171"/>
      <c r="G39" s="171">
        <f t="shared" si="4"/>
        <v>35556</v>
      </c>
      <c r="H39" s="172">
        <f t="shared" si="5"/>
        <v>5.5343188840391239E-3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'[70]Sch C'!D25</f>
        <v>0</v>
      </c>
      <c r="D40" s="501">
        <f>'[70]Sch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'[70]Sch C'!D26</f>
        <v>337863.46</v>
      </c>
      <c r="D41" s="501">
        <f>'[70]Sch C'!F26</f>
        <v>0</v>
      </c>
      <c r="E41" s="171">
        <f t="shared" si="3"/>
        <v>337863.46</v>
      </c>
      <c r="F41" s="171"/>
      <c r="G41" s="171">
        <f t="shared" si="4"/>
        <v>337863.46</v>
      </c>
      <c r="H41" s="172">
        <f t="shared" si="5"/>
        <v>5.2588708710338543E-2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'[70]Sch C'!D27</f>
        <v>0</v>
      </c>
      <c r="D42" s="501">
        <f>'[70]Sch C'!F27</f>
        <v>11598.29</v>
      </c>
      <c r="E42" s="171">
        <f t="shared" si="3"/>
        <v>11598.29</v>
      </c>
      <c r="F42" s="171"/>
      <c r="G42" s="171">
        <f t="shared" si="4"/>
        <v>11598.29</v>
      </c>
      <c r="H42" s="172">
        <f t="shared" si="5"/>
        <v>1.8052828037338883E-3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'[70]Sch C'!D28</f>
        <v>0</v>
      </c>
      <c r="D43" s="501">
        <f>'[70]Sch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'[70]Sch C'!D29</f>
        <v>131452.46</v>
      </c>
      <c r="D44" s="501">
        <f>'[70]Sch C'!F29</f>
        <v>-131452.46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'[70]Sch C'!D30</f>
        <v>0</v>
      </c>
      <c r="D45" s="501">
        <f>'[70]Sch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'[70]Sch C'!D31</f>
        <v>5776.01</v>
      </c>
      <c r="D46" s="501">
        <f>'[70]Sch C'!F31</f>
        <v>0</v>
      </c>
      <c r="E46" s="171">
        <f t="shared" si="3"/>
        <v>5776.01</v>
      </c>
      <c r="F46" s="171"/>
      <c r="G46" s="171">
        <f t="shared" si="4"/>
        <v>5776.01</v>
      </c>
      <c r="H46" s="172">
        <f t="shared" si="5"/>
        <v>8.9904042123407641E-4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'[70]Sch C'!D32</f>
        <v>95788.700000000012</v>
      </c>
      <c r="D47" s="501">
        <f>'[70]Sch C'!F32</f>
        <v>-18191</v>
      </c>
      <c r="E47" s="171">
        <f t="shared" si="3"/>
        <v>77597.700000000012</v>
      </c>
      <c r="F47" s="171"/>
      <c r="G47" s="171">
        <f t="shared" si="4"/>
        <v>77597.700000000012</v>
      </c>
      <c r="H47" s="172">
        <f t="shared" si="5"/>
        <v>1.2078141986387748E-2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'[70]Sch C'!D33</f>
        <v>0</v>
      </c>
      <c r="D48" s="501">
        <f>'[70]Sch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'[70]Sch C'!D34</f>
        <v>0</v>
      </c>
      <c r="D49" s="501">
        <f>'[70]Sch C'!F34</f>
        <v>1240</v>
      </c>
      <c r="E49" s="171">
        <f t="shared" si="3"/>
        <v>1240</v>
      </c>
      <c r="F49" s="171"/>
      <c r="G49" s="171">
        <f t="shared" si="4"/>
        <v>1240</v>
      </c>
      <c r="H49" s="172">
        <f t="shared" si="5"/>
        <v>1.9300695849388326E-4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'[70]Sch C'!D35</f>
        <v>500</v>
      </c>
      <c r="D50" s="501">
        <f>'[70]Sch C'!F35</f>
        <v>-500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'[70]Sch C'!D36</f>
        <v>0</v>
      </c>
      <c r="D51" s="501">
        <f>'[70]Sch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'[70]Sch C'!D37</f>
        <v>0</v>
      </c>
      <c r="D52" s="501">
        <f>'[70]Sch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'[70]Sch C'!D38</f>
        <v>0</v>
      </c>
      <c r="D53" s="501">
        <f>'[70]Sch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'[70]Sch C'!D39</f>
        <v>24265.08</v>
      </c>
      <c r="D54" s="501">
        <f>'[70]Sch C'!F39</f>
        <v>4522</v>
      </c>
      <c r="E54" s="171">
        <f t="shared" si="3"/>
        <v>28787.08</v>
      </c>
      <c r="F54" s="171"/>
      <c r="G54" s="171">
        <f t="shared" si="4"/>
        <v>28787.08</v>
      </c>
      <c r="H54" s="172">
        <f t="shared" si="5"/>
        <v>4.4807312538065304E-3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'[70]Sch C'!D40</f>
        <v>19252.82</v>
      </c>
      <c r="D55" s="501">
        <f>'[70]Sch C'!F40</f>
        <v>-19252.82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'[70]Sch C'!D41</f>
        <v>18410.259999999998</v>
      </c>
      <c r="D56" s="501">
        <f>'[70]Sch C'!F41</f>
        <v>0</v>
      </c>
      <c r="E56" s="171">
        <f t="shared" si="3"/>
        <v>18410.259999999998</v>
      </c>
      <c r="F56" s="171"/>
      <c r="G56" s="171">
        <f t="shared" si="4"/>
        <v>18410.259999999998</v>
      </c>
      <c r="H56" s="172">
        <f t="shared" si="5"/>
        <v>2.8655711997432249E-3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'[70]Sch C'!D42</f>
        <v>0</v>
      </c>
      <c r="D57" s="501">
        <f>'[70]Sch C'!F42</f>
        <v>2462</v>
      </c>
      <c r="E57" s="171">
        <f t="shared" si="3"/>
        <v>2462</v>
      </c>
      <c r="F57" s="171"/>
      <c r="G57" s="171">
        <f t="shared" si="4"/>
        <v>2462</v>
      </c>
      <c r="H57" s="172">
        <f t="shared" si="5"/>
        <v>3.8321220307414562E-4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'[70]Sch C'!D43</f>
        <v>0</v>
      </c>
      <c r="D58" s="501">
        <f>'[70]Sch C'!F43</f>
        <v>0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'[70]Sch C'!D44</f>
        <v>3195</v>
      </c>
      <c r="D59" s="501">
        <f>'[70]Sch C'!F44</f>
        <v>0</v>
      </c>
      <c r="E59" s="171">
        <f t="shared" si="3"/>
        <v>3195</v>
      </c>
      <c r="F59" s="171"/>
      <c r="G59" s="171">
        <f t="shared" si="4"/>
        <v>3195</v>
      </c>
      <c r="H59" s="172">
        <f t="shared" si="5"/>
        <v>4.9730421966770726E-4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'[70]Sch C'!D45</f>
        <v>6404.9900000000007</v>
      </c>
      <c r="D60" s="501">
        <f>'[70]Sch C'!F45</f>
        <v>4890</v>
      </c>
      <c r="E60" s="171">
        <f t="shared" si="3"/>
        <v>11294.990000000002</v>
      </c>
      <c r="F60" s="171"/>
      <c r="G60" s="171">
        <f t="shared" si="4"/>
        <v>11294.990000000002</v>
      </c>
      <c r="H60" s="172">
        <f t="shared" si="5"/>
        <v>1.7580739242893763E-3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1597247.59</v>
      </c>
      <c r="D61" s="501">
        <f>SUM(D25:D60)</f>
        <v>-328247.30999999994</v>
      </c>
      <c r="E61" s="171">
        <f t="shared" ref="E61:F61" si="6">SUM(E25:E60)</f>
        <v>1269000.28</v>
      </c>
      <c r="F61" s="171">
        <f t="shared" si="6"/>
        <v>0</v>
      </c>
      <c r="G61" s="171">
        <f>SUM(G25:G60)</f>
        <v>1269000.28</v>
      </c>
      <c r="H61" s="186">
        <f t="shared" si="5"/>
        <v>0.1975208744924889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'[70]Sch C'!D57</f>
        <v>483624.96000000008</v>
      </c>
      <c r="D64" s="501">
        <f>'[70]Sch C'!F57</f>
        <v>0</v>
      </c>
      <c r="E64" s="171">
        <f t="shared" ref="E64:E78" si="7">C64+D64</f>
        <v>483624.96000000008</v>
      </c>
      <c r="F64" s="171"/>
      <c r="G64" s="171">
        <f t="shared" ref="G64:G78" si="8">E64+F64</f>
        <v>483624.96000000008</v>
      </c>
      <c r="H64" s="172">
        <f t="shared" ref="H64:H79" si="9">IF($G$208=0,0,G64/$G$208)</f>
        <v>7.5276598855908039E-2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'[70]Sch C'!D58</f>
        <v>450</v>
      </c>
      <c r="D65" s="501">
        <f>'[70]Sch C'!F58</f>
        <v>6469</v>
      </c>
      <c r="E65" s="171">
        <f t="shared" si="7"/>
        <v>6919</v>
      </c>
      <c r="F65" s="171"/>
      <c r="G65" s="171">
        <f t="shared" si="8"/>
        <v>6919</v>
      </c>
      <c r="H65" s="172">
        <f t="shared" si="9"/>
        <v>1.0769476982412727E-3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'[70]Sch C'!D59</f>
        <v>0</v>
      </c>
      <c r="D66" s="501">
        <f>'[70]Sch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'[70]Sch C'!D60</f>
        <v>26544.619999999995</v>
      </c>
      <c r="D67" s="501">
        <f>'[70]Sch C'!F60</f>
        <v>1724.2100000000005</v>
      </c>
      <c r="E67" s="171">
        <f t="shared" si="7"/>
        <v>28268.829999999994</v>
      </c>
      <c r="F67" s="171"/>
      <c r="G67" s="171">
        <f t="shared" si="8"/>
        <v>28268.829999999994</v>
      </c>
      <c r="H67" s="172">
        <f t="shared" si="9"/>
        <v>4.4000652407101938E-3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'[70]Sch C'!D61</f>
        <v>10858.65</v>
      </c>
      <c r="D68" s="501">
        <f>'[70]Sch C'!F61</f>
        <v>1676</v>
      </c>
      <c r="E68" s="171">
        <f t="shared" si="7"/>
        <v>12534.65</v>
      </c>
      <c r="F68" s="171"/>
      <c r="G68" s="171">
        <f t="shared" si="8"/>
        <v>12534.65</v>
      </c>
      <c r="H68" s="172">
        <f t="shared" si="9"/>
        <v>1.9510279615204465E-3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'[70]Sch C'!D62</f>
        <v>23409.919999999998</v>
      </c>
      <c r="D69" s="501">
        <f>'[70]Sch C'!F62</f>
        <v>0</v>
      </c>
      <c r="E69" s="171">
        <f t="shared" si="7"/>
        <v>23409.919999999998</v>
      </c>
      <c r="F69" s="171"/>
      <c r="G69" s="171">
        <f t="shared" si="8"/>
        <v>23409.919999999998</v>
      </c>
      <c r="H69" s="172">
        <f t="shared" si="9"/>
        <v>3.6437721433751026E-3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'[70]Sch C'!D63</f>
        <v>0</v>
      </c>
      <c r="D70" s="501">
        <f>'[70]Sch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'[70]Sch C'!D64</f>
        <v>0</v>
      </c>
      <c r="D71" s="501">
        <f>'[70]Sch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'[70]Sch C'!D65</f>
        <v>0</v>
      </c>
      <c r="D72" s="501">
        <f>'[70]Sch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'[70]Sch C'!D66</f>
        <v>0</v>
      </c>
      <c r="D73" s="501">
        <f>'[70]Sch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'[70]Sch C'!D67</f>
        <v>15008.28</v>
      </c>
      <c r="D74" s="501">
        <f>'[70]Sch C'!F67</f>
        <v>8434.2200000000012</v>
      </c>
      <c r="E74" s="171">
        <f t="shared" si="7"/>
        <v>23442.5</v>
      </c>
      <c r="F74" s="171"/>
      <c r="G74" s="171">
        <f t="shared" si="8"/>
        <v>23442.5</v>
      </c>
      <c r="H74" s="172">
        <f t="shared" si="9"/>
        <v>3.6488432455587566E-3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'[70]Sch C'!D68</f>
        <v>0</v>
      </c>
      <c r="D75" s="501">
        <f>'[70]Sch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'[70]Sch C'!D69</f>
        <v>0</v>
      </c>
      <c r="D76" s="501">
        <f>'[70]Sch C'!F69</f>
        <v>3600.73</v>
      </c>
      <c r="E76" s="171">
        <f t="shared" si="7"/>
        <v>3600.73</v>
      </c>
      <c r="F76" s="171"/>
      <c r="G76" s="171">
        <f t="shared" si="8"/>
        <v>3600.73</v>
      </c>
      <c r="H76" s="172">
        <f t="shared" si="9"/>
        <v>5.6045640778845185E-4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'[70]Sch C'!D70</f>
        <v>0</v>
      </c>
      <c r="D77" s="501">
        <f>'[70]Sch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'[70]Sch C'!D71</f>
        <v>0</v>
      </c>
      <c r="D78" s="501">
        <f>'[70]Sch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559896.43000000017</v>
      </c>
      <c r="D79" s="501">
        <f>SUM(D64:D78)</f>
        <v>21904.16</v>
      </c>
      <c r="E79" s="171">
        <f t="shared" ref="E79:F79" si="10">SUM(E64:E78)</f>
        <v>581800.59000000008</v>
      </c>
      <c r="F79" s="171">
        <f t="shared" si="10"/>
        <v>0</v>
      </c>
      <c r="G79" s="171">
        <f>SUM(G64:G78)</f>
        <v>581800.59000000008</v>
      </c>
      <c r="H79" s="172">
        <f t="shared" si="9"/>
        <v>9.0557711553102258E-2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'[70]Sch C'!D75</f>
        <v>70674.03</v>
      </c>
      <c r="D82" s="501">
        <f>'[70]Sch C'!F75</f>
        <v>0</v>
      </c>
      <c r="E82" s="171">
        <f t="shared" ref="E82:E92" si="11">C82+D82</f>
        <v>70674.03</v>
      </c>
      <c r="F82" s="171"/>
      <c r="G82" s="171">
        <f t="shared" ref="G82:G92" si="12">E82+F82</f>
        <v>70674.03</v>
      </c>
      <c r="H82" s="172">
        <f t="shared" ref="H82:H93" si="13">IF($G$208=0,0,G82/$G$208)</f>
        <v>1.1000467399036661E-2</v>
      </c>
      <c r="I82" s="473"/>
      <c r="J82" s="183">
        <v>3993.7299999999996</v>
      </c>
      <c r="K82" s="183">
        <v>4182.9299999999994</v>
      </c>
    </row>
    <row r="83" spans="1:11" s="167" customFormat="1">
      <c r="A83" s="169" t="s">
        <v>86</v>
      </c>
      <c r="B83" s="199" t="s">
        <v>45</v>
      </c>
      <c r="C83" s="501">
        <f>'[70]Sch C'!D76</f>
        <v>16760.120000000003</v>
      </c>
      <c r="D83" s="501">
        <f>'[70]Sch C'!F76</f>
        <v>0</v>
      </c>
      <c r="E83" s="171">
        <f t="shared" si="11"/>
        <v>16760.120000000003</v>
      </c>
      <c r="F83" s="171"/>
      <c r="G83" s="171">
        <f t="shared" si="12"/>
        <v>16760.120000000003</v>
      </c>
      <c r="H83" s="172">
        <f t="shared" si="13"/>
        <v>2.6087256332197606E-3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'[70]Sch C'!D77</f>
        <v>27217.179999999997</v>
      </c>
      <c r="D84" s="501">
        <f>'[70]Sch C'!F77</f>
        <v>0</v>
      </c>
      <c r="E84" s="171">
        <f t="shared" si="11"/>
        <v>27217.179999999997</v>
      </c>
      <c r="F84" s="171"/>
      <c r="G84" s="171">
        <f t="shared" si="12"/>
        <v>27217.179999999997</v>
      </c>
      <c r="H84" s="172">
        <f t="shared" si="13"/>
        <v>4.236375105306894E-3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'[70]Sch C'!D78</f>
        <v>72008.06</v>
      </c>
      <c r="D85" s="501">
        <f>'[70]Sch C'!F78</f>
        <v>1081</v>
      </c>
      <c r="E85" s="171">
        <f t="shared" si="11"/>
        <v>73089.06</v>
      </c>
      <c r="F85" s="171"/>
      <c r="G85" s="171">
        <f t="shared" si="12"/>
        <v>73089.06</v>
      </c>
      <c r="H85" s="172">
        <f t="shared" si="13"/>
        <v>1.1376368685303987E-2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'[70]Sch C'!D79</f>
        <v>35874.42</v>
      </c>
      <c r="D86" s="501">
        <f>'[70]Sch C'!F79</f>
        <v>0</v>
      </c>
      <c r="E86" s="171">
        <f t="shared" si="11"/>
        <v>35874.42</v>
      </c>
      <c r="F86" s="171"/>
      <c r="G86" s="171">
        <f>E86+F86</f>
        <v>35874.42</v>
      </c>
      <c r="H86" s="172">
        <f t="shared" si="13"/>
        <v>5.5838812031710769E-3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'[70]Sch C'!D80</f>
        <v>62185.599999999999</v>
      </c>
      <c r="D87" s="501">
        <f>'[70]Sch C'!F80</f>
        <v>0</v>
      </c>
      <c r="E87" s="171">
        <f t="shared" si="11"/>
        <v>62185.599999999999</v>
      </c>
      <c r="F87" s="171"/>
      <c r="G87" s="171">
        <f t="shared" si="12"/>
        <v>62185.599999999999</v>
      </c>
      <c r="H87" s="172">
        <f t="shared" si="13"/>
        <v>9.679236708159053E-3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'[70]Sch C'!D81</f>
        <v>0</v>
      </c>
      <c r="D88" s="501">
        <f>'[70]Sch C'!F81</f>
        <v>0</v>
      </c>
      <c r="E88" s="171">
        <f t="shared" si="11"/>
        <v>0</v>
      </c>
      <c r="F88" s="171"/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'[70]Sch C'!D82</f>
        <v>25183.65</v>
      </c>
      <c r="D89" s="501">
        <f>'[70]Sch C'!F82</f>
        <v>0</v>
      </c>
      <c r="E89" s="171">
        <f t="shared" si="11"/>
        <v>25183.65</v>
      </c>
      <c r="F89" s="171"/>
      <c r="G89" s="171">
        <f t="shared" si="12"/>
        <v>25183.65</v>
      </c>
      <c r="H89" s="172">
        <f t="shared" si="13"/>
        <v>3.9198545889310354E-3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'[70]Sch C'!D83</f>
        <v>0</v>
      </c>
      <c r="D90" s="501">
        <f>'[70]Sch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'[70]Sch C'!D84</f>
        <v>98476</v>
      </c>
      <c r="D91" s="501">
        <f>'[70]Sch C'!F84</f>
        <v>704</v>
      </c>
      <c r="E91" s="171">
        <f t="shared" si="11"/>
        <v>99180</v>
      </c>
      <c r="F91" s="171"/>
      <c r="G91" s="171">
        <f t="shared" si="12"/>
        <v>99180</v>
      </c>
      <c r="H91" s="172">
        <f t="shared" si="13"/>
        <v>1.5437443664051082E-2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'[70]Sch C'!D85</f>
        <v>836.58999999999992</v>
      </c>
      <c r="D92" s="501">
        <f>'[70]Sch C'!F85</f>
        <v>0</v>
      </c>
      <c r="E92" s="171">
        <f t="shared" si="11"/>
        <v>836.58999999999992</v>
      </c>
      <c r="F92" s="171"/>
      <c r="G92" s="171">
        <f t="shared" si="12"/>
        <v>836.58999999999992</v>
      </c>
      <c r="H92" s="172">
        <f t="shared" si="13"/>
        <v>1.3021588016644983E-4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409215.65</v>
      </c>
      <c r="D93" s="501">
        <f>SUM(D82:D92)</f>
        <v>1785</v>
      </c>
      <c r="E93" s="171">
        <f t="shared" ref="E93:F93" si="14">SUM(E82:E92)</f>
        <v>411000.65</v>
      </c>
      <c r="F93" s="171">
        <f t="shared" si="14"/>
        <v>0</v>
      </c>
      <c r="G93" s="171">
        <f>SUM(G82:G92)</f>
        <v>411000.65</v>
      </c>
      <c r="H93" s="172">
        <f t="shared" si="13"/>
        <v>6.3972568867346008E-2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'[70]Sch C'!D89</f>
        <v>249343.16999999998</v>
      </c>
      <c r="D96" s="501">
        <f>'[70]Sch C'!F89</f>
        <v>0</v>
      </c>
      <c r="E96" s="171">
        <f t="shared" ref="E96:E101" si="15">C96+D96</f>
        <v>249343.16999999998</v>
      </c>
      <c r="F96" s="171"/>
      <c r="G96" s="171">
        <f t="shared" ref="G96:G101" si="16">E96+F96</f>
        <v>249343.16999999998</v>
      </c>
      <c r="H96" s="172">
        <f t="shared" ref="H96:H102" si="17">IF($G$208=0,0,G96/$G$208)</f>
        <v>3.8810457147518768E-2</v>
      </c>
      <c r="I96" s="473"/>
      <c r="J96" s="183">
        <v>16479.589999999997</v>
      </c>
      <c r="K96" s="183">
        <v>17292.899999999994</v>
      </c>
    </row>
    <row r="97" spans="1:11" s="167" customFormat="1">
      <c r="A97" s="169" t="s">
        <v>86</v>
      </c>
      <c r="B97" s="170" t="s">
        <v>45</v>
      </c>
      <c r="C97" s="501">
        <f>'[70]Sch C'!D90</f>
        <v>87812.540000000008</v>
      </c>
      <c r="D97" s="501">
        <f>'[70]Sch C'!F90</f>
        <v>0</v>
      </c>
      <c r="E97" s="171">
        <f t="shared" si="15"/>
        <v>87812.540000000008</v>
      </c>
      <c r="F97" s="171"/>
      <c r="G97" s="171">
        <f t="shared" si="16"/>
        <v>87812.540000000008</v>
      </c>
      <c r="H97" s="172">
        <f t="shared" si="17"/>
        <v>1.3668089728243923E-2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'[70]Sch C'!D91</f>
        <v>2924.2999999999997</v>
      </c>
      <c r="D98" s="501">
        <f>'[70]Sch C'!F91</f>
        <v>0</v>
      </c>
      <c r="E98" s="171">
        <f t="shared" si="15"/>
        <v>2924.2999999999997</v>
      </c>
      <c r="F98" s="171"/>
      <c r="G98" s="171">
        <f t="shared" si="16"/>
        <v>2924.2999999999997</v>
      </c>
      <c r="H98" s="172">
        <f t="shared" si="17"/>
        <v>4.5516955542230868E-4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'[70]Sch C'!D92</f>
        <v>155339.29999999999</v>
      </c>
      <c r="D99" s="501">
        <f>'[70]Sch C'!F92</f>
        <v>0</v>
      </c>
      <c r="E99" s="171">
        <f t="shared" si="15"/>
        <v>155339.29999999999</v>
      </c>
      <c r="F99" s="171"/>
      <c r="G99" s="171">
        <f t="shared" si="16"/>
        <v>155339.29999999999</v>
      </c>
      <c r="H99" s="172">
        <f t="shared" si="17"/>
        <v>2.4178682119007158E-2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'[70]Sch C'!D93</f>
        <v>5824.12</v>
      </c>
      <c r="D100" s="501">
        <f>'[70]Sch C'!F93</f>
        <v>0</v>
      </c>
      <c r="E100" s="171">
        <f t="shared" si="15"/>
        <v>5824.12</v>
      </c>
      <c r="F100" s="171"/>
      <c r="G100" s="171">
        <f t="shared" si="16"/>
        <v>5824.12</v>
      </c>
      <c r="H100" s="172">
        <f t="shared" si="17"/>
        <v>9.0652877992209303E-4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'[70]Sch C'!D94</f>
        <v>16676.579999999998</v>
      </c>
      <c r="D101" s="501">
        <f>'[70]Sch C'!F94</f>
        <v>0</v>
      </c>
      <c r="E101" s="171">
        <f t="shared" si="15"/>
        <v>16676.579999999998</v>
      </c>
      <c r="F101" s="171"/>
      <c r="G101" s="171">
        <f t="shared" si="16"/>
        <v>16676.579999999998</v>
      </c>
      <c r="H101" s="172">
        <f t="shared" si="17"/>
        <v>2.5957225676450993E-3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517920.00999999995</v>
      </c>
      <c r="D102" s="501">
        <f>SUM(D96:D101)</f>
        <v>0</v>
      </c>
      <c r="E102" s="171">
        <f t="shared" ref="E102:F102" si="18">SUM(E96:E101)</f>
        <v>517920.00999999995</v>
      </c>
      <c r="F102" s="171">
        <f t="shared" si="18"/>
        <v>0</v>
      </c>
      <c r="G102" s="171">
        <f>SUM(G96:G101)</f>
        <v>517920.00999999995</v>
      </c>
      <c r="H102" s="172">
        <f t="shared" si="17"/>
        <v>8.061464989775935E-2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'[70]Sch C'!D98</f>
        <v>17578.12</v>
      </c>
      <c r="D105" s="501">
        <f>'[70]Sch C'!F98</f>
        <v>0</v>
      </c>
      <c r="E105" s="171">
        <f t="shared" ref="E105:E110" si="19">C105+D105</f>
        <v>17578.12</v>
      </c>
      <c r="F105" s="171"/>
      <c r="G105" s="171">
        <f t="shared" ref="G105:G110" si="20">E105+F105</f>
        <v>17578.12</v>
      </c>
      <c r="H105" s="172">
        <f t="shared" ref="H105:H111" si="21">IF($G$208=0,0,G105/$G$208)</f>
        <v>2.7360479655165314E-3</v>
      </c>
      <c r="I105" s="473"/>
      <c r="J105" s="183">
        <v>1572.15</v>
      </c>
      <c r="K105" s="183">
        <v>1692.15</v>
      </c>
    </row>
    <row r="106" spans="1:11" s="167" customFormat="1">
      <c r="A106" s="169" t="s">
        <v>86</v>
      </c>
      <c r="B106" s="170" t="s">
        <v>45</v>
      </c>
      <c r="C106" s="501">
        <f>'[70]Sch C'!D99</f>
        <v>3248.27</v>
      </c>
      <c r="D106" s="501">
        <f>'[70]Sch C'!F99</f>
        <v>0</v>
      </c>
      <c r="E106" s="171">
        <f t="shared" si="19"/>
        <v>3248.27</v>
      </c>
      <c r="F106" s="171"/>
      <c r="G106" s="171">
        <f t="shared" si="20"/>
        <v>3248.27</v>
      </c>
      <c r="H106" s="172">
        <f t="shared" si="21"/>
        <v>5.0559573634429528E-4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'[70]Sch C'!D100</f>
        <v>14551.04</v>
      </c>
      <c r="D107" s="501">
        <f>'[70]Sch C'!F100</f>
        <v>0</v>
      </c>
      <c r="E107" s="171">
        <f t="shared" si="19"/>
        <v>14551.04</v>
      </c>
      <c r="F107" s="171"/>
      <c r="G107" s="171">
        <f t="shared" si="20"/>
        <v>14551.04</v>
      </c>
      <c r="H107" s="172">
        <f t="shared" si="21"/>
        <v>2.2648806236474479E-3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'[70]Sch C'!D101</f>
        <v>706.56</v>
      </c>
      <c r="D108" s="501">
        <f>'[70]Sch C'!F101</f>
        <v>0</v>
      </c>
      <c r="E108" s="171">
        <f t="shared" si="19"/>
        <v>706.56</v>
      </c>
      <c r="F108" s="171"/>
      <c r="G108" s="171">
        <f t="shared" si="20"/>
        <v>706.56</v>
      </c>
      <c r="H108" s="172">
        <f t="shared" si="21"/>
        <v>1.099766101559985E-4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'[70]Sch C'!D102</f>
        <v>5028.93</v>
      </c>
      <c r="D109" s="501">
        <f>'[70]Sch C'!F102</f>
        <v>0</v>
      </c>
      <c r="E109" s="171">
        <f t="shared" si="19"/>
        <v>5028.93</v>
      </c>
      <c r="F109" s="171"/>
      <c r="G109" s="171">
        <f t="shared" si="20"/>
        <v>5028.93</v>
      </c>
      <c r="H109" s="172">
        <f t="shared" si="21"/>
        <v>7.8275684175697132E-4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'[70]Sch C'!D103</f>
        <v>0</v>
      </c>
      <c r="D110" s="501">
        <f>'[70]Sch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41112.92</v>
      </c>
      <c r="D111" s="501">
        <f>SUM(D105:D110)</f>
        <v>0</v>
      </c>
      <c r="E111" s="171">
        <f t="shared" ref="E111:F111" si="22">SUM(E105:E110)</f>
        <v>41112.92</v>
      </c>
      <c r="F111" s="171">
        <f t="shared" si="22"/>
        <v>0</v>
      </c>
      <c r="G111" s="171">
        <f>SUM(G105:G110)</f>
        <v>41112.92</v>
      </c>
      <c r="H111" s="172">
        <f t="shared" si="21"/>
        <v>6.3992577774212439E-3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'[70]Sch C'!D115</f>
        <v>92311.77</v>
      </c>
      <c r="D114" s="501">
        <f>'[70]Sch C'!F115</f>
        <v>0</v>
      </c>
      <c r="E114" s="171">
        <f t="shared" ref="E114:E118" si="23">C114+D114</f>
        <v>92311.77</v>
      </c>
      <c r="F114" s="171"/>
      <c r="G114" s="171">
        <f>E114+F114</f>
        <v>92311.77</v>
      </c>
      <c r="H114" s="172">
        <f t="shared" ref="H114:H119" si="24">IF($G$208=0,0,G114/$G$208)</f>
        <v>1.436839835555395E-2</v>
      </c>
      <c r="I114" s="473"/>
      <c r="J114" s="183">
        <v>8937.5299999999988</v>
      </c>
      <c r="K114" s="183">
        <v>9313.5299999999988</v>
      </c>
    </row>
    <row r="115" spans="1:11" s="167" customFormat="1">
      <c r="A115" s="169" t="s">
        <v>86</v>
      </c>
      <c r="B115" s="170" t="s">
        <v>151</v>
      </c>
      <c r="C115" s="501">
        <f>'[70]Sch C'!D116</f>
        <v>13722.980000000003</v>
      </c>
      <c r="D115" s="501">
        <f>'[70]Sch C'!F116</f>
        <v>0</v>
      </c>
      <c r="E115" s="171">
        <f t="shared" si="23"/>
        <v>13722.980000000003</v>
      </c>
      <c r="F115" s="171"/>
      <c r="G115" s="171">
        <f>E115+F115</f>
        <v>13722.980000000003</v>
      </c>
      <c r="H115" s="172">
        <f t="shared" si="24"/>
        <v>2.1359924445745085E-3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'[70]Sch C'!D117</f>
        <v>22203.17</v>
      </c>
      <c r="D116" s="501">
        <f>'[70]Sch C'!F117</f>
        <v>0</v>
      </c>
      <c r="E116" s="171">
        <f t="shared" si="23"/>
        <v>22203.17</v>
      </c>
      <c r="F116" s="171"/>
      <c r="G116" s="171">
        <f>E116+F116</f>
        <v>22203.17</v>
      </c>
      <c r="H116" s="172">
        <f t="shared" si="24"/>
        <v>3.455940573082769E-3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'[70]Sch C'!D118</f>
        <v>4325</v>
      </c>
      <c r="D117" s="501">
        <f>'[70]Sch C'!F118</f>
        <v>0</v>
      </c>
      <c r="E117" s="171">
        <f t="shared" si="23"/>
        <v>4325</v>
      </c>
      <c r="F117" s="171"/>
      <c r="G117" s="171">
        <f>E117+F117</f>
        <v>4325</v>
      </c>
      <c r="H117" s="172">
        <f t="shared" si="24"/>
        <v>6.7318959313390737E-4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'[70]Sch C'!D119</f>
        <v>932.88</v>
      </c>
      <c r="D118" s="501">
        <f>'[70]Sch C'!F119</f>
        <v>0</v>
      </c>
      <c r="E118" s="171">
        <f t="shared" si="23"/>
        <v>932.88</v>
      </c>
      <c r="F118" s="171"/>
      <c r="G118" s="171">
        <f>E118+F118</f>
        <v>932.88</v>
      </c>
      <c r="H118" s="172">
        <f t="shared" si="24"/>
        <v>1.452034930965918E-4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133495.79999999999</v>
      </c>
      <c r="D119" s="501">
        <f>SUM(D114:D118)</f>
        <v>0</v>
      </c>
      <c r="E119" s="171">
        <f t="shared" ref="E119:F119" si="25">SUM(E114:E118)</f>
        <v>133495.79999999999</v>
      </c>
      <c r="F119" s="171">
        <f t="shared" si="25"/>
        <v>0</v>
      </c>
      <c r="G119" s="171">
        <f>SUM(G114:G118)</f>
        <v>133495.79999999999</v>
      </c>
      <c r="H119" s="172">
        <f t="shared" si="24"/>
        <v>2.0778724459441726E-2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'[70]Sch C'!D124</f>
        <v>137251.70000000001</v>
      </c>
      <c r="D123" s="501">
        <f>'[70]Sch C'!F124</f>
        <v>0</v>
      </c>
      <c r="E123" s="171">
        <f t="shared" ref="E123:E127" si="26">C123+D123</f>
        <v>137251.70000000001</v>
      </c>
      <c r="F123" s="171"/>
      <c r="G123" s="171">
        <f>E123+F123</f>
        <v>137251.70000000001</v>
      </c>
      <c r="H123" s="172">
        <f>IF($G$208=0,0,G123/$G$208)</f>
        <v>2.136333319767332E-2</v>
      </c>
      <c r="I123" s="473"/>
      <c r="J123" s="183">
        <v>3777.26</v>
      </c>
      <c r="K123" s="183">
        <v>3921.26</v>
      </c>
    </row>
    <row r="124" spans="1:11" s="167" customFormat="1">
      <c r="B124" s="163" t="s">
        <v>194</v>
      </c>
      <c r="C124" s="501">
        <f>'[70]Sch C'!D125</f>
        <v>80039.490000000005</v>
      </c>
      <c r="D124" s="501">
        <f>'[70]Sch C'!F125</f>
        <v>0</v>
      </c>
      <c r="E124" s="171">
        <f t="shared" si="26"/>
        <v>80039.490000000005</v>
      </c>
      <c r="F124" s="171"/>
      <c r="G124" s="171">
        <f>E124+F124</f>
        <v>80039.490000000005</v>
      </c>
      <c r="H124" s="172">
        <f>IF($G$208=0,0,G124/$G$208)</f>
        <v>1.2458208487339988E-2</v>
      </c>
      <c r="I124" s="473"/>
      <c r="J124" s="183">
        <v>2059.04</v>
      </c>
      <c r="K124" s="183">
        <v>2075.04</v>
      </c>
    </row>
    <row r="125" spans="1:11" s="167" customFormat="1">
      <c r="A125" s="163" t="s">
        <v>198</v>
      </c>
      <c r="B125" s="163" t="s">
        <v>195</v>
      </c>
      <c r="C125" s="501">
        <f>'[70]Sch C'!D126</f>
        <v>0</v>
      </c>
      <c r="D125" s="501">
        <f>'[70]Sch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'[70]Sch C'!D127</f>
        <v>0</v>
      </c>
      <c r="D126" s="501">
        <f>'[70]Sch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'[70]Sch C'!D128</f>
        <v>64483.46</v>
      </c>
      <c r="D127" s="501">
        <f>'[70]Sch C'!F128</f>
        <v>0</v>
      </c>
      <c r="E127" s="171">
        <f t="shared" si="26"/>
        <v>64483.46</v>
      </c>
      <c r="F127" s="171"/>
      <c r="G127" s="171">
        <f>E127+F127</f>
        <v>64483.46</v>
      </c>
      <c r="H127" s="172">
        <f>IF($G$208=0,0,G127/$G$208)</f>
        <v>1.0036900393356436E-2</v>
      </c>
      <c r="I127" s="473"/>
      <c r="J127" s="183">
        <v>3501.4799999999996</v>
      </c>
      <c r="K127" s="183">
        <v>3687.7299999999996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'[70]Sch C'!D130</f>
        <v>28034.271529766374</v>
      </c>
      <c r="D129" s="501">
        <f>'[70]Sch C'!F130</f>
        <v>0</v>
      </c>
      <c r="E129" s="171">
        <f t="shared" ref="E129:E133" si="27">C129+D129</f>
        <v>28034.271529766374</v>
      </c>
      <c r="F129" s="171"/>
      <c r="G129" s="171">
        <f>E129+F129</f>
        <v>28034.271529766374</v>
      </c>
      <c r="H129" s="172">
        <f>IF($G$208=0,0,G129/$G$208)</f>
        <v>4.3635560335095738E-3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'[70]Sch C'!D131</f>
        <v>16348.422611625367</v>
      </c>
      <c r="D130" s="501">
        <f>'[70]Sch C'!F131</f>
        <v>0</v>
      </c>
      <c r="E130" s="171">
        <f t="shared" si="27"/>
        <v>16348.422611625367</v>
      </c>
      <c r="F130" s="171"/>
      <c r="G130" s="171">
        <f>E130+F130</f>
        <v>16348.422611625367</v>
      </c>
      <c r="H130" s="172">
        <f>IF($G$208=0,0,G130/$G$208)</f>
        <v>2.5446446164858385E-3</v>
      </c>
      <c r="I130" s="473"/>
      <c r="J130" s="204"/>
      <c r="K130" s="204"/>
    </row>
    <row r="131" spans="1:11" s="167" customFormat="1">
      <c r="B131" s="163" t="s">
        <v>195</v>
      </c>
      <c r="C131" s="501">
        <f>'[70]Sch C'!D132</f>
        <v>0</v>
      </c>
      <c r="D131" s="501">
        <f>'[70]Sch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'[70]Sch C'!D133</f>
        <v>0</v>
      </c>
      <c r="D132" s="501">
        <f>'[70]Sch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'[70]Sch C'!D134</f>
        <v>18347.29</v>
      </c>
      <c r="D133" s="501">
        <f>'[70]Sch C'!F134</f>
        <v>0</v>
      </c>
      <c r="E133" s="171">
        <f t="shared" si="27"/>
        <v>18347.29</v>
      </c>
      <c r="F133" s="171"/>
      <c r="G133" s="171">
        <f>E133+F133</f>
        <v>18347.29</v>
      </c>
      <c r="H133" s="172">
        <f>IF($G$208=0,0,G133/$G$208)</f>
        <v>2.8557698705687414E-3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'[70]Sch C'!D136</f>
        <v>359044.97</v>
      </c>
      <c r="D135" s="501">
        <f>'[70]Sch C'!F136</f>
        <v>0</v>
      </c>
      <c r="E135" s="171">
        <f t="shared" ref="E135:E138" si="28">C135+D135</f>
        <v>359044.97</v>
      </c>
      <c r="F135" s="171"/>
      <c r="G135" s="171">
        <f>E135+F135</f>
        <v>359044.97</v>
      </c>
      <c r="H135" s="172">
        <f>IF($G$208=0,0,G135/$G$208)</f>
        <v>5.5885627114699639E-2</v>
      </c>
      <c r="I135" s="473"/>
      <c r="J135" s="183">
        <v>11554.529999999999</v>
      </c>
      <c r="K135" s="183">
        <v>12124.429999999998</v>
      </c>
    </row>
    <row r="136" spans="1:11" s="167" customFormat="1">
      <c r="A136" s="169"/>
      <c r="B136" s="163" t="s">
        <v>195</v>
      </c>
      <c r="C136" s="501">
        <f>'[70]Sch C'!D137</f>
        <v>427155.62000000005</v>
      </c>
      <c r="D136" s="501">
        <f>'[70]Sch C'!F137</f>
        <v>0</v>
      </c>
      <c r="E136" s="171">
        <f t="shared" si="28"/>
        <v>427155.62000000005</v>
      </c>
      <c r="F136" s="171"/>
      <c r="G136" s="171">
        <f>E136+F136</f>
        <v>427155.62000000005</v>
      </c>
      <c r="H136" s="172">
        <f>IF($G$208=0,0,G136/$G$208)</f>
        <v>6.6487102435297568E-2</v>
      </c>
      <c r="I136" s="473"/>
      <c r="J136" s="183">
        <v>15004.269999999999</v>
      </c>
      <c r="K136" s="183">
        <v>15713.47</v>
      </c>
    </row>
    <row r="137" spans="1:11" s="167" customFormat="1">
      <c r="A137" s="169"/>
      <c r="B137" s="163" t="s">
        <v>196</v>
      </c>
      <c r="C137" s="501">
        <f>'[70]Sch C'!D138</f>
        <v>494484.61</v>
      </c>
      <c r="D137" s="501">
        <f>'[70]Sch C'!F138</f>
        <v>0</v>
      </c>
      <c r="E137" s="171">
        <f t="shared" si="28"/>
        <v>494484.61</v>
      </c>
      <c r="F137" s="171"/>
      <c r="G137" s="171">
        <f>E137+F137</f>
        <v>494484.61</v>
      </c>
      <c r="H137" s="172">
        <f>IF($G$208=0,0,G137/$G$208)</f>
        <v>7.6966911772688745E-2</v>
      </c>
      <c r="I137" s="473"/>
      <c r="J137" s="183">
        <v>33253.56</v>
      </c>
      <c r="K137" s="183">
        <v>34287.42</v>
      </c>
    </row>
    <row r="138" spans="1:11" s="167" customFormat="1">
      <c r="A138" s="169"/>
      <c r="B138" s="163" t="s">
        <v>197</v>
      </c>
      <c r="C138" s="501">
        <f>'[70]Sch C'!D139</f>
        <v>145260.6</v>
      </c>
      <c r="D138" s="501">
        <f>'[70]Sch C'!F139</f>
        <v>0</v>
      </c>
      <c r="E138" s="171">
        <f t="shared" si="28"/>
        <v>145260.6</v>
      </c>
      <c r="F138" s="171"/>
      <c r="G138" s="171">
        <f>E138+F138</f>
        <v>145260.6</v>
      </c>
      <c r="H138" s="172">
        <f>IF($G$208=0,0,G138/$G$208)</f>
        <v>2.2609924673384338E-2</v>
      </c>
      <c r="I138" s="473"/>
      <c r="J138" s="183">
        <v>9821.2700000000023</v>
      </c>
      <c r="K138" s="183">
        <v>10188.270000000002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'[70]Sch C'!D141</f>
        <v>73336.535579354007</v>
      </c>
      <c r="D140" s="501">
        <f>'[70]Sch C'!F141</f>
        <v>0</v>
      </c>
      <c r="E140" s="171">
        <f t="shared" ref="E140:E143" si="29">C140+D140</f>
        <v>73336.535579354007</v>
      </c>
      <c r="F140" s="171"/>
      <c r="G140" s="171">
        <f>E140+F140</f>
        <v>73336.535579354007</v>
      </c>
      <c r="H140" s="172">
        <f>IF($G$208=0,0,G140/$G$208)</f>
        <v>1.1414888450523849E-2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'[70]Sch C'!D142</f>
        <v>87248.439447713274</v>
      </c>
      <c r="D141" s="501">
        <f>'[70]Sch C'!F142</f>
        <v>0</v>
      </c>
      <c r="E141" s="171">
        <f t="shared" si="29"/>
        <v>87248.439447713274</v>
      </c>
      <c r="F141" s="171"/>
      <c r="G141" s="171">
        <f>E141+F141</f>
        <v>87248.439447713274</v>
      </c>
      <c r="H141" s="172">
        <f>IF($G$208=0,0,G141/$G$208)</f>
        <v>1.3580287041242648E-2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'[70]Sch C'!D143</f>
        <v>101000.68577679279</v>
      </c>
      <c r="D142" s="501">
        <f>'[70]Sch C'!F143</f>
        <v>0</v>
      </c>
      <c r="E142" s="171">
        <f t="shared" si="29"/>
        <v>101000.68577679279</v>
      </c>
      <c r="F142" s="171"/>
      <c r="G142" s="171">
        <f>E142+F142</f>
        <v>101000.68577679279</v>
      </c>
      <c r="H142" s="172">
        <f>IF($G$208=0,0,G142/$G$208)</f>
        <v>1.5720834812560636E-2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'[70]Sch C'!D144</f>
        <v>29670.125054748187</v>
      </c>
      <c r="D143" s="501">
        <f>'[70]Sch C'!F144</f>
        <v>0</v>
      </c>
      <c r="E143" s="171">
        <f t="shared" si="29"/>
        <v>29670.125054748187</v>
      </c>
      <c r="F143" s="171"/>
      <c r="G143" s="171">
        <f>E143+F143</f>
        <v>29670.125054748187</v>
      </c>
      <c r="H143" s="172">
        <f>IF($G$208=0,0,G143/$G$208)</f>
        <v>4.6181778991533137E-3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'[70]Sch C'!D146</f>
        <v>38903.15</v>
      </c>
      <c r="D145" s="501">
        <f>'[70]Sch C'!F146</f>
        <v>0</v>
      </c>
      <c r="E145" s="171">
        <f t="shared" ref="E145:E153" si="30">C145+D145</f>
        <v>38903.15</v>
      </c>
      <c r="F145" s="171"/>
      <c r="G145" s="171">
        <f t="shared" ref="G145:G153" si="31">E145+F145</f>
        <v>38903.15</v>
      </c>
      <c r="H145" s="172">
        <f t="shared" ref="H145:H153" si="32">IF($G$208=0,0,G145/$G$208)</f>
        <v>6.0553053688155766E-3</v>
      </c>
      <c r="I145" s="473"/>
      <c r="J145" s="183">
        <v>0</v>
      </c>
      <c r="K145" s="183" t="s">
        <v>539</v>
      </c>
    </row>
    <row r="146" spans="1:11" s="167" customFormat="1">
      <c r="A146" s="169"/>
      <c r="B146" s="163" t="s">
        <v>194</v>
      </c>
      <c r="C146" s="501">
        <f>'[70]Sch C'!D147</f>
        <v>33614.390000000014</v>
      </c>
      <c r="D146" s="501">
        <f>'[70]Sch C'!F147</f>
        <v>0</v>
      </c>
      <c r="E146" s="171">
        <f t="shared" si="30"/>
        <v>33614.390000000014</v>
      </c>
      <c r="F146" s="171"/>
      <c r="G146" s="171">
        <f t="shared" si="31"/>
        <v>33614.390000000014</v>
      </c>
      <c r="H146" s="172">
        <f t="shared" si="32"/>
        <v>5.2321057867154895E-3</v>
      </c>
      <c r="I146" s="473"/>
      <c r="J146" s="183">
        <v>587.31000000000006</v>
      </c>
      <c r="K146" s="183">
        <v>587.31000000000006</v>
      </c>
    </row>
    <row r="147" spans="1:11" s="167" customFormat="1">
      <c r="A147" s="169"/>
      <c r="B147" s="163" t="s">
        <v>195</v>
      </c>
      <c r="C147" s="501">
        <f>'[70]Sch C'!D148</f>
        <v>2038.460000000021</v>
      </c>
      <c r="D147" s="501">
        <f>'[70]Sch C'!F148</f>
        <v>0</v>
      </c>
      <c r="E147" s="171">
        <f t="shared" si="30"/>
        <v>2038.460000000021</v>
      </c>
      <c r="F147" s="171"/>
      <c r="G147" s="171">
        <f t="shared" si="31"/>
        <v>2038.460000000021</v>
      </c>
      <c r="H147" s="172">
        <f t="shared" si="32"/>
        <v>3.1728787468664947E-4</v>
      </c>
      <c r="I147" s="473"/>
      <c r="J147" s="183">
        <v>47.17</v>
      </c>
      <c r="K147" s="183">
        <v>47.17</v>
      </c>
    </row>
    <row r="148" spans="1:11" s="167" customFormat="1">
      <c r="A148" s="169"/>
      <c r="B148" s="163" t="s">
        <v>196</v>
      </c>
      <c r="C148" s="501">
        <f>'[70]Sch C'!D149</f>
        <v>27087.910000000033</v>
      </c>
      <c r="D148" s="501">
        <f>'[70]Sch C'!F149</f>
        <v>0</v>
      </c>
      <c r="E148" s="171">
        <f t="shared" si="30"/>
        <v>27087.910000000033</v>
      </c>
      <c r="F148" s="171"/>
      <c r="G148" s="171">
        <f t="shared" si="31"/>
        <v>27087.910000000033</v>
      </c>
      <c r="H148" s="172">
        <f t="shared" si="32"/>
        <v>4.2162541298839127E-3</v>
      </c>
      <c r="I148" s="473"/>
      <c r="J148" s="183">
        <v>1112.3599999999999</v>
      </c>
      <c r="K148" s="183">
        <v>1112.3599999999999</v>
      </c>
    </row>
    <row r="149" spans="1:11" s="167" customFormat="1">
      <c r="A149" s="169"/>
      <c r="B149" s="163" t="s">
        <v>197</v>
      </c>
      <c r="C149" s="501">
        <f>'[70]Sch C'!D150</f>
        <v>20982.97</v>
      </c>
      <c r="D149" s="501">
        <f>'[70]Sch C'!F150</f>
        <v>40803</v>
      </c>
      <c r="E149" s="171">
        <f t="shared" si="30"/>
        <v>61785.97</v>
      </c>
      <c r="F149" s="171"/>
      <c r="G149" s="171">
        <f t="shared" si="31"/>
        <v>61785.97</v>
      </c>
      <c r="H149" s="172">
        <f t="shared" si="32"/>
        <v>9.6170339897534811E-3</v>
      </c>
      <c r="I149" s="473"/>
      <c r="J149" s="183">
        <v>0</v>
      </c>
      <c r="K149" s="183" t="s">
        <v>440</v>
      </c>
    </row>
    <row r="150" spans="1:11" s="167" customFormat="1">
      <c r="A150" s="169">
        <v>110</v>
      </c>
      <c r="B150" s="167" t="s">
        <v>65</v>
      </c>
      <c r="C150" s="501">
        <f>'[70]Sch C'!D151</f>
        <v>133990.66</v>
      </c>
      <c r="D150" s="501">
        <f>'[70]Sch C'!F151</f>
        <v>0</v>
      </c>
      <c r="E150" s="171">
        <f t="shared" si="30"/>
        <v>133990.66</v>
      </c>
      <c r="F150" s="171"/>
      <c r="G150" s="171">
        <f t="shared" si="31"/>
        <v>133990.66</v>
      </c>
      <c r="H150" s="172">
        <f t="shared" si="32"/>
        <v>2.0855749800958084E-2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'[70]Sch C'!D152</f>
        <v>151.88</v>
      </c>
      <c r="D151" s="501">
        <f>'[70]Sch C'!F152</f>
        <v>0</v>
      </c>
      <c r="E151" s="171">
        <f t="shared" si="30"/>
        <v>151.88</v>
      </c>
      <c r="F151" s="171"/>
      <c r="G151" s="171">
        <f t="shared" si="31"/>
        <v>151.88</v>
      </c>
      <c r="H151" s="172">
        <f t="shared" si="32"/>
        <v>2.3640239400041119E-5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'[70]Sch C'!D153</f>
        <v>0</v>
      </c>
      <c r="D152" s="501">
        <f>'[70]Sch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'[70]Sch C'!D154</f>
        <v>0</v>
      </c>
      <c r="D153" s="501">
        <f>'[70]Sch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'[70]Sch C'!D156</f>
        <v>0</v>
      </c>
      <c r="D155" s="501">
        <f>'[70]Sch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'[70]Sch C'!D157</f>
        <v>0</v>
      </c>
      <c r="D156" s="501">
        <f>'[70]Sch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'[70]Sch C'!D158</f>
        <v>0</v>
      </c>
      <c r="D157" s="501">
        <f>'[70]Sch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'[70]Sch C'!D159</f>
        <v>0</v>
      </c>
      <c r="D158" s="501">
        <f>'[70]Sch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'[70]Sch C'!D160</f>
        <v>885.48</v>
      </c>
      <c r="D159" s="501">
        <f>'[70]Sch C'!F160</f>
        <v>0</v>
      </c>
      <c r="E159" s="171">
        <f t="shared" si="33"/>
        <v>885.48</v>
      </c>
      <c r="F159" s="171"/>
      <c r="G159" s="171">
        <f t="shared" si="34"/>
        <v>885.48</v>
      </c>
      <c r="H159" s="172">
        <f>IF($G$208=0,0,G159/$G$208)</f>
        <v>1.3782564645739012E-4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'[70]Sch C'!D161</f>
        <v>16287.31</v>
      </c>
      <c r="D160" s="501">
        <f>'[70]Sch C'!F161</f>
        <v>0</v>
      </c>
      <c r="E160" s="171">
        <f t="shared" si="33"/>
        <v>16287.31</v>
      </c>
      <c r="F160" s="171"/>
      <c r="G160" s="171">
        <f t="shared" si="34"/>
        <v>16287.31</v>
      </c>
      <c r="H160" s="172">
        <f t="shared" si="35"/>
        <v>2.5351323912475884E-3</v>
      </c>
      <c r="I160" s="473"/>
      <c r="J160" s="168"/>
      <c r="K160" s="168"/>
    </row>
    <row r="161" spans="1:12" s="167" customFormat="1">
      <c r="A161" s="169"/>
      <c r="B161" s="170" t="s">
        <v>233</v>
      </c>
      <c r="C161" s="501">
        <f>SUM(C123:C160)</f>
        <v>2335648.4300000006</v>
      </c>
      <c r="D161" s="501">
        <f>SUM(D123:D160)</f>
        <v>40803</v>
      </c>
      <c r="E161" s="171">
        <f t="shared" ref="E161" si="36">SUM(E123:E160)</f>
        <v>2376451.4300000006</v>
      </c>
      <c r="F161" s="171">
        <f>SUM(F123:F160)</f>
        <v>0</v>
      </c>
      <c r="G161" s="171">
        <f>SUM(G123:G160)</f>
        <v>2376451.4300000006</v>
      </c>
      <c r="H161" s="172">
        <f t="shared" si="35"/>
        <v>0.36989650202640295</v>
      </c>
      <c r="I161" s="473"/>
      <c r="J161" s="168"/>
      <c r="K161" s="168"/>
    </row>
    <row r="162" spans="1:12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2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2" s="221" customFormat="1">
      <c r="A164" s="215" t="s">
        <v>95</v>
      </c>
      <c r="B164" s="148" t="s">
        <v>102</v>
      </c>
      <c r="C164" s="501">
        <f>'[70]Sch C'!D175</f>
        <v>0</v>
      </c>
      <c r="D164" s="501">
        <f>'[70]Sch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20"/>
    </row>
    <row r="165" spans="1:12" s="221" customFormat="1">
      <c r="A165" s="215" t="s">
        <v>123</v>
      </c>
      <c r="B165" s="148" t="s">
        <v>103</v>
      </c>
      <c r="C165" s="501">
        <f>'[70]Sch C'!D176</f>
        <v>0</v>
      </c>
      <c r="D165" s="501">
        <f>'[70]Sch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20"/>
    </row>
    <row r="166" spans="1:12" s="221" customFormat="1">
      <c r="A166" s="215" t="s">
        <v>124</v>
      </c>
      <c r="B166" s="148" t="s">
        <v>104</v>
      </c>
      <c r="C166" s="501">
        <f>'[70]Sch C'!D177</f>
        <v>247477.94</v>
      </c>
      <c r="D166" s="501">
        <f>'[70]Sch C'!F177</f>
        <v>0</v>
      </c>
      <c r="E166" s="171">
        <f t="shared" si="37"/>
        <v>247477.94</v>
      </c>
      <c r="F166" s="216"/>
      <c r="G166" s="171">
        <f t="shared" si="38"/>
        <v>247477.94</v>
      </c>
      <c r="H166" s="172">
        <f t="shared" si="39"/>
        <v>3.8520132656235266E-2</v>
      </c>
      <c r="I166" s="483"/>
      <c r="J166" s="183">
        <v>6293.06</v>
      </c>
      <c r="K166" s="183">
        <v>6702.0673500000003</v>
      </c>
      <c r="L166" s="220"/>
    </row>
    <row r="167" spans="1:12" s="221" customFormat="1">
      <c r="A167" s="215" t="s">
        <v>157</v>
      </c>
      <c r="B167" s="148" t="s">
        <v>105</v>
      </c>
      <c r="C167" s="501">
        <f>'[70]Sch C'!D178</f>
        <v>68202.2</v>
      </c>
      <c r="D167" s="501">
        <f>'[70]Sch C'!F178</f>
        <v>0</v>
      </c>
      <c r="E167" s="171">
        <f t="shared" si="37"/>
        <v>68202.2</v>
      </c>
      <c r="F167" s="216"/>
      <c r="G167" s="171">
        <f t="shared" si="38"/>
        <v>68202.2</v>
      </c>
      <c r="H167" s="172">
        <f t="shared" si="39"/>
        <v>1.0615725148864132E-2</v>
      </c>
      <c r="I167" s="484"/>
      <c r="J167" s="222"/>
      <c r="K167" s="222"/>
      <c r="L167" s="220"/>
    </row>
    <row r="168" spans="1:12" s="221" customFormat="1">
      <c r="A168" s="215" t="s">
        <v>158</v>
      </c>
      <c r="B168" s="148" t="s">
        <v>316</v>
      </c>
      <c r="C168" s="501">
        <f>'[70]Sch C'!D179</f>
        <v>48481.94</v>
      </c>
      <c r="D168" s="501">
        <f>'[70]Sch C'!F179</f>
        <v>0</v>
      </c>
      <c r="E168" s="171">
        <f t="shared" si="37"/>
        <v>48481.94</v>
      </c>
      <c r="F168" s="216"/>
      <c r="G168" s="171">
        <f t="shared" si="38"/>
        <v>48481.94</v>
      </c>
      <c r="H168" s="172">
        <f t="shared" si="39"/>
        <v>7.5462514365184988E-3</v>
      </c>
      <c r="I168" s="483"/>
      <c r="J168" s="183">
        <v>1262.1600000000001</v>
      </c>
      <c r="K168" s="183">
        <v>1340</v>
      </c>
      <c r="L168" s="220"/>
    </row>
    <row r="169" spans="1:12" s="221" customFormat="1">
      <c r="A169" s="215" t="s">
        <v>86</v>
      </c>
      <c r="B169" s="148" t="s">
        <v>317</v>
      </c>
      <c r="C169" s="501">
        <f>'[70]Sch C'!D180</f>
        <v>13710.18</v>
      </c>
      <c r="D169" s="501">
        <f>'[70]Sch C'!F180</f>
        <v>0</v>
      </c>
      <c r="E169" s="171">
        <f t="shared" si="37"/>
        <v>13710.18</v>
      </c>
      <c r="F169" s="216"/>
      <c r="G169" s="171">
        <f t="shared" si="38"/>
        <v>13710.18</v>
      </c>
      <c r="H169" s="172">
        <f t="shared" si="39"/>
        <v>2.1340001146803777E-3</v>
      </c>
      <c r="I169" s="484"/>
      <c r="J169" s="222"/>
      <c r="K169" s="222"/>
      <c r="L169" s="220"/>
    </row>
    <row r="170" spans="1:12" s="221" customFormat="1">
      <c r="A170" s="215" t="s">
        <v>96</v>
      </c>
      <c r="B170" s="148" t="s">
        <v>318</v>
      </c>
      <c r="C170" s="501">
        <f>'[70]Sch C'!D181</f>
        <v>0</v>
      </c>
      <c r="D170" s="501">
        <f>'[70]Sch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20"/>
    </row>
    <row r="171" spans="1:12" s="221" customFormat="1">
      <c r="A171" s="215" t="s">
        <v>125</v>
      </c>
      <c r="B171" s="148" t="s">
        <v>109</v>
      </c>
      <c r="C171" s="501">
        <f>'[70]Sch C'!D182</f>
        <v>0</v>
      </c>
      <c r="D171" s="501">
        <f>'[70]Sch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20"/>
    </row>
    <row r="172" spans="1:12" s="221" customFormat="1">
      <c r="A172" s="215" t="s">
        <v>126</v>
      </c>
      <c r="B172" s="148" t="s">
        <v>319</v>
      </c>
      <c r="C172" s="501">
        <f>'[70]Sch C'!D183</f>
        <v>134822.29999999999</v>
      </c>
      <c r="D172" s="501">
        <f>'[70]Sch C'!F183</f>
        <v>0</v>
      </c>
      <c r="E172" s="171">
        <f t="shared" si="37"/>
        <v>134822.29999999999</v>
      </c>
      <c r="F172" s="216"/>
      <c r="G172" s="171">
        <f t="shared" si="38"/>
        <v>134822.29999999999</v>
      </c>
      <c r="H172" s="172">
        <f t="shared" si="39"/>
        <v>2.0985195209798285E-2</v>
      </c>
      <c r="I172" s="483"/>
      <c r="J172" s="183">
        <v>4097.8600000000006</v>
      </c>
      <c r="K172" s="183">
        <v>4397.8600000000006</v>
      </c>
      <c r="L172" s="220"/>
    </row>
    <row r="173" spans="1:12" s="221" customFormat="1">
      <c r="A173" s="215" t="s">
        <v>127</v>
      </c>
      <c r="B173" s="148" t="s">
        <v>111</v>
      </c>
      <c r="C173" s="501">
        <f>'[70]Sch C'!D184</f>
        <v>41132.259999999995</v>
      </c>
      <c r="D173" s="501">
        <f>'[70]Sch C'!F184</f>
        <v>0</v>
      </c>
      <c r="E173" s="171">
        <f t="shared" si="37"/>
        <v>41132.259999999995</v>
      </c>
      <c r="F173" s="216"/>
      <c r="G173" s="171">
        <f t="shared" si="38"/>
        <v>41132.259999999995</v>
      </c>
      <c r="H173" s="172">
        <f t="shared" si="39"/>
        <v>6.402268063370656E-3</v>
      </c>
      <c r="I173" s="484"/>
      <c r="J173" s="222"/>
      <c r="K173" s="222"/>
      <c r="L173" s="220"/>
    </row>
    <row r="174" spans="1:12" s="221" customFormat="1">
      <c r="A174" s="215" t="s">
        <v>128</v>
      </c>
      <c r="B174" s="148" t="s">
        <v>320</v>
      </c>
      <c r="C174" s="501">
        <f>'[70]Sch C'!D185</f>
        <v>0</v>
      </c>
      <c r="D174" s="501">
        <f>'[70]Sch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20"/>
    </row>
    <row r="175" spans="1:12" s="221" customFormat="1">
      <c r="A175" s="215" t="s">
        <v>129</v>
      </c>
      <c r="B175" s="148" t="s">
        <v>321</v>
      </c>
      <c r="C175" s="501">
        <f>'[70]Sch C'!D186</f>
        <v>0</v>
      </c>
      <c r="D175" s="501">
        <f>'[70]Sch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</row>
    <row r="176" spans="1:12" s="221" customFormat="1">
      <c r="A176" s="224" t="s">
        <v>293</v>
      </c>
      <c r="B176" s="148" t="s">
        <v>154</v>
      </c>
      <c r="C176" s="501">
        <f>'[70]Sch C'!D187</f>
        <v>0</v>
      </c>
      <c r="D176" s="501">
        <f>'[70]Sch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</row>
    <row r="177" spans="1:12" s="221" customFormat="1">
      <c r="A177" s="224" t="s">
        <v>294</v>
      </c>
      <c r="B177" s="148" t="s">
        <v>322</v>
      </c>
      <c r="C177" s="501">
        <f>'[70]Sch C'!D188</f>
        <v>8991.58</v>
      </c>
      <c r="D177" s="501">
        <f>'[70]Sch C'!F188</f>
        <v>0</v>
      </c>
      <c r="E177" s="171">
        <f t="shared" si="37"/>
        <v>8991.58</v>
      </c>
      <c r="F177" s="216"/>
      <c r="G177" s="171">
        <f t="shared" si="38"/>
        <v>8991.58</v>
      </c>
      <c r="H177" s="172">
        <f t="shared" si="39"/>
        <v>1.3995463773019603E-3</v>
      </c>
      <c r="I177" s="473"/>
      <c r="J177" s="223"/>
      <c r="K177" s="218"/>
      <c r="L177" s="220"/>
    </row>
    <row r="178" spans="1:12" s="221" customFormat="1">
      <c r="A178" s="224" t="s">
        <v>295</v>
      </c>
      <c r="B178" s="148" t="s">
        <v>323</v>
      </c>
      <c r="C178" s="501">
        <f>'[70]Sch C'!D189</f>
        <v>4380</v>
      </c>
      <c r="D178" s="501">
        <f>'[70]Sch C'!F189</f>
        <v>0</v>
      </c>
      <c r="E178" s="171">
        <f t="shared" si="37"/>
        <v>4380</v>
      </c>
      <c r="F178" s="216"/>
      <c r="G178" s="171">
        <f t="shared" si="38"/>
        <v>4380</v>
      </c>
      <c r="H178" s="172">
        <f t="shared" si="39"/>
        <v>6.8175038564774893E-4</v>
      </c>
      <c r="I178" s="473"/>
      <c r="J178" s="223"/>
      <c r="K178" s="218"/>
      <c r="L178" s="220"/>
    </row>
    <row r="179" spans="1:12" s="221" customFormat="1">
      <c r="A179" s="224" t="s">
        <v>296</v>
      </c>
      <c r="B179" s="148" t="s">
        <v>324</v>
      </c>
      <c r="C179" s="501">
        <f>'[70]Sch C'!D190</f>
        <v>0</v>
      </c>
      <c r="D179" s="501">
        <f>'[70]Sch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</row>
    <row r="180" spans="1:12" s="221" customFormat="1">
      <c r="A180" s="224" t="s">
        <v>297</v>
      </c>
      <c r="B180" s="148" t="s">
        <v>325</v>
      </c>
      <c r="C180" s="501">
        <f>'[70]Sch C'!D191</f>
        <v>0</v>
      </c>
      <c r="D180" s="501">
        <f>'[70]Sch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</row>
    <row r="181" spans="1:12" s="221" customFormat="1">
      <c r="A181" s="224" t="s">
        <v>298</v>
      </c>
      <c r="B181" s="148" t="s">
        <v>117</v>
      </c>
      <c r="C181" s="501">
        <f>'[70]Sch C'!D192</f>
        <v>46152.130000000012</v>
      </c>
      <c r="D181" s="501">
        <f>'[70]Sch C'!F192</f>
        <v>0</v>
      </c>
      <c r="E181" s="171">
        <f t="shared" si="37"/>
        <v>46152.130000000012</v>
      </c>
      <c r="F181" s="216"/>
      <c r="G181" s="171">
        <f t="shared" si="38"/>
        <v>46152.130000000012</v>
      </c>
      <c r="H181" s="172">
        <f t="shared" si="39"/>
        <v>7.1836147091244411E-3</v>
      </c>
      <c r="I181" s="473"/>
      <c r="J181" s="223"/>
      <c r="K181" s="218"/>
      <c r="L181" s="220"/>
    </row>
    <row r="182" spans="1:12" s="221" customFormat="1">
      <c r="A182" s="224" t="s">
        <v>132</v>
      </c>
      <c r="B182" s="148" t="s">
        <v>118</v>
      </c>
      <c r="C182" s="501">
        <f>'[70]Sch C'!D193</f>
        <v>0</v>
      </c>
      <c r="D182" s="501">
        <f>'[70]Sch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</row>
    <row r="183" spans="1:12" s="221" customFormat="1">
      <c r="A183" s="224" t="s">
        <v>133</v>
      </c>
      <c r="B183" s="148" t="s">
        <v>119</v>
      </c>
      <c r="C183" s="501">
        <f>'[70]Sch C'!D194</f>
        <v>0</v>
      </c>
      <c r="D183" s="501">
        <f>'[70]Sch C'!F194</f>
        <v>12558</v>
      </c>
      <c r="E183" s="171">
        <f t="shared" si="37"/>
        <v>12558</v>
      </c>
      <c r="F183" s="216"/>
      <c r="G183" s="171">
        <f t="shared" si="38"/>
        <v>12558</v>
      </c>
      <c r="H183" s="172">
        <f t="shared" si="39"/>
        <v>1.9546624070695046E-3</v>
      </c>
      <c r="I183" s="473"/>
      <c r="J183" s="223"/>
      <c r="K183" s="218"/>
      <c r="L183" s="220"/>
    </row>
    <row r="184" spans="1:12" s="221" customFormat="1">
      <c r="A184" s="224" t="s">
        <v>134</v>
      </c>
      <c r="B184" s="148" t="s">
        <v>326</v>
      </c>
      <c r="C184" s="501">
        <f>'[70]Sch C'!D195</f>
        <v>0</v>
      </c>
      <c r="D184" s="501">
        <f>'[70]Sch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L184" s="220"/>
    </row>
    <row r="185" spans="1:12" s="221" customFormat="1">
      <c r="A185" s="224" t="s">
        <v>135</v>
      </c>
      <c r="B185" s="148" t="s">
        <v>327</v>
      </c>
      <c r="C185" s="501">
        <f>'[70]Sch C'!D196</f>
        <v>0</v>
      </c>
      <c r="D185" s="501">
        <f>'[70]Sch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L185" s="220"/>
    </row>
    <row r="186" spans="1:12" s="221" customFormat="1">
      <c r="A186" s="224" t="s">
        <v>136</v>
      </c>
      <c r="B186" s="148" t="s">
        <v>328</v>
      </c>
      <c r="C186" s="501">
        <f>'[70]Sch C'!D197</f>
        <v>0</v>
      </c>
      <c r="D186" s="501">
        <f>'[70]Sch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L186" s="220"/>
    </row>
    <row r="187" spans="1:12" s="221" customFormat="1">
      <c r="A187" s="224" t="s">
        <v>137</v>
      </c>
      <c r="B187" s="148" t="s">
        <v>122</v>
      </c>
      <c r="C187" s="501">
        <f>'[70]Sch C'!D198</f>
        <v>0</v>
      </c>
      <c r="D187" s="501">
        <f>'[70]Sch C'!F198</f>
        <v>0</v>
      </c>
      <c r="E187" s="171">
        <f t="shared" si="37"/>
        <v>0</v>
      </c>
      <c r="F187" s="216"/>
      <c r="G187" s="171">
        <f t="shared" si="38"/>
        <v>0</v>
      </c>
      <c r="H187" s="172">
        <f t="shared" si="39"/>
        <v>0</v>
      </c>
      <c r="I187" s="473"/>
      <c r="J187" s="223"/>
      <c r="K187" s="218"/>
      <c r="L187" s="220"/>
    </row>
    <row r="188" spans="1:12" s="221" customFormat="1">
      <c r="A188" s="224" t="s">
        <v>275</v>
      </c>
      <c r="B188" s="148" t="s">
        <v>329</v>
      </c>
      <c r="C188" s="501">
        <f>'[70]Sch C'!D199</f>
        <v>0</v>
      </c>
      <c r="D188" s="501">
        <f>'[70]Sch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L188" s="220"/>
    </row>
    <row r="189" spans="1:12" s="221" customFormat="1">
      <c r="A189" s="224" t="s">
        <v>277</v>
      </c>
      <c r="B189" s="148" t="s">
        <v>278</v>
      </c>
      <c r="C189" s="501">
        <f>'[70]Sch C'!D200</f>
        <v>0</v>
      </c>
      <c r="D189" s="501">
        <f>'[70]Sch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L189" s="220"/>
    </row>
    <row r="190" spans="1:12" s="221" customFormat="1">
      <c r="A190" s="225" t="s">
        <v>279</v>
      </c>
      <c r="B190" s="226" t="s">
        <v>280</v>
      </c>
      <c r="C190" s="501">
        <f>'[70]Sch C'!D201</f>
        <v>0</v>
      </c>
      <c r="D190" s="501">
        <f>'[70]Sch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L190" s="220"/>
    </row>
    <row r="191" spans="1:12" s="221" customFormat="1">
      <c r="A191" s="225" t="s">
        <v>281</v>
      </c>
      <c r="B191" s="226" t="s">
        <v>282</v>
      </c>
      <c r="C191" s="501">
        <f>'[70]Sch C'!D202</f>
        <v>0</v>
      </c>
      <c r="D191" s="501">
        <f>'[70]Sch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L191" s="220"/>
    </row>
    <row r="192" spans="1:12" s="221" customFormat="1">
      <c r="A192" s="225" t="s">
        <v>283</v>
      </c>
      <c r="B192" s="226" t="s">
        <v>330</v>
      </c>
      <c r="C192" s="501">
        <f>'[70]Sch C'!D203</f>
        <v>50076.79</v>
      </c>
      <c r="D192" s="501">
        <f>'[70]Sch C'!F203</f>
        <v>0</v>
      </c>
      <c r="E192" s="171">
        <f t="shared" si="37"/>
        <v>50076.79</v>
      </c>
      <c r="F192" s="216"/>
      <c r="G192" s="171">
        <f t="shared" si="38"/>
        <v>50076.79</v>
      </c>
      <c r="H192" s="172">
        <f t="shared" si="39"/>
        <v>7.7944910718039584E-3</v>
      </c>
      <c r="I192" s="473"/>
      <c r="J192" s="223"/>
      <c r="K192" s="218"/>
      <c r="L192" s="220"/>
    </row>
    <row r="193" spans="1:12" s="221" customFormat="1">
      <c r="A193" s="225" t="s">
        <v>285</v>
      </c>
      <c r="B193" s="226" t="s">
        <v>331</v>
      </c>
      <c r="C193" s="501">
        <f>'[70]Sch C'!D204</f>
        <v>0</v>
      </c>
      <c r="D193" s="501">
        <f>'[70]Sch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L193" s="220"/>
    </row>
    <row r="194" spans="1:12" s="221" customFormat="1">
      <c r="A194" s="224" t="s">
        <v>138</v>
      </c>
      <c r="B194" s="148" t="s">
        <v>332</v>
      </c>
      <c r="C194" s="501">
        <f>'[70]Sch C'!D205</f>
        <v>210163.94000000003</v>
      </c>
      <c r="D194" s="501">
        <f>'[70]Sch C'!F205</f>
        <v>0</v>
      </c>
      <c r="E194" s="171">
        <f t="shared" si="37"/>
        <v>210163.94000000003</v>
      </c>
      <c r="F194" s="216"/>
      <c r="G194" s="171">
        <f t="shared" si="38"/>
        <v>210163.94000000003</v>
      </c>
      <c r="H194" s="172">
        <f t="shared" si="39"/>
        <v>3.2712179713299178E-2</v>
      </c>
      <c r="I194" s="473"/>
      <c r="J194" s="223"/>
      <c r="K194" s="218"/>
      <c r="L194" s="220"/>
    </row>
    <row r="195" spans="1:12" s="221" customFormat="1">
      <c r="A195" s="224" t="s">
        <v>139</v>
      </c>
      <c r="B195" s="148" t="s">
        <v>67</v>
      </c>
      <c r="C195" s="501">
        <f>'[70]Sch C'!D206</f>
        <v>0</v>
      </c>
      <c r="D195" s="501">
        <f>'[70]Sch C'!F206</f>
        <v>0</v>
      </c>
      <c r="E195" s="171">
        <f t="shared" si="37"/>
        <v>0</v>
      </c>
      <c r="F195" s="216"/>
      <c r="G195" s="171">
        <f t="shared" si="38"/>
        <v>0</v>
      </c>
      <c r="H195" s="172">
        <f t="shared" si="39"/>
        <v>0</v>
      </c>
      <c r="I195" s="473"/>
      <c r="J195" s="223"/>
      <c r="K195" s="218"/>
      <c r="L195" s="220"/>
    </row>
    <row r="196" spans="1:12" s="221" customFormat="1">
      <c r="A196" s="225" t="s">
        <v>143</v>
      </c>
      <c r="B196" s="194" t="s">
        <v>333</v>
      </c>
      <c r="C196" s="501">
        <f>'[70]Sch C'!D207</f>
        <v>4171.7</v>
      </c>
      <c r="D196" s="501">
        <f>'[70]Sch C'!F207</f>
        <v>0</v>
      </c>
      <c r="E196" s="171">
        <f t="shared" si="37"/>
        <v>4171.7</v>
      </c>
      <c r="F196" s="216"/>
      <c r="G196" s="171">
        <f t="shared" si="38"/>
        <v>4171.7</v>
      </c>
      <c r="H196" s="172">
        <f t="shared" si="39"/>
        <v>6.4932832963623607E-4</v>
      </c>
      <c r="I196" s="473"/>
      <c r="J196" s="223"/>
      <c r="K196" s="218"/>
      <c r="L196" s="220"/>
    </row>
    <row r="197" spans="1:12" s="167" customFormat="1">
      <c r="A197" s="163"/>
      <c r="B197" s="212" t="s">
        <v>130</v>
      </c>
      <c r="C197" s="501">
        <f>SUM(C164:C196)</f>
        <v>877762.96</v>
      </c>
      <c r="D197" s="501">
        <f>SUM(D164:D196)</f>
        <v>12558</v>
      </c>
      <c r="E197" s="171">
        <f t="shared" ref="E197:F197" si="40">SUM(E164:E196)</f>
        <v>890320.96</v>
      </c>
      <c r="F197" s="171">
        <f t="shared" si="40"/>
        <v>0</v>
      </c>
      <c r="G197" s="171">
        <f>SUM(G164:G196)</f>
        <v>890320.96</v>
      </c>
      <c r="H197" s="172">
        <f>IF($G$208=0,0,G197/$G$208)</f>
        <v>0.13857914562335025</v>
      </c>
      <c r="I197" s="473"/>
      <c r="J197" s="168"/>
      <c r="K197" s="168"/>
    </row>
    <row r="198" spans="1:12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2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2" s="167" customFormat="1">
      <c r="A200" s="169" t="s">
        <v>85</v>
      </c>
      <c r="B200" s="170" t="s">
        <v>69</v>
      </c>
      <c r="C200" s="501">
        <f>'[70]Sch C'!D211</f>
        <v>123248.83</v>
      </c>
      <c r="D200" s="501">
        <f>'[70]Sch C'!F211</f>
        <v>0</v>
      </c>
      <c r="E200" s="171">
        <f t="shared" ref="E200:E205" si="41">C200+D200</f>
        <v>123248.83</v>
      </c>
      <c r="F200" s="171"/>
      <c r="G200" s="171">
        <f t="shared" ref="G200:G205" si="42">E200+F200</f>
        <v>123248.83</v>
      </c>
      <c r="H200" s="172">
        <f t="shared" ref="H200:H206" si="43">IF($G$208=0,0,G200/$G$208)</f>
        <v>1.9183775658249736E-2</v>
      </c>
      <c r="I200" s="473"/>
      <c r="J200" s="183">
        <v>7359.3899999999994</v>
      </c>
      <c r="K200" s="183">
        <v>7778.1435319999991</v>
      </c>
    </row>
    <row r="201" spans="1:12" s="167" customFormat="1">
      <c r="A201" s="169" t="s">
        <v>86</v>
      </c>
      <c r="B201" s="170" t="s">
        <v>45</v>
      </c>
      <c r="C201" s="501">
        <f>'[70]Sch C'!D212</f>
        <v>36168.79</v>
      </c>
      <c r="D201" s="501">
        <f>'[70]Sch C'!F212</f>
        <v>0</v>
      </c>
      <c r="E201" s="171">
        <f t="shared" si="41"/>
        <v>36168.79</v>
      </c>
      <c r="F201" s="171"/>
      <c r="G201" s="171">
        <f t="shared" si="42"/>
        <v>36168.79</v>
      </c>
      <c r="H201" s="172">
        <f t="shared" si="43"/>
        <v>5.6297001212128875E-3</v>
      </c>
      <c r="I201" s="473"/>
      <c r="J201" s="168"/>
      <c r="K201" s="168"/>
    </row>
    <row r="202" spans="1:12" s="167" customFormat="1">
      <c r="A202" s="169" t="s">
        <v>140</v>
      </c>
      <c r="B202" s="170" t="s">
        <v>54</v>
      </c>
      <c r="C202" s="501">
        <f>'[70]Sch C'!D213</f>
        <v>10430.469999999999</v>
      </c>
      <c r="D202" s="501">
        <f>'[70]Sch C'!F213</f>
        <v>0</v>
      </c>
      <c r="E202" s="171">
        <f t="shared" si="41"/>
        <v>10430.469999999999</v>
      </c>
      <c r="F202" s="171"/>
      <c r="G202" s="171">
        <f t="shared" si="42"/>
        <v>10430.469999999999</v>
      </c>
      <c r="H202" s="172">
        <f t="shared" si="43"/>
        <v>1.6235107180336244E-3</v>
      </c>
      <c r="I202" s="473"/>
      <c r="J202" s="168"/>
      <c r="K202" s="168"/>
    </row>
    <row r="203" spans="1:12" s="167" customFormat="1">
      <c r="A203" s="169" t="s">
        <v>141</v>
      </c>
      <c r="B203" s="170" t="s">
        <v>70</v>
      </c>
      <c r="C203" s="501">
        <f>'[70]Sch C'!D214</f>
        <v>0</v>
      </c>
      <c r="D203" s="501">
        <f>'[70]Sch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2" s="167" customFormat="1">
      <c r="A204" s="169" t="s">
        <v>142</v>
      </c>
      <c r="B204" s="202" t="s">
        <v>71</v>
      </c>
      <c r="C204" s="501">
        <f>'[70]Sch C'!D215</f>
        <v>0</v>
      </c>
      <c r="D204" s="501">
        <f>'[70]Sch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2" s="167" customFormat="1">
      <c r="A205" s="169" t="s">
        <v>143</v>
      </c>
      <c r="B205" s="170" t="s">
        <v>312</v>
      </c>
      <c r="C205" s="501">
        <f>'[70]Sch C'!D216</f>
        <v>33688.1</v>
      </c>
      <c r="D205" s="501">
        <f>'[70]Sch C'!F216</f>
        <v>0</v>
      </c>
      <c r="E205" s="171">
        <f t="shared" si="41"/>
        <v>33688.1</v>
      </c>
      <c r="F205" s="171"/>
      <c r="G205" s="171">
        <f t="shared" si="42"/>
        <v>33688.1</v>
      </c>
      <c r="H205" s="172">
        <f t="shared" si="43"/>
        <v>5.2435788051917644E-3</v>
      </c>
      <c r="I205" s="473"/>
      <c r="J205" s="168"/>
      <c r="K205" s="168"/>
    </row>
    <row r="206" spans="1:12" s="167" customFormat="1">
      <c r="A206" s="163"/>
      <c r="B206" s="170" t="s">
        <v>144</v>
      </c>
      <c r="C206" s="501">
        <f>SUM(C200:C205)</f>
        <v>203536.19</v>
      </c>
      <c r="D206" s="501">
        <f>SUM(D200:D205)</f>
        <v>0</v>
      </c>
      <c r="E206" s="171">
        <f t="shared" ref="E206:F206" si="44">SUM(E200:E205)</f>
        <v>203536.19</v>
      </c>
      <c r="F206" s="171">
        <f t="shared" si="44"/>
        <v>0</v>
      </c>
      <c r="G206" s="171">
        <f>SUM(G200:G205)</f>
        <v>203536.19</v>
      </c>
      <c r="H206" s="172">
        <f t="shared" si="43"/>
        <v>3.1680565302688014E-2</v>
      </c>
      <c r="I206" s="473"/>
      <c r="J206" s="168"/>
      <c r="K206" s="168"/>
    </row>
    <row r="207" spans="1:12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2" s="167" customFormat="1">
      <c r="A208" s="227"/>
      <c r="B208" s="228" t="s">
        <v>145</v>
      </c>
      <c r="C208" s="501">
        <f>SUM(C25:C206)/2</f>
        <v>6675835.9800000004</v>
      </c>
      <c r="D208" s="501">
        <f>SUM(D25:D206)/2</f>
        <v>-251197.14999999997</v>
      </c>
      <c r="E208" s="171">
        <f t="shared" ref="E208:F208" si="45">SUM(E25:E206)/2</f>
        <v>6424638.8299999963</v>
      </c>
      <c r="F208" s="171">
        <f t="shared" si="45"/>
        <v>0</v>
      </c>
      <c r="G208" s="171">
        <f>SUM(G25:G206)/2</f>
        <v>6424638.8299999963</v>
      </c>
      <c r="H208" s="172">
        <f>IF($G$208=0,0,G208/$G$208)</f>
        <v>1</v>
      </c>
      <c r="I208" s="473"/>
      <c r="J208" s="183">
        <f>SUM(J25:J200)</f>
        <v>142113.16000000003</v>
      </c>
      <c r="K208" s="183">
        <f>SUM(K25:K200)</f>
        <v>148295.48088199997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'[70]Sch C'!D221</f>
        <v>6675835.9800000004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 ht="15.5">
      <c r="A213" s="163"/>
      <c r="B213" s="230"/>
      <c r="C213" s="581"/>
      <c r="D213" s="231"/>
      <c r="E213" s="231"/>
      <c r="F213"/>
      <c r="G213" s="231"/>
      <c r="H213" s="166"/>
      <c r="I213" s="478"/>
      <c r="J213" s="168"/>
      <c r="K213" s="168"/>
    </row>
    <row r="214" spans="1:11" s="167" customFormat="1" ht="15.5">
      <c r="A214" s="169"/>
      <c r="B214" s="228"/>
      <c r="C214" s="165"/>
      <c r="D214" s="165"/>
      <c r="E214" s="165"/>
      <c r="F214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-111926.31000000052</v>
      </c>
      <c r="D215" s="501">
        <f>D21-D208</f>
        <v>232948.76999999996</v>
      </c>
      <c r="E215" s="171">
        <f t="shared" ref="E215:F215" si="46">E21-E208</f>
        <v>121022.46000000369</v>
      </c>
      <c r="F215" s="171">
        <f t="shared" si="46"/>
        <v>497816</v>
      </c>
      <c r="G215" s="171">
        <f>G21-G208</f>
        <v>618838.46000000369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 ht="15.5">
      <c r="A217" s="163"/>
      <c r="B217" s="228"/>
      <c r="C217" s="196"/>
      <c r="D217" s="196"/>
      <c r="E217" s="196"/>
      <c r="F217"/>
      <c r="G217" s="196"/>
      <c r="I217" s="475"/>
      <c r="J217" s="168"/>
      <c r="K217" s="168"/>
    </row>
    <row r="218" spans="1:11" ht="15.5">
      <c r="A218" s="163"/>
      <c r="B218" s="232" t="s">
        <v>159</v>
      </c>
      <c r="C218" s="165"/>
      <c r="D218" s="165"/>
      <c r="E218" s="165"/>
      <c r="F218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'[70]Sch D'!C9</f>
        <v>14575</v>
      </c>
      <c r="D219" s="530"/>
      <c r="E219" s="234">
        <f t="shared" ref="E219:G227" si="47">C219+D219</f>
        <v>14575</v>
      </c>
      <c r="F219" s="233"/>
      <c r="G219" s="234">
        <f t="shared" si="47"/>
        <v>14575</v>
      </c>
      <c r="H219" s="172">
        <f t="shared" ref="H219:H228" si="48">IF($G$228=0,0,G219/$G$228)</f>
        <v>0.65983068495631314</v>
      </c>
      <c r="I219" s="473"/>
      <c r="J219" s="168"/>
      <c r="K219" s="168"/>
    </row>
    <row r="220" spans="1:11">
      <c r="A220" s="163"/>
      <c r="B220" s="170" t="s">
        <v>217</v>
      </c>
      <c r="C220" s="530">
        <f>'[70]Sch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'[70]Sch D'!E9</f>
        <v>2877</v>
      </c>
      <c r="D221" s="530"/>
      <c r="E221" s="234">
        <f t="shared" si="49"/>
        <v>2877</v>
      </c>
      <c r="F221" s="233"/>
      <c r="G221" s="234">
        <f t="shared" si="47"/>
        <v>2877</v>
      </c>
      <c r="H221" s="172">
        <f t="shared" si="48"/>
        <v>0.1302458237131604</v>
      </c>
      <c r="I221" s="473"/>
      <c r="J221" s="168"/>
      <c r="K221" s="168"/>
    </row>
    <row r="222" spans="1:11">
      <c r="A222" s="163"/>
      <c r="B222" s="202" t="s">
        <v>334</v>
      </c>
      <c r="C222" s="530">
        <f>'[70]Sch D'!F9</f>
        <v>1275</v>
      </c>
      <c r="D222" s="530"/>
      <c r="E222" s="234">
        <f>C222+D222</f>
        <v>1275</v>
      </c>
      <c r="F222" s="233"/>
      <c r="G222" s="234">
        <f>E222+F222</f>
        <v>1275</v>
      </c>
      <c r="H222" s="172">
        <f t="shared" si="48"/>
        <v>5.7721037620535105E-2</v>
      </c>
      <c r="I222" s="473"/>
      <c r="J222" s="168"/>
      <c r="K222" s="168"/>
    </row>
    <row r="223" spans="1:11">
      <c r="A223" s="163"/>
      <c r="B223" s="170" t="s">
        <v>73</v>
      </c>
      <c r="C223" s="530">
        <f>'[70]Sch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'[70]Sch D'!H9</f>
        <v>1047</v>
      </c>
      <c r="D224" s="530"/>
      <c r="E224" s="234">
        <f t="shared" si="49"/>
        <v>1047</v>
      </c>
      <c r="F224" s="233"/>
      <c r="G224" s="234">
        <f t="shared" si="47"/>
        <v>1047</v>
      </c>
      <c r="H224" s="172">
        <f t="shared" si="48"/>
        <v>4.7399157951921768E-2</v>
      </c>
      <c r="I224" s="473"/>
      <c r="J224" s="168"/>
      <c r="K224" s="168"/>
    </row>
    <row r="225" spans="1:11">
      <c r="A225" s="163"/>
      <c r="B225" s="170" t="s">
        <v>236</v>
      </c>
      <c r="C225" s="530">
        <f>'[70]Sch D'!I9</f>
        <v>2210</v>
      </c>
      <c r="D225" s="530"/>
      <c r="E225" s="234">
        <f t="shared" si="49"/>
        <v>2210</v>
      </c>
      <c r="F225" s="233"/>
      <c r="G225" s="234">
        <f t="shared" si="47"/>
        <v>2210</v>
      </c>
      <c r="H225" s="172">
        <f t="shared" si="48"/>
        <v>0.10004979854226086</v>
      </c>
      <c r="I225" s="473"/>
      <c r="J225" s="168"/>
      <c r="K225" s="168"/>
    </row>
    <row r="226" spans="1:11">
      <c r="A226" s="163"/>
      <c r="B226" s="170" t="s">
        <v>235</v>
      </c>
      <c r="C226" s="530">
        <f>'[70]Sch D'!J9</f>
        <v>105</v>
      </c>
      <c r="D226" s="530"/>
      <c r="E226" s="234">
        <f>C226+D226</f>
        <v>105</v>
      </c>
      <c r="F226" s="233"/>
      <c r="G226" s="234">
        <f>E226+F226</f>
        <v>105</v>
      </c>
      <c r="H226" s="172">
        <f t="shared" si="48"/>
        <v>4.7534972158087734E-3</v>
      </c>
      <c r="I226" s="473"/>
      <c r="J226" s="168"/>
      <c r="K226" s="168"/>
    </row>
    <row r="227" spans="1:11">
      <c r="A227" s="163"/>
      <c r="B227" s="170" t="s">
        <v>179</v>
      </c>
      <c r="C227" s="530">
        <f>'[70]Sch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22089</v>
      </c>
      <c r="D228" s="530">
        <f>SUM(D219:D227)</f>
        <v>0</v>
      </c>
      <c r="E228" s="236">
        <f>SUM(E219:E227)</f>
        <v>22089</v>
      </c>
      <c r="F228" s="236">
        <f>SUM(F219:F227)</f>
        <v>0</v>
      </c>
      <c r="G228" s="236">
        <f>SUM(G219:G227)</f>
        <v>22089</v>
      </c>
      <c r="H228" s="172">
        <f t="shared" si="48"/>
        <v>1</v>
      </c>
      <c r="I228" s="473"/>
      <c r="J228" s="168"/>
      <c r="K228" s="168"/>
    </row>
    <row r="229" spans="1:11" ht="16" thickTop="1">
      <c r="A229" s="163"/>
      <c r="B229" s="167"/>
      <c r="C229" s="582"/>
      <c r="D229" s="237"/>
      <c r="E229" s="231"/>
      <c r="F229"/>
      <c r="G229" s="231"/>
      <c r="H229" s="167"/>
      <c r="I229" s="475"/>
      <c r="J229" s="168"/>
      <c r="K229" s="168"/>
    </row>
    <row r="230" spans="1:11" ht="15.5">
      <c r="A230" s="163"/>
      <c r="B230" s="232" t="s">
        <v>160</v>
      </c>
      <c r="C230" s="581"/>
      <c r="D230" s="231"/>
      <c r="E230" s="231"/>
      <c r="F230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'[70]Sch D'!N22</f>
        <v>100</v>
      </c>
      <c r="D231" s="502"/>
      <c r="E231" s="234">
        <f>C231+D231</f>
        <v>100</v>
      </c>
      <c r="F231" s="234"/>
      <c r="G231" s="234">
        <f>E231</f>
        <v>100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'[70]Sch D'!N24</f>
        <v>100</v>
      </c>
      <c r="D232" s="502"/>
      <c r="E232" s="234">
        <f>C232+D232</f>
        <v>100</v>
      </c>
      <c r="F232" s="234"/>
      <c r="G232" s="234">
        <f>E232</f>
        <v>100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'[70]Sch D'!N28</f>
        <v>36500</v>
      </c>
      <c r="D235" s="438"/>
      <c r="E235" s="233">
        <f>E231*E233</f>
        <v>36500</v>
      </c>
      <c r="F235" s="238"/>
      <c r="G235" s="233">
        <f>G231*G233</f>
        <v>36500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'[70]Sch D'!N30</f>
        <v>0.60517808219178082</v>
      </c>
      <c r="D236" s="238"/>
      <c r="E236" s="242">
        <f>E228/E235</f>
        <v>0.60517808219178082</v>
      </c>
      <c r="F236" s="243"/>
      <c r="G236" s="242">
        <f>G228/G235</f>
        <v>0.60517808219178082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'[70]Sch D'!N32</f>
        <v>0.39931506849315068</v>
      </c>
      <c r="D237" s="238"/>
      <c r="E237" s="242">
        <f>(E219+E220)/E235</f>
        <v>0.39931506849315068</v>
      </c>
      <c r="F237" s="243"/>
      <c r="G237" s="242">
        <f>(G219+G220)/G235</f>
        <v>0.39931506849315068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'[70]Sch D'!N34</f>
        <v>0.65983068495631314</v>
      </c>
      <c r="D238" s="238"/>
      <c r="E238" s="242">
        <f>(E237/E236)</f>
        <v>0.65983068495631314</v>
      </c>
      <c r="F238" s="243"/>
      <c r="G238" s="242">
        <f>(G237/G236)</f>
        <v>0.65983068495631314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'[70]Sch B'!C85</f>
        <v>240.23529411764707</v>
      </c>
      <c r="I241" s="475"/>
    </row>
    <row r="242" spans="2:9">
      <c r="F242" s="142" t="s">
        <v>341</v>
      </c>
      <c r="G242" s="501">
        <f>'[70]Sch B'!E85</f>
        <v>256.61616161616161</v>
      </c>
      <c r="I242" s="475"/>
    </row>
    <row r="243" spans="2:9">
      <c r="F243" s="142" t="s">
        <v>342</v>
      </c>
      <c r="G243" s="501">
        <f>'[70]Sch B'!G85</f>
        <v>271.34078212290501</v>
      </c>
      <c r="I243" s="475"/>
    </row>
    <row r="244" spans="2:9">
      <c r="F244" s="142" t="s">
        <v>343</v>
      </c>
      <c r="G244" s="501">
        <f>'[70]Sch B'!I85</f>
        <v>259.72249999999997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57" fitToHeight="4" orientation="landscape" horizontalDpi="300" verticalDpi="300" r:id="rId3"/>
  <headerFooter alignWithMargins="0">
    <oddFooter>&amp;R&amp;D
&amp;T
&amp;F</oddFooter>
  </headerFooter>
  <ignoredErrors>
    <ignoredError sqref="F197" formulaRange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7">
    <tabColor rgb="FFE28CAB"/>
  </sheetPr>
  <dimension ref="A1:O246"/>
  <sheetViews>
    <sheetView showGridLines="0" topLeftCell="A183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14"/>
      <c r="H1" s="429"/>
      <c r="I1" s="430"/>
    </row>
    <row r="2" spans="1:11" ht="23">
      <c r="B2" s="143" t="s">
        <v>189</v>
      </c>
      <c r="C2" s="139" t="s">
        <v>531</v>
      </c>
      <c r="D2" s="244"/>
      <c r="E2" s="144"/>
      <c r="G2" s="414"/>
    </row>
    <row r="3" spans="1:11" ht="15.5">
      <c r="A3" s="145"/>
      <c r="B3" s="140" t="s">
        <v>79</v>
      </c>
      <c r="C3" s="441">
        <v>42552</v>
      </c>
      <c r="D3" s="144"/>
      <c r="E3" s="147"/>
      <c r="F3" s="415" t="s">
        <v>542</v>
      </c>
    </row>
    <row r="4" spans="1:11" ht="15.5">
      <c r="A4" s="145"/>
      <c r="B4" s="148" t="s">
        <v>80</v>
      </c>
      <c r="C4" s="441">
        <v>42704</v>
      </c>
      <c r="D4" s="144"/>
      <c r="E4" s="149"/>
      <c r="F4" s="415" t="s">
        <v>571</v>
      </c>
      <c r="G4" s="150"/>
    </row>
    <row r="5" spans="1:11" ht="15.5">
      <c r="A5" s="145"/>
      <c r="B5" s="148"/>
      <c r="C5"/>
      <c r="D5" s="144"/>
      <c r="F5" s="415" t="s">
        <v>534</v>
      </c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 s="639" t="s">
        <v>711</v>
      </c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 s="165"/>
      <c r="E10" s="165"/>
      <c r="F10" s="639" t="s">
        <v>650</v>
      </c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'[71]Sch B'!E10</f>
        <v>1132109</v>
      </c>
      <c r="D11" s="501">
        <f>'[71]Sch B'!G10</f>
        <v>0</v>
      </c>
      <c r="E11" s="171">
        <f>C11+D11</f>
        <v>1132109</v>
      </c>
      <c r="F11" s="442">
        <f>2089364-476596+47660</f>
        <v>1660428</v>
      </c>
      <c r="G11" s="171">
        <f t="shared" ref="G11:G20" si="0">E11+F11</f>
        <v>2792537</v>
      </c>
      <c r="H11" s="172">
        <f t="shared" ref="H11:H21" si="1">IF($G$21=0,0,G11/$G$21)</f>
        <v>0.57137277216165516</v>
      </c>
      <c r="I11" s="472"/>
      <c r="J11" s="336" t="s">
        <v>344</v>
      </c>
      <c r="K11" s="337">
        <f>G21</f>
        <v>4887417</v>
      </c>
    </row>
    <row r="12" spans="1:11" s="167" customFormat="1">
      <c r="A12" s="169" t="s">
        <v>15</v>
      </c>
      <c r="B12" s="170" t="s">
        <v>212</v>
      </c>
      <c r="C12" s="501">
        <f>'[71]Sch B'!E15</f>
        <v>0</v>
      </c>
      <c r="D12" s="501">
        <f>'[71]Sch B'!G15</f>
        <v>0</v>
      </c>
      <c r="E12" s="171">
        <f t="shared" ref="E12:E20" si="2">C12+D12</f>
        <v>0</v>
      </c>
      <c r="F12" s="171">
        <v>0</v>
      </c>
      <c r="G12" s="171">
        <f t="shared" si="0"/>
        <v>0</v>
      </c>
      <c r="H12" s="172">
        <f t="shared" si="1"/>
        <v>0</v>
      </c>
      <c r="I12" s="473"/>
      <c r="J12" s="338" t="s">
        <v>345</v>
      </c>
      <c r="K12" s="339">
        <f>G208</f>
        <v>4577873</v>
      </c>
    </row>
    <row r="13" spans="1:11" s="167" customFormat="1">
      <c r="A13" s="169" t="s">
        <v>16</v>
      </c>
      <c r="B13" s="170" t="s">
        <v>170</v>
      </c>
      <c r="C13" s="501">
        <f>'[71]Sch B'!E21</f>
        <v>289621</v>
      </c>
      <c r="D13" s="501">
        <f>'[71]Sch B'!G21</f>
        <v>0</v>
      </c>
      <c r="E13" s="171">
        <f t="shared" si="2"/>
        <v>289621</v>
      </c>
      <c r="F13" s="171">
        <v>703727</v>
      </c>
      <c r="G13" s="171">
        <f t="shared" si="0"/>
        <v>993348</v>
      </c>
      <c r="H13" s="172">
        <f t="shared" si="1"/>
        <v>0.20324600908823617</v>
      </c>
      <c r="I13" s="473"/>
      <c r="J13" s="338" t="s">
        <v>346</v>
      </c>
      <c r="K13" s="339">
        <f>G228</f>
        <v>21371</v>
      </c>
    </row>
    <row r="14" spans="1:11" s="167" customFormat="1">
      <c r="A14" s="173" t="s">
        <v>18</v>
      </c>
      <c r="B14" s="174" t="s">
        <v>306</v>
      </c>
      <c r="C14" s="501">
        <f>'[71]Sch B'!E27</f>
        <v>182136</v>
      </c>
      <c r="D14" s="501">
        <f>'[71]Sch B'!G27</f>
        <v>0</v>
      </c>
      <c r="E14" s="171">
        <f t="shared" si="2"/>
        <v>182136</v>
      </c>
      <c r="F14" s="175">
        <v>258891</v>
      </c>
      <c r="G14" s="175">
        <f t="shared" si="0"/>
        <v>441027</v>
      </c>
      <c r="H14" s="176">
        <f t="shared" si="1"/>
        <v>9.0237235742315416E-2</v>
      </c>
      <c r="I14" s="479"/>
      <c r="J14" s="338" t="s">
        <v>347</v>
      </c>
      <c r="K14" s="339">
        <f>G231</f>
        <v>122</v>
      </c>
    </row>
    <row r="15" spans="1:11" s="167" customFormat="1">
      <c r="A15" s="169" t="s">
        <v>19</v>
      </c>
      <c r="B15" s="170" t="s">
        <v>171</v>
      </c>
      <c r="C15" s="501">
        <f>'[71]Sch B'!E32</f>
        <v>0</v>
      </c>
      <c r="D15" s="501">
        <f>'[71]Sch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44530</v>
      </c>
    </row>
    <row r="16" spans="1:11" s="167" customFormat="1">
      <c r="A16" s="169" t="s">
        <v>21</v>
      </c>
      <c r="B16" s="170" t="s">
        <v>172</v>
      </c>
      <c r="C16" s="501">
        <f>'[71]Sch B'!E37</f>
        <v>102522</v>
      </c>
      <c r="D16" s="501">
        <f>'[71]Sch B'!G37</f>
        <v>0</v>
      </c>
      <c r="E16" s="171">
        <f t="shared" si="2"/>
        <v>102522</v>
      </c>
      <c r="F16" s="171">
        <v>226868</v>
      </c>
      <c r="G16" s="171">
        <f t="shared" si="0"/>
        <v>329390</v>
      </c>
      <c r="H16" s="172">
        <f t="shared" si="1"/>
        <v>6.7395517918769771E-2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'[71]Sch B'!E42</f>
        <v>0</v>
      </c>
      <c r="D17" s="501">
        <f>'[71]Sch B'!G42</f>
        <v>0</v>
      </c>
      <c r="E17" s="171">
        <f t="shared" si="2"/>
        <v>0</v>
      </c>
      <c r="F17" s="171">
        <v>0</v>
      </c>
      <c r="G17" s="171">
        <f t="shared" si="0"/>
        <v>0</v>
      </c>
      <c r="H17" s="172">
        <f t="shared" si="1"/>
        <v>0</v>
      </c>
      <c r="I17" s="473"/>
      <c r="J17" s="338" t="s">
        <v>156</v>
      </c>
      <c r="K17" s="339">
        <f>J208</f>
        <v>118263</v>
      </c>
    </row>
    <row r="18" spans="1:11" s="167" customFormat="1" ht="13.5" thickBot="1">
      <c r="A18" s="169" t="s">
        <v>216</v>
      </c>
      <c r="B18" s="170" t="s">
        <v>229</v>
      </c>
      <c r="C18" s="501">
        <f>'[71]Sch B'!E47</f>
        <v>136950</v>
      </c>
      <c r="D18" s="501">
        <f>'[71]Sch B'!G47</f>
        <v>0</v>
      </c>
      <c r="E18" s="171">
        <f t="shared" si="2"/>
        <v>136950</v>
      </c>
      <c r="F18" s="171">
        <v>192665</v>
      </c>
      <c r="G18" s="171">
        <f t="shared" si="0"/>
        <v>329615</v>
      </c>
      <c r="H18" s="172">
        <f t="shared" si="1"/>
        <v>6.7441554506194171E-2</v>
      </c>
      <c r="I18" s="473"/>
      <c r="J18" s="341" t="s">
        <v>252</v>
      </c>
      <c r="K18" s="342">
        <f>K208</f>
        <v>124384</v>
      </c>
    </row>
    <row r="19" spans="1:11" s="167" customFormat="1">
      <c r="A19" s="169" t="s">
        <v>227</v>
      </c>
      <c r="B19" s="177" t="s">
        <v>173</v>
      </c>
      <c r="C19" s="501">
        <f>'[71]Sch B'!E52</f>
        <v>0</v>
      </c>
      <c r="D19" s="501">
        <f>'[71]Sch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'[71]Sch B'!E67</f>
        <v>547</v>
      </c>
      <c r="D20" s="501">
        <f>'[71]Sch B'!G67</f>
        <v>0</v>
      </c>
      <c r="E20" s="171">
        <f t="shared" si="2"/>
        <v>547</v>
      </c>
      <c r="F20" s="171">
        <v>953</v>
      </c>
      <c r="G20" s="171">
        <f t="shared" si="0"/>
        <v>1500</v>
      </c>
      <c r="H20" s="172">
        <f t="shared" si="1"/>
        <v>3.0691058282933501E-4</v>
      </c>
      <c r="I20" s="472"/>
      <c r="J20" s="168"/>
      <c r="K20" s="168"/>
    </row>
    <row r="21" spans="1:11" s="167" customFormat="1">
      <c r="A21" s="169"/>
      <c r="B21" s="178" t="s">
        <v>77</v>
      </c>
      <c r="C21" s="501">
        <f>SUM(C11:C20)</f>
        <v>1843885</v>
      </c>
      <c r="D21" s="501">
        <f>SUM(D11:D20)</f>
        <v>0</v>
      </c>
      <c r="E21" s="171">
        <f>SUM(E11:E20)</f>
        <v>1843885</v>
      </c>
      <c r="F21" s="171">
        <f>SUM(F11:F20)</f>
        <v>3043532</v>
      </c>
      <c r="G21" s="171">
        <f>SUM(G11:G20)</f>
        <v>4887417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 t="s">
        <v>643</v>
      </c>
      <c r="G23" s="144"/>
      <c r="I23" s="475"/>
      <c r="J23"/>
    </row>
    <row r="24" spans="1:11" ht="15.5">
      <c r="A24" s="181" t="s">
        <v>161</v>
      </c>
      <c r="B24" s="148" t="s">
        <v>12</v>
      </c>
      <c r="F24"/>
      <c r="I24" s="475"/>
      <c r="J24"/>
    </row>
    <row r="25" spans="1:11" s="167" customFormat="1">
      <c r="A25" s="169" t="s">
        <v>83</v>
      </c>
      <c r="B25" s="170" t="s">
        <v>14</v>
      </c>
      <c r="C25" s="501">
        <f>'[71]Sch C'!D10</f>
        <v>43320</v>
      </c>
      <c r="D25" s="501">
        <f>'[71]Sch C'!F10</f>
        <v>2569</v>
      </c>
      <c r="E25" s="171">
        <f t="shared" ref="E25:E60" si="3">C25+D25</f>
        <v>45889</v>
      </c>
      <c r="F25" s="171">
        <v>119437</v>
      </c>
      <c r="G25" s="182">
        <f t="shared" ref="G25:G60" si="4">E25+F25</f>
        <v>165326</v>
      </c>
      <c r="H25" s="172">
        <f>IF($G$208=0,0,G25/$G$208)</f>
        <v>3.6114151703203652E-2</v>
      </c>
      <c r="I25" s="473"/>
      <c r="J25" s="183">
        <f>771+2078</f>
        <v>2849</v>
      </c>
      <c r="K25" s="183">
        <f>818+2175</f>
        <v>2993</v>
      </c>
    </row>
    <row r="26" spans="1:11" s="167" customFormat="1">
      <c r="A26" s="169" t="s">
        <v>84</v>
      </c>
      <c r="B26" s="170" t="s">
        <v>176</v>
      </c>
      <c r="C26" s="501">
        <f>'[71]Sch C'!D11</f>
        <v>0</v>
      </c>
      <c r="D26" s="501">
        <f>'[71]Sch C'!F11</f>
        <v>0</v>
      </c>
      <c r="E26" s="171">
        <f t="shared" si="3"/>
        <v>0</v>
      </c>
      <c r="F26" s="171">
        <v>0</v>
      </c>
      <c r="G26" s="171">
        <f t="shared" si="4"/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'[71]Sch C'!D12</f>
        <v>39515</v>
      </c>
      <c r="D27" s="501">
        <f>'[71]Sch C'!F12</f>
        <v>2396</v>
      </c>
      <c r="E27" s="171">
        <f t="shared" si="3"/>
        <v>41911</v>
      </c>
      <c r="F27" s="442">
        <f>80688-4583</f>
        <v>76105</v>
      </c>
      <c r="G27" s="171">
        <f t="shared" si="4"/>
        <v>118016</v>
      </c>
      <c r="H27" s="172">
        <f t="shared" si="5"/>
        <v>2.5779657932843484E-2</v>
      </c>
      <c r="I27" s="473"/>
      <c r="J27" s="183">
        <f>2039+3978</f>
        <v>6017</v>
      </c>
      <c r="K27" s="183">
        <f>2163+4164</f>
        <v>6327</v>
      </c>
    </row>
    <row r="28" spans="1:11" s="167" customFormat="1">
      <c r="A28" s="169" t="s">
        <v>86</v>
      </c>
      <c r="B28" s="170" t="s">
        <v>45</v>
      </c>
      <c r="C28" s="501">
        <f>'[71]Sch C'!D13</f>
        <v>181471</v>
      </c>
      <c r="D28" s="501">
        <f>'[71]Sch C'!F13</f>
        <v>-167720</v>
      </c>
      <c r="E28" s="171">
        <f t="shared" si="3"/>
        <v>13751</v>
      </c>
      <c r="F28" s="171">
        <v>31174</v>
      </c>
      <c r="G28" s="171">
        <f t="shared" si="4"/>
        <v>44925</v>
      </c>
      <c r="H28" s="172">
        <f t="shared" si="5"/>
        <v>9.8135094617085271E-3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'[71]Sch C'!D14</f>
        <v>0</v>
      </c>
      <c r="D29" s="501">
        <f>'[71]Sch C'!F14</f>
        <v>0</v>
      </c>
      <c r="E29" s="171">
        <f t="shared" si="3"/>
        <v>0</v>
      </c>
      <c r="F29" s="171">
        <v>0</v>
      </c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'[71]Sch C'!D15</f>
        <v>0</v>
      </c>
      <c r="D30" s="501">
        <f>'[71]Sch C'!F15</f>
        <v>0</v>
      </c>
      <c r="E30" s="171">
        <f t="shared" si="3"/>
        <v>0</v>
      </c>
      <c r="F30" s="171">
        <v>0</v>
      </c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'[71]Sch C'!D16</f>
        <v>92858</v>
      </c>
      <c r="D31" s="501">
        <f>'[71]Sch C'!F16</f>
        <v>54600</v>
      </c>
      <c r="E31" s="171">
        <f t="shared" si="3"/>
        <v>147458</v>
      </c>
      <c r="F31" s="442">
        <f>275313-28149</f>
        <v>247164</v>
      </c>
      <c r="G31" s="171">
        <f t="shared" si="4"/>
        <v>394622</v>
      </c>
      <c r="H31" s="172">
        <f t="shared" si="5"/>
        <v>8.6202041865294204E-2</v>
      </c>
      <c r="I31" s="473" t="s">
        <v>651</v>
      </c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'[71]Sch C'!D17</f>
        <v>0</v>
      </c>
      <c r="D32" s="501">
        <f>'[71]Sch C'!F17</f>
        <v>0</v>
      </c>
      <c r="E32" s="171">
        <f t="shared" si="3"/>
        <v>0</v>
      </c>
      <c r="F32" s="171">
        <v>0</v>
      </c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'[71]Sch C'!D18</f>
        <v>9648</v>
      </c>
      <c r="D33" s="501">
        <f>'[71]Sch C'!F18</f>
        <v>0</v>
      </c>
      <c r="E33" s="171">
        <f t="shared" si="3"/>
        <v>9648</v>
      </c>
      <c r="F33" s="442">
        <f>13629-1000</f>
        <v>12629</v>
      </c>
      <c r="G33" s="171">
        <f t="shared" si="4"/>
        <v>22277</v>
      </c>
      <c r="H33" s="172">
        <f t="shared" si="5"/>
        <v>4.8662337290702471E-3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'[71]Sch C'!D19</f>
        <v>9358</v>
      </c>
      <c r="D34" s="501">
        <f>'[71]Sch C'!F19</f>
        <v>0</v>
      </c>
      <c r="E34" s="171">
        <f t="shared" si="3"/>
        <v>9358</v>
      </c>
      <c r="F34" s="171">
        <v>11707</v>
      </c>
      <c r="G34" s="171">
        <f t="shared" si="4"/>
        <v>21065</v>
      </c>
      <c r="H34" s="172">
        <f t="shared" si="5"/>
        <v>4.6014819546107985E-3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'[71]Sch C'!D20</f>
        <v>4427</v>
      </c>
      <c r="D35" s="501">
        <f>'[71]Sch C'!F20</f>
        <v>0</v>
      </c>
      <c r="E35" s="171">
        <f t="shared" si="3"/>
        <v>4427</v>
      </c>
      <c r="F35" s="171">
        <v>7586</v>
      </c>
      <c r="G35" s="171">
        <f t="shared" si="4"/>
        <v>12013</v>
      </c>
      <c r="H35" s="172">
        <f t="shared" si="5"/>
        <v>2.6241444443740576E-3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'[71]Sch C'!D21</f>
        <v>424</v>
      </c>
      <c r="D36" s="501">
        <f>'[71]Sch C'!F21</f>
        <v>0</v>
      </c>
      <c r="E36" s="171">
        <f t="shared" si="3"/>
        <v>424</v>
      </c>
      <c r="F36" s="442">
        <f>4892-4398</f>
        <v>494</v>
      </c>
      <c r="G36" s="171">
        <f t="shared" si="4"/>
        <v>918</v>
      </c>
      <c r="H36" s="172">
        <f t="shared" si="5"/>
        <v>2.0052980936780028E-4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'[71]Sch C'!D22</f>
        <v>0</v>
      </c>
      <c r="D37" s="501">
        <f>'[71]Sch C'!F22</f>
        <v>0</v>
      </c>
      <c r="E37" s="171">
        <f t="shared" si="3"/>
        <v>0</v>
      </c>
      <c r="F37" s="171">
        <v>0</v>
      </c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'[71]Sch C'!D23</f>
        <v>1774</v>
      </c>
      <c r="D38" s="501">
        <f>'[71]Sch C'!F23</f>
        <v>0</v>
      </c>
      <c r="E38" s="171">
        <f t="shared" si="3"/>
        <v>1774</v>
      </c>
      <c r="F38" s="171">
        <v>3300</v>
      </c>
      <c r="G38" s="171">
        <f t="shared" si="4"/>
        <v>5074</v>
      </c>
      <c r="H38" s="172">
        <f t="shared" si="5"/>
        <v>1.1083750029762731E-3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'[71]Sch C'!D24</f>
        <v>27252</v>
      </c>
      <c r="D39" s="501">
        <f>'[71]Sch C'!F24</f>
        <v>-6500</v>
      </c>
      <c r="E39" s="171">
        <f t="shared" si="3"/>
        <v>20752</v>
      </c>
      <c r="F39" s="171">
        <v>31260</v>
      </c>
      <c r="G39" s="171">
        <f t="shared" si="4"/>
        <v>52012</v>
      </c>
      <c r="H39" s="172">
        <f t="shared" si="5"/>
        <v>1.1361608327710271E-2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'[71]Sch C'!D25</f>
        <v>0</v>
      </c>
      <c r="D40" s="501">
        <f>'[71]Sch C'!F25</f>
        <v>0</v>
      </c>
      <c r="E40" s="171">
        <f t="shared" si="3"/>
        <v>0</v>
      </c>
      <c r="F40" s="171">
        <v>0</v>
      </c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'[71]Sch C'!D26</f>
        <v>133534</v>
      </c>
      <c r="D41" s="501">
        <f>'[71]Sch C'!F26</f>
        <v>0</v>
      </c>
      <c r="E41" s="171">
        <f t="shared" si="3"/>
        <v>133534</v>
      </c>
      <c r="F41" s="171">
        <v>210423</v>
      </c>
      <c r="G41" s="171">
        <f t="shared" si="4"/>
        <v>343957</v>
      </c>
      <c r="H41" s="172">
        <f t="shared" si="5"/>
        <v>7.5134674989891598E-2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'[71]Sch C'!D27</f>
        <v>0</v>
      </c>
      <c r="D42" s="501">
        <f>'[71]Sch C'!F27</f>
        <v>0</v>
      </c>
      <c r="E42" s="171">
        <f t="shared" si="3"/>
        <v>0</v>
      </c>
      <c r="F42" s="171">
        <v>0</v>
      </c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'[71]Sch C'!D28</f>
        <v>0</v>
      </c>
      <c r="D43" s="501">
        <f>'[71]Sch C'!F28</f>
        <v>0</v>
      </c>
      <c r="E43" s="171">
        <f t="shared" si="3"/>
        <v>0</v>
      </c>
      <c r="F43" s="171">
        <v>0</v>
      </c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'[71]Sch C'!D29</f>
        <v>43331</v>
      </c>
      <c r="D44" s="501">
        <f>'[71]Sch C'!F29</f>
        <v>-43331</v>
      </c>
      <c r="E44" s="171">
        <f t="shared" si="3"/>
        <v>0</v>
      </c>
      <c r="F44" s="171">
        <v>0</v>
      </c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'[71]Sch C'!D30</f>
        <v>0</v>
      </c>
      <c r="D45" s="501">
        <f>'[71]Sch C'!F30</f>
        <v>0</v>
      </c>
      <c r="E45" s="171">
        <f t="shared" si="3"/>
        <v>0</v>
      </c>
      <c r="F45" s="171">
        <v>0</v>
      </c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'[71]Sch C'!D31</f>
        <v>17886</v>
      </c>
      <c r="D46" s="501">
        <f>'[71]Sch C'!F31</f>
        <v>0</v>
      </c>
      <c r="E46" s="171">
        <f t="shared" si="3"/>
        <v>17886</v>
      </c>
      <c r="F46" s="171">
        <v>36549</v>
      </c>
      <c r="G46" s="171">
        <f t="shared" si="4"/>
        <v>54435</v>
      </c>
      <c r="H46" s="172">
        <f t="shared" si="5"/>
        <v>1.1890893434571033E-2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'[71]Sch C'!D32</f>
        <v>48800</v>
      </c>
      <c r="D47" s="501">
        <f>'[71]Sch C'!F32</f>
        <v>-15706</v>
      </c>
      <c r="E47" s="171">
        <f t="shared" si="3"/>
        <v>33094</v>
      </c>
      <c r="F47" s="171">
        <v>46332</v>
      </c>
      <c r="G47" s="171">
        <f t="shared" si="4"/>
        <v>79426</v>
      </c>
      <c r="H47" s="172">
        <f t="shared" si="5"/>
        <v>1.7349978909419288E-2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'[71]Sch C'!D33</f>
        <v>0</v>
      </c>
      <c r="D48" s="501">
        <f>'[71]Sch C'!F33</f>
        <v>0</v>
      </c>
      <c r="E48" s="171">
        <f t="shared" si="3"/>
        <v>0</v>
      </c>
      <c r="F48" s="171">
        <v>0</v>
      </c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'[71]Sch C'!D34</f>
        <v>0</v>
      </c>
      <c r="D49" s="501">
        <f>'[71]Sch C'!F34</f>
        <v>0</v>
      </c>
      <c r="E49" s="171">
        <f t="shared" si="3"/>
        <v>0</v>
      </c>
      <c r="F49" s="171">
        <v>0</v>
      </c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'[71]Sch C'!D35</f>
        <v>0</v>
      </c>
      <c r="D50" s="501">
        <f>'[71]Sch C'!F35</f>
        <v>0</v>
      </c>
      <c r="E50" s="171">
        <f t="shared" si="3"/>
        <v>0</v>
      </c>
      <c r="F50" s="171">
        <v>0</v>
      </c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'[71]Sch C'!D36</f>
        <v>0</v>
      </c>
      <c r="D51" s="501">
        <f>'[71]Sch C'!F36</f>
        <v>0</v>
      </c>
      <c r="E51" s="171">
        <f t="shared" si="3"/>
        <v>0</v>
      </c>
      <c r="F51" s="171">
        <v>0</v>
      </c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'[71]Sch C'!D37</f>
        <v>0</v>
      </c>
      <c r="D52" s="501">
        <f>'[71]Sch C'!F37</f>
        <v>0</v>
      </c>
      <c r="E52" s="171">
        <f t="shared" si="3"/>
        <v>0</v>
      </c>
      <c r="F52" s="171">
        <v>0</v>
      </c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'[71]Sch C'!D38</f>
        <v>155</v>
      </c>
      <c r="D53" s="501">
        <f>'[71]Sch C'!F38</f>
        <v>-155</v>
      </c>
      <c r="E53" s="171">
        <f t="shared" si="3"/>
        <v>0</v>
      </c>
      <c r="F53" s="171">
        <v>0</v>
      </c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'[71]Sch C'!D39</f>
        <v>2586</v>
      </c>
      <c r="D54" s="501">
        <f>'[71]Sch C'!F39</f>
        <v>0</v>
      </c>
      <c r="E54" s="171">
        <f t="shared" si="3"/>
        <v>2586</v>
      </c>
      <c r="F54" s="442">
        <f>6203-1645</f>
        <v>4558</v>
      </c>
      <c r="G54" s="171">
        <f t="shared" si="4"/>
        <v>7144</v>
      </c>
      <c r="H54" s="172">
        <f t="shared" si="5"/>
        <v>1.5605500633154305E-3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'[71]Sch C'!D40</f>
        <v>2043</v>
      </c>
      <c r="D55" s="501">
        <f>'[71]Sch C'!F40</f>
        <v>0</v>
      </c>
      <c r="E55" s="171">
        <f t="shared" si="3"/>
        <v>2043</v>
      </c>
      <c r="F55" s="442">
        <f>6016-1991</f>
        <v>4025</v>
      </c>
      <c r="G55" s="171">
        <f t="shared" si="4"/>
        <v>6068</v>
      </c>
      <c r="H55" s="172">
        <f t="shared" si="5"/>
        <v>1.3255064087623226E-3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'[71]Sch C'!D41</f>
        <v>5426</v>
      </c>
      <c r="D56" s="501">
        <f>'[71]Sch C'!F41</f>
        <v>0</v>
      </c>
      <c r="E56" s="171">
        <f t="shared" si="3"/>
        <v>5426</v>
      </c>
      <c r="F56" s="171">
        <v>11481</v>
      </c>
      <c r="G56" s="171">
        <f t="shared" si="4"/>
        <v>16907</v>
      </c>
      <c r="H56" s="172">
        <f t="shared" si="5"/>
        <v>3.6931998768860558E-3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'[71]Sch C'!D42</f>
        <v>733</v>
      </c>
      <c r="D57" s="501">
        <f>'[71]Sch C'!F42</f>
        <v>0</v>
      </c>
      <c r="E57" s="171">
        <f t="shared" si="3"/>
        <v>733</v>
      </c>
      <c r="F57" s="171">
        <v>1499</v>
      </c>
      <c r="G57" s="171">
        <f t="shared" si="4"/>
        <v>2232</v>
      </c>
      <c r="H57" s="172">
        <f t="shared" si="5"/>
        <v>4.8756267375700459E-4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'[71]Sch C'!D43</f>
        <v>4104</v>
      </c>
      <c r="D58" s="501">
        <f>'[71]Sch C'!F43</f>
        <v>0</v>
      </c>
      <c r="E58" s="171">
        <f t="shared" si="3"/>
        <v>4104</v>
      </c>
      <c r="F58" s="171">
        <v>7248</v>
      </c>
      <c r="G58" s="171">
        <f t="shared" si="4"/>
        <v>11352</v>
      </c>
      <c r="H58" s="172">
        <f t="shared" si="5"/>
        <v>2.4797542439469159E-3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'[71]Sch C'!D44</f>
        <v>0</v>
      </c>
      <c r="D59" s="501">
        <f>'[71]Sch C'!F44</f>
        <v>0</v>
      </c>
      <c r="E59" s="171">
        <f t="shared" si="3"/>
        <v>0</v>
      </c>
      <c r="F59" s="171">
        <v>0</v>
      </c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'[71]Sch C'!D45</f>
        <v>666</v>
      </c>
      <c r="D60" s="501">
        <f>'[71]Sch C'!F45</f>
        <v>-253</v>
      </c>
      <c r="E60" s="171">
        <f t="shared" si="3"/>
        <v>413</v>
      </c>
      <c r="F60" s="171">
        <v>220</v>
      </c>
      <c r="G60" s="171">
        <f t="shared" si="4"/>
        <v>633</v>
      </c>
      <c r="H60" s="172">
        <f t="shared" si="5"/>
        <v>1.3827382279936557E-4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669311</v>
      </c>
      <c r="D61" s="501">
        <f>SUM(D25:D60)</f>
        <v>-174100</v>
      </c>
      <c r="E61" s="171">
        <f t="shared" ref="E61:F61" si="6">SUM(E25:E60)</f>
        <v>495211</v>
      </c>
      <c r="F61" s="171">
        <f t="shared" si="6"/>
        <v>863191</v>
      </c>
      <c r="G61" s="171">
        <f>SUM(G25:G60)</f>
        <v>1358402</v>
      </c>
      <c r="H61" s="186">
        <f t="shared" si="5"/>
        <v>0.29673212865450832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'[71]Sch C'!D57</f>
        <v>287043</v>
      </c>
      <c r="D64" s="501">
        <f>'[71]Sch C'!F57</f>
        <v>-287043</v>
      </c>
      <c r="E64" s="171">
        <f t="shared" ref="E64:E78" si="7">C64+D64</f>
        <v>0</v>
      </c>
      <c r="F64" s="171">
        <v>0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'[71]Sch C'!D58</f>
        <v>0</v>
      </c>
      <c r="D65" s="501">
        <f>'[71]Sch C'!F58</f>
        <v>77337</v>
      </c>
      <c r="E65" s="171">
        <f t="shared" si="7"/>
        <v>77337</v>
      </c>
      <c r="F65" s="171">
        <v>121725</v>
      </c>
      <c r="G65" s="171">
        <f t="shared" si="8"/>
        <v>199062</v>
      </c>
      <c r="H65" s="172">
        <f t="shared" si="9"/>
        <v>4.3483512976441242E-2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'[71]Sch C'!D59</f>
        <v>0</v>
      </c>
      <c r="D66" s="501">
        <f>'[71]Sch C'!F59</f>
        <v>0</v>
      </c>
      <c r="E66" s="171">
        <f t="shared" si="7"/>
        <v>0</v>
      </c>
      <c r="F66" s="171">
        <v>0</v>
      </c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'[71]Sch C'!D60</f>
        <v>9338</v>
      </c>
      <c r="D67" s="501">
        <f>'[71]Sch C'!F60</f>
        <v>0</v>
      </c>
      <c r="E67" s="171">
        <f t="shared" si="7"/>
        <v>9338</v>
      </c>
      <c r="F67" s="171">
        <v>13029</v>
      </c>
      <c r="G67" s="171">
        <f t="shared" si="8"/>
        <v>22367</v>
      </c>
      <c r="H67" s="172">
        <f t="shared" si="9"/>
        <v>4.8858935143023842E-3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'[71]Sch C'!D61</f>
        <v>3710</v>
      </c>
      <c r="D68" s="501">
        <f>'[71]Sch C'!F61</f>
        <v>0</v>
      </c>
      <c r="E68" s="171">
        <f t="shared" si="7"/>
        <v>3710</v>
      </c>
      <c r="F68" s="171">
        <v>5911</v>
      </c>
      <c r="G68" s="171">
        <f t="shared" si="8"/>
        <v>9621</v>
      </c>
      <c r="H68" s="172">
        <f t="shared" si="9"/>
        <v>2.1016310413154754E-3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'[71]Sch C'!D62</f>
        <v>0</v>
      </c>
      <c r="D69" s="501">
        <f>'[71]Sch C'!F62</f>
        <v>3729</v>
      </c>
      <c r="E69" s="171">
        <f t="shared" si="7"/>
        <v>3729</v>
      </c>
      <c r="F69" s="171">
        <v>5220</v>
      </c>
      <c r="G69" s="171">
        <f t="shared" si="8"/>
        <v>8949</v>
      </c>
      <c r="H69" s="172">
        <f t="shared" si="9"/>
        <v>1.9548379782488505E-3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'[71]Sch C'!D63</f>
        <v>0</v>
      </c>
      <c r="D70" s="501">
        <f>'[71]Sch C'!F63</f>
        <v>0</v>
      </c>
      <c r="E70" s="171">
        <f t="shared" si="7"/>
        <v>0</v>
      </c>
      <c r="F70" s="171">
        <v>0</v>
      </c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'[71]Sch C'!D64</f>
        <v>0</v>
      </c>
      <c r="D71" s="501">
        <f>'[71]Sch C'!F64</f>
        <v>0</v>
      </c>
      <c r="E71" s="171">
        <f t="shared" si="7"/>
        <v>0</v>
      </c>
      <c r="F71" s="171">
        <v>0</v>
      </c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'[71]Sch C'!D65</f>
        <v>1681</v>
      </c>
      <c r="D72" s="501">
        <f>'[71]Sch C'!F65</f>
        <v>0</v>
      </c>
      <c r="E72" s="171">
        <f t="shared" si="7"/>
        <v>1681</v>
      </c>
      <c r="F72" s="171">
        <v>3133</v>
      </c>
      <c r="G72" s="171">
        <f t="shared" si="8"/>
        <v>4814</v>
      </c>
      <c r="H72" s="172">
        <f t="shared" si="9"/>
        <v>1.0515800678612098E-3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'[71]Sch C'!D66</f>
        <v>2115</v>
      </c>
      <c r="D73" s="501">
        <f>'[71]Sch C'!F66</f>
        <v>0</v>
      </c>
      <c r="E73" s="171">
        <f t="shared" si="7"/>
        <v>2115</v>
      </c>
      <c r="F73" s="171">
        <v>1634</v>
      </c>
      <c r="G73" s="171">
        <f t="shared" si="8"/>
        <v>3749</v>
      </c>
      <c r="H73" s="172">
        <f t="shared" si="9"/>
        <v>8.1893927594758528E-4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'[71]Sch C'!D67</f>
        <v>0</v>
      </c>
      <c r="D74" s="501">
        <f>'[71]Sch C'!F67</f>
        <v>44083</v>
      </c>
      <c r="E74" s="171">
        <f t="shared" si="7"/>
        <v>44083</v>
      </c>
      <c r="F74" s="171">
        <v>77872</v>
      </c>
      <c r="G74" s="171">
        <f t="shared" si="8"/>
        <v>121955</v>
      </c>
      <c r="H74" s="172">
        <f t="shared" si="9"/>
        <v>2.6640101199836692E-2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'[71]Sch C'!D68</f>
        <v>0</v>
      </c>
      <c r="D75" s="501">
        <f>'[71]Sch C'!F68</f>
        <v>0</v>
      </c>
      <c r="E75" s="171">
        <f t="shared" si="7"/>
        <v>0</v>
      </c>
      <c r="F75" s="171">
        <v>0</v>
      </c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'[71]Sch C'!D69</f>
        <v>2135</v>
      </c>
      <c r="D76" s="501">
        <f>'[71]Sch C'!F69</f>
        <v>0</v>
      </c>
      <c r="E76" s="171">
        <f t="shared" si="7"/>
        <v>2135</v>
      </c>
      <c r="F76" s="171">
        <v>3618</v>
      </c>
      <c r="G76" s="171">
        <f t="shared" si="8"/>
        <v>5753</v>
      </c>
      <c r="H76" s="172">
        <f t="shared" si="9"/>
        <v>1.2566971604498422E-3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'[71]Sch C'!D70</f>
        <v>0</v>
      </c>
      <c r="D77" s="501">
        <f>'[71]Sch C'!F70</f>
        <v>0</v>
      </c>
      <c r="E77" s="171">
        <f t="shared" si="7"/>
        <v>0</v>
      </c>
      <c r="F77" s="171">
        <v>0</v>
      </c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'[71]Sch C'!D71</f>
        <v>0</v>
      </c>
      <c r="D78" s="501">
        <f>'[71]Sch C'!F71</f>
        <v>0</v>
      </c>
      <c r="E78" s="171">
        <f t="shared" si="7"/>
        <v>0</v>
      </c>
      <c r="F78" s="171">
        <v>0</v>
      </c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306022</v>
      </c>
      <c r="D79" s="501">
        <f>SUM(D64:D78)</f>
        <v>-161894</v>
      </c>
      <c r="E79" s="171">
        <f t="shared" ref="E79:F79" si="10">SUM(E64:E78)</f>
        <v>144128</v>
      </c>
      <c r="F79" s="171">
        <f t="shared" si="10"/>
        <v>232142</v>
      </c>
      <c r="G79" s="171">
        <f>SUM(G64:G78)</f>
        <v>376270</v>
      </c>
      <c r="H79" s="172">
        <f t="shared" si="9"/>
        <v>8.2193193214403285E-2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'[71]Sch C'!D75</f>
        <v>17440</v>
      </c>
      <c r="D82" s="501">
        <f>'[71]Sch C'!F75</f>
        <v>1059</v>
      </c>
      <c r="E82" s="171">
        <f t="shared" ref="E82:E92" si="11">C82+D82</f>
        <v>18499</v>
      </c>
      <c r="F82" s="442">
        <f>33067+4583</f>
        <v>37650</v>
      </c>
      <c r="G82" s="171">
        <f t="shared" ref="G82:G92" si="12">E82+F82</f>
        <v>56149</v>
      </c>
      <c r="H82" s="172">
        <f t="shared" ref="H82:H93" si="13">IF($G$208=0,0,G82/$G$208)</f>
        <v>1.2265303122214181E-2</v>
      </c>
      <c r="I82" s="473"/>
      <c r="J82" s="183">
        <f>951+1722</f>
        <v>2673</v>
      </c>
      <c r="K82" s="183">
        <f>1009+1803</f>
        <v>2812</v>
      </c>
    </row>
    <row r="83" spans="1:11" s="167" customFormat="1">
      <c r="A83" s="169" t="s">
        <v>86</v>
      </c>
      <c r="B83" s="199" t="s">
        <v>45</v>
      </c>
      <c r="C83" s="501">
        <f>'[71]Sch C'!D76</f>
        <v>0</v>
      </c>
      <c r="D83" s="501">
        <f>'[71]Sch C'!F76</f>
        <v>2939</v>
      </c>
      <c r="E83" s="171">
        <f t="shared" si="11"/>
        <v>2939</v>
      </c>
      <c r="F83" s="171">
        <v>5090</v>
      </c>
      <c r="G83" s="171">
        <f t="shared" si="12"/>
        <v>8029</v>
      </c>
      <c r="H83" s="172">
        <f t="shared" si="13"/>
        <v>1.7538712847647805E-3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'[71]Sch C'!D77</f>
        <v>829</v>
      </c>
      <c r="D84" s="501">
        <f>'[71]Sch C'!F77</f>
        <v>0</v>
      </c>
      <c r="E84" s="171">
        <f t="shared" si="11"/>
        <v>829</v>
      </c>
      <c r="F84" s="171">
        <v>3383</v>
      </c>
      <c r="G84" s="171">
        <f t="shared" si="12"/>
        <v>4212</v>
      </c>
      <c r="H84" s="172">
        <f t="shared" si="13"/>
        <v>9.2007794886402483E-4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'[71]Sch C'!D78</f>
        <v>0</v>
      </c>
      <c r="D85" s="501">
        <f>'[71]Sch C'!F78</f>
        <v>0</v>
      </c>
      <c r="E85" s="171">
        <f t="shared" si="11"/>
        <v>0</v>
      </c>
      <c r="F85" s="171">
        <v>0</v>
      </c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'[71]Sch C'!D79</f>
        <v>931</v>
      </c>
      <c r="D86" s="501">
        <f>'[71]Sch C'!F79</f>
        <v>0</v>
      </c>
      <c r="E86" s="171">
        <f t="shared" si="11"/>
        <v>931</v>
      </c>
      <c r="F86" s="171">
        <v>2800</v>
      </c>
      <c r="G86" s="171">
        <f t="shared" si="12"/>
        <v>3731</v>
      </c>
      <c r="H86" s="172">
        <f t="shared" si="13"/>
        <v>8.1500731890115784E-4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'[71]Sch C'!D80</f>
        <v>4723</v>
      </c>
      <c r="D87" s="501">
        <f>'[71]Sch C'!F80</f>
        <v>0</v>
      </c>
      <c r="E87" s="171">
        <f t="shared" si="11"/>
        <v>4723</v>
      </c>
      <c r="F87" s="171">
        <v>7790</v>
      </c>
      <c r="G87" s="171">
        <f t="shared" si="12"/>
        <v>12513</v>
      </c>
      <c r="H87" s="172">
        <f t="shared" si="13"/>
        <v>2.7333654734414867E-3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'[71]Sch C'!D81</f>
        <v>6502</v>
      </c>
      <c r="D88" s="501">
        <f>'[71]Sch C'!F81</f>
        <v>0</v>
      </c>
      <c r="E88" s="171">
        <f t="shared" si="11"/>
        <v>6502</v>
      </c>
      <c r="F88" s="171">
        <v>7276</v>
      </c>
      <c r="G88" s="171">
        <f t="shared" si="12"/>
        <v>13778</v>
      </c>
      <c r="H88" s="172">
        <f t="shared" si="13"/>
        <v>3.0096946769820831E-3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'[71]Sch C'!D82</f>
        <v>1125</v>
      </c>
      <c r="D89" s="501">
        <f>'[71]Sch C'!F82</f>
        <v>0</v>
      </c>
      <c r="E89" s="171">
        <f t="shared" si="11"/>
        <v>1125</v>
      </c>
      <c r="F89" s="171">
        <v>0</v>
      </c>
      <c r="G89" s="171">
        <f t="shared" si="12"/>
        <v>1125</v>
      </c>
      <c r="H89" s="172">
        <f t="shared" si="13"/>
        <v>2.4574731540171602E-4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'[71]Sch C'!D83</f>
        <v>0</v>
      </c>
      <c r="D90" s="501">
        <f>'[71]Sch C'!F83</f>
        <v>0</v>
      </c>
      <c r="E90" s="171">
        <f t="shared" si="11"/>
        <v>0</v>
      </c>
      <c r="F90" s="171">
        <v>0</v>
      </c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'[71]Sch C'!D84</f>
        <v>41743</v>
      </c>
      <c r="D91" s="501">
        <f>'[71]Sch C'!F84</f>
        <v>0</v>
      </c>
      <c r="E91" s="171">
        <f t="shared" si="11"/>
        <v>41743</v>
      </c>
      <c r="F91" s="171">
        <v>56645</v>
      </c>
      <c r="G91" s="171">
        <f t="shared" si="12"/>
        <v>98388</v>
      </c>
      <c r="H91" s="172">
        <f t="shared" si="13"/>
        <v>2.1492077215772478E-2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'[71]Sch C'!D85</f>
        <v>0</v>
      </c>
      <c r="D92" s="501">
        <f>'[71]Sch C'!F85</f>
        <v>0</v>
      </c>
      <c r="E92" s="171">
        <f t="shared" si="11"/>
        <v>0</v>
      </c>
      <c r="F92" s="171">
        <v>0</v>
      </c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73293</v>
      </c>
      <c r="D93" s="501">
        <f>SUM(D82:D92)</f>
        <v>3998</v>
      </c>
      <c r="E93" s="171">
        <f t="shared" ref="E93:F93" si="14">SUM(E82:E92)</f>
        <v>77291</v>
      </c>
      <c r="F93" s="171">
        <f t="shared" si="14"/>
        <v>120634</v>
      </c>
      <c r="G93" s="171">
        <f>SUM(G82:G92)</f>
        <v>197925</v>
      </c>
      <c r="H93" s="172">
        <f t="shared" si="13"/>
        <v>4.323514435634191E-2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'[71]Sch C'!D89</f>
        <v>64175</v>
      </c>
      <c r="D96" s="501">
        <f>'[71]Sch C'!F89</f>
        <v>3896</v>
      </c>
      <c r="E96" s="171">
        <f t="shared" ref="E96:E101" si="15">C96+D96</f>
        <v>68071</v>
      </c>
      <c r="F96" s="171">
        <v>98243</v>
      </c>
      <c r="G96" s="171">
        <f t="shared" ref="G96:G101" si="16">E96+F96</f>
        <v>166314</v>
      </c>
      <c r="H96" s="172">
        <f t="shared" ref="H96:H102" si="17">IF($G$208=0,0,G96/$G$208)</f>
        <v>3.6329972456640887E-2</v>
      </c>
      <c r="I96" s="473"/>
      <c r="J96" s="183">
        <f>4994+7304</f>
        <v>12298</v>
      </c>
      <c r="K96" s="183">
        <f>5297+7646</f>
        <v>12943</v>
      </c>
    </row>
    <row r="97" spans="1:11" s="167" customFormat="1">
      <c r="A97" s="169" t="s">
        <v>86</v>
      </c>
      <c r="B97" s="170" t="s">
        <v>45</v>
      </c>
      <c r="C97" s="501">
        <f>'[71]Sch C'!D90</f>
        <v>0</v>
      </c>
      <c r="D97" s="501">
        <f>'[71]Sch C'!F90</f>
        <v>10813</v>
      </c>
      <c r="E97" s="171">
        <f t="shared" si="15"/>
        <v>10813</v>
      </c>
      <c r="F97" s="171">
        <v>15121</v>
      </c>
      <c r="G97" s="171">
        <f t="shared" si="16"/>
        <v>25934</v>
      </c>
      <c r="H97" s="172">
        <f t="shared" si="17"/>
        <v>5.6650763356694252E-3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'[71]Sch C'!D91</f>
        <v>653</v>
      </c>
      <c r="D98" s="501">
        <f>'[71]Sch C'!F91</f>
        <v>0</v>
      </c>
      <c r="E98" s="171">
        <f t="shared" si="15"/>
        <v>653</v>
      </c>
      <c r="F98" s="171">
        <v>1064</v>
      </c>
      <c r="G98" s="171">
        <f t="shared" si="16"/>
        <v>1717</v>
      </c>
      <c r="H98" s="172">
        <f t="shared" si="17"/>
        <v>3.7506501381755241E-4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'[71]Sch C'!D92</f>
        <v>49709</v>
      </c>
      <c r="D99" s="501">
        <f>'[71]Sch C'!F92</f>
        <v>0</v>
      </c>
      <c r="E99" s="171">
        <f t="shared" si="15"/>
        <v>49709</v>
      </c>
      <c r="F99" s="171">
        <v>78213</v>
      </c>
      <c r="G99" s="171">
        <f t="shared" si="16"/>
        <v>127922</v>
      </c>
      <c r="H99" s="172">
        <f t="shared" si="17"/>
        <v>2.7943544960727394E-2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'[71]Sch C'!D93</f>
        <v>4243</v>
      </c>
      <c r="D100" s="501">
        <f>'[71]Sch C'!F93</f>
        <v>0</v>
      </c>
      <c r="E100" s="171">
        <f t="shared" si="15"/>
        <v>4243</v>
      </c>
      <c r="F100" s="171">
        <v>5293</v>
      </c>
      <c r="G100" s="171">
        <f t="shared" si="16"/>
        <v>9536</v>
      </c>
      <c r="H100" s="172">
        <f t="shared" si="17"/>
        <v>2.0830634663740128E-3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'[71]Sch C'!D94</f>
        <v>0</v>
      </c>
      <c r="D101" s="501">
        <f>'[71]Sch C'!F94</f>
        <v>0</v>
      </c>
      <c r="E101" s="171">
        <f t="shared" si="15"/>
        <v>0</v>
      </c>
      <c r="F101" s="171">
        <v>0</v>
      </c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118780</v>
      </c>
      <c r="D102" s="501">
        <f>SUM(D96:D101)</f>
        <v>14709</v>
      </c>
      <c r="E102" s="171">
        <f t="shared" ref="E102:F102" si="18">SUM(E96:E101)</f>
        <v>133489</v>
      </c>
      <c r="F102" s="171">
        <f t="shared" si="18"/>
        <v>197934</v>
      </c>
      <c r="G102" s="171">
        <f>SUM(G96:G101)</f>
        <v>331423</v>
      </c>
      <c r="H102" s="172">
        <f t="shared" si="17"/>
        <v>7.239672223322928E-2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'[71]Sch C'!D98</f>
        <v>15620</v>
      </c>
      <c r="D105" s="501">
        <f>'[71]Sch C'!F98</f>
        <v>948</v>
      </c>
      <c r="E105" s="171">
        <f t="shared" ref="E105:E110" si="19">C105+D105</f>
        <v>16568</v>
      </c>
      <c r="F105" s="171">
        <v>22597</v>
      </c>
      <c r="G105" s="171">
        <f t="shared" ref="G105:G110" si="20">E105+F105</f>
        <v>39165</v>
      </c>
      <c r="H105" s="172">
        <f t="shared" ref="H105:H111" si="21">IF($G$208=0,0,G105/$G$208)</f>
        <v>8.5552832068517409E-3</v>
      </c>
      <c r="I105" s="473"/>
      <c r="J105" s="183">
        <f>1702+2352</f>
        <v>4054</v>
      </c>
      <c r="K105" s="183">
        <f>1805+2462</f>
        <v>4267</v>
      </c>
    </row>
    <row r="106" spans="1:11" s="167" customFormat="1">
      <c r="A106" s="169" t="s">
        <v>86</v>
      </c>
      <c r="B106" s="170" t="s">
        <v>45</v>
      </c>
      <c r="C106" s="501">
        <f>'[71]Sch C'!D99</f>
        <v>0</v>
      </c>
      <c r="D106" s="501">
        <f>'[71]Sch C'!F99</f>
        <v>2632</v>
      </c>
      <c r="E106" s="171">
        <f t="shared" si="19"/>
        <v>2632</v>
      </c>
      <c r="F106" s="171">
        <v>3478</v>
      </c>
      <c r="G106" s="171">
        <f t="shared" si="20"/>
        <v>6110</v>
      </c>
      <c r="H106" s="172">
        <f t="shared" si="21"/>
        <v>1.3346809752039866E-3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'[71]Sch C'!D100</f>
        <v>5215</v>
      </c>
      <c r="D107" s="501">
        <f>'[71]Sch C'!F100</f>
        <v>0</v>
      </c>
      <c r="E107" s="171">
        <f t="shared" si="19"/>
        <v>5215</v>
      </c>
      <c r="F107" s="171">
        <v>4939</v>
      </c>
      <c r="G107" s="171">
        <f t="shared" si="20"/>
        <v>10154</v>
      </c>
      <c r="H107" s="172">
        <f t="shared" si="21"/>
        <v>2.2180606583013553E-3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'[71]Sch C'!D101</f>
        <v>578</v>
      </c>
      <c r="D108" s="501">
        <f>'[71]Sch C'!F101</f>
        <v>0</v>
      </c>
      <c r="E108" s="171">
        <f t="shared" si="19"/>
        <v>578</v>
      </c>
      <c r="F108" s="171">
        <v>438</v>
      </c>
      <c r="G108" s="171">
        <f t="shared" si="20"/>
        <v>1016</v>
      </c>
      <c r="H108" s="172">
        <f t="shared" si="21"/>
        <v>2.2193713106501644E-4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'[71]Sch C'!D102</f>
        <v>1013</v>
      </c>
      <c r="D109" s="501">
        <f>'[71]Sch C'!F102</f>
        <v>0</v>
      </c>
      <c r="E109" s="171">
        <f t="shared" si="19"/>
        <v>1013</v>
      </c>
      <c r="F109" s="171">
        <v>3270</v>
      </c>
      <c r="G109" s="171">
        <f t="shared" si="20"/>
        <v>4283</v>
      </c>
      <c r="H109" s="172">
        <f t="shared" si="21"/>
        <v>9.3558733499159977E-4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'[71]Sch C'!D103</f>
        <v>0</v>
      </c>
      <c r="D110" s="501">
        <f>'[71]Sch C'!F103</f>
        <v>0</v>
      </c>
      <c r="E110" s="171">
        <f t="shared" si="19"/>
        <v>0</v>
      </c>
      <c r="F110" s="171">
        <v>0</v>
      </c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22426</v>
      </c>
      <c r="D111" s="501">
        <f>SUM(D105:D110)</f>
        <v>3580</v>
      </c>
      <c r="E111" s="171">
        <f t="shared" ref="E111:F111" si="22">SUM(E105:E110)</f>
        <v>26006</v>
      </c>
      <c r="F111" s="171">
        <f t="shared" si="22"/>
        <v>34722</v>
      </c>
      <c r="G111" s="171">
        <f>SUM(G105:G110)</f>
        <v>60728</v>
      </c>
      <c r="H111" s="172">
        <f t="shared" si="21"/>
        <v>1.32655493064137E-2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'[71]Sch C'!D115</f>
        <v>20562</v>
      </c>
      <c r="D114" s="501">
        <f>'[71]Sch C'!F115</f>
        <v>1248</v>
      </c>
      <c r="E114" s="171">
        <f t="shared" ref="E114:E118" si="23">C114+D114</f>
        <v>21810</v>
      </c>
      <c r="F114" s="171">
        <v>36658</v>
      </c>
      <c r="G114" s="171">
        <f>E114+F114</f>
        <v>58468</v>
      </c>
      <c r="H114" s="172">
        <f t="shared" ref="H114:H119" si="24">IF($G$208=0,0,G114/$G$208)</f>
        <v>1.2771870255028919E-2</v>
      </c>
      <c r="I114" s="473"/>
      <c r="J114" s="183">
        <f>2096+3570</f>
        <v>5666</v>
      </c>
      <c r="K114" s="183">
        <f>2223+3737</f>
        <v>5960</v>
      </c>
    </row>
    <row r="115" spans="1:11" s="167" customFormat="1">
      <c r="A115" s="169" t="s">
        <v>86</v>
      </c>
      <c r="B115" s="170" t="s">
        <v>151</v>
      </c>
      <c r="C115" s="501">
        <f>'[71]Sch C'!D116</f>
        <v>0</v>
      </c>
      <c r="D115" s="501">
        <f>'[71]Sch C'!F116</f>
        <v>3465</v>
      </c>
      <c r="E115" s="171">
        <f t="shared" si="23"/>
        <v>3465</v>
      </c>
      <c r="F115" s="171">
        <v>5642</v>
      </c>
      <c r="G115" s="171">
        <f>E115+F115</f>
        <v>9107</v>
      </c>
      <c r="H115" s="172">
        <f t="shared" si="24"/>
        <v>1.989351823434158E-3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'[71]Sch C'!D117</f>
        <v>3819</v>
      </c>
      <c r="D116" s="501">
        <f>'[71]Sch C'!F117</f>
        <v>0</v>
      </c>
      <c r="E116" s="171">
        <f t="shared" si="23"/>
        <v>3819</v>
      </c>
      <c r="F116" s="171">
        <v>10648</v>
      </c>
      <c r="G116" s="171">
        <f>E116+F116</f>
        <v>14467</v>
      </c>
      <c r="H116" s="172">
        <f t="shared" si="24"/>
        <v>3.1602012550370007E-3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'[71]Sch C'!D118</f>
        <v>1730</v>
      </c>
      <c r="D117" s="501">
        <f>'[71]Sch C'!F118</f>
        <v>0</v>
      </c>
      <c r="E117" s="171">
        <f t="shared" si="23"/>
        <v>1730</v>
      </c>
      <c r="F117" s="171">
        <v>1125</v>
      </c>
      <c r="G117" s="171">
        <f>E117+F117</f>
        <v>2855</v>
      </c>
      <c r="H117" s="172">
        <f t="shared" si="24"/>
        <v>6.2365207597502156E-4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'[71]Sch C'!D119</f>
        <v>0</v>
      </c>
      <c r="D118" s="501">
        <f>'[71]Sch C'!F119</f>
        <v>0</v>
      </c>
      <c r="E118" s="171">
        <f t="shared" si="23"/>
        <v>0</v>
      </c>
      <c r="F118" s="171">
        <v>638</v>
      </c>
      <c r="G118" s="171">
        <f>E118+F118</f>
        <v>638</v>
      </c>
      <c r="H118" s="172">
        <f t="shared" si="24"/>
        <v>1.3936603309003986E-4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26111</v>
      </c>
      <c r="D119" s="501">
        <f>SUM(D114:D118)</f>
        <v>4713</v>
      </c>
      <c r="E119" s="171">
        <f t="shared" ref="E119:F119" si="25">SUM(E114:E118)</f>
        <v>30824</v>
      </c>
      <c r="F119" s="171">
        <f t="shared" si="25"/>
        <v>54711</v>
      </c>
      <c r="G119" s="171">
        <f>SUM(G114:G118)</f>
        <v>85535</v>
      </c>
      <c r="H119" s="172">
        <f t="shared" si="24"/>
        <v>1.868444144256514E-2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 t="s">
        <v>652</v>
      </c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'[71]Sch C'!D124</f>
        <v>0</v>
      </c>
      <c r="D123" s="501">
        <f>'[71]Sch C'!F124</f>
        <v>0</v>
      </c>
      <c r="E123" s="171">
        <f t="shared" ref="E123:E127" si="26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'[71]Sch C'!D125</f>
        <v>37738</v>
      </c>
      <c r="D124" s="501">
        <f>'[71]Sch C'!F125</f>
        <v>2291</v>
      </c>
      <c r="E124" s="171">
        <f t="shared" si="26"/>
        <v>40029</v>
      </c>
      <c r="F124" s="442">
        <f>61157+25003</f>
        <v>86160</v>
      </c>
      <c r="G124" s="171">
        <f>E124+F124</f>
        <v>126189</v>
      </c>
      <c r="H124" s="172">
        <f>IF($G$208=0,0,G124/$G$208)</f>
        <v>2.7564984873979684E-2</v>
      </c>
      <c r="I124" s="473" t="s">
        <v>402</v>
      </c>
      <c r="J124" s="183">
        <f>784+1214</f>
        <v>1998</v>
      </c>
      <c r="K124" s="183">
        <f>832+1271</f>
        <v>2103</v>
      </c>
    </row>
    <row r="125" spans="1:11" s="167" customFormat="1">
      <c r="A125" s="163" t="s">
        <v>198</v>
      </c>
      <c r="B125" s="163" t="s">
        <v>195</v>
      </c>
      <c r="C125" s="501">
        <f>'[71]Sch C'!D126</f>
        <v>21919</v>
      </c>
      <c r="D125" s="501">
        <f>'[71]Sch C'!F126</f>
        <v>1331</v>
      </c>
      <c r="E125" s="171">
        <f t="shared" si="26"/>
        <v>23250</v>
      </c>
      <c r="F125" s="171">
        <v>35419</v>
      </c>
      <c r="G125" s="171">
        <f>E125+F125</f>
        <v>58669</v>
      </c>
      <c r="H125" s="172">
        <f>IF($G$208=0,0,G125/$G$208)</f>
        <v>1.2815777108714024E-2</v>
      </c>
      <c r="I125" s="473"/>
      <c r="J125" s="183">
        <f>674+1040</f>
        <v>1714</v>
      </c>
      <c r="K125" s="183">
        <f>715+1089</f>
        <v>1804</v>
      </c>
    </row>
    <row r="126" spans="1:11" s="167" customFormat="1">
      <c r="A126" s="169"/>
      <c r="B126" s="163" t="s">
        <v>196</v>
      </c>
      <c r="C126" s="501">
        <f>'[71]Sch C'!D127</f>
        <v>0</v>
      </c>
      <c r="D126" s="501">
        <f>'[71]Sch C'!F127</f>
        <v>0</v>
      </c>
      <c r="E126" s="171">
        <f t="shared" si="26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'[71]Sch C'!D128</f>
        <v>11470</v>
      </c>
      <c r="D127" s="501">
        <f>'[71]Sch C'!F128</f>
        <v>696</v>
      </c>
      <c r="E127" s="171">
        <f t="shared" si="26"/>
        <v>12166</v>
      </c>
      <c r="F127" s="171">
        <v>19433</v>
      </c>
      <c r="G127" s="171">
        <f>E127+F127</f>
        <v>31599</v>
      </c>
      <c r="H127" s="172">
        <f>IF($G$208=0,0,G127/$G$208)</f>
        <v>6.9025505950034002E-3</v>
      </c>
      <c r="I127" s="473"/>
      <c r="J127" s="183">
        <f>794+1285</f>
        <v>2079</v>
      </c>
      <c r="K127" s="183">
        <f>842+1345</f>
        <v>2187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'[71]Sch C'!D130</f>
        <v>0</v>
      </c>
      <c r="D129" s="501">
        <f>'[71]Sch C'!F130</f>
        <v>0</v>
      </c>
      <c r="E129" s="171">
        <f t="shared" ref="E129:E133" si="27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'[71]Sch C'!D131</f>
        <v>0</v>
      </c>
      <c r="D130" s="501">
        <f>'[71]Sch C'!F131</f>
        <v>6359</v>
      </c>
      <c r="E130" s="171">
        <f t="shared" si="27"/>
        <v>6359</v>
      </c>
      <c r="F130" s="442">
        <f>9413+3146</f>
        <v>12559</v>
      </c>
      <c r="G130" s="171">
        <f>E130+F130</f>
        <v>18918</v>
      </c>
      <c r="H130" s="172">
        <f>IF($G$208=0,0,G130/$G$208)</f>
        <v>4.132486855795257E-3</v>
      </c>
      <c r="I130" s="473" t="s">
        <v>402</v>
      </c>
      <c r="J130" s="204"/>
      <c r="K130" s="204"/>
    </row>
    <row r="131" spans="1:11" s="167" customFormat="1">
      <c r="B131" s="163" t="s">
        <v>195</v>
      </c>
      <c r="C131" s="501">
        <f>'[71]Sch C'!D132</f>
        <v>0</v>
      </c>
      <c r="D131" s="501">
        <f>'[71]Sch C'!F132</f>
        <v>3693</v>
      </c>
      <c r="E131" s="171">
        <f t="shared" si="27"/>
        <v>3693</v>
      </c>
      <c r="F131" s="171">
        <v>5452</v>
      </c>
      <c r="G131" s="171">
        <f>E131+F131</f>
        <v>9145</v>
      </c>
      <c r="H131" s="172">
        <f>IF($G$208=0,0,G131/$G$208)</f>
        <v>1.9976526216432828E-3</v>
      </c>
      <c r="I131" s="473"/>
      <c r="J131" s="168"/>
      <c r="K131" s="168"/>
    </row>
    <row r="132" spans="1:11" s="167" customFormat="1">
      <c r="B132" s="163" t="s">
        <v>196</v>
      </c>
      <c r="C132" s="501">
        <f>'[71]Sch C'!D133</f>
        <v>0</v>
      </c>
      <c r="D132" s="501">
        <f>'[71]Sch C'!F133</f>
        <v>0</v>
      </c>
      <c r="E132" s="171">
        <f t="shared" si="27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'[71]Sch C'!D134</f>
        <v>0</v>
      </c>
      <c r="D133" s="501">
        <f>'[71]Sch C'!F134</f>
        <v>1932</v>
      </c>
      <c r="E133" s="171">
        <f t="shared" si="27"/>
        <v>1932</v>
      </c>
      <c r="F133" s="171">
        <v>2991</v>
      </c>
      <c r="G133" s="171">
        <f>E133+F133</f>
        <v>4923</v>
      </c>
      <c r="H133" s="172">
        <f>IF($G$208=0,0,G133/$G$208)</f>
        <v>1.0753902521979093E-3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'[71]Sch C'!D136</f>
        <v>87878</v>
      </c>
      <c r="D135" s="501">
        <f>'[71]Sch C'!F136</f>
        <v>5335</v>
      </c>
      <c r="E135" s="171">
        <f t="shared" ref="E135:E138" si="28">C135+D135</f>
        <v>93213</v>
      </c>
      <c r="F135" s="171">
        <v>133978</v>
      </c>
      <c r="G135" s="171">
        <f>E135+F135</f>
        <v>227191</v>
      </c>
      <c r="H135" s="172">
        <f>IF($G$208=0,0,G135/$G$208)</f>
        <v>4.9628069629716685E-2</v>
      </c>
      <c r="I135" s="473"/>
      <c r="J135" s="183">
        <f>3161+4604</f>
        <v>7765</v>
      </c>
      <c r="K135" s="183">
        <f>3353+4819</f>
        <v>8172</v>
      </c>
    </row>
    <row r="136" spans="1:11" s="167" customFormat="1">
      <c r="A136" s="169"/>
      <c r="B136" s="163" t="s">
        <v>195</v>
      </c>
      <c r="C136" s="501">
        <f>'[71]Sch C'!D137</f>
        <v>98308</v>
      </c>
      <c r="D136" s="501">
        <f>'[71]Sch C'!F137</f>
        <v>5968</v>
      </c>
      <c r="E136" s="171">
        <f t="shared" si="28"/>
        <v>104276</v>
      </c>
      <c r="F136" s="171">
        <v>201721</v>
      </c>
      <c r="G136" s="171">
        <f>E136+F136</f>
        <v>305997</v>
      </c>
      <c r="H136" s="172">
        <f>IF($G$208=0,0,G136/$G$208)</f>
        <v>6.6842614463092351E-2</v>
      </c>
      <c r="I136" s="473"/>
      <c r="J136" s="183">
        <f>4495+8811</f>
        <v>13306</v>
      </c>
      <c r="K136" s="183">
        <f>4768+9223</f>
        <v>13991</v>
      </c>
    </row>
    <row r="137" spans="1:11" s="167" customFormat="1">
      <c r="A137" s="169"/>
      <c r="B137" s="163" t="s">
        <v>196</v>
      </c>
      <c r="C137" s="501">
        <f>'[71]Sch C'!D138</f>
        <v>195084</v>
      </c>
      <c r="D137" s="501">
        <f>'[71]Sch C'!F138</f>
        <v>11842</v>
      </c>
      <c r="E137" s="171">
        <f t="shared" si="28"/>
        <v>206926</v>
      </c>
      <c r="F137" s="171">
        <v>340249</v>
      </c>
      <c r="G137" s="171">
        <f>E137+F137</f>
        <v>547175</v>
      </c>
      <c r="H137" s="172">
        <f>IF($G$208=0,0,G137/$G$208)</f>
        <v>0.11952603315994131</v>
      </c>
      <c r="I137" s="473"/>
      <c r="J137" s="183">
        <f>15899+26491</f>
        <v>42390</v>
      </c>
      <c r="K137" s="183">
        <f>16864+27731</f>
        <v>44595</v>
      </c>
    </row>
    <row r="138" spans="1:11" s="167" customFormat="1">
      <c r="A138" s="169"/>
      <c r="B138" s="163" t="s">
        <v>197</v>
      </c>
      <c r="C138" s="501">
        <f>'[71]Sch C'!D139</f>
        <v>9147</v>
      </c>
      <c r="D138" s="501">
        <f>'[71]Sch C'!F139</f>
        <v>555</v>
      </c>
      <c r="E138" s="171">
        <f t="shared" si="28"/>
        <v>9702</v>
      </c>
      <c r="F138" s="171">
        <v>36561</v>
      </c>
      <c r="G138" s="171">
        <f>E138+F138</f>
        <v>46263</v>
      </c>
      <c r="H138" s="172">
        <f>IF($G$208=0,0,G138/$G$208)</f>
        <v>1.0105784935492967E-2</v>
      </c>
      <c r="I138" s="473"/>
      <c r="J138" s="183">
        <f>817+3121</f>
        <v>3938</v>
      </c>
      <c r="K138" s="183">
        <f>867+3267</f>
        <v>4134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'[71]Sch C'!D141</f>
        <v>0</v>
      </c>
      <c r="D140" s="501">
        <f>'[71]Sch C'!F141</f>
        <v>14808</v>
      </c>
      <c r="E140" s="171">
        <f t="shared" ref="E140:E143" si="29">C140+D140</f>
        <v>14808</v>
      </c>
      <c r="F140" s="171">
        <v>20621</v>
      </c>
      <c r="G140" s="171">
        <f>E140+F140</f>
        <v>35429</v>
      </c>
      <c r="H140" s="172">
        <f>IF($G$208=0,0,G140/$G$208)</f>
        <v>7.7391836776599093E-3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'[71]Sch C'!D142</f>
        <v>0</v>
      </c>
      <c r="D141" s="501">
        <f>'[71]Sch C'!F142</f>
        <v>16565</v>
      </c>
      <c r="E141" s="171">
        <f t="shared" si="29"/>
        <v>16565</v>
      </c>
      <c r="F141" s="171">
        <v>31047</v>
      </c>
      <c r="G141" s="171">
        <f>E141+F141</f>
        <v>47612</v>
      </c>
      <c r="H141" s="172">
        <f>IF($G$208=0,0,G141/$G$208)</f>
        <v>1.0400463271916892E-2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'[71]Sch C'!D143</f>
        <v>0</v>
      </c>
      <c r="D142" s="501">
        <f>'[71]Sch C'!F143</f>
        <v>32871</v>
      </c>
      <c r="E142" s="171">
        <f t="shared" si="29"/>
        <v>32871</v>
      </c>
      <c r="F142" s="171">
        <v>52368</v>
      </c>
      <c r="G142" s="171">
        <f>E142+F142</f>
        <v>85239</v>
      </c>
      <c r="H142" s="172">
        <f>IF($G$208=0,0,G142/$G$208)</f>
        <v>1.8619782593357222E-2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'[71]Sch C'!D144</f>
        <v>0</v>
      </c>
      <c r="D143" s="501">
        <f>'[71]Sch C'!F144</f>
        <v>1541</v>
      </c>
      <c r="E143" s="171">
        <f t="shared" si="29"/>
        <v>1541</v>
      </c>
      <c r="F143" s="171">
        <v>5627</v>
      </c>
      <c r="G143" s="171">
        <f>E143+F143</f>
        <v>7168</v>
      </c>
      <c r="H143" s="172">
        <f>IF($G$208=0,0,G143/$G$208)</f>
        <v>1.5657926727106672E-3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'[71]Sch C'!D146</f>
        <v>15000</v>
      </c>
      <c r="D145" s="501">
        <f>'[71]Sch C'!F146</f>
        <v>0</v>
      </c>
      <c r="E145" s="171">
        <f t="shared" ref="E145:E153" si="30">C145+D145</f>
        <v>15000</v>
      </c>
      <c r="F145" s="171">
        <v>21000</v>
      </c>
      <c r="G145" s="171">
        <f t="shared" ref="G145:G153" si="31">E145+F145</f>
        <v>36000</v>
      </c>
      <c r="H145" s="172">
        <f t="shared" ref="H145:H153" si="32">IF($G$208=0,0,G145/$G$208)</f>
        <v>7.8639140928549126E-3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'[71]Sch C'!D147</f>
        <v>0</v>
      </c>
      <c r="D146" s="501">
        <f>'[71]Sch C'!F147</f>
        <v>0</v>
      </c>
      <c r="E146" s="171">
        <f t="shared" si="30"/>
        <v>0</v>
      </c>
      <c r="F146" s="171">
        <v>0</v>
      </c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'[71]Sch C'!D148</f>
        <v>840</v>
      </c>
      <c r="D147" s="501">
        <f>'[71]Sch C'!F148</f>
        <v>0</v>
      </c>
      <c r="E147" s="171">
        <f t="shared" si="30"/>
        <v>840</v>
      </c>
      <c r="F147" s="171">
        <v>0</v>
      </c>
      <c r="G147" s="171">
        <f t="shared" si="31"/>
        <v>840</v>
      </c>
      <c r="H147" s="172">
        <f t="shared" si="32"/>
        <v>1.8349132883328131E-4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'[71]Sch C'!D149</f>
        <v>317</v>
      </c>
      <c r="D148" s="501">
        <f>'[71]Sch C'!F149</f>
        <v>0</v>
      </c>
      <c r="E148" s="171">
        <f t="shared" si="30"/>
        <v>317</v>
      </c>
      <c r="F148" s="171">
        <v>0</v>
      </c>
      <c r="G148" s="171">
        <f t="shared" si="31"/>
        <v>317</v>
      </c>
      <c r="H148" s="172">
        <f t="shared" si="32"/>
        <v>6.9246132428750211E-5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'[71]Sch C'!D150</f>
        <v>3729</v>
      </c>
      <c r="D149" s="501">
        <f>'[71]Sch C'!F150</f>
        <v>0</v>
      </c>
      <c r="E149" s="171">
        <f t="shared" si="30"/>
        <v>3729</v>
      </c>
      <c r="F149" s="171">
        <v>5546</v>
      </c>
      <c r="G149" s="171">
        <f t="shared" si="31"/>
        <v>9275</v>
      </c>
      <c r="H149" s="172">
        <f t="shared" si="32"/>
        <v>2.0260500892008144E-3</v>
      </c>
      <c r="I149" s="473"/>
      <c r="J149" s="183">
        <f>0+370</f>
        <v>370</v>
      </c>
      <c r="K149" s="183">
        <f>0+370</f>
        <v>370</v>
      </c>
    </row>
    <row r="150" spans="1:11" s="167" customFormat="1">
      <c r="A150" s="169">
        <v>110</v>
      </c>
      <c r="B150" s="167" t="s">
        <v>65</v>
      </c>
      <c r="C150" s="501">
        <f>'[71]Sch C'!D151</f>
        <v>22172</v>
      </c>
      <c r="D150" s="501">
        <f>'[71]Sch C'!F151</f>
        <v>0</v>
      </c>
      <c r="E150" s="171">
        <f t="shared" si="30"/>
        <v>22172</v>
      </c>
      <c r="F150" s="171">
        <v>37928</v>
      </c>
      <c r="G150" s="171">
        <f t="shared" si="31"/>
        <v>60100</v>
      </c>
      <c r="H150" s="172">
        <f t="shared" si="32"/>
        <v>1.3128367693905008E-2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'[71]Sch C'!D152</f>
        <v>543</v>
      </c>
      <c r="D151" s="501">
        <f>'[71]Sch C'!F152</f>
        <v>0</v>
      </c>
      <c r="E151" s="171">
        <f t="shared" si="30"/>
        <v>543</v>
      </c>
      <c r="F151" s="171">
        <v>1576</v>
      </c>
      <c r="G151" s="171">
        <f t="shared" si="31"/>
        <v>2119</v>
      </c>
      <c r="H151" s="172">
        <f t="shared" si="32"/>
        <v>4.628787211877656E-4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'[71]Sch C'!D153</f>
        <v>0</v>
      </c>
      <c r="D152" s="501">
        <f>'[71]Sch C'!F153</f>
        <v>0</v>
      </c>
      <c r="E152" s="171">
        <f t="shared" si="30"/>
        <v>0</v>
      </c>
      <c r="F152" s="171">
        <v>0</v>
      </c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'[71]Sch C'!D154</f>
        <v>0</v>
      </c>
      <c r="D153" s="501">
        <f>'[71]Sch C'!F154</f>
        <v>0</v>
      </c>
      <c r="E153" s="171">
        <f t="shared" si="30"/>
        <v>0</v>
      </c>
      <c r="F153" s="171">
        <v>0</v>
      </c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'[71]Sch C'!D156</f>
        <v>0</v>
      </c>
      <c r="D155" s="501">
        <f>'[71]Sch C'!F156</f>
        <v>0</v>
      </c>
      <c r="E155" s="171">
        <f t="shared" ref="E155:E160" si="33">C155+D155</f>
        <v>0</v>
      </c>
      <c r="F155" s="171">
        <v>0</v>
      </c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'[71]Sch C'!D157</f>
        <v>0</v>
      </c>
      <c r="D156" s="501">
        <f>'[71]Sch C'!F157</f>
        <v>0</v>
      </c>
      <c r="E156" s="171">
        <f t="shared" si="33"/>
        <v>0</v>
      </c>
      <c r="F156" s="171">
        <v>0</v>
      </c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'[71]Sch C'!D158</f>
        <v>0</v>
      </c>
      <c r="D157" s="501">
        <f>'[71]Sch C'!F158</f>
        <v>0</v>
      </c>
      <c r="E157" s="171">
        <f t="shared" si="33"/>
        <v>0</v>
      </c>
      <c r="F157" s="171">
        <v>0</v>
      </c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'[71]Sch C'!D159</f>
        <v>0</v>
      </c>
      <c r="D158" s="501">
        <f>'[71]Sch C'!F159</f>
        <v>0</v>
      </c>
      <c r="E158" s="171">
        <f t="shared" si="33"/>
        <v>0</v>
      </c>
      <c r="F158" s="171">
        <v>0</v>
      </c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'[71]Sch C'!D160</f>
        <v>0</v>
      </c>
      <c r="D159" s="501">
        <f>'[71]Sch C'!F160</f>
        <v>0</v>
      </c>
      <c r="E159" s="171">
        <f t="shared" si="33"/>
        <v>0</v>
      </c>
      <c r="F159" s="171">
        <v>0</v>
      </c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'[71]Sch C'!D161</f>
        <v>864</v>
      </c>
      <c r="D160" s="501">
        <f>'[71]Sch C'!F161</f>
        <v>0</v>
      </c>
      <c r="E160" s="171">
        <f t="shared" si="33"/>
        <v>864</v>
      </c>
      <c r="F160" s="171">
        <v>780</v>
      </c>
      <c r="G160" s="171">
        <f t="shared" si="34"/>
        <v>1644</v>
      </c>
      <c r="H160" s="172">
        <f t="shared" si="35"/>
        <v>3.5911874357370772E-4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505009</v>
      </c>
      <c r="D161" s="501">
        <f>SUM(D123:D160)</f>
        <v>105787</v>
      </c>
      <c r="E161" s="171">
        <f t="shared" ref="E161:F161" si="36">SUM(E123:E160)</f>
        <v>610796</v>
      </c>
      <c r="F161" s="171">
        <f t="shared" si="36"/>
        <v>1051016</v>
      </c>
      <c r="G161" s="171">
        <f>SUM(G123:G160)</f>
        <v>1661812</v>
      </c>
      <c r="H161" s="172">
        <f t="shared" si="35"/>
        <v>0.36300963351320581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'[71]Sch C'!D175</f>
        <v>0</v>
      </c>
      <c r="D164" s="501">
        <f>'[71]Sch C'!F175</f>
        <v>0</v>
      </c>
      <c r="E164" s="171">
        <f t="shared" ref="E164:E196" si="37">C164+D164</f>
        <v>0</v>
      </c>
      <c r="F164" s="216">
        <v>0</v>
      </c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'[71]Sch C'!D176</f>
        <v>0</v>
      </c>
      <c r="D165" s="501">
        <f>'[71]Sch C'!F176</f>
        <v>0</v>
      </c>
      <c r="E165" s="171">
        <f t="shared" si="37"/>
        <v>0</v>
      </c>
      <c r="F165" s="216">
        <v>0</v>
      </c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'[71]Sch C'!D177</f>
        <v>49660</v>
      </c>
      <c r="D166" s="501">
        <f>'[71]Sch C'!F177</f>
        <v>3015</v>
      </c>
      <c r="E166" s="171">
        <f t="shared" si="37"/>
        <v>52675</v>
      </c>
      <c r="F166" s="216">
        <v>93033</v>
      </c>
      <c r="G166" s="171">
        <f t="shared" si="38"/>
        <v>145708</v>
      </c>
      <c r="H166" s="172">
        <f t="shared" si="39"/>
        <v>3.1828755406713989E-2</v>
      </c>
      <c r="I166" s="483"/>
      <c r="J166" s="183">
        <f>1530+2739</f>
        <v>4269</v>
      </c>
      <c r="K166" s="183">
        <f>1623+2867</f>
        <v>4490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'[71]Sch C'!D178</f>
        <v>0</v>
      </c>
      <c r="D167" s="501">
        <f>'[71]Sch C'!F178</f>
        <v>8367</v>
      </c>
      <c r="E167" s="171">
        <f t="shared" si="37"/>
        <v>8367</v>
      </c>
      <c r="F167" s="216">
        <v>14318</v>
      </c>
      <c r="G167" s="171">
        <f t="shared" si="38"/>
        <v>22685</v>
      </c>
      <c r="H167" s="172">
        <f t="shared" si="39"/>
        <v>4.9553580887892693E-3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'[71]Sch C'!D179</f>
        <v>3473</v>
      </c>
      <c r="D168" s="501">
        <f>'[71]Sch C'!F179</f>
        <v>211</v>
      </c>
      <c r="E168" s="171">
        <f t="shared" si="37"/>
        <v>3684</v>
      </c>
      <c r="F168" s="216">
        <v>4481</v>
      </c>
      <c r="G168" s="171">
        <f t="shared" si="38"/>
        <v>8165</v>
      </c>
      <c r="H168" s="172">
        <f t="shared" si="39"/>
        <v>1.7835794046711212E-3</v>
      </c>
      <c r="I168" s="483"/>
      <c r="J168" s="183">
        <f>81+99</f>
        <v>180</v>
      </c>
      <c r="K168" s="183">
        <f>86+104</f>
        <v>190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'[71]Sch C'!D180</f>
        <v>0</v>
      </c>
      <c r="D169" s="501">
        <f>'[71]Sch C'!F180</f>
        <v>585</v>
      </c>
      <c r="E169" s="171">
        <f t="shared" si="37"/>
        <v>585</v>
      </c>
      <c r="F169" s="216">
        <v>690</v>
      </c>
      <c r="G169" s="171">
        <f t="shared" si="38"/>
        <v>1275</v>
      </c>
      <c r="H169" s="172">
        <f t="shared" si="39"/>
        <v>2.7851362412194486E-4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'[71]Sch C'!D181</f>
        <v>0</v>
      </c>
      <c r="D170" s="501">
        <f>'[71]Sch C'!F181</f>
        <v>0</v>
      </c>
      <c r="E170" s="171">
        <f t="shared" si="37"/>
        <v>0</v>
      </c>
      <c r="F170" s="216">
        <v>0</v>
      </c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'[71]Sch C'!D182</f>
        <v>0</v>
      </c>
      <c r="D171" s="501">
        <f>'[71]Sch C'!F182</f>
        <v>0</v>
      </c>
      <c r="E171" s="171">
        <f t="shared" si="37"/>
        <v>0</v>
      </c>
      <c r="F171" s="216">
        <v>0</v>
      </c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'[71]Sch C'!D183</f>
        <v>35364</v>
      </c>
      <c r="D172" s="501">
        <f>'[71]Sch C'!F183</f>
        <v>2147</v>
      </c>
      <c r="E172" s="171">
        <f t="shared" si="37"/>
        <v>37511</v>
      </c>
      <c r="F172" s="216">
        <v>65924</v>
      </c>
      <c r="G172" s="171">
        <f t="shared" si="38"/>
        <v>103435</v>
      </c>
      <c r="H172" s="172">
        <f t="shared" si="39"/>
        <v>2.2594554283179108E-2</v>
      </c>
      <c r="I172" s="483"/>
      <c r="J172" s="183">
        <f>960+1710</f>
        <v>2670</v>
      </c>
      <c r="K172" s="183">
        <f>1018+1790</f>
        <v>2808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'[71]Sch C'!D184</f>
        <v>0</v>
      </c>
      <c r="D173" s="501">
        <f>'[71]Sch C'!F184</f>
        <v>5959</v>
      </c>
      <c r="E173" s="171">
        <f t="shared" si="37"/>
        <v>5959</v>
      </c>
      <c r="F173" s="216">
        <v>10146</v>
      </c>
      <c r="G173" s="171">
        <f t="shared" si="38"/>
        <v>16105</v>
      </c>
      <c r="H173" s="172">
        <f t="shared" si="39"/>
        <v>3.5180093462618993E-3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'[71]Sch C'!D185</f>
        <v>0</v>
      </c>
      <c r="D174" s="501">
        <f>'[71]Sch C'!F185</f>
        <v>0</v>
      </c>
      <c r="E174" s="171">
        <f t="shared" si="37"/>
        <v>0</v>
      </c>
      <c r="F174" s="216">
        <v>0</v>
      </c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'[71]Sch C'!D186</f>
        <v>0</v>
      </c>
      <c r="D175" s="501">
        <f>'[71]Sch C'!F186</f>
        <v>0</v>
      </c>
      <c r="E175" s="171">
        <f t="shared" si="37"/>
        <v>0</v>
      </c>
      <c r="F175" s="216">
        <v>0</v>
      </c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'[71]Sch C'!D187</f>
        <v>0</v>
      </c>
      <c r="D176" s="501">
        <f>'[71]Sch C'!F187</f>
        <v>0</v>
      </c>
      <c r="E176" s="171">
        <f t="shared" si="37"/>
        <v>0</v>
      </c>
      <c r="F176" s="216">
        <v>0</v>
      </c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'[71]Sch C'!D188</f>
        <v>59</v>
      </c>
      <c r="D177" s="501">
        <f>'[71]Sch C'!F188</f>
        <v>0</v>
      </c>
      <c r="E177" s="171">
        <f t="shared" si="37"/>
        <v>59</v>
      </c>
      <c r="F177" s="216">
        <v>605</v>
      </c>
      <c r="G177" s="171">
        <f t="shared" si="38"/>
        <v>664</v>
      </c>
      <c r="H177" s="172">
        <f t="shared" si="39"/>
        <v>1.4504552660154617E-4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'[71]Sch C'!D189</f>
        <v>0</v>
      </c>
      <c r="D178" s="501">
        <f>'[71]Sch C'!F189</f>
        <v>0</v>
      </c>
      <c r="E178" s="171">
        <f t="shared" si="37"/>
        <v>0</v>
      </c>
      <c r="F178" s="216">
        <v>0</v>
      </c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'[71]Sch C'!D190</f>
        <v>0</v>
      </c>
      <c r="D179" s="501">
        <f>'[71]Sch C'!F190</f>
        <v>0</v>
      </c>
      <c r="E179" s="171">
        <f t="shared" si="37"/>
        <v>0</v>
      </c>
      <c r="F179" s="216">
        <v>0</v>
      </c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'[71]Sch C'!D191</f>
        <v>0</v>
      </c>
      <c r="D180" s="501">
        <f>'[71]Sch C'!F191</f>
        <v>0</v>
      </c>
      <c r="E180" s="171">
        <f t="shared" si="37"/>
        <v>0</v>
      </c>
      <c r="F180" s="216">
        <v>0</v>
      </c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'[71]Sch C'!D192</f>
        <v>0</v>
      </c>
      <c r="D181" s="501">
        <f>'[71]Sch C'!F192</f>
        <v>0</v>
      </c>
      <c r="E181" s="171">
        <f t="shared" si="37"/>
        <v>0</v>
      </c>
      <c r="F181" s="216">
        <v>0</v>
      </c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'[71]Sch C'!D193</f>
        <v>0</v>
      </c>
      <c r="D182" s="501">
        <f>'[71]Sch C'!F193</f>
        <v>0</v>
      </c>
      <c r="E182" s="171">
        <f t="shared" si="37"/>
        <v>0</v>
      </c>
      <c r="F182" s="216">
        <v>0</v>
      </c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'[71]Sch C'!D194</f>
        <v>256</v>
      </c>
      <c r="D183" s="501">
        <f>'[71]Sch C'!F194</f>
        <v>0</v>
      </c>
      <c r="E183" s="171">
        <f t="shared" si="37"/>
        <v>256</v>
      </c>
      <c r="F183" s="216">
        <v>0</v>
      </c>
      <c r="G183" s="171">
        <f t="shared" si="38"/>
        <v>256</v>
      </c>
      <c r="H183" s="172">
        <f t="shared" si="39"/>
        <v>5.5921166882523827E-5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'[71]Sch C'!D195</f>
        <v>0</v>
      </c>
      <c r="D184" s="501">
        <f>'[71]Sch C'!F195</f>
        <v>0</v>
      </c>
      <c r="E184" s="171">
        <f t="shared" si="37"/>
        <v>0</v>
      </c>
      <c r="F184" s="216">
        <v>0</v>
      </c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'[71]Sch C'!D196</f>
        <v>0</v>
      </c>
      <c r="D185" s="501">
        <f>'[71]Sch C'!F196</f>
        <v>0</v>
      </c>
      <c r="E185" s="171">
        <f t="shared" si="37"/>
        <v>0</v>
      </c>
      <c r="F185" s="216">
        <v>0</v>
      </c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'[71]Sch C'!D197</f>
        <v>3026</v>
      </c>
      <c r="D186" s="501">
        <f>'[71]Sch C'!F197</f>
        <v>0</v>
      </c>
      <c r="E186" s="171">
        <f t="shared" si="37"/>
        <v>3026</v>
      </c>
      <c r="F186" s="659">
        <f>8470-1950</f>
        <v>6520</v>
      </c>
      <c r="G186" s="171">
        <f t="shared" si="38"/>
        <v>9546</v>
      </c>
      <c r="H186" s="172">
        <f t="shared" si="39"/>
        <v>2.0852478869553613E-3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'[71]Sch C'!D198</f>
        <v>2952</v>
      </c>
      <c r="D187" s="501">
        <f>'[71]Sch C'!F198</f>
        <v>0</v>
      </c>
      <c r="E187" s="171">
        <f t="shared" si="37"/>
        <v>2952</v>
      </c>
      <c r="F187" s="216">
        <v>5532</v>
      </c>
      <c r="G187" s="171">
        <f t="shared" si="38"/>
        <v>8484</v>
      </c>
      <c r="H187" s="172">
        <f t="shared" si="39"/>
        <v>1.8532624212161412E-3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'[71]Sch C'!D199</f>
        <v>0</v>
      </c>
      <c r="D188" s="501">
        <f>'[71]Sch C'!F199</f>
        <v>0</v>
      </c>
      <c r="E188" s="171">
        <f t="shared" si="37"/>
        <v>0</v>
      </c>
      <c r="F188" s="216">
        <v>0</v>
      </c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'[71]Sch C'!D200</f>
        <v>0</v>
      </c>
      <c r="D189" s="501">
        <f>'[71]Sch C'!F200</f>
        <v>0</v>
      </c>
      <c r="E189" s="171">
        <f t="shared" si="37"/>
        <v>0</v>
      </c>
      <c r="F189" s="216">
        <v>0</v>
      </c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'[71]Sch C'!D201</f>
        <v>0</v>
      </c>
      <c r="D190" s="501">
        <f>'[71]Sch C'!F201</f>
        <v>0</v>
      </c>
      <c r="E190" s="171">
        <f t="shared" si="37"/>
        <v>0</v>
      </c>
      <c r="F190" s="216">
        <v>0</v>
      </c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'[71]Sch C'!D202</f>
        <v>0</v>
      </c>
      <c r="D191" s="501">
        <f>'[71]Sch C'!F202</f>
        <v>0</v>
      </c>
      <c r="E191" s="171">
        <f t="shared" si="37"/>
        <v>0</v>
      </c>
      <c r="F191" s="216">
        <v>0</v>
      </c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'[71]Sch C'!D203</f>
        <v>0</v>
      </c>
      <c r="D192" s="501">
        <f>'[71]Sch C'!F203</f>
        <v>0</v>
      </c>
      <c r="E192" s="171">
        <f t="shared" si="37"/>
        <v>0</v>
      </c>
      <c r="F192" s="216">
        <v>0</v>
      </c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'[71]Sch C'!D204</f>
        <v>0</v>
      </c>
      <c r="D193" s="501">
        <f>'[71]Sch C'!F204</f>
        <v>0</v>
      </c>
      <c r="E193" s="171">
        <f t="shared" si="37"/>
        <v>0</v>
      </c>
      <c r="F193" s="216">
        <v>0</v>
      </c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'[71]Sch C'!D205</f>
        <v>25269</v>
      </c>
      <c r="D194" s="501">
        <f>'[71]Sch C'!F205</f>
        <v>0</v>
      </c>
      <c r="E194" s="171">
        <f t="shared" si="37"/>
        <v>25269</v>
      </c>
      <c r="F194" s="216">
        <v>65194</v>
      </c>
      <c r="G194" s="171">
        <f t="shared" si="38"/>
        <v>90463</v>
      </c>
      <c r="H194" s="172">
        <f t="shared" si="39"/>
        <v>1.9760923905053723E-2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'[71]Sch C'!D206</f>
        <v>2219</v>
      </c>
      <c r="D195" s="501">
        <f>'[71]Sch C'!F206</f>
        <v>0</v>
      </c>
      <c r="E195" s="171">
        <f t="shared" si="37"/>
        <v>2219</v>
      </c>
      <c r="F195" s="216">
        <v>1530</v>
      </c>
      <c r="G195" s="171">
        <f t="shared" si="38"/>
        <v>3749</v>
      </c>
      <c r="H195" s="172">
        <f t="shared" si="39"/>
        <v>8.1893927594758528E-4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'[71]Sch C'!D207</f>
        <v>2418</v>
      </c>
      <c r="D196" s="501">
        <f>'[71]Sch C'!F207</f>
        <v>0</v>
      </c>
      <c r="E196" s="171">
        <f t="shared" si="37"/>
        <v>2418</v>
      </c>
      <c r="F196" s="216">
        <v>5058</v>
      </c>
      <c r="G196" s="171">
        <f t="shared" si="38"/>
        <v>7476</v>
      </c>
      <c r="H196" s="172">
        <f t="shared" si="39"/>
        <v>1.6330728266162036E-3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124696</v>
      </c>
      <c r="D197" s="501">
        <f>SUM(D164:D196)</f>
        <v>20284</v>
      </c>
      <c r="E197" s="171">
        <f t="shared" ref="E197:F197" si="40">SUM(E164:E196)</f>
        <v>144980</v>
      </c>
      <c r="F197" s="171">
        <f t="shared" si="40"/>
        <v>273031</v>
      </c>
      <c r="G197" s="171">
        <f>SUM(G164:G196)</f>
        <v>418011</v>
      </c>
      <c r="H197" s="172">
        <f>IF($G$208=0,0,G197/$G$208)</f>
        <v>9.1311183163010415E-2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'[71]Sch C'!D211</f>
        <v>27577</v>
      </c>
      <c r="D200" s="501">
        <f>'[71]Sch C'!F211</f>
        <v>1674</v>
      </c>
      <c r="E200" s="171">
        <f t="shared" ref="E200:E205" si="41">C200+D200</f>
        <v>29251</v>
      </c>
      <c r="F200" s="171">
        <v>40895</v>
      </c>
      <c r="G200" s="171">
        <f t="shared" ref="G200:G205" si="42">E200+F200</f>
        <v>70146</v>
      </c>
      <c r="H200" s="172">
        <f t="shared" ref="H200:H206" si="43">IF($G$208=0,0,G200/$G$208)</f>
        <v>1.5322836609927799E-2</v>
      </c>
      <c r="I200" s="473"/>
      <c r="J200" s="183">
        <f>1666+2361</f>
        <v>4027</v>
      </c>
      <c r="K200" s="183">
        <f>1767+2471</f>
        <v>4238</v>
      </c>
    </row>
    <row r="201" spans="1:14" s="167" customFormat="1">
      <c r="A201" s="169" t="s">
        <v>86</v>
      </c>
      <c r="B201" s="170" t="s">
        <v>45</v>
      </c>
      <c r="C201" s="501">
        <f>'[71]Sch C'!D212</f>
        <v>0</v>
      </c>
      <c r="D201" s="501">
        <f>'[71]Sch C'!F212</f>
        <v>4647</v>
      </c>
      <c r="E201" s="171">
        <f t="shared" si="41"/>
        <v>4647</v>
      </c>
      <c r="F201" s="171">
        <v>6294</v>
      </c>
      <c r="G201" s="171">
        <f t="shared" si="42"/>
        <v>10941</v>
      </c>
      <c r="H201" s="172">
        <f t="shared" si="43"/>
        <v>2.3899745580534888E-3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'[71]Sch C'!D213</f>
        <v>1495</v>
      </c>
      <c r="D202" s="501">
        <f>'[71]Sch C'!F213</f>
        <v>0</v>
      </c>
      <c r="E202" s="171">
        <f t="shared" si="41"/>
        <v>1495</v>
      </c>
      <c r="F202" s="171">
        <v>2455</v>
      </c>
      <c r="G202" s="171">
        <f t="shared" si="42"/>
        <v>3950</v>
      </c>
      <c r="H202" s="172">
        <f t="shared" si="43"/>
        <v>8.6284612963269185E-4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'[71]Sch C'!D214</f>
        <v>0</v>
      </c>
      <c r="D203" s="501">
        <f>'[71]Sch C'!F214</f>
        <v>0</v>
      </c>
      <c r="E203" s="171">
        <f t="shared" si="41"/>
        <v>0</v>
      </c>
      <c r="F203" s="171">
        <v>0</v>
      </c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'[71]Sch C'!D215</f>
        <v>0</v>
      </c>
      <c r="D204" s="501">
        <f>'[71]Sch C'!F215</f>
        <v>0</v>
      </c>
      <c r="E204" s="171">
        <f t="shared" si="41"/>
        <v>0</v>
      </c>
      <c r="F204" s="171">
        <v>0</v>
      </c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'[71]Sch C'!D216</f>
        <v>172</v>
      </c>
      <c r="D205" s="501">
        <f>'[71]Sch C'!F216</f>
        <v>0</v>
      </c>
      <c r="E205" s="171">
        <f t="shared" si="41"/>
        <v>172</v>
      </c>
      <c r="F205" s="171">
        <v>2558</v>
      </c>
      <c r="G205" s="171">
        <f t="shared" si="42"/>
        <v>2730</v>
      </c>
      <c r="H205" s="172">
        <f t="shared" si="43"/>
        <v>5.9634681870816429E-4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29244</v>
      </c>
      <c r="D206" s="501">
        <f>SUM(D200:D205)</f>
        <v>6321</v>
      </c>
      <c r="E206" s="171">
        <f t="shared" ref="E206:F206" si="44">SUM(E200:E205)</f>
        <v>35565</v>
      </c>
      <c r="F206" s="171">
        <f t="shared" si="44"/>
        <v>52202</v>
      </c>
      <c r="G206" s="171">
        <f>SUM(G200:G205)</f>
        <v>87767</v>
      </c>
      <c r="H206" s="172">
        <f t="shared" si="43"/>
        <v>1.9172004116322142E-2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1874892</v>
      </c>
      <c r="D208" s="501">
        <f>SUM(D25:D206)/2</f>
        <v>-176602</v>
      </c>
      <c r="E208" s="171">
        <f t="shared" ref="E208:F208" si="45">SUM(E25:E206)/2</f>
        <v>1698290</v>
      </c>
      <c r="F208" s="171">
        <f t="shared" si="45"/>
        <v>2879583</v>
      </c>
      <c r="G208" s="171">
        <f>SUM(G25:G206)/2</f>
        <v>4577873</v>
      </c>
      <c r="H208" s="172">
        <f>IF($G$208=0,0,G208/$G$208)</f>
        <v>1</v>
      </c>
      <c r="I208" s="473"/>
      <c r="J208" s="183">
        <f>SUM(J25:J200)</f>
        <v>118263</v>
      </c>
      <c r="K208" s="183">
        <f>SUM(K25:K200)</f>
        <v>124384</v>
      </c>
    </row>
    <row r="209" spans="1:12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2" s="167" customFormat="1" ht="15.5">
      <c r="A210" s="163"/>
      <c r="B210" s="170"/>
      <c r="C210" s="165"/>
      <c r="D210" s="165"/>
      <c r="E210" s="165"/>
      <c r="F210"/>
      <c r="G210"/>
      <c r="H210"/>
      <c r="I210" s="612"/>
      <c r="J210"/>
      <c r="K210"/>
      <c r="L210"/>
    </row>
    <row r="211" spans="1:12" s="167" customFormat="1" ht="15.5">
      <c r="A211" s="163"/>
      <c r="B211" s="228" t="s">
        <v>181</v>
      </c>
      <c r="C211" s="501">
        <f>'[71]Sch C'!D221</f>
        <v>1874892</v>
      </c>
      <c r="D211" s="196"/>
      <c r="E211" s="165"/>
      <c r="F211"/>
      <c r="G211"/>
      <c r="H211"/>
      <c r="I211" s="612"/>
      <c r="J211"/>
      <c r="K211"/>
      <c r="L211"/>
    </row>
    <row r="212" spans="1:12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H212"/>
      <c r="I212" s="612"/>
      <c r="J212"/>
      <c r="K212"/>
      <c r="L212"/>
    </row>
    <row r="213" spans="1:12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2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2" s="167" customFormat="1">
      <c r="A215" s="163"/>
      <c r="B215" s="228" t="s">
        <v>78</v>
      </c>
      <c r="C215" s="501">
        <f>C21-C208</f>
        <v>-31007</v>
      </c>
      <c r="D215" s="501">
        <f>D21-D208</f>
        <v>176602</v>
      </c>
      <c r="E215" s="171">
        <f t="shared" ref="E215:F215" si="46">E21-E208</f>
        <v>145595</v>
      </c>
      <c r="F215" s="171">
        <f t="shared" si="46"/>
        <v>163949</v>
      </c>
      <c r="G215" s="171">
        <f>G21-G208</f>
        <v>309544</v>
      </c>
      <c r="I215" s="475"/>
      <c r="J215" s="168"/>
      <c r="K215" s="168"/>
    </row>
    <row r="216" spans="1:12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2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2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2">
      <c r="A219" s="163"/>
      <c r="B219" s="170" t="s">
        <v>218</v>
      </c>
      <c r="C219" s="530">
        <f>'[71]Sch D'!C9</f>
        <v>6031</v>
      </c>
      <c r="D219" s="530"/>
      <c r="E219" s="234">
        <f t="shared" ref="E219" si="47">C219+D219</f>
        <v>6031</v>
      </c>
      <c r="F219" s="233">
        <v>8904</v>
      </c>
      <c r="G219" s="234">
        <f t="shared" ref="G219:G227" si="48">E219+F219</f>
        <v>14935</v>
      </c>
      <c r="H219" s="172">
        <f t="shared" ref="H219:H228" si="49">IF($G$228=0,0,G219/$G$228)</f>
        <v>0.69884422815965563</v>
      </c>
      <c r="I219" s="473"/>
      <c r="J219" s="168"/>
      <c r="K219" s="168"/>
    </row>
    <row r="220" spans="1:12">
      <c r="A220" s="163"/>
      <c r="B220" s="170" t="s">
        <v>217</v>
      </c>
      <c r="C220" s="530">
        <f>'[71]Sch D'!D9</f>
        <v>0</v>
      </c>
      <c r="D220" s="530"/>
      <c r="E220" s="234">
        <f t="shared" ref="E220:E227" si="50">C220+D220</f>
        <v>0</v>
      </c>
      <c r="F220" s="233">
        <v>0</v>
      </c>
      <c r="G220" s="234">
        <f t="shared" si="48"/>
        <v>0</v>
      </c>
      <c r="H220" s="172">
        <f t="shared" si="49"/>
        <v>0</v>
      </c>
      <c r="I220" s="473"/>
      <c r="J220" s="168"/>
      <c r="K220" s="168"/>
    </row>
    <row r="221" spans="1:12">
      <c r="A221" s="163"/>
      <c r="B221" s="170" t="s">
        <v>72</v>
      </c>
      <c r="C221" s="530">
        <f>'[71]Sch D'!E9</f>
        <v>463</v>
      </c>
      <c r="D221" s="530"/>
      <c r="E221" s="234">
        <f t="shared" si="50"/>
        <v>463</v>
      </c>
      <c r="F221" s="233">
        <v>1373</v>
      </c>
      <c r="G221" s="234">
        <f t="shared" si="48"/>
        <v>1836</v>
      </c>
      <c r="H221" s="172">
        <f t="shared" si="49"/>
        <v>8.5910813719526455E-2</v>
      </c>
      <c r="I221" s="473"/>
      <c r="J221" s="168"/>
      <c r="K221" s="168"/>
    </row>
    <row r="222" spans="1:12">
      <c r="A222" s="163"/>
      <c r="B222" s="202" t="s">
        <v>334</v>
      </c>
      <c r="C222" s="530">
        <f>'[71]Sch D'!F9</f>
        <v>474</v>
      </c>
      <c r="D222" s="530"/>
      <c r="E222" s="234">
        <f>C222+D222</f>
        <v>474</v>
      </c>
      <c r="F222" s="233">
        <v>575</v>
      </c>
      <c r="G222" s="234">
        <f t="shared" si="48"/>
        <v>1049</v>
      </c>
      <c r="H222" s="172">
        <f t="shared" si="49"/>
        <v>4.9085208927986526E-2</v>
      </c>
      <c r="I222" s="473"/>
      <c r="J222" s="168"/>
      <c r="K222" s="168"/>
    </row>
    <row r="223" spans="1:12">
      <c r="A223" s="163"/>
      <c r="B223" s="170" t="s">
        <v>73</v>
      </c>
      <c r="C223" s="530">
        <f>'[71]Sch D'!G9</f>
        <v>0</v>
      </c>
      <c r="D223" s="530"/>
      <c r="E223" s="234">
        <f t="shared" si="50"/>
        <v>0</v>
      </c>
      <c r="F223" s="233">
        <v>0</v>
      </c>
      <c r="G223" s="234">
        <f t="shared" si="48"/>
        <v>0</v>
      </c>
      <c r="H223" s="172">
        <f t="shared" si="49"/>
        <v>0</v>
      </c>
      <c r="I223" s="473"/>
      <c r="J223" s="168"/>
      <c r="K223" s="168"/>
    </row>
    <row r="224" spans="1:12">
      <c r="A224" s="163"/>
      <c r="B224" s="170" t="s">
        <v>74</v>
      </c>
      <c r="C224" s="530">
        <f>'[71]Sch D'!H9</f>
        <v>523</v>
      </c>
      <c r="D224" s="530"/>
      <c r="E224" s="234">
        <f t="shared" si="50"/>
        <v>523</v>
      </c>
      <c r="F224" s="233">
        <v>1220</v>
      </c>
      <c r="G224" s="234">
        <f t="shared" si="48"/>
        <v>1743</v>
      </c>
      <c r="H224" s="172">
        <f t="shared" si="49"/>
        <v>8.1559122174909932E-2</v>
      </c>
      <c r="I224" s="473"/>
      <c r="J224" s="168"/>
      <c r="K224" s="168"/>
    </row>
    <row r="225" spans="1:11">
      <c r="A225" s="163"/>
      <c r="B225" s="170" t="s">
        <v>236</v>
      </c>
      <c r="C225" s="530">
        <f>'[71]Sch D'!I9</f>
        <v>0</v>
      </c>
      <c r="D225" s="530"/>
      <c r="E225" s="234">
        <f t="shared" si="50"/>
        <v>0</v>
      </c>
      <c r="F225" s="233">
        <v>0</v>
      </c>
      <c r="G225" s="234">
        <f t="shared" si="48"/>
        <v>0</v>
      </c>
      <c r="H225" s="172">
        <f t="shared" si="49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'[71]Sch D'!J9</f>
        <v>735</v>
      </c>
      <c r="D226" s="530"/>
      <c r="E226" s="234">
        <f>C226+D226</f>
        <v>735</v>
      </c>
      <c r="F226" s="233">
        <v>1073</v>
      </c>
      <c r="G226" s="234">
        <f t="shared" si="48"/>
        <v>1808</v>
      </c>
      <c r="H226" s="172">
        <f t="shared" si="49"/>
        <v>8.4600627017921481E-2</v>
      </c>
      <c r="I226" s="473"/>
      <c r="J226" s="168"/>
      <c r="K226" s="168"/>
    </row>
    <row r="227" spans="1:11">
      <c r="A227" s="163"/>
      <c r="B227" s="170" t="s">
        <v>179</v>
      </c>
      <c r="C227" s="530">
        <f>'[71]Sch D'!K9</f>
        <v>0</v>
      </c>
      <c r="D227" s="530"/>
      <c r="E227" s="234">
        <f t="shared" si="50"/>
        <v>0</v>
      </c>
      <c r="F227" s="233">
        <v>0</v>
      </c>
      <c r="G227" s="234">
        <f t="shared" si="48"/>
        <v>0</v>
      </c>
      <c r="H227" s="172">
        <f t="shared" si="49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8226</v>
      </c>
      <c r="D228" s="530">
        <f>SUM(D219:D227)</f>
        <v>0</v>
      </c>
      <c r="E228" s="236">
        <f>SUM(E219:E227)</f>
        <v>8226</v>
      </c>
      <c r="F228" s="236">
        <f>SUM(F219:F227)</f>
        <v>13145</v>
      </c>
      <c r="G228" s="236">
        <f>SUM(G219:G227)</f>
        <v>21371</v>
      </c>
      <c r="H228" s="172">
        <f t="shared" si="49"/>
        <v>1</v>
      </c>
      <c r="I228" s="473"/>
      <c r="J228" s="168"/>
      <c r="K228" s="168"/>
    </row>
    <row r="229" spans="1:11" ht="14" customHeight="1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'[71]Sch D'!N22</f>
        <v>130</v>
      </c>
      <c r="D231" s="502"/>
      <c r="E231" s="234">
        <f>C231+D231</f>
        <v>130</v>
      </c>
      <c r="F231" s="569">
        <v>-8</v>
      </c>
      <c r="G231" s="234">
        <f>SUM(E231:F231)</f>
        <v>122</v>
      </c>
      <c r="H231" s="167" t="s">
        <v>532</v>
      </c>
      <c r="I231" s="475"/>
      <c r="J231" s="168"/>
      <c r="K231" s="168"/>
    </row>
    <row r="232" spans="1:11">
      <c r="A232" s="163"/>
      <c r="B232" s="202" t="s">
        <v>290</v>
      </c>
      <c r="C232" s="531">
        <f>'[71]Sch D'!N24</f>
        <v>130</v>
      </c>
      <c r="D232" s="502"/>
      <c r="E232" s="234">
        <f>C232+D232</f>
        <v>130</v>
      </c>
      <c r="F232" s="569">
        <v>-8</v>
      </c>
      <c r="G232" s="234">
        <f>SUM(E232:F232)</f>
        <v>122</v>
      </c>
      <c r="H232" s="167" t="s">
        <v>533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153</v>
      </c>
      <c r="D233" s="438"/>
      <c r="E233" s="234">
        <f>C233+D233</f>
        <v>153</v>
      </c>
      <c r="F233" s="540">
        <v>212</v>
      </c>
      <c r="G233" s="234">
        <f>E233+F233</f>
        <v>365</v>
      </c>
      <c r="H233" s="457" t="s">
        <v>537</v>
      </c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594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'[71]Sch D'!N28</f>
        <v>19890</v>
      </c>
      <c r="D235" s="438"/>
      <c r="E235" s="233">
        <f>E231*E233</f>
        <v>19890</v>
      </c>
      <c r="F235" s="595" t="s">
        <v>535</v>
      </c>
      <c r="G235" s="233">
        <f>G231*G233</f>
        <v>44530</v>
      </c>
      <c r="H235" s="167" t="s">
        <v>604</v>
      </c>
      <c r="I235" s="475"/>
      <c r="J235" s="168"/>
      <c r="K235" s="168"/>
    </row>
    <row r="236" spans="1:11" ht="26">
      <c r="A236" s="163"/>
      <c r="B236" s="241" t="s">
        <v>336</v>
      </c>
      <c r="C236" s="532">
        <f>'[71]Sch D'!N30</f>
        <v>0.41357466063348414</v>
      </c>
      <c r="D236" s="238"/>
      <c r="E236" s="242">
        <f>E228/E235</f>
        <v>0.41357466063348414</v>
      </c>
      <c r="F236" s="243"/>
      <c r="G236" s="242">
        <f>G228/G235</f>
        <v>0.47992364697956436</v>
      </c>
      <c r="H236" s="596" t="s">
        <v>536</v>
      </c>
      <c r="I236" s="475"/>
      <c r="J236" s="168"/>
      <c r="K236" s="168"/>
    </row>
    <row r="237" spans="1:11" ht="26">
      <c r="A237" s="163"/>
      <c r="B237" s="241" t="s">
        <v>337</v>
      </c>
      <c r="C237" s="532">
        <f>'[71]Sch D'!N32</f>
        <v>0.30321769733534437</v>
      </c>
      <c r="D237" s="238"/>
      <c r="E237" s="242">
        <f>(E219+E220)/E235</f>
        <v>0.30321769733534437</v>
      </c>
      <c r="F237" s="243"/>
      <c r="G237" s="242">
        <f>(G219+G220)/G235</f>
        <v>0.33539187064900067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'[71]Sch D'!N34</f>
        <v>0.73316314125942139</v>
      </c>
      <c r="D238" s="238"/>
      <c r="E238" s="242">
        <f>(E237/E236)</f>
        <v>0.73316314125942139</v>
      </c>
      <c r="F238" s="243"/>
      <c r="G238" s="242">
        <f>(G237/G236)</f>
        <v>0.69884422815965552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v>201.0702479338843</v>
      </c>
      <c r="I241" s="475"/>
    </row>
    <row r="242" spans="2:9">
      <c r="F242" s="142" t="s">
        <v>341</v>
      </c>
      <c r="G242" s="598">
        <f>((191.683274021352*2)+192.554545454545)/3</f>
        <v>191.97369783241632</v>
      </c>
      <c r="H242" s="597" t="s">
        <v>538</v>
      </c>
      <c r="I242" s="475"/>
    </row>
    <row r="243" spans="2:9">
      <c r="F243" s="142" t="s">
        <v>342</v>
      </c>
      <c r="G243" s="501">
        <v>185.5964343598055</v>
      </c>
      <c r="I243" s="475"/>
    </row>
    <row r="244" spans="2:9">
      <c r="F244" s="142" t="s">
        <v>343</v>
      </c>
      <c r="G244" s="501">
        <v>184.93711967545639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4">
    <tabColor rgb="FFE28CAB"/>
  </sheetPr>
  <dimension ref="A1:O246"/>
  <sheetViews>
    <sheetView showGridLines="0" zoomScaleNormal="100" workbookViewId="0">
      <pane xSplit="2" ySplit="8" topLeftCell="D141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391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52.5" customHeight="1">
      <c r="A1" s="138" t="str">
        <f>'ALPINE MEADOW'!A1</f>
        <v>schedules revised 7/2017</v>
      </c>
      <c r="B1" s="139" t="s">
        <v>304</v>
      </c>
      <c r="C1" s="429"/>
      <c r="D1" s="345"/>
      <c r="E1" s="429"/>
      <c r="F1" s="431"/>
      <c r="G1" s="432"/>
      <c r="H1" s="429"/>
      <c r="I1" s="430"/>
    </row>
    <row r="2" spans="1:11" ht="23">
      <c r="B2" s="143" t="s">
        <v>189</v>
      </c>
      <c r="C2" s="344" t="s">
        <v>509</v>
      </c>
      <c r="E2" s="144"/>
      <c r="F2" s="411"/>
      <c r="G2"/>
    </row>
    <row r="3" spans="1:11" ht="15.5">
      <c r="A3" s="145"/>
      <c r="B3" s="140" t="s">
        <v>79</v>
      </c>
      <c r="C3" s="593">
        <f>'[72]Sch A Pg 1'!B39</f>
        <v>42552</v>
      </c>
      <c r="D3" s="345"/>
      <c r="E3" s="147"/>
      <c r="F3" s="525"/>
      <c r="G3"/>
    </row>
    <row r="4" spans="1:11" ht="15.5">
      <c r="A4" s="145"/>
      <c r="B4" s="148" t="s">
        <v>80</v>
      </c>
      <c r="C4" s="593">
        <f>'[72]Sch A Pg 1'!G39</f>
        <v>42916</v>
      </c>
      <c r="D4" s="144"/>
      <c r="E4" s="149"/>
      <c r="F4" s="525"/>
      <c r="G4"/>
    </row>
    <row r="5" spans="1:11" ht="15.5">
      <c r="A5" s="145"/>
      <c r="B5" s="148"/>
      <c r="C5" s="151"/>
      <c r="D5" s="144"/>
      <c r="F5" s="555"/>
      <c r="G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380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381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382" t="s">
        <v>9</v>
      </c>
      <c r="G8" s="160" t="s">
        <v>10</v>
      </c>
      <c r="H8" s="161" t="s">
        <v>11</v>
      </c>
      <c r="I8" s="477"/>
      <c r="J8" s="162"/>
      <c r="K8" s="162"/>
    </row>
    <row r="9" spans="1:11" ht="15.5">
      <c r="A9" s="145"/>
      <c r="C9" s="151"/>
      <c r="D9" s="144"/>
      <c r="F9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/>
      <c r="D10"/>
      <c r="E10" s="165"/>
      <c r="F10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v>10815540</v>
      </c>
      <c r="D11" s="501">
        <v>0</v>
      </c>
      <c r="E11" s="171">
        <f>C11+D11</f>
        <v>10815540</v>
      </c>
      <c r="F11" s="663">
        <f>2038960+221599</f>
        <v>2260559</v>
      </c>
      <c r="G11" s="171">
        <f t="shared" ref="G11:G20" si="0">E11+F11</f>
        <v>13076099</v>
      </c>
      <c r="H11" s="172">
        <f t="shared" ref="H11:H21" si="1">IF($G$21=0,0,G11/$G$21)</f>
        <v>0.66027481787161957</v>
      </c>
      <c r="I11" s="473"/>
      <c r="J11" s="336" t="s">
        <v>344</v>
      </c>
      <c r="K11" s="337">
        <f>G21</f>
        <v>19804025</v>
      </c>
    </row>
    <row r="12" spans="1:11" s="167" customFormat="1">
      <c r="A12" s="169" t="s">
        <v>15</v>
      </c>
      <c r="B12" s="170" t="s">
        <v>212</v>
      </c>
      <c r="C12" s="501">
        <v>0</v>
      </c>
      <c r="D12" s="501">
        <v>0</v>
      </c>
      <c r="E12" s="171">
        <f t="shared" ref="E12:E20" si="2">C12+D12</f>
        <v>0</v>
      </c>
      <c r="F12" s="379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14558822.999999998</v>
      </c>
    </row>
    <row r="13" spans="1:11" s="167" customFormat="1">
      <c r="A13" s="169" t="s">
        <v>16</v>
      </c>
      <c r="B13" s="170" t="s">
        <v>170</v>
      </c>
      <c r="C13" s="501">
        <v>2635072</v>
      </c>
      <c r="D13" s="501">
        <v>0</v>
      </c>
      <c r="E13" s="171">
        <f t="shared" si="2"/>
        <v>2635072</v>
      </c>
      <c r="F13" s="379"/>
      <c r="G13" s="171">
        <f t="shared" si="0"/>
        <v>2635072</v>
      </c>
      <c r="H13" s="172">
        <f t="shared" si="1"/>
        <v>0.13305739616062898</v>
      </c>
      <c r="I13" s="473"/>
      <c r="J13" s="338" t="s">
        <v>346</v>
      </c>
      <c r="K13" s="339">
        <f>G228</f>
        <v>56389</v>
      </c>
    </row>
    <row r="14" spans="1:11" s="167" customFormat="1">
      <c r="A14" s="173" t="s">
        <v>18</v>
      </c>
      <c r="B14" s="174" t="s">
        <v>306</v>
      </c>
      <c r="C14" s="501">
        <v>1636170</v>
      </c>
      <c r="D14" s="501">
        <v>0</v>
      </c>
      <c r="E14" s="171">
        <f t="shared" si="2"/>
        <v>1636170</v>
      </c>
      <c r="F14" s="379"/>
      <c r="G14" s="175">
        <f>E14+F14</f>
        <v>1636170</v>
      </c>
      <c r="H14" s="176">
        <f t="shared" si="1"/>
        <v>8.261805365323463E-2</v>
      </c>
      <c r="I14" s="479"/>
      <c r="J14" s="338" t="s">
        <v>347</v>
      </c>
      <c r="K14" s="339">
        <f>G231</f>
        <v>221</v>
      </c>
    </row>
    <row r="15" spans="1:11" s="167" customFormat="1">
      <c r="A15" s="169" t="s">
        <v>19</v>
      </c>
      <c r="B15" s="170" t="s">
        <v>171</v>
      </c>
      <c r="C15" s="501">
        <v>9925</v>
      </c>
      <c r="D15" s="501">
        <v>0</v>
      </c>
      <c r="E15" s="171">
        <f t="shared" si="2"/>
        <v>9925</v>
      </c>
      <c r="F15" s="379"/>
      <c r="G15" s="171">
        <f t="shared" si="0"/>
        <v>9925</v>
      </c>
      <c r="H15" s="172">
        <f t="shared" si="1"/>
        <v>5.011607488881679E-4</v>
      </c>
      <c r="I15" s="473"/>
      <c r="J15" s="338" t="s">
        <v>348</v>
      </c>
      <c r="K15" s="339">
        <f>G235</f>
        <v>80665</v>
      </c>
    </row>
    <row r="16" spans="1:11" s="167" customFormat="1">
      <c r="A16" s="169" t="s">
        <v>21</v>
      </c>
      <c r="B16" s="170" t="s">
        <v>172</v>
      </c>
      <c r="C16" s="501">
        <v>1418092</v>
      </c>
      <c r="D16" s="501">
        <v>0</v>
      </c>
      <c r="E16" s="171">
        <f t="shared" si="2"/>
        <v>1418092</v>
      </c>
      <c r="F16" s="379"/>
      <c r="G16" s="171">
        <f t="shared" si="0"/>
        <v>1418092</v>
      </c>
      <c r="H16" s="172">
        <f t="shared" si="1"/>
        <v>7.1606251759427697E-2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v>0</v>
      </c>
      <c r="D17" s="501">
        <v>0</v>
      </c>
      <c r="E17" s="171">
        <f t="shared" si="2"/>
        <v>0</v>
      </c>
      <c r="F17" s="379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342912</v>
      </c>
    </row>
    <row r="18" spans="1:11" s="167" customFormat="1" ht="13.5" thickBot="1">
      <c r="A18" s="169" t="s">
        <v>216</v>
      </c>
      <c r="B18" s="170" t="s">
        <v>229</v>
      </c>
      <c r="C18" s="501">
        <v>974555</v>
      </c>
      <c r="D18" s="501">
        <v>0</v>
      </c>
      <c r="E18" s="171">
        <f t="shared" si="2"/>
        <v>974555</v>
      </c>
      <c r="F18" s="379"/>
      <c r="G18" s="171">
        <f>E18+F18</f>
        <v>974555</v>
      </c>
      <c r="H18" s="172">
        <f t="shared" si="1"/>
        <v>4.9209945957955518E-2</v>
      </c>
      <c r="I18" s="473"/>
      <c r="J18" s="341" t="s">
        <v>252</v>
      </c>
      <c r="K18" s="342">
        <f>K208</f>
        <v>366188</v>
      </c>
    </row>
    <row r="19" spans="1:11" s="167" customFormat="1">
      <c r="A19" s="169" t="s">
        <v>227</v>
      </c>
      <c r="B19" s="177" t="s">
        <v>173</v>
      </c>
      <c r="C19" s="501">
        <v>0</v>
      </c>
      <c r="D19" s="501">
        <v>0</v>
      </c>
      <c r="E19" s="171">
        <f t="shared" si="2"/>
        <v>0</v>
      </c>
      <c r="F19" s="379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v>54112</v>
      </c>
      <c r="D20" s="501">
        <v>0</v>
      </c>
      <c r="E20" s="171">
        <f t="shared" si="2"/>
        <v>54112</v>
      </c>
      <c r="F20" s="379"/>
      <c r="G20" s="171">
        <f t="shared" si="0"/>
        <v>54112</v>
      </c>
      <c r="H20" s="172">
        <f t="shared" si="1"/>
        <v>2.7323738482454957E-3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v>17543466</v>
      </c>
      <c r="D21" s="501">
        <v>0</v>
      </c>
      <c r="E21" s="171">
        <f>SUM(E11:E20)</f>
        <v>17543466</v>
      </c>
      <c r="F21" s="379">
        <f>SUM(F11:F20)</f>
        <v>2260559</v>
      </c>
      <c r="G21" s="171">
        <f>SUM(G11:G20)</f>
        <v>19804025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395"/>
      <c r="G22" s="144"/>
      <c r="I22" s="475"/>
    </row>
    <row r="23" spans="1:11" ht="26.5">
      <c r="A23" s="180" t="s">
        <v>231</v>
      </c>
      <c r="B23" s="179" t="s">
        <v>222</v>
      </c>
      <c r="C23" s="151"/>
      <c r="D23" s="144"/>
      <c r="F23" t="s">
        <v>649</v>
      </c>
      <c r="G23" s="144"/>
      <c r="I23" s="475"/>
    </row>
    <row r="24" spans="1:11" ht="15.5">
      <c r="A24" s="181" t="s">
        <v>161</v>
      </c>
      <c r="B24" s="148" t="s">
        <v>12</v>
      </c>
      <c r="F24"/>
      <c r="I24" s="475"/>
    </row>
    <row r="25" spans="1:11" s="167" customFormat="1">
      <c r="A25" s="169" t="s">
        <v>83</v>
      </c>
      <c r="B25" s="170" t="s">
        <v>14</v>
      </c>
      <c r="C25" s="501">
        <v>481800</v>
      </c>
      <c r="D25" s="501">
        <v>32703</v>
      </c>
      <c r="E25" s="171">
        <f t="shared" ref="E25:E60" si="3">C25+D25</f>
        <v>514503</v>
      </c>
      <c r="F25" s="379"/>
      <c r="G25" s="182">
        <f>E25+F25</f>
        <v>514503</v>
      </c>
      <c r="H25" s="172">
        <f>IF($G$208=0,0,G25/$G$208)</f>
        <v>3.5339601285076412E-2</v>
      </c>
      <c r="I25" s="473"/>
      <c r="J25" s="183">
        <v>5883</v>
      </c>
      <c r="K25" s="183">
        <v>6282</v>
      </c>
    </row>
    <row r="26" spans="1:11" s="167" customFormat="1">
      <c r="A26" s="169" t="s">
        <v>84</v>
      </c>
      <c r="B26" s="170" t="s">
        <v>176</v>
      </c>
      <c r="C26" s="501">
        <v>0</v>
      </c>
      <c r="D26" s="501">
        <v>0</v>
      </c>
      <c r="E26" s="171">
        <f t="shared" si="3"/>
        <v>0</v>
      </c>
      <c r="F26" s="379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v>441624</v>
      </c>
      <c r="D27" s="501">
        <v>29973</v>
      </c>
      <c r="E27" s="171">
        <f t="shared" si="3"/>
        <v>471597</v>
      </c>
      <c r="F27" s="379"/>
      <c r="G27" s="171">
        <f t="shared" si="4"/>
        <v>471597</v>
      </c>
      <c r="H27" s="172">
        <f t="shared" si="5"/>
        <v>3.2392522390031118E-2</v>
      </c>
      <c r="I27" s="473"/>
      <c r="J27" s="183">
        <v>22170</v>
      </c>
      <c r="K27" s="183">
        <v>23675</v>
      </c>
    </row>
    <row r="28" spans="1:11" s="167" customFormat="1">
      <c r="A28" s="169" t="s">
        <v>86</v>
      </c>
      <c r="B28" s="170" t="s">
        <v>45</v>
      </c>
      <c r="C28" s="501">
        <v>1648256</v>
      </c>
      <c r="D28" s="501">
        <v>-1454521</v>
      </c>
      <c r="E28" s="171">
        <f t="shared" si="3"/>
        <v>193735</v>
      </c>
      <c r="F28" s="379">
        <v>-85221.52</v>
      </c>
      <c r="G28" s="171">
        <f t="shared" si="4"/>
        <v>108513.48</v>
      </c>
      <c r="H28" s="172">
        <f t="shared" si="5"/>
        <v>7.4534514225497494E-3</v>
      </c>
      <c r="I28" s="472" t="s">
        <v>728</v>
      </c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v>0</v>
      </c>
      <c r="D29" s="501">
        <v>0</v>
      </c>
      <c r="E29" s="171">
        <f t="shared" si="3"/>
        <v>0</v>
      </c>
      <c r="F29" s="379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v>0</v>
      </c>
      <c r="D30" s="501">
        <v>0</v>
      </c>
      <c r="E30" s="171">
        <f t="shared" si="3"/>
        <v>0</v>
      </c>
      <c r="F30" s="379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v>755243</v>
      </c>
      <c r="D31" s="501">
        <v>360674</v>
      </c>
      <c r="E31" s="171">
        <f t="shared" si="3"/>
        <v>1115917</v>
      </c>
      <c r="F31" s="379">
        <v>-97521.755874013994</v>
      </c>
      <c r="G31" s="171">
        <f t="shared" si="4"/>
        <v>1018395.244125986</v>
      </c>
      <c r="H31" s="172">
        <f t="shared" si="5"/>
        <v>6.9950382948263473E-2</v>
      </c>
      <c r="I31" s="473" t="s">
        <v>402</v>
      </c>
      <c r="J31" s="168"/>
      <c r="K31" s="168"/>
    </row>
    <row r="32" spans="1:11" s="167" customFormat="1">
      <c r="A32" s="169" t="s">
        <v>90</v>
      </c>
      <c r="B32" s="170" t="s">
        <v>23</v>
      </c>
      <c r="C32" s="501">
        <v>0</v>
      </c>
      <c r="D32" s="501">
        <v>0</v>
      </c>
      <c r="E32" s="171">
        <f t="shared" si="3"/>
        <v>0</v>
      </c>
      <c r="F32" s="379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v>22186</v>
      </c>
      <c r="D33" s="501">
        <v>0</v>
      </c>
      <c r="E33" s="171">
        <f t="shared" si="3"/>
        <v>22186</v>
      </c>
      <c r="F33" s="379"/>
      <c r="G33" s="171">
        <f t="shared" si="4"/>
        <v>22186</v>
      </c>
      <c r="H33" s="172">
        <f t="shared" si="5"/>
        <v>1.5238869241009389E-3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v>37971</v>
      </c>
      <c r="D34" s="501">
        <v>-2144</v>
      </c>
      <c r="E34" s="171">
        <f t="shared" si="3"/>
        <v>35827</v>
      </c>
      <c r="F34" s="379"/>
      <c r="G34" s="171">
        <f t="shared" si="4"/>
        <v>35827</v>
      </c>
      <c r="H34" s="172">
        <f t="shared" si="5"/>
        <v>2.4608445339297006E-3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v>35430</v>
      </c>
      <c r="D35" s="501">
        <v>0</v>
      </c>
      <c r="E35" s="171">
        <f t="shared" si="3"/>
        <v>35430</v>
      </c>
      <c r="F35" s="379"/>
      <c r="G35" s="171">
        <f t="shared" si="4"/>
        <v>35430</v>
      </c>
      <c r="H35" s="172">
        <f t="shared" si="5"/>
        <v>2.4335758460694249E-3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v>14718</v>
      </c>
      <c r="D36" s="501">
        <v>0</v>
      </c>
      <c r="E36" s="171">
        <f t="shared" si="3"/>
        <v>14718</v>
      </c>
      <c r="F36" s="379"/>
      <c r="G36" s="171">
        <f t="shared" si="4"/>
        <v>14718</v>
      </c>
      <c r="H36" s="172">
        <f t="shared" si="5"/>
        <v>1.0109333700945469E-3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v>0</v>
      </c>
      <c r="D37" s="501">
        <v>0</v>
      </c>
      <c r="E37" s="171">
        <f t="shared" si="3"/>
        <v>0</v>
      </c>
      <c r="F37" s="379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v>3138</v>
      </c>
      <c r="D38" s="501">
        <v>0</v>
      </c>
      <c r="E38" s="171">
        <f t="shared" si="3"/>
        <v>3138</v>
      </c>
      <c r="F38" s="379"/>
      <c r="G38" s="171">
        <f t="shared" si="4"/>
        <v>3138</v>
      </c>
      <c r="H38" s="172">
        <f t="shared" si="5"/>
        <v>2.155394017771904E-4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v>110993</v>
      </c>
      <c r="D39" s="501">
        <v>-31032</v>
      </c>
      <c r="E39" s="171">
        <f t="shared" si="3"/>
        <v>79961</v>
      </c>
      <c r="F39" s="379"/>
      <c r="G39" s="171">
        <f t="shared" si="4"/>
        <v>79961</v>
      </c>
      <c r="H39" s="172">
        <f t="shared" si="5"/>
        <v>5.4922709067896499E-3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v>0</v>
      </c>
      <c r="D40" s="501">
        <v>0</v>
      </c>
      <c r="E40" s="171">
        <f t="shared" si="3"/>
        <v>0</v>
      </c>
      <c r="F40" s="379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v>911694</v>
      </c>
      <c r="D41" s="501">
        <v>0</v>
      </c>
      <c r="E41" s="171">
        <f t="shared" si="3"/>
        <v>911694</v>
      </c>
      <c r="F41" s="379"/>
      <c r="G41" s="171">
        <f t="shared" si="4"/>
        <v>911694</v>
      </c>
      <c r="H41" s="172">
        <f t="shared" si="5"/>
        <v>6.2621408337748194E-2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v>0</v>
      </c>
      <c r="D42" s="501">
        <v>0</v>
      </c>
      <c r="E42" s="171">
        <f t="shared" si="3"/>
        <v>0</v>
      </c>
      <c r="F42" s="379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v>0</v>
      </c>
      <c r="D43" s="501">
        <v>0</v>
      </c>
      <c r="E43" s="171">
        <f t="shared" si="3"/>
        <v>0</v>
      </c>
      <c r="F43" s="379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v>73765</v>
      </c>
      <c r="D44" s="501">
        <v>-73765</v>
      </c>
      <c r="E44" s="171">
        <f t="shared" si="3"/>
        <v>0</v>
      </c>
      <c r="F44" s="379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v>0</v>
      </c>
      <c r="D45" s="501">
        <v>0</v>
      </c>
      <c r="E45" s="171">
        <f t="shared" si="3"/>
        <v>0</v>
      </c>
      <c r="F45" s="379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v>179182</v>
      </c>
      <c r="D46" s="501">
        <v>0</v>
      </c>
      <c r="E46" s="171">
        <f t="shared" si="3"/>
        <v>179182</v>
      </c>
      <c r="F46" s="379"/>
      <c r="G46" s="171">
        <f t="shared" si="4"/>
        <v>179182</v>
      </c>
      <c r="H46" s="172">
        <f t="shared" si="5"/>
        <v>1.2307450952594178E-2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v>212160</v>
      </c>
      <c r="D47" s="501">
        <v>-53696</v>
      </c>
      <c r="E47" s="171">
        <f t="shared" si="3"/>
        <v>158464</v>
      </c>
      <c r="F47" s="379"/>
      <c r="G47" s="171">
        <f t="shared" si="4"/>
        <v>158464</v>
      </c>
      <c r="H47" s="172">
        <f t="shared" si="5"/>
        <v>1.0884396355392192E-2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v>0</v>
      </c>
      <c r="D48" s="501">
        <v>0</v>
      </c>
      <c r="E48" s="171">
        <f t="shared" si="3"/>
        <v>0</v>
      </c>
      <c r="F48" s="379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v>0</v>
      </c>
      <c r="D49" s="501">
        <v>0</v>
      </c>
      <c r="E49" s="171">
        <f t="shared" si="3"/>
        <v>0</v>
      </c>
      <c r="F49" s="379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v>0</v>
      </c>
      <c r="D50" s="501">
        <v>0</v>
      </c>
      <c r="E50" s="171">
        <f t="shared" si="3"/>
        <v>0</v>
      </c>
      <c r="F50" s="379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v>0</v>
      </c>
      <c r="D51" s="501">
        <v>0</v>
      </c>
      <c r="E51" s="171">
        <f t="shared" si="3"/>
        <v>0</v>
      </c>
      <c r="F51" s="379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v>0</v>
      </c>
      <c r="D52" s="501">
        <v>0</v>
      </c>
      <c r="E52" s="171">
        <f t="shared" si="3"/>
        <v>0</v>
      </c>
      <c r="F52" s="379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v>2200</v>
      </c>
      <c r="D53" s="501">
        <v>-2200</v>
      </c>
      <c r="E53" s="171">
        <f t="shared" si="3"/>
        <v>0</v>
      </c>
      <c r="F53" s="379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v>13297</v>
      </c>
      <c r="D54" s="501">
        <v>0</v>
      </c>
      <c r="E54" s="171">
        <f t="shared" si="3"/>
        <v>13297</v>
      </c>
      <c r="F54" s="379"/>
      <c r="G54" s="171">
        <f t="shared" si="4"/>
        <v>13297</v>
      </c>
      <c r="H54" s="172">
        <f t="shared" si="5"/>
        <v>9.1332932614126856E-4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v>18422</v>
      </c>
      <c r="D55" s="501">
        <v>0</v>
      </c>
      <c r="E55" s="171">
        <f t="shared" si="3"/>
        <v>18422</v>
      </c>
      <c r="F55" s="379"/>
      <c r="G55" s="171">
        <f t="shared" si="4"/>
        <v>18422</v>
      </c>
      <c r="H55" s="172">
        <f t="shared" si="5"/>
        <v>1.2653495409622056E-3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v>81485</v>
      </c>
      <c r="D56" s="501">
        <v>0</v>
      </c>
      <c r="E56" s="171">
        <f t="shared" si="3"/>
        <v>81485</v>
      </c>
      <c r="F56" s="379"/>
      <c r="G56" s="171">
        <f t="shared" si="4"/>
        <v>81485</v>
      </c>
      <c r="H56" s="172">
        <f t="shared" si="5"/>
        <v>5.5969496984749388E-3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v>17418</v>
      </c>
      <c r="D57" s="501">
        <v>0</v>
      </c>
      <c r="E57" s="171">
        <f t="shared" si="3"/>
        <v>17418</v>
      </c>
      <c r="F57" s="379"/>
      <c r="G57" s="171">
        <f t="shared" si="4"/>
        <v>17418</v>
      </c>
      <c r="H57" s="172">
        <f t="shared" si="5"/>
        <v>1.1963879222928943E-3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v>14440</v>
      </c>
      <c r="D58" s="501">
        <v>0</v>
      </c>
      <c r="E58" s="171">
        <f t="shared" si="3"/>
        <v>14440</v>
      </c>
      <c r="F58" s="379"/>
      <c r="G58" s="171">
        <f t="shared" si="4"/>
        <v>14440</v>
      </c>
      <c r="H58" s="172">
        <f t="shared" si="5"/>
        <v>9.9183841990523568E-4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v>0</v>
      </c>
      <c r="D59" s="501">
        <v>0</v>
      </c>
      <c r="E59" s="171">
        <f t="shared" si="3"/>
        <v>0</v>
      </c>
      <c r="F59" s="379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v>59319</v>
      </c>
      <c r="D60" s="501">
        <v>-23439</v>
      </c>
      <c r="E60" s="171">
        <f t="shared" si="3"/>
        <v>35880</v>
      </c>
      <c r="F60" s="379"/>
      <c r="G60" s="171">
        <f t="shared" si="4"/>
        <v>35880</v>
      </c>
      <c r="H60" s="172">
        <f t="shared" si="5"/>
        <v>2.4644849381024827E-3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v>5134741</v>
      </c>
      <c r="D61" s="501">
        <v>-1217447</v>
      </c>
      <c r="E61" s="171">
        <f t="shared" ref="E61:F61" si="6">SUM(E25:E60)</f>
        <v>3917294</v>
      </c>
      <c r="F61" s="171">
        <f t="shared" si="6"/>
        <v>-182743.27587401401</v>
      </c>
      <c r="G61" s="171">
        <f>SUM(G25:G60)</f>
        <v>3734550.724125986</v>
      </c>
      <c r="H61" s="186">
        <f t="shared" si="5"/>
        <v>0.25651460452029579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386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386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v>878776</v>
      </c>
      <c r="D64" s="501">
        <v>0</v>
      </c>
      <c r="E64" s="171">
        <f t="shared" ref="E64:E78" si="7">C64+D64</f>
        <v>878776</v>
      </c>
      <c r="F64" s="663">
        <v>-878776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v>175793</v>
      </c>
      <c r="D65" s="501">
        <v>0</v>
      </c>
      <c r="E65" s="171">
        <f t="shared" si="7"/>
        <v>175793</v>
      </c>
      <c r="F65" s="663">
        <v>292392</v>
      </c>
      <c r="G65" s="171">
        <f t="shared" si="8"/>
        <v>468185</v>
      </c>
      <c r="H65" s="172">
        <f t="shared" si="9"/>
        <v>3.2158162785549359E-2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v>0</v>
      </c>
      <c r="D66" s="501">
        <v>0</v>
      </c>
      <c r="E66" s="171">
        <f t="shared" si="7"/>
        <v>0</v>
      </c>
      <c r="F66" s="379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v>116168</v>
      </c>
      <c r="D67" s="501">
        <v>0</v>
      </c>
      <c r="E67" s="171">
        <f t="shared" si="7"/>
        <v>116168</v>
      </c>
      <c r="F67" s="379"/>
      <c r="G67" s="171">
        <f t="shared" si="8"/>
        <v>116168</v>
      </c>
      <c r="H67" s="172">
        <f t="shared" si="9"/>
        <v>7.9792164517694889E-3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v>22774</v>
      </c>
      <c r="D68" s="501">
        <v>0</v>
      </c>
      <c r="E68" s="171">
        <f t="shared" si="7"/>
        <v>22774</v>
      </c>
      <c r="F68" s="379"/>
      <c r="G68" s="171">
        <f t="shared" si="8"/>
        <v>22774</v>
      </c>
      <c r="H68" s="172">
        <f t="shared" si="9"/>
        <v>1.5642748043574678E-3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v>9968</v>
      </c>
      <c r="D69" s="501">
        <v>0</v>
      </c>
      <c r="E69" s="171">
        <f t="shared" si="7"/>
        <v>9968</v>
      </c>
      <c r="F69" s="379"/>
      <c r="G69" s="171">
        <f t="shared" si="8"/>
        <v>9968</v>
      </c>
      <c r="H69" s="172">
        <f t="shared" si="9"/>
        <v>6.8467073196782464E-4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v>0</v>
      </c>
      <c r="D70" s="501">
        <v>0</v>
      </c>
      <c r="E70" s="171">
        <f t="shared" si="7"/>
        <v>0</v>
      </c>
      <c r="F70" s="379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v>0</v>
      </c>
      <c r="D71" s="501">
        <v>0</v>
      </c>
      <c r="E71" s="171">
        <f t="shared" si="7"/>
        <v>0</v>
      </c>
      <c r="F71" s="379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v>7793</v>
      </c>
      <c r="D72" s="501">
        <v>0</v>
      </c>
      <c r="E72" s="171">
        <f t="shared" si="7"/>
        <v>7793</v>
      </c>
      <c r="F72" s="379"/>
      <c r="G72" s="171">
        <f t="shared" si="8"/>
        <v>7793</v>
      </c>
      <c r="H72" s="172">
        <f t="shared" si="9"/>
        <v>5.3527678714137823E-4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v>2875</v>
      </c>
      <c r="D73" s="501">
        <v>0</v>
      </c>
      <c r="E73" s="171">
        <f t="shared" si="7"/>
        <v>2875</v>
      </c>
      <c r="F73" s="663">
        <v>5705</v>
      </c>
      <c r="G73" s="171">
        <f t="shared" si="8"/>
        <v>8580</v>
      </c>
      <c r="H73" s="172">
        <f t="shared" si="9"/>
        <v>5.8933335476363724E-4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v>180613</v>
      </c>
      <c r="D74" s="501">
        <v>0</v>
      </c>
      <c r="E74" s="171">
        <f t="shared" si="7"/>
        <v>180613</v>
      </c>
      <c r="F74" s="379"/>
      <c r="G74" s="171">
        <f t="shared" si="8"/>
        <v>180613</v>
      </c>
      <c r="H74" s="172">
        <f t="shared" si="9"/>
        <v>1.2405741865259301E-2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v>0</v>
      </c>
      <c r="D75" s="501">
        <v>0</v>
      </c>
      <c r="E75" s="171">
        <f t="shared" si="7"/>
        <v>0</v>
      </c>
      <c r="F75" s="379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v>13075</v>
      </c>
      <c r="D76" s="501">
        <v>0</v>
      </c>
      <c r="E76" s="171">
        <f t="shared" si="7"/>
        <v>13075</v>
      </c>
      <c r="F76" s="379"/>
      <c r="G76" s="171">
        <f t="shared" si="8"/>
        <v>13075</v>
      </c>
      <c r="H76" s="172">
        <f t="shared" si="9"/>
        <v>8.9808084073829332E-4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v>0</v>
      </c>
      <c r="D77" s="501">
        <v>0</v>
      </c>
      <c r="E77" s="171">
        <f t="shared" si="7"/>
        <v>0</v>
      </c>
      <c r="F77" s="379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v>0</v>
      </c>
      <c r="D78" s="501">
        <v>0</v>
      </c>
      <c r="E78" s="171">
        <f t="shared" si="7"/>
        <v>0</v>
      </c>
      <c r="F78" s="379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v>1407835</v>
      </c>
      <c r="D79" s="501">
        <v>0</v>
      </c>
      <c r="E79" s="171">
        <f t="shared" ref="E79:F79" si="10">SUM(E64:E78)</f>
        <v>1407835</v>
      </c>
      <c r="F79" s="171">
        <f t="shared" si="10"/>
        <v>-580679</v>
      </c>
      <c r="G79" s="171">
        <f>SUM(G64:G78)</f>
        <v>827156</v>
      </c>
      <c r="H79" s="172">
        <f t="shared" si="9"/>
        <v>5.6814757621546752E-2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383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386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v>147752</v>
      </c>
      <c r="D82" s="501">
        <v>10029</v>
      </c>
      <c r="E82" s="171">
        <f t="shared" ref="E82:E92" si="11">C82+D82</f>
        <v>157781</v>
      </c>
      <c r="F82" s="379"/>
      <c r="G82" s="171">
        <f t="shared" ref="G82:G92" si="12">E82+F82</f>
        <v>157781</v>
      </c>
      <c r="H82" s="172">
        <f t="shared" ref="H82:H93" si="13">IF($G$208=0,0,G82/$G$208)</f>
        <v>1.0837483222373129E-2</v>
      </c>
      <c r="I82" s="473"/>
      <c r="J82" s="183">
        <v>6683</v>
      </c>
      <c r="K82" s="183">
        <v>7137</v>
      </c>
    </row>
    <row r="83" spans="1:11" s="167" customFormat="1">
      <c r="A83" s="169" t="s">
        <v>86</v>
      </c>
      <c r="B83" s="199" t="s">
        <v>45</v>
      </c>
      <c r="C83" s="501">
        <v>0</v>
      </c>
      <c r="D83" s="501">
        <v>18842</v>
      </c>
      <c r="E83" s="171">
        <f t="shared" si="11"/>
        <v>18842</v>
      </c>
      <c r="F83" s="379"/>
      <c r="G83" s="171">
        <f t="shared" si="12"/>
        <v>18842</v>
      </c>
      <c r="H83" s="172">
        <f t="shared" si="13"/>
        <v>1.2941980268597263E-3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v>61121</v>
      </c>
      <c r="D84" s="501">
        <v>0</v>
      </c>
      <c r="E84" s="171">
        <f t="shared" si="11"/>
        <v>61121</v>
      </c>
      <c r="F84" s="379"/>
      <c r="G84" s="171">
        <f t="shared" si="12"/>
        <v>61121</v>
      </c>
      <c r="H84" s="172">
        <f t="shared" si="13"/>
        <v>4.1982102536722923E-3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v>0</v>
      </c>
      <c r="D85" s="501">
        <v>0</v>
      </c>
      <c r="E85" s="171">
        <f t="shared" si="11"/>
        <v>0</v>
      </c>
      <c r="F85" s="379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v>17494</v>
      </c>
      <c r="D86" s="501">
        <v>0</v>
      </c>
      <c r="E86" s="171">
        <f t="shared" si="11"/>
        <v>17494</v>
      </c>
      <c r="F86" s="379"/>
      <c r="G86" s="171">
        <f>E86+F86</f>
        <v>17494</v>
      </c>
      <c r="H86" s="172">
        <f t="shared" si="13"/>
        <v>1.2016081245029219E-3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v>42823</v>
      </c>
      <c r="D87" s="501">
        <v>0</v>
      </c>
      <c r="E87" s="171">
        <f t="shared" si="11"/>
        <v>42823</v>
      </c>
      <c r="F87" s="379"/>
      <c r="G87" s="171">
        <f t="shared" si="12"/>
        <v>42823</v>
      </c>
      <c r="H87" s="172">
        <f t="shared" si="13"/>
        <v>2.941377884736974E-3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v>54770</v>
      </c>
      <c r="D88" s="501">
        <v>0</v>
      </c>
      <c r="E88" s="171">
        <f t="shared" si="11"/>
        <v>54770</v>
      </c>
      <c r="F88" s="663">
        <v>-766</v>
      </c>
      <c r="G88" s="171">
        <f t="shared" si="12"/>
        <v>54004</v>
      </c>
      <c r="H88" s="172">
        <f t="shared" si="13"/>
        <v>3.7093657914516859E-3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v>3478</v>
      </c>
      <c r="D89" s="501">
        <v>0</v>
      </c>
      <c r="E89" s="171">
        <f t="shared" si="11"/>
        <v>3478</v>
      </c>
      <c r="F89" s="379"/>
      <c r="G89" s="171">
        <f t="shared" si="12"/>
        <v>3478</v>
      </c>
      <c r="H89" s="172">
        <f t="shared" si="13"/>
        <v>2.3889293797994525E-4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v>0</v>
      </c>
      <c r="D90" s="501">
        <v>0</v>
      </c>
      <c r="E90" s="171">
        <f t="shared" si="11"/>
        <v>0</v>
      </c>
      <c r="F90" s="379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v>306819</v>
      </c>
      <c r="D91" s="501">
        <v>0</v>
      </c>
      <c r="E91" s="171">
        <f t="shared" si="11"/>
        <v>306819</v>
      </c>
      <c r="F91" s="379"/>
      <c r="G91" s="171">
        <f t="shared" si="12"/>
        <v>306819</v>
      </c>
      <c r="H91" s="172">
        <f t="shared" si="13"/>
        <v>2.1074437129979535E-2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v>0</v>
      </c>
      <c r="D92" s="501">
        <v>0</v>
      </c>
      <c r="E92" s="171">
        <f t="shared" si="11"/>
        <v>0</v>
      </c>
      <c r="F92" s="379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v>634257</v>
      </c>
      <c r="D93" s="501">
        <v>28871</v>
      </c>
      <c r="E93" s="171">
        <f t="shared" ref="E93:F93" si="14">SUM(E82:E92)</f>
        <v>663128</v>
      </c>
      <c r="F93" s="171">
        <f t="shared" si="14"/>
        <v>-766</v>
      </c>
      <c r="G93" s="171">
        <f>SUM(G82:G92)</f>
        <v>662362</v>
      </c>
      <c r="H93" s="172">
        <f t="shared" si="13"/>
        <v>4.5495573371556207E-2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386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386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v>435596</v>
      </c>
      <c r="D96" s="501">
        <v>29567</v>
      </c>
      <c r="E96" s="171">
        <f t="shared" ref="E96:E101" si="15">C96+D96</f>
        <v>465163</v>
      </c>
      <c r="F96" s="379"/>
      <c r="G96" s="171">
        <f t="shared" ref="G96:G101" si="16">E96+F96</f>
        <v>465163</v>
      </c>
      <c r="H96" s="172">
        <f t="shared" ref="H96:H102" si="17">IF($G$208=0,0,G96/$G$208)</f>
        <v>3.1950591060829578E-2</v>
      </c>
      <c r="I96" s="473"/>
      <c r="J96" s="183">
        <v>35271</v>
      </c>
      <c r="K96" s="183">
        <v>37665</v>
      </c>
    </row>
    <row r="97" spans="1:11" s="167" customFormat="1">
      <c r="A97" s="169" t="s">
        <v>86</v>
      </c>
      <c r="B97" s="170" t="s">
        <v>45</v>
      </c>
      <c r="C97" s="501">
        <v>0</v>
      </c>
      <c r="D97" s="501">
        <v>55549</v>
      </c>
      <c r="E97" s="171">
        <f t="shared" si="15"/>
        <v>55549</v>
      </c>
      <c r="F97" s="379"/>
      <c r="G97" s="171">
        <f t="shared" si="16"/>
        <v>55549</v>
      </c>
      <c r="H97" s="172">
        <f t="shared" si="17"/>
        <v>3.8154870074318514E-3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v>31013</v>
      </c>
      <c r="D98" s="501">
        <v>0</v>
      </c>
      <c r="E98" s="171">
        <f t="shared" si="15"/>
        <v>31013</v>
      </c>
      <c r="F98" s="663">
        <v>-5030</v>
      </c>
      <c r="G98" s="171">
        <f t="shared" si="16"/>
        <v>25983</v>
      </c>
      <c r="H98" s="172">
        <f t="shared" si="17"/>
        <v>1.7846909739887629E-3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v>313486</v>
      </c>
      <c r="D99" s="501">
        <v>0</v>
      </c>
      <c r="E99" s="171">
        <f t="shared" si="15"/>
        <v>313486</v>
      </c>
      <c r="F99" s="379"/>
      <c r="G99" s="171">
        <f t="shared" si="16"/>
        <v>313486</v>
      </c>
      <c r="H99" s="172">
        <f t="shared" si="17"/>
        <v>2.1532372500167082E-2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v>36690</v>
      </c>
      <c r="D100" s="501">
        <v>0</v>
      </c>
      <c r="E100" s="171">
        <f t="shared" si="15"/>
        <v>36690</v>
      </c>
      <c r="F100" s="379"/>
      <c r="G100" s="171">
        <f t="shared" si="16"/>
        <v>36690</v>
      </c>
      <c r="H100" s="172">
        <f t="shared" si="17"/>
        <v>2.5201213037619871E-3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v>159</v>
      </c>
      <c r="D101" s="501">
        <v>0</v>
      </c>
      <c r="E101" s="171">
        <f t="shared" si="15"/>
        <v>159</v>
      </c>
      <c r="F101" s="379"/>
      <c r="G101" s="171">
        <f t="shared" si="16"/>
        <v>159</v>
      </c>
      <c r="H101" s="172">
        <f t="shared" si="17"/>
        <v>1.0921212518347124E-5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v>816944</v>
      </c>
      <c r="D102" s="501">
        <v>85116</v>
      </c>
      <c r="E102" s="171">
        <f t="shared" ref="E102:F102" si="18">SUM(E96:E101)</f>
        <v>902060</v>
      </c>
      <c r="F102" s="171">
        <f t="shared" si="18"/>
        <v>-5030</v>
      </c>
      <c r="G102" s="171">
        <f>SUM(G96:G101)</f>
        <v>897030</v>
      </c>
      <c r="H102" s="172">
        <f t="shared" si="17"/>
        <v>6.1614184058697612E-2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386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386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v>53583</v>
      </c>
      <c r="D105" s="501">
        <v>3637</v>
      </c>
      <c r="E105" s="171">
        <f t="shared" ref="E105:E110" si="19">C105+D105</f>
        <v>57220</v>
      </c>
      <c r="F105" s="379"/>
      <c r="G105" s="171">
        <f t="shared" ref="G105:G110" si="20">E105+F105</f>
        <v>57220</v>
      </c>
      <c r="H105" s="172">
        <f t="shared" ref="H105:H111" si="21">IF($G$208=0,0,G105/$G$208)</f>
        <v>3.9302627691812728E-3</v>
      </c>
      <c r="I105" s="473"/>
      <c r="J105" s="183">
        <v>5182</v>
      </c>
      <c r="K105" s="183">
        <v>5534</v>
      </c>
    </row>
    <row r="106" spans="1:11" s="167" customFormat="1">
      <c r="A106" s="169" t="s">
        <v>86</v>
      </c>
      <c r="B106" s="170" t="s">
        <v>45</v>
      </c>
      <c r="C106" s="501">
        <v>0</v>
      </c>
      <c r="D106" s="501">
        <v>6833</v>
      </c>
      <c r="E106" s="171">
        <f t="shared" si="19"/>
        <v>6833</v>
      </c>
      <c r="F106" s="379"/>
      <c r="G106" s="171">
        <f t="shared" si="20"/>
        <v>6833</v>
      </c>
      <c r="H106" s="172">
        <f t="shared" si="21"/>
        <v>4.6933739080418801E-4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v>11854</v>
      </c>
      <c r="D107" s="501">
        <v>0</v>
      </c>
      <c r="E107" s="171">
        <f t="shared" si="19"/>
        <v>11854</v>
      </c>
      <c r="F107" s="379"/>
      <c r="G107" s="171">
        <f t="shared" si="20"/>
        <v>11854</v>
      </c>
      <c r="H107" s="172">
        <f t="shared" si="21"/>
        <v>8.1421417102192954E-4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v>0</v>
      </c>
      <c r="D108" s="501">
        <v>0</v>
      </c>
      <c r="E108" s="171">
        <f t="shared" si="19"/>
        <v>0</v>
      </c>
      <c r="F108" s="379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v>16655</v>
      </c>
      <c r="D109" s="501">
        <v>0</v>
      </c>
      <c r="E109" s="171">
        <f t="shared" si="19"/>
        <v>16655</v>
      </c>
      <c r="F109" s="379"/>
      <c r="G109" s="171">
        <f t="shared" si="20"/>
        <v>16655</v>
      </c>
      <c r="H109" s="172">
        <f t="shared" si="21"/>
        <v>1.143979839579065E-3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v>0</v>
      </c>
      <c r="D110" s="501">
        <v>0</v>
      </c>
      <c r="E110" s="171">
        <f t="shared" si="19"/>
        <v>0</v>
      </c>
      <c r="F110" s="379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v>82092</v>
      </c>
      <c r="D111" s="501">
        <v>10470</v>
      </c>
      <c r="E111" s="171">
        <f t="shared" ref="E111:F111" si="22">SUM(E105:E110)</f>
        <v>92562</v>
      </c>
      <c r="F111" s="171">
        <f t="shared" si="22"/>
        <v>0</v>
      </c>
      <c r="G111" s="171">
        <f>SUM(G105:G110)</f>
        <v>92562</v>
      </c>
      <c r="H111" s="172">
        <f t="shared" si="21"/>
        <v>6.3577941705864555E-3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386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386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v>241313</v>
      </c>
      <c r="D114" s="501">
        <v>16379</v>
      </c>
      <c r="E114" s="171">
        <f t="shared" ref="E114:E118" si="23">C114+D114</f>
        <v>257692</v>
      </c>
      <c r="F114" s="379"/>
      <c r="G114" s="171">
        <f>E114+F114</f>
        <v>257692</v>
      </c>
      <c r="H114" s="172">
        <f t="shared" ref="H114:H119" si="24">IF($G$208=0,0,G114/$G$208)</f>
        <v>1.7700057209295014E-2</v>
      </c>
      <c r="I114" s="473"/>
      <c r="J114" s="183">
        <v>22139</v>
      </c>
      <c r="K114" s="183">
        <v>23642</v>
      </c>
    </row>
    <row r="115" spans="1:11" s="167" customFormat="1">
      <c r="A115" s="169" t="s">
        <v>86</v>
      </c>
      <c r="B115" s="170" t="s">
        <v>151</v>
      </c>
      <c r="C115" s="501">
        <v>0</v>
      </c>
      <c r="D115" s="501">
        <v>30773</v>
      </c>
      <c r="E115" s="171">
        <f t="shared" si="23"/>
        <v>30773</v>
      </c>
      <c r="F115" s="379"/>
      <c r="G115" s="171">
        <f>E115+F115</f>
        <v>30773</v>
      </c>
      <c r="H115" s="172">
        <f t="shared" si="24"/>
        <v>2.1137010869628683E-3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v>52733</v>
      </c>
      <c r="D116" s="501">
        <v>0</v>
      </c>
      <c r="E116" s="171">
        <f t="shared" si="23"/>
        <v>52733</v>
      </c>
      <c r="F116" s="379"/>
      <c r="G116" s="171">
        <f>E116+F116</f>
        <v>52733</v>
      </c>
      <c r="H116" s="172">
        <f t="shared" si="24"/>
        <v>3.6220647781760934E-3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v>589</v>
      </c>
      <c r="D117" s="501">
        <v>0</v>
      </c>
      <c r="E117" s="171">
        <f t="shared" si="23"/>
        <v>589</v>
      </c>
      <c r="F117" s="379"/>
      <c r="G117" s="171">
        <f>E117+F117</f>
        <v>589</v>
      </c>
      <c r="H117" s="172">
        <f t="shared" si="24"/>
        <v>4.0456567127713559E-5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v>0</v>
      </c>
      <c r="D118" s="501">
        <v>0</v>
      </c>
      <c r="E118" s="171">
        <f t="shared" si="23"/>
        <v>0</v>
      </c>
      <c r="F118" s="379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v>294635</v>
      </c>
      <c r="D119" s="501">
        <v>47152</v>
      </c>
      <c r="E119" s="171">
        <f t="shared" ref="E119:F119" si="25">SUM(E114:E118)</f>
        <v>341787</v>
      </c>
      <c r="F119" s="171">
        <f t="shared" si="25"/>
        <v>0</v>
      </c>
      <c r="G119" s="171">
        <f>SUM(G114:G118)</f>
        <v>341787</v>
      </c>
      <c r="H119" s="172">
        <f t="shared" si="24"/>
        <v>2.3476279641561688E-2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383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386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386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v>0</v>
      </c>
      <c r="D123" s="501">
        <v>0</v>
      </c>
      <c r="E123" s="171">
        <f t="shared" ref="E123:E127" si="26">C123+D123</f>
        <v>0</v>
      </c>
      <c r="F123" s="379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v>456800</v>
      </c>
      <c r="D124" s="501">
        <v>31006</v>
      </c>
      <c r="E124" s="171">
        <f t="shared" si="26"/>
        <v>487806</v>
      </c>
      <c r="F124" s="379">
        <v>86621.409506677315</v>
      </c>
      <c r="G124" s="171">
        <f>E124+F124</f>
        <v>574427.4095066773</v>
      </c>
      <c r="H124" s="172">
        <f>IF($G$208=0,0,G124/$G$208)</f>
        <v>3.945562148167317E-2</v>
      </c>
      <c r="I124" s="473" t="s">
        <v>402</v>
      </c>
      <c r="J124" s="183">
        <v>9479</v>
      </c>
      <c r="K124" s="183">
        <v>10122</v>
      </c>
    </row>
    <row r="125" spans="1:11" s="167" customFormat="1">
      <c r="A125" s="163" t="s">
        <v>198</v>
      </c>
      <c r="B125" s="163" t="s">
        <v>195</v>
      </c>
      <c r="C125" s="501">
        <v>175339</v>
      </c>
      <c r="D125" s="501">
        <v>11901</v>
      </c>
      <c r="E125" s="171">
        <f t="shared" si="26"/>
        <v>187240</v>
      </c>
      <c r="F125" s="379"/>
      <c r="G125" s="171">
        <f>E125+F125</f>
        <v>187240</v>
      </c>
      <c r="H125" s="172">
        <f>IF($G$208=0,0,G125/$G$208)</f>
        <v>1.2860929760599467E-2</v>
      </c>
      <c r="I125" s="473"/>
      <c r="J125" s="183">
        <v>4577</v>
      </c>
      <c r="K125" s="183">
        <v>4888</v>
      </c>
    </row>
    <row r="126" spans="1:11" s="167" customFormat="1">
      <c r="A126" s="169"/>
      <c r="B126" s="163" t="s">
        <v>196</v>
      </c>
      <c r="C126" s="501">
        <v>0</v>
      </c>
      <c r="D126" s="501">
        <v>0</v>
      </c>
      <c r="E126" s="171">
        <f t="shared" si="26"/>
        <v>0</v>
      </c>
      <c r="F126" s="379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v>93849</v>
      </c>
      <c r="D127" s="501">
        <v>6370</v>
      </c>
      <c r="E127" s="171">
        <f t="shared" si="26"/>
        <v>100219</v>
      </c>
      <c r="F127" s="379"/>
      <c r="G127" s="171">
        <f>E127+F127</f>
        <v>100219</v>
      </c>
      <c r="H127" s="172">
        <f>IF($G$208=0,0,G127/$G$208)</f>
        <v>6.8837295432467313E-3</v>
      </c>
      <c r="I127" s="473"/>
      <c r="J127" s="183">
        <v>5514</v>
      </c>
      <c r="K127" s="183">
        <v>5888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383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v>0</v>
      </c>
      <c r="D129" s="501">
        <v>0</v>
      </c>
      <c r="E129" s="171">
        <f t="shared" ref="E129:E133" si="27">C129+D129</f>
        <v>0</v>
      </c>
      <c r="F129" s="379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v>0</v>
      </c>
      <c r="D130" s="501">
        <v>58253</v>
      </c>
      <c r="E130" s="171">
        <f t="shared" si="27"/>
        <v>58253</v>
      </c>
      <c r="F130" s="379">
        <v>10900.346367336713</v>
      </c>
      <c r="G130" s="171">
        <f>E130+F130</f>
        <v>69153.346367336708</v>
      </c>
      <c r="H130" s="172">
        <f>IF($G$208=0,0,G130/$G$208)</f>
        <v>4.7499269939154229E-3</v>
      </c>
      <c r="I130" s="473" t="s">
        <v>402</v>
      </c>
      <c r="J130" s="204"/>
      <c r="K130" s="204"/>
    </row>
    <row r="131" spans="1:11" s="167" customFormat="1">
      <c r="B131" s="163" t="s">
        <v>195</v>
      </c>
      <c r="C131" s="501">
        <v>0</v>
      </c>
      <c r="D131" s="501">
        <v>22360</v>
      </c>
      <c r="E131" s="171">
        <f t="shared" si="27"/>
        <v>22360</v>
      </c>
      <c r="F131" s="379"/>
      <c r="G131" s="171">
        <f>E131+F131</f>
        <v>22360</v>
      </c>
      <c r="H131" s="172">
        <f>IF($G$208=0,0,G131/$G$208)</f>
        <v>1.5358384396870547E-3</v>
      </c>
      <c r="I131" s="473"/>
      <c r="J131" s="168"/>
      <c r="K131" s="168"/>
    </row>
    <row r="132" spans="1:11" s="167" customFormat="1">
      <c r="B132" s="163" t="s">
        <v>196</v>
      </c>
      <c r="C132" s="501">
        <v>0</v>
      </c>
      <c r="D132" s="501">
        <v>0</v>
      </c>
      <c r="E132" s="171">
        <f t="shared" si="27"/>
        <v>0</v>
      </c>
      <c r="F132" s="379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v>0</v>
      </c>
      <c r="D133" s="501">
        <v>11968</v>
      </c>
      <c r="E133" s="171">
        <f t="shared" si="27"/>
        <v>11968</v>
      </c>
      <c r="F133" s="379"/>
      <c r="G133" s="171">
        <f>E133+F133</f>
        <v>11968</v>
      </c>
      <c r="H133" s="172">
        <f>IF($G$208=0,0,G133/$G$208)</f>
        <v>8.2204447433697092E-4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383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v>1374056</v>
      </c>
      <c r="D135" s="501">
        <v>93265</v>
      </c>
      <c r="E135" s="171">
        <f t="shared" ref="E135:E138" si="28">C135+D135</f>
        <v>1467321</v>
      </c>
      <c r="F135" s="379"/>
      <c r="G135" s="171">
        <f>E135+F135</f>
        <v>1467321</v>
      </c>
      <c r="H135" s="172">
        <f>IF($G$208=0,0,G135/$G$208)</f>
        <v>0.10078568851341899</v>
      </c>
      <c r="I135" s="473"/>
      <c r="J135" s="183">
        <v>44992</v>
      </c>
      <c r="K135" s="183">
        <v>48046</v>
      </c>
    </row>
    <row r="136" spans="1:11" s="167" customFormat="1">
      <c r="A136" s="169"/>
      <c r="B136" s="163" t="s">
        <v>195</v>
      </c>
      <c r="C136" s="501">
        <v>411081</v>
      </c>
      <c r="D136" s="501">
        <v>27903</v>
      </c>
      <c r="E136" s="171">
        <f t="shared" si="28"/>
        <v>438984</v>
      </c>
      <c r="F136" s="379"/>
      <c r="G136" s="171">
        <f>E136+F136</f>
        <v>438984</v>
      </c>
      <c r="H136" s="172">
        <f>IF($G$208=0,0,G136/$G$208)</f>
        <v>3.0152437460088638E-2</v>
      </c>
      <c r="I136" s="473"/>
      <c r="J136" s="183">
        <v>15225</v>
      </c>
      <c r="K136" s="183">
        <v>16258</v>
      </c>
    </row>
    <row r="137" spans="1:11" s="167" customFormat="1">
      <c r="A137" s="169"/>
      <c r="B137" s="163" t="s">
        <v>196</v>
      </c>
      <c r="C137" s="501">
        <v>1783476</v>
      </c>
      <c r="D137" s="501">
        <v>125005</v>
      </c>
      <c r="E137" s="171">
        <f t="shared" si="28"/>
        <v>1908481</v>
      </c>
      <c r="F137" s="379"/>
      <c r="G137" s="171">
        <f>E137+F137</f>
        <v>1908481</v>
      </c>
      <c r="H137" s="172">
        <f>IF($G$208=0,0,G137/$G$208)</f>
        <v>0.13108758860520525</v>
      </c>
      <c r="I137" s="473"/>
      <c r="J137" s="183">
        <v>122491</v>
      </c>
      <c r="K137" s="183">
        <v>130805</v>
      </c>
    </row>
    <row r="138" spans="1:11" s="167" customFormat="1">
      <c r="A138" s="169"/>
      <c r="B138" s="163" t="s">
        <v>197</v>
      </c>
      <c r="C138" s="501">
        <v>154140</v>
      </c>
      <c r="D138" s="501">
        <v>10462</v>
      </c>
      <c r="E138" s="171">
        <f t="shared" si="28"/>
        <v>164602</v>
      </c>
      <c r="F138" s="379"/>
      <c r="G138" s="171">
        <f>E138+F138</f>
        <v>164602</v>
      </c>
      <c r="H138" s="172">
        <f>IF($G$208=0,0,G138/$G$208)</f>
        <v>1.1305996370723102E-2</v>
      </c>
      <c r="I138" s="473"/>
      <c r="J138" s="183">
        <v>11766</v>
      </c>
      <c r="K138" s="183">
        <v>12565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383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v>0</v>
      </c>
      <c r="D140" s="501">
        <v>175225</v>
      </c>
      <c r="E140" s="171">
        <f t="shared" ref="E140:E143" si="29">C140+D140</f>
        <v>175225</v>
      </c>
      <c r="F140" s="379"/>
      <c r="G140" s="171">
        <f>E140+F140</f>
        <v>175225</v>
      </c>
      <c r="H140" s="172">
        <f>IF($G$208=0,0,G140/$G$208)</f>
        <v>1.2035657003316822E-2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v>0</v>
      </c>
      <c r="D141" s="501">
        <v>52423</v>
      </c>
      <c r="E141" s="171">
        <f t="shared" si="29"/>
        <v>52423</v>
      </c>
      <c r="F141" s="379"/>
      <c r="G141" s="171">
        <f>E141+F141</f>
        <v>52423</v>
      </c>
      <c r="H141" s="172">
        <f>IF($G$208=0,0,G141/$G$208)</f>
        <v>3.6007718481088757E-3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v>0</v>
      </c>
      <c r="D142" s="501">
        <v>227738</v>
      </c>
      <c r="E142" s="171">
        <f t="shared" si="29"/>
        <v>227738</v>
      </c>
      <c r="F142" s="379"/>
      <c r="G142" s="171">
        <f>E142+F142</f>
        <v>227738</v>
      </c>
      <c r="H142" s="172">
        <f>IF($G$208=0,0,G142/$G$208)</f>
        <v>1.5642610669832309E-2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v>0</v>
      </c>
      <c r="D143" s="501">
        <v>19656</v>
      </c>
      <c r="E143" s="171">
        <f t="shared" si="29"/>
        <v>19656</v>
      </c>
      <c r="F143" s="379"/>
      <c r="G143" s="171">
        <f>E143+F143</f>
        <v>19656</v>
      </c>
      <c r="H143" s="172">
        <f>IF($G$208=0,0,G143/$G$208)</f>
        <v>1.3501091400039689E-3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383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v>99700</v>
      </c>
      <c r="D145" s="501">
        <v>0</v>
      </c>
      <c r="E145" s="171">
        <f t="shared" ref="E145:E153" si="30">C145+D145</f>
        <v>99700</v>
      </c>
      <c r="F145" s="379"/>
      <c r="G145" s="171">
        <f t="shared" ref="G145:G153" si="31">E145+F145</f>
        <v>99700</v>
      </c>
      <c r="H145" s="172">
        <f t="shared" ref="H145:H153" si="32">IF($G$208=0,0,G145/$G$208)</f>
        <v>6.8480810571019384E-3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v>0</v>
      </c>
      <c r="D146" s="501">
        <v>0</v>
      </c>
      <c r="E146" s="171">
        <f t="shared" si="30"/>
        <v>0</v>
      </c>
      <c r="F146" s="379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v>0</v>
      </c>
      <c r="D147" s="501">
        <v>0</v>
      </c>
      <c r="E147" s="171">
        <f t="shared" si="30"/>
        <v>0</v>
      </c>
      <c r="F147" s="379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v>0</v>
      </c>
      <c r="D148" s="501">
        <v>0</v>
      </c>
      <c r="E148" s="171">
        <f t="shared" si="30"/>
        <v>0</v>
      </c>
      <c r="F148" s="379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v>27765</v>
      </c>
      <c r="D149" s="501">
        <v>0</v>
      </c>
      <c r="E149" s="171">
        <f t="shared" si="30"/>
        <v>27765</v>
      </c>
      <c r="F149" s="379"/>
      <c r="G149" s="171">
        <f t="shared" si="31"/>
        <v>27765</v>
      </c>
      <c r="H149" s="172">
        <f t="shared" si="32"/>
        <v>1.9070909784396721E-3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v>336261</v>
      </c>
      <c r="D150" s="501">
        <v>0</v>
      </c>
      <c r="E150" s="171">
        <f t="shared" si="30"/>
        <v>336261</v>
      </c>
      <c r="F150" s="663">
        <v>-5705</v>
      </c>
      <c r="G150" s="171">
        <f t="shared" si="31"/>
        <v>330556</v>
      </c>
      <c r="H150" s="172">
        <f t="shared" si="32"/>
        <v>2.2704857391287747E-2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v>928</v>
      </c>
      <c r="D151" s="501">
        <v>0</v>
      </c>
      <c r="E151" s="171">
        <f t="shared" si="30"/>
        <v>928</v>
      </c>
      <c r="F151" s="379"/>
      <c r="G151" s="171">
        <f t="shared" si="31"/>
        <v>928</v>
      </c>
      <c r="H151" s="172">
        <f t="shared" si="32"/>
        <v>6.3741416459283846E-5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v>4839</v>
      </c>
      <c r="D152" s="501">
        <v>0</v>
      </c>
      <c r="E152" s="171">
        <f t="shared" si="30"/>
        <v>4839</v>
      </c>
      <c r="F152" s="379"/>
      <c r="G152" s="171">
        <f t="shared" si="31"/>
        <v>4839</v>
      </c>
      <c r="H152" s="172">
        <f t="shared" si="32"/>
        <v>3.3237576966214927E-4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v>0</v>
      </c>
      <c r="D153" s="501">
        <v>0</v>
      </c>
      <c r="E153" s="171">
        <f t="shared" si="30"/>
        <v>0</v>
      </c>
      <c r="F153" s="379">
        <v>429329.05</v>
      </c>
      <c r="G153" s="171">
        <f t="shared" si="31"/>
        <v>429329.05</v>
      </c>
      <c r="H153" s="172">
        <f t="shared" si="32"/>
        <v>2.9489269153145144E-2</v>
      </c>
      <c r="I153" s="472" t="s">
        <v>728</v>
      </c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384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v>0</v>
      </c>
      <c r="D155" s="501">
        <v>0</v>
      </c>
      <c r="E155" s="171">
        <f t="shared" ref="E155:E160" si="33">C155+D155</f>
        <v>0</v>
      </c>
      <c r="F155" s="379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v>0</v>
      </c>
      <c r="D156" s="501">
        <v>0</v>
      </c>
      <c r="E156" s="171">
        <f t="shared" si="33"/>
        <v>0</v>
      </c>
      <c r="F156" s="379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v>0</v>
      </c>
      <c r="D157" s="501">
        <v>0</v>
      </c>
      <c r="E157" s="171">
        <f t="shared" si="33"/>
        <v>0</v>
      </c>
      <c r="F157" s="379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v>0</v>
      </c>
      <c r="D158" s="501">
        <v>0</v>
      </c>
      <c r="E158" s="171">
        <f t="shared" si="33"/>
        <v>0</v>
      </c>
      <c r="F158" s="379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v>0</v>
      </c>
      <c r="D159" s="501">
        <v>0</v>
      </c>
      <c r="E159" s="171">
        <f t="shared" si="33"/>
        <v>0</v>
      </c>
      <c r="F159" s="379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v>3013</v>
      </c>
      <c r="D160" s="501">
        <v>0</v>
      </c>
      <c r="E160" s="171">
        <f t="shared" si="33"/>
        <v>3013</v>
      </c>
      <c r="F160" s="379"/>
      <c r="G160" s="171">
        <f t="shared" si="34"/>
        <v>3013</v>
      </c>
      <c r="H160" s="172">
        <f t="shared" si="35"/>
        <v>2.0695354287911876E-4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v>4921247</v>
      </c>
      <c r="D161" s="501">
        <v>873535</v>
      </c>
      <c r="E161" s="171">
        <f t="shared" ref="E161:F161" si="36">SUM(E123:E160)</f>
        <v>5794782</v>
      </c>
      <c r="F161" s="171">
        <f t="shared" si="36"/>
        <v>521145.80587401404</v>
      </c>
      <c r="G161" s="171">
        <f>SUM(G123:G160)</f>
        <v>6315927.8058740133</v>
      </c>
      <c r="H161" s="172">
        <f t="shared" si="35"/>
        <v>0.43382131961313181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383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396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v>0</v>
      </c>
      <c r="D164" s="501">
        <v>0</v>
      </c>
      <c r="E164" s="171">
        <f t="shared" ref="E164:E196" si="37">C164+D164</f>
        <v>0</v>
      </c>
      <c r="F164" s="385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v>0</v>
      </c>
      <c r="D165" s="501">
        <v>0</v>
      </c>
      <c r="E165" s="171">
        <f t="shared" si="37"/>
        <v>0</v>
      </c>
      <c r="F165" s="385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v>344978</v>
      </c>
      <c r="D166" s="501">
        <v>23416</v>
      </c>
      <c r="E166" s="171">
        <f t="shared" si="37"/>
        <v>368394</v>
      </c>
      <c r="F166" s="385"/>
      <c r="G166" s="171">
        <f t="shared" si="38"/>
        <v>368394</v>
      </c>
      <c r="H166" s="172">
        <f t="shared" si="39"/>
        <v>2.5303831223169624E-2</v>
      </c>
      <c r="I166" s="483"/>
      <c r="J166" s="183">
        <v>10814</v>
      </c>
      <c r="K166" s="183">
        <v>11548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v>0</v>
      </c>
      <c r="D167" s="501">
        <v>43993</v>
      </c>
      <c r="E167" s="171">
        <f t="shared" si="37"/>
        <v>43993</v>
      </c>
      <c r="F167" s="385"/>
      <c r="G167" s="171">
        <f t="shared" si="38"/>
        <v>43993</v>
      </c>
      <c r="H167" s="172">
        <f t="shared" si="39"/>
        <v>3.0217415240229245E-3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v>101455</v>
      </c>
      <c r="D168" s="501">
        <v>6886</v>
      </c>
      <c r="E168" s="171">
        <f t="shared" si="37"/>
        <v>108341</v>
      </c>
      <c r="F168" s="385"/>
      <c r="G168" s="171">
        <f t="shared" si="38"/>
        <v>108341</v>
      </c>
      <c r="H168" s="172">
        <f t="shared" si="39"/>
        <v>7.4416043110078342E-3</v>
      </c>
      <c r="I168" s="483"/>
      <c r="J168" s="183">
        <v>2529</v>
      </c>
      <c r="K168" s="183">
        <v>2701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v>0</v>
      </c>
      <c r="D169" s="501">
        <v>12938</v>
      </c>
      <c r="E169" s="171">
        <f t="shared" si="37"/>
        <v>12938</v>
      </c>
      <c r="F169" s="385"/>
      <c r="G169" s="171">
        <f t="shared" si="38"/>
        <v>12938</v>
      </c>
      <c r="H169" s="172">
        <f t="shared" si="39"/>
        <v>8.8867073938600678E-4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v>0</v>
      </c>
      <c r="D170" s="501">
        <v>0</v>
      </c>
      <c r="E170" s="171">
        <f t="shared" si="37"/>
        <v>0</v>
      </c>
      <c r="F170" s="385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v>0</v>
      </c>
      <c r="D171" s="501">
        <v>0</v>
      </c>
      <c r="E171" s="171">
        <f t="shared" si="37"/>
        <v>0</v>
      </c>
      <c r="F171" s="385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v>193277</v>
      </c>
      <c r="D172" s="501">
        <v>13119</v>
      </c>
      <c r="E172" s="171">
        <f t="shared" si="37"/>
        <v>206396</v>
      </c>
      <c r="F172" s="385"/>
      <c r="G172" s="171">
        <f t="shared" si="38"/>
        <v>206396</v>
      </c>
      <c r="H172" s="172">
        <f t="shared" si="39"/>
        <v>1.4176695465011151E-2</v>
      </c>
      <c r="I172" s="483"/>
      <c r="J172" s="183">
        <v>6818</v>
      </c>
      <c r="K172" s="183">
        <v>7281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v>0</v>
      </c>
      <c r="D173" s="501">
        <v>24647</v>
      </c>
      <c r="E173" s="171">
        <f t="shared" si="37"/>
        <v>24647</v>
      </c>
      <c r="F173" s="385"/>
      <c r="G173" s="171">
        <f t="shared" si="38"/>
        <v>24647</v>
      </c>
      <c r="H173" s="172">
        <f t="shared" si="39"/>
        <v>1.6929253140861732E-3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v>0</v>
      </c>
      <c r="D174" s="501">
        <v>0</v>
      </c>
      <c r="E174" s="171">
        <f t="shared" si="37"/>
        <v>0</v>
      </c>
      <c r="F174" s="385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v>0</v>
      </c>
      <c r="D175" s="501">
        <v>0</v>
      </c>
      <c r="E175" s="171">
        <f t="shared" si="37"/>
        <v>0</v>
      </c>
      <c r="F175" s="385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v>0</v>
      </c>
      <c r="D176" s="501">
        <v>0</v>
      </c>
      <c r="E176" s="171">
        <f t="shared" si="37"/>
        <v>0</v>
      </c>
      <c r="F176" s="385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v>1414</v>
      </c>
      <c r="D177" s="501">
        <v>0</v>
      </c>
      <c r="E177" s="171">
        <f t="shared" si="37"/>
        <v>1414</v>
      </c>
      <c r="F177" s="385"/>
      <c r="G177" s="171">
        <f t="shared" si="38"/>
        <v>1414</v>
      </c>
      <c r="H177" s="172">
        <f t="shared" si="39"/>
        <v>9.7123235854986364E-5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v>265</v>
      </c>
      <c r="D178" s="501">
        <v>0</v>
      </c>
      <c r="E178" s="171">
        <f t="shared" si="37"/>
        <v>265</v>
      </c>
      <c r="F178" s="385"/>
      <c r="G178" s="171">
        <f t="shared" si="38"/>
        <v>265</v>
      </c>
      <c r="H178" s="172">
        <f t="shared" si="39"/>
        <v>1.8202020863911872E-5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v>0</v>
      </c>
      <c r="D179" s="501">
        <v>0</v>
      </c>
      <c r="E179" s="171">
        <f t="shared" si="37"/>
        <v>0</v>
      </c>
      <c r="F179" s="385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v>236</v>
      </c>
      <c r="D180" s="501">
        <v>0</v>
      </c>
      <c r="E180" s="171">
        <f t="shared" si="37"/>
        <v>236</v>
      </c>
      <c r="F180" s="385"/>
      <c r="G180" s="171">
        <f t="shared" si="38"/>
        <v>236</v>
      </c>
      <c r="H180" s="172">
        <f t="shared" si="39"/>
        <v>1.6210101599559253E-5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v>0</v>
      </c>
      <c r="D181" s="501">
        <v>0</v>
      </c>
      <c r="E181" s="171">
        <f t="shared" si="37"/>
        <v>0</v>
      </c>
      <c r="F181" s="385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v>0</v>
      </c>
      <c r="D182" s="501">
        <v>0</v>
      </c>
      <c r="E182" s="171">
        <f t="shared" si="37"/>
        <v>0</v>
      </c>
      <c r="F182" s="385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v>0</v>
      </c>
      <c r="D183" s="501">
        <v>0</v>
      </c>
      <c r="E183" s="171">
        <f t="shared" si="37"/>
        <v>0</v>
      </c>
      <c r="F183" s="385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v>15855</v>
      </c>
      <c r="D184" s="501">
        <v>0</v>
      </c>
      <c r="E184" s="171">
        <f t="shared" si="37"/>
        <v>15855</v>
      </c>
      <c r="F184" s="385"/>
      <c r="G184" s="171">
        <f t="shared" si="38"/>
        <v>15855</v>
      </c>
      <c r="H184" s="172">
        <f t="shared" si="39"/>
        <v>1.0890303426314065E-3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v>0</v>
      </c>
      <c r="D185" s="501">
        <v>0</v>
      </c>
      <c r="E185" s="171">
        <f t="shared" si="37"/>
        <v>0</v>
      </c>
      <c r="F185" s="385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v>0</v>
      </c>
      <c r="D186" s="501">
        <v>0</v>
      </c>
      <c r="E186" s="171">
        <f t="shared" si="37"/>
        <v>0</v>
      </c>
      <c r="F186" s="385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v>94870</v>
      </c>
      <c r="D187" s="501">
        <v>-4121</v>
      </c>
      <c r="E187" s="171">
        <f t="shared" si="37"/>
        <v>90749</v>
      </c>
      <c r="F187" s="385"/>
      <c r="G187" s="171">
        <f t="shared" si="38"/>
        <v>90749</v>
      </c>
      <c r="H187" s="172">
        <f t="shared" si="39"/>
        <v>6.2332648731288241E-3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v>344108</v>
      </c>
      <c r="D188" s="501">
        <v>0</v>
      </c>
      <c r="E188" s="171">
        <f t="shared" si="37"/>
        <v>344108</v>
      </c>
      <c r="F188" s="379">
        <v>-344107.53</v>
      </c>
      <c r="G188" s="171">
        <f t="shared" si="38"/>
        <v>0.46999999997206032</v>
      </c>
      <c r="H188" s="172">
        <f t="shared" si="39"/>
        <v>3.228282945483027E-8</v>
      </c>
      <c r="I188" s="472" t="s">
        <v>728</v>
      </c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v>0</v>
      </c>
      <c r="D189" s="501">
        <v>0</v>
      </c>
      <c r="E189" s="171">
        <f t="shared" si="37"/>
        <v>0</v>
      </c>
      <c r="F189" s="385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v>0</v>
      </c>
      <c r="D190" s="501">
        <v>0</v>
      </c>
      <c r="E190" s="171">
        <f t="shared" si="37"/>
        <v>0</v>
      </c>
      <c r="F190" s="385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v>0</v>
      </c>
      <c r="D191" s="501">
        <v>0</v>
      </c>
      <c r="E191" s="171">
        <f t="shared" si="37"/>
        <v>0</v>
      </c>
      <c r="F191" s="385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v>0</v>
      </c>
      <c r="D192" s="501">
        <v>0</v>
      </c>
      <c r="E192" s="171">
        <f t="shared" si="37"/>
        <v>0</v>
      </c>
      <c r="F192" s="385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v>0</v>
      </c>
      <c r="D193" s="501">
        <v>0</v>
      </c>
      <c r="E193" s="171">
        <f t="shared" si="37"/>
        <v>0</v>
      </c>
      <c r="F193" s="385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v>444000</v>
      </c>
      <c r="D194" s="501">
        <v>0</v>
      </c>
      <c r="E194" s="171">
        <f t="shared" si="37"/>
        <v>444000</v>
      </c>
      <c r="F194" s="385"/>
      <c r="G194" s="171">
        <f t="shared" si="38"/>
        <v>444000</v>
      </c>
      <c r="H194" s="172">
        <f t="shared" si="39"/>
        <v>3.0496970805950457E-2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v>43198</v>
      </c>
      <c r="D195" s="501">
        <v>0</v>
      </c>
      <c r="E195" s="171">
        <f t="shared" si="37"/>
        <v>43198</v>
      </c>
      <c r="F195" s="385"/>
      <c r="G195" s="171">
        <f t="shared" si="38"/>
        <v>43198</v>
      </c>
      <c r="H195" s="172">
        <f t="shared" si="39"/>
        <v>2.9671354614311889E-3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v>81166</v>
      </c>
      <c r="D196" s="501">
        <v>0</v>
      </c>
      <c r="E196" s="171">
        <f t="shared" si="37"/>
        <v>81166</v>
      </c>
      <c r="F196" s="385"/>
      <c r="G196" s="171">
        <f t="shared" si="38"/>
        <v>81166</v>
      </c>
      <c r="H196" s="172">
        <f t="shared" si="39"/>
        <v>5.5750385865670606E-3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v>1664822</v>
      </c>
      <c r="D197" s="501">
        <v>120878</v>
      </c>
      <c r="E197" s="171">
        <f t="shared" ref="E197:F197" si="40">SUM(E164:E196)</f>
        <v>1785700</v>
      </c>
      <c r="F197" s="171">
        <f t="shared" si="40"/>
        <v>-344107.53</v>
      </c>
      <c r="G197" s="171">
        <f>SUM(G164:G196)</f>
        <v>1441592.47</v>
      </c>
      <c r="H197" s="172">
        <f>IF($G$208=0,0,G197/$G$208)</f>
        <v>9.9018476287540569E-2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386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386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v>189013</v>
      </c>
      <c r="D200" s="501">
        <v>12829</v>
      </c>
      <c r="E200" s="171">
        <f t="shared" ref="E200:E205" si="41">C200+D200</f>
        <v>201842</v>
      </c>
      <c r="F200" s="379"/>
      <c r="G200" s="171">
        <f t="shared" ref="G200:G205" si="42">E200+F200</f>
        <v>201842</v>
      </c>
      <c r="H200" s="172">
        <f t="shared" ref="H200:H206" si="43">IF($G$208=0,0,G200/$G$208)</f>
        <v>1.3863895453636603E-2</v>
      </c>
      <c r="I200" s="473"/>
      <c r="J200" s="183">
        <v>11379</v>
      </c>
      <c r="K200" s="183">
        <v>12151</v>
      </c>
    </row>
    <row r="201" spans="1:14" s="167" customFormat="1">
      <c r="A201" s="169" t="s">
        <v>86</v>
      </c>
      <c r="B201" s="170" t="s">
        <v>45</v>
      </c>
      <c r="C201" s="501">
        <v>0</v>
      </c>
      <c r="D201" s="501">
        <v>24104</v>
      </c>
      <c r="E201" s="171">
        <f t="shared" si="41"/>
        <v>24104</v>
      </c>
      <c r="F201" s="379"/>
      <c r="G201" s="171">
        <f t="shared" si="42"/>
        <v>24104</v>
      </c>
      <c r="H201" s="172">
        <f t="shared" si="43"/>
        <v>1.6556283430329501E-3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v>13035</v>
      </c>
      <c r="D202" s="501">
        <v>0</v>
      </c>
      <c r="E202" s="171">
        <f t="shared" si="41"/>
        <v>13035</v>
      </c>
      <c r="F202" s="379"/>
      <c r="G202" s="171">
        <f t="shared" si="42"/>
        <v>13035</v>
      </c>
      <c r="H202" s="172">
        <f t="shared" si="43"/>
        <v>8.9533336589091034E-4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v>0</v>
      </c>
      <c r="D203" s="501">
        <v>0</v>
      </c>
      <c r="E203" s="171">
        <f t="shared" si="41"/>
        <v>0</v>
      </c>
      <c r="F203" s="379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v>0</v>
      </c>
      <c r="D204" s="501">
        <v>0</v>
      </c>
      <c r="E204" s="171">
        <f t="shared" si="41"/>
        <v>0</v>
      </c>
      <c r="F204" s="379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v>6874</v>
      </c>
      <c r="D205" s="501">
        <v>0</v>
      </c>
      <c r="E205" s="171">
        <f t="shared" si="41"/>
        <v>6874</v>
      </c>
      <c r="F205" s="379"/>
      <c r="G205" s="171">
        <f t="shared" si="42"/>
        <v>6874</v>
      </c>
      <c r="H205" s="172">
        <f t="shared" si="43"/>
        <v>4.7215355252275553E-4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v>208922</v>
      </c>
      <c r="D206" s="501">
        <v>36933</v>
      </c>
      <c r="E206" s="171">
        <f t="shared" ref="E206:F206" si="44">SUM(E200:E205)</f>
        <v>245855</v>
      </c>
      <c r="F206" s="171">
        <f t="shared" si="44"/>
        <v>0</v>
      </c>
      <c r="G206" s="171">
        <f>SUM(G200:G205)</f>
        <v>245855</v>
      </c>
      <c r="H206" s="172">
        <f t="shared" si="43"/>
        <v>1.6887010715083219E-2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386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v>15165495</v>
      </c>
      <c r="D208" s="501">
        <v>-14492</v>
      </c>
      <c r="E208" s="171">
        <f t="shared" ref="E208:F208" si="45">SUM(E25:E206)/2</f>
        <v>15151003</v>
      </c>
      <c r="F208" s="171">
        <f t="shared" si="45"/>
        <v>-592179.99999999988</v>
      </c>
      <c r="G208" s="171">
        <f>SUM(G25:G206)/2</f>
        <v>14558822.999999998</v>
      </c>
      <c r="H208" s="172">
        <f>IF($G$208=0,0,G208/$G$208)</f>
        <v>1</v>
      </c>
      <c r="I208" s="473"/>
      <c r="J208" s="183">
        <f>SUM(J25:J200)</f>
        <v>342912</v>
      </c>
      <c r="K208" s="183">
        <f>SUM(K25:K200)</f>
        <v>366188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v>15165495</v>
      </c>
      <c r="D211" s="196"/>
      <c r="E211" s="165"/>
      <c r="F211" s="525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v>0</v>
      </c>
      <c r="D212" s="229"/>
      <c r="E212" s="165"/>
      <c r="F212" s="525"/>
      <c r="G212"/>
      <c r="I212" s="475"/>
      <c r="J212" s="168"/>
      <c r="K212" s="168"/>
    </row>
    <row r="213" spans="1:11" s="167" customFormat="1" ht="15">
      <c r="A213" s="163"/>
      <c r="B213" s="230"/>
      <c r="C213" s="515"/>
      <c r="D213" s="231"/>
      <c r="E213" s="231"/>
      <c r="F213" s="555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386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v>2377971</v>
      </c>
      <c r="D215" s="501">
        <v>14492</v>
      </c>
      <c r="E215" s="171">
        <f t="shared" ref="E215:F215" si="46">E21-E208</f>
        <v>2392463</v>
      </c>
      <c r="F215" s="171">
        <f t="shared" si="46"/>
        <v>2852739</v>
      </c>
      <c r="G215" s="171">
        <f>G21-G208</f>
        <v>5245202.0000000019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383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383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386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v>36706</v>
      </c>
      <c r="D219" s="530"/>
      <c r="E219" s="234">
        <f t="shared" ref="E219:G227" si="47">C219+D219</f>
        <v>36706</v>
      </c>
      <c r="F219" s="388"/>
      <c r="G219" s="234">
        <f t="shared" si="47"/>
        <v>36706</v>
      </c>
      <c r="H219" s="172">
        <f>IF($G$228=0,0,G219/$G$228)</f>
        <v>0.6509425597190942</v>
      </c>
      <c r="I219" s="473"/>
      <c r="J219" s="168"/>
      <c r="K219" s="168"/>
    </row>
    <row r="220" spans="1:11">
      <c r="A220" s="163"/>
      <c r="B220" s="170" t="s">
        <v>217</v>
      </c>
      <c r="C220" s="530">
        <v>0</v>
      </c>
      <c r="D220" s="530"/>
      <c r="E220" s="234">
        <f t="shared" ref="E220:E227" si="48">C220+D220</f>
        <v>0</v>
      </c>
      <c r="F220" s="388"/>
      <c r="G220" s="234">
        <f t="shared" si="47"/>
        <v>0</v>
      </c>
      <c r="H220" s="172">
        <f t="shared" ref="H220:H228" si="49">IF($G$228=0,0,G220/$G$228)</f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v>4555</v>
      </c>
      <c r="D221" s="530"/>
      <c r="E221" s="234">
        <f t="shared" si="48"/>
        <v>4555</v>
      </c>
      <c r="F221" s="388"/>
      <c r="G221" s="234">
        <f t="shared" si="47"/>
        <v>4555</v>
      </c>
      <c r="H221" s="172">
        <f t="shared" si="49"/>
        <v>8.0778165954352804E-2</v>
      </c>
      <c r="I221" s="473"/>
      <c r="J221" s="168"/>
      <c r="K221" s="168"/>
    </row>
    <row r="222" spans="1:11">
      <c r="A222" s="163"/>
      <c r="B222" s="202" t="s">
        <v>334</v>
      </c>
      <c r="C222" s="530">
        <v>3191</v>
      </c>
      <c r="D222" s="530"/>
      <c r="E222" s="234">
        <f>C222+D222</f>
        <v>3191</v>
      </c>
      <c r="F222" s="388"/>
      <c r="G222" s="234">
        <f>E222+F222</f>
        <v>3191</v>
      </c>
      <c r="H222" s="172">
        <f t="shared" si="49"/>
        <v>5.6589051056057035E-2</v>
      </c>
      <c r="I222" s="473"/>
      <c r="J222" s="168"/>
      <c r="K222" s="168"/>
    </row>
    <row r="223" spans="1:11">
      <c r="A223" s="163"/>
      <c r="B223" s="170" t="s">
        <v>73</v>
      </c>
      <c r="C223" s="530">
        <v>15</v>
      </c>
      <c r="D223" s="530"/>
      <c r="E223" s="234">
        <f t="shared" si="48"/>
        <v>15</v>
      </c>
      <c r="F223" s="388"/>
      <c r="G223" s="234">
        <f t="shared" si="47"/>
        <v>15</v>
      </c>
      <c r="H223" s="172">
        <f t="shared" si="49"/>
        <v>2.6600932806043732E-4</v>
      </c>
      <c r="I223" s="473"/>
      <c r="J223" s="168"/>
      <c r="K223" s="168"/>
    </row>
    <row r="224" spans="1:11">
      <c r="A224" s="163"/>
      <c r="B224" s="170" t="s">
        <v>74</v>
      </c>
      <c r="C224" s="530">
        <v>6837</v>
      </c>
      <c r="D224" s="530"/>
      <c r="E224" s="234">
        <f t="shared" si="48"/>
        <v>6837</v>
      </c>
      <c r="F224" s="388"/>
      <c r="G224" s="234">
        <f t="shared" si="47"/>
        <v>6837</v>
      </c>
      <c r="H224" s="172">
        <f t="shared" si="49"/>
        <v>0.12124705172994733</v>
      </c>
      <c r="I224" s="473"/>
      <c r="J224" s="168"/>
      <c r="K224" s="168"/>
    </row>
    <row r="225" spans="1:11">
      <c r="A225" s="163"/>
      <c r="B225" s="170" t="s">
        <v>236</v>
      </c>
      <c r="C225" s="530">
        <v>0</v>
      </c>
      <c r="D225" s="530"/>
      <c r="E225" s="234">
        <f t="shared" si="48"/>
        <v>0</v>
      </c>
      <c r="F225" s="388"/>
      <c r="G225" s="234">
        <f t="shared" si="47"/>
        <v>0</v>
      </c>
      <c r="H225" s="172">
        <f t="shared" si="49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v>5085</v>
      </c>
      <c r="D226" s="530"/>
      <c r="E226" s="234">
        <f>C226+D226</f>
        <v>5085</v>
      </c>
      <c r="F226" s="388"/>
      <c r="G226" s="234">
        <f>E226+F226</f>
        <v>5085</v>
      </c>
      <c r="H226" s="172">
        <f t="shared" si="49"/>
        <v>9.0177162212488254E-2</v>
      </c>
      <c r="I226" s="473"/>
      <c r="J226" s="168"/>
      <c r="K226" s="168"/>
    </row>
    <row r="227" spans="1:11">
      <c r="A227" s="163"/>
      <c r="B227" s="170" t="s">
        <v>179</v>
      </c>
      <c r="C227" s="530">
        <v>0</v>
      </c>
      <c r="D227" s="530"/>
      <c r="E227" s="234">
        <f t="shared" si="48"/>
        <v>0</v>
      </c>
      <c r="F227" s="388"/>
      <c r="G227" s="234">
        <f t="shared" si="47"/>
        <v>0</v>
      </c>
      <c r="H227" s="172">
        <f t="shared" si="49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v>56389</v>
      </c>
      <c r="D228" s="530">
        <v>0</v>
      </c>
      <c r="E228" s="236">
        <f>SUM(E219:E227)</f>
        <v>56389</v>
      </c>
      <c r="F228" s="389">
        <f>SUM(F219:F227)</f>
        <v>0</v>
      </c>
      <c r="G228" s="236">
        <f>SUM(G219:G227)</f>
        <v>56389</v>
      </c>
      <c r="H228" s="172">
        <f t="shared" si="49"/>
        <v>1</v>
      </c>
      <c r="I228" s="473"/>
      <c r="J228" s="168"/>
      <c r="K228" s="168"/>
    </row>
    <row r="229" spans="1:11" ht="13.5" thickTop="1">
      <c r="A229" s="163"/>
      <c r="B229" s="167"/>
      <c r="C229" s="516"/>
      <c r="D229" s="237"/>
      <c r="E229" s="231"/>
      <c r="F229" s="392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15"/>
      <c r="D230" s="231"/>
      <c r="E230" s="231"/>
      <c r="F230" s="387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v>221</v>
      </c>
      <c r="D231" s="502"/>
      <c r="E231" s="234">
        <f>C231+D231</f>
        <v>221</v>
      </c>
      <c r="F231" s="393"/>
      <c r="G231" s="234">
        <f>E231+F231</f>
        <v>221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v>221</v>
      </c>
      <c r="D232" s="502"/>
      <c r="E232" s="234">
        <f>C232+D232</f>
        <v>221</v>
      </c>
      <c r="F232" s="393"/>
      <c r="G232" s="234">
        <f>E232+F232</f>
        <v>221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v>365</v>
      </c>
      <c r="D233" s="438"/>
      <c r="E233" s="234">
        <f>C233+D233</f>
        <v>365</v>
      </c>
      <c r="F233" s="390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17"/>
      <c r="D234" s="238"/>
      <c r="E234" s="240"/>
      <c r="F234" s="390"/>
      <c r="G234" s="240"/>
      <c r="H234" s="167"/>
      <c r="I234" s="475"/>
      <c r="J234" s="168"/>
      <c r="K234" s="168"/>
    </row>
    <row r="235" spans="1:11" ht="26.5">
      <c r="A235" s="163"/>
      <c r="B235" s="241" t="s">
        <v>335</v>
      </c>
      <c r="C235" s="531">
        <v>80665</v>
      </c>
      <c r="D235" s="438"/>
      <c r="E235" s="233">
        <f>E231*E233</f>
        <v>80665</v>
      </c>
      <c r="F235"/>
      <c r="G235" s="233">
        <f>G231*G233</f>
        <v>80665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v>0.69905163329820863</v>
      </c>
      <c r="D236" s="238"/>
      <c r="E236" s="242">
        <f>E228/E235</f>
        <v>0.69905163329820863</v>
      </c>
      <c r="F236" s="394"/>
      <c r="G236" s="242">
        <f>G228/G235</f>
        <v>0.69905163329820863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v>0.45504245955494949</v>
      </c>
      <c r="D237" s="238"/>
      <c r="E237" s="242">
        <f>(E219+E220)/E235</f>
        <v>0.45504245955494949</v>
      </c>
      <c r="F237" s="394"/>
      <c r="G237" s="242">
        <f>(G219+G220)/G235</f>
        <v>0.45504245955494949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v>0.6509425597190942</v>
      </c>
      <c r="D238" s="238"/>
      <c r="E238" s="242">
        <f>(E237/E236)</f>
        <v>0.6509425597190942</v>
      </c>
      <c r="F238" s="394"/>
      <c r="G238" s="242">
        <f>(G237/G236)</f>
        <v>0.6509425597190942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374" t="s">
        <v>340</v>
      </c>
      <c r="G241" s="501">
        <f>'[72]Sch B'!C85</f>
        <v>203.75656201749871</v>
      </c>
      <c r="I241" s="475"/>
    </row>
    <row r="242" spans="2:9">
      <c r="F242" s="374" t="s">
        <v>341</v>
      </c>
      <c r="G242" s="501">
        <f>'[72]Sch B'!E85</f>
        <v>207.37166666666667</v>
      </c>
      <c r="I242" s="475"/>
    </row>
    <row r="243" spans="2:9">
      <c r="F243" s="374" t="s">
        <v>342</v>
      </c>
      <c r="G243" s="501">
        <f>'[72]Sch B'!G85</f>
        <v>217.50879566982408</v>
      </c>
      <c r="I243" s="475"/>
    </row>
    <row r="244" spans="2:9">
      <c r="F244" s="374" t="s">
        <v>343</v>
      </c>
      <c r="G244" s="501">
        <f>'[72]Sch B'!I85</f>
        <v>204.90988735919899</v>
      </c>
      <c r="I244" s="475"/>
    </row>
    <row r="245" spans="2:9">
      <c r="F245" s="374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E28CAB"/>
  </sheetPr>
  <dimension ref="A1:O246"/>
  <sheetViews>
    <sheetView showGridLines="0" zoomScaleNormal="100" workbookViewId="0">
      <pane xSplit="2" ySplit="9" topLeftCell="C32" activePane="bottomRight" state="frozen"/>
      <selection activeCell="K1" sqref="K1"/>
      <selection pane="topRight" activeCell="K1" sqref="K1"/>
      <selection pane="bottomLeft" activeCell="K1" sqref="K1"/>
      <selection pane="bottom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390</v>
      </c>
      <c r="D2" s="144"/>
      <c r="E2" s="421"/>
    </row>
    <row r="3" spans="1:11">
      <c r="A3" s="145"/>
      <c r="B3" s="140" t="s">
        <v>79</v>
      </c>
      <c r="C3" s="441">
        <v>42552</v>
      </c>
      <c r="D3" s="144"/>
      <c r="E3" s="147"/>
      <c r="F3" s="140" t="s">
        <v>529</v>
      </c>
    </row>
    <row r="4" spans="1:11">
      <c r="A4" s="145"/>
      <c r="B4" s="148" t="s">
        <v>80</v>
      </c>
      <c r="C4" s="441">
        <v>42916</v>
      </c>
      <c r="D4" s="144"/>
      <c r="E4" s="149"/>
      <c r="F4" s="140" t="s">
        <v>530</v>
      </c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'[73]Sch B'!E10</f>
        <v>1330775</v>
      </c>
      <c r="D11" s="501">
        <f>'[73]Sch B'!G10</f>
        <v>0</v>
      </c>
      <c r="E11" s="171">
        <f>C11+D11</f>
        <v>1330775</v>
      </c>
      <c r="F11" s="171"/>
      <c r="G11" s="171">
        <f t="shared" ref="G11:G20" si="0">E11+F11</f>
        <v>1330775</v>
      </c>
      <c r="H11" s="172">
        <f t="shared" ref="H11:H21" si="1">IF($G$21=0,0,G11/$G$21)</f>
        <v>0.13404403793996994</v>
      </c>
      <c r="I11" s="473"/>
      <c r="J11" s="336" t="s">
        <v>344</v>
      </c>
      <c r="K11" s="337">
        <f>G21</f>
        <v>9927894</v>
      </c>
    </row>
    <row r="12" spans="1:11" s="167" customFormat="1">
      <c r="A12" s="169" t="s">
        <v>15</v>
      </c>
      <c r="B12" s="170" t="s">
        <v>212</v>
      </c>
      <c r="C12" s="501">
        <f>'[73]Sch B'!E15</f>
        <v>0</v>
      </c>
      <c r="D12" s="501">
        <f>'[73]Sch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8757356</v>
      </c>
    </row>
    <row r="13" spans="1:11" s="167" customFormat="1">
      <c r="A13" s="169" t="s">
        <v>16</v>
      </c>
      <c r="B13" s="170" t="s">
        <v>170</v>
      </c>
      <c r="C13" s="501">
        <f>'[73]Sch B'!E21</f>
        <v>8212184</v>
      </c>
      <c r="D13" s="501">
        <f>'[73]Sch B'!G21</f>
        <v>0</v>
      </c>
      <c r="E13" s="171">
        <f t="shared" si="2"/>
        <v>8212184</v>
      </c>
      <c r="F13" s="171"/>
      <c r="G13" s="171">
        <f t="shared" si="0"/>
        <v>8212184</v>
      </c>
      <c r="H13" s="172">
        <f t="shared" si="1"/>
        <v>0.82718288490993153</v>
      </c>
      <c r="I13" s="473"/>
      <c r="J13" s="338" t="s">
        <v>346</v>
      </c>
      <c r="K13" s="339">
        <f>G228</f>
        <v>24396</v>
      </c>
    </row>
    <row r="14" spans="1:11" s="167" customFormat="1">
      <c r="A14" s="173" t="s">
        <v>18</v>
      </c>
      <c r="B14" s="174" t="s">
        <v>306</v>
      </c>
      <c r="C14" s="501">
        <f>'[73]Sch B'!E27</f>
        <v>0</v>
      </c>
      <c r="D14" s="501">
        <f>'[73]Sch B'!G27</f>
        <v>0</v>
      </c>
      <c r="E14" s="171">
        <f t="shared" si="2"/>
        <v>0</v>
      </c>
      <c r="F14" s="171"/>
      <c r="G14" s="175">
        <f>E14+F14</f>
        <v>0</v>
      </c>
      <c r="H14" s="176">
        <f t="shared" si="1"/>
        <v>0</v>
      </c>
      <c r="I14" s="479"/>
      <c r="J14" s="338" t="s">
        <v>347</v>
      </c>
      <c r="K14" s="339">
        <f>G231</f>
        <v>119</v>
      </c>
    </row>
    <row r="15" spans="1:11" s="167" customFormat="1">
      <c r="A15" s="169" t="s">
        <v>19</v>
      </c>
      <c r="B15" s="170" t="s">
        <v>171</v>
      </c>
      <c r="C15" s="501">
        <f>'[73]Sch B'!E32</f>
        <v>0</v>
      </c>
      <c r="D15" s="501">
        <f>'[73]Sch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43435</v>
      </c>
    </row>
    <row r="16" spans="1:11" s="167" customFormat="1">
      <c r="A16" s="169" t="s">
        <v>21</v>
      </c>
      <c r="B16" s="170" t="s">
        <v>172</v>
      </c>
      <c r="C16" s="501">
        <f>'[73]Sch B'!E37</f>
        <v>336005</v>
      </c>
      <c r="D16" s="501">
        <f>'[73]Sch B'!G37</f>
        <v>0</v>
      </c>
      <c r="E16" s="171">
        <f t="shared" si="2"/>
        <v>336005</v>
      </c>
      <c r="F16" s="171"/>
      <c r="G16" s="171">
        <f t="shared" si="0"/>
        <v>336005</v>
      </c>
      <c r="H16" s="172">
        <f t="shared" si="1"/>
        <v>3.3844539436057634E-2</v>
      </c>
      <c r="I16" s="61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'[73]Sch B'!E42</f>
        <v>0</v>
      </c>
      <c r="D17" s="501">
        <f>'[73]Sch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547"/>
      <c r="J17" s="338" t="s">
        <v>156</v>
      </c>
      <c r="K17" s="339">
        <f>J208</f>
        <v>235749</v>
      </c>
    </row>
    <row r="18" spans="1:11" s="167" customFormat="1" ht="13.5" thickBot="1">
      <c r="A18" s="169" t="s">
        <v>216</v>
      </c>
      <c r="B18" s="170" t="s">
        <v>229</v>
      </c>
      <c r="C18" s="501">
        <f>'[73]Sch B'!E47</f>
        <v>48209</v>
      </c>
      <c r="D18" s="501">
        <f>'[73]Sch B'!G47</f>
        <v>0</v>
      </c>
      <c r="E18" s="171">
        <f t="shared" si="2"/>
        <v>48209</v>
      </c>
      <c r="F18" s="171"/>
      <c r="G18" s="171">
        <f>E18+F18</f>
        <v>48209</v>
      </c>
      <c r="H18" s="172">
        <f t="shared" si="1"/>
        <v>4.855914053876885E-3</v>
      </c>
      <c r="I18" s="547"/>
      <c r="J18" s="341" t="s">
        <v>252</v>
      </c>
      <c r="K18" s="342">
        <f>K208</f>
        <v>247752</v>
      </c>
    </row>
    <row r="19" spans="1:11" s="167" customFormat="1">
      <c r="A19" s="169" t="s">
        <v>227</v>
      </c>
      <c r="B19" s="177" t="s">
        <v>173</v>
      </c>
      <c r="C19" s="501">
        <f>'[73]Sch B'!E52</f>
        <v>0</v>
      </c>
      <c r="D19" s="501">
        <f>'[73]Sch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547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'[73]Sch B'!E67</f>
        <v>721</v>
      </c>
      <c r="D20" s="501">
        <f>'[73]Sch B'!G67</f>
        <v>0</v>
      </c>
      <c r="E20" s="171">
        <f t="shared" si="2"/>
        <v>721</v>
      </c>
      <c r="F20" s="171"/>
      <c r="G20" s="171">
        <f t="shared" si="0"/>
        <v>721</v>
      </c>
      <c r="H20" s="172">
        <f t="shared" si="1"/>
        <v>7.2623660163978387E-5</v>
      </c>
      <c r="I20" s="613"/>
      <c r="J20" s="168"/>
      <c r="K20" s="168"/>
    </row>
    <row r="21" spans="1:11" s="167" customFormat="1">
      <c r="A21" s="169"/>
      <c r="B21" s="178" t="s">
        <v>77</v>
      </c>
      <c r="C21" s="501">
        <f>SUM(C11:C20)</f>
        <v>9927894</v>
      </c>
      <c r="D21" s="501">
        <f>SUM(D11:D20)</f>
        <v>0</v>
      </c>
      <c r="E21" s="171">
        <f>SUM(E11:E20)</f>
        <v>9927894</v>
      </c>
      <c r="F21" s="171">
        <f>SUM(F11:F20)</f>
        <v>0</v>
      </c>
      <c r="G21" s="171">
        <f>SUM(G11:G20)</f>
        <v>9927894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'[73]Sch C'!D10</f>
        <v>118368</v>
      </c>
      <c r="D25" s="501">
        <f>'[73]Sch C'!F10</f>
        <v>0</v>
      </c>
      <c r="E25" s="171">
        <f t="shared" ref="E25:E60" si="3">C25+D25</f>
        <v>118368</v>
      </c>
      <c r="F25" s="171"/>
      <c r="G25" s="182">
        <f>E25+F25</f>
        <v>118368</v>
      </c>
      <c r="H25" s="172">
        <f>IF($G$208=0,0,G25/$G$208)</f>
        <v>1.3516408377140314E-2</v>
      </c>
      <c r="I25" s="473"/>
      <c r="J25" s="183">
        <v>2080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'[73]Sch C'!D11</f>
        <v>0</v>
      </c>
      <c r="D26" s="501">
        <f>'[73]Sch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'[73]Sch C'!D12</f>
        <v>209221</v>
      </c>
      <c r="D27" s="501">
        <f>'[73]Sch C'!F12</f>
        <v>0</v>
      </c>
      <c r="E27" s="171">
        <f t="shared" si="3"/>
        <v>209221</v>
      </c>
      <c r="F27" s="171"/>
      <c r="G27" s="171">
        <f t="shared" si="4"/>
        <v>209221</v>
      </c>
      <c r="H27" s="172">
        <f t="shared" si="5"/>
        <v>2.3890886701419926E-2</v>
      </c>
      <c r="I27" s="473"/>
      <c r="J27" s="183">
        <v>8258</v>
      </c>
      <c r="K27" s="183">
        <v>8982</v>
      </c>
    </row>
    <row r="28" spans="1:11" s="167" customFormat="1">
      <c r="A28" s="169" t="s">
        <v>86</v>
      </c>
      <c r="B28" s="170" t="s">
        <v>45</v>
      </c>
      <c r="C28" s="501">
        <f>'[73]Sch C'!D13</f>
        <v>660962</v>
      </c>
      <c r="D28" s="501">
        <f>'[73]Sch C'!F13</f>
        <v>-608860</v>
      </c>
      <c r="E28" s="171">
        <f t="shared" si="3"/>
        <v>52102</v>
      </c>
      <c r="F28" s="171"/>
      <c r="G28" s="171">
        <f t="shared" si="4"/>
        <v>52102</v>
      </c>
      <c r="H28" s="172">
        <f t="shared" si="5"/>
        <v>5.9495126154515132E-3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'[73]Sch C'!D14</f>
        <v>0</v>
      </c>
      <c r="D29" s="501">
        <f>'[73]Sch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'[73]Sch C'!D15</f>
        <v>0</v>
      </c>
      <c r="D30" s="501">
        <f>'[73]Sch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'[73]Sch C'!D16</f>
        <v>462640</v>
      </c>
      <c r="D31" s="501">
        <f>'[73]Sch C'!F16</f>
        <v>-179681</v>
      </c>
      <c r="E31" s="171">
        <f t="shared" si="3"/>
        <v>282959</v>
      </c>
      <c r="F31" s="171"/>
      <c r="G31" s="171">
        <f t="shared" si="4"/>
        <v>282959</v>
      </c>
      <c r="H31" s="172">
        <f t="shared" si="5"/>
        <v>3.231100802571004E-2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'[73]Sch C'!D17</f>
        <v>0</v>
      </c>
      <c r="D32" s="501">
        <f>'[73]Sch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'[73]Sch C'!D18</f>
        <v>11095</v>
      </c>
      <c r="D33" s="501">
        <f>'[73]Sch C'!F18</f>
        <v>0</v>
      </c>
      <c r="E33" s="171">
        <f t="shared" si="3"/>
        <v>11095</v>
      </c>
      <c r="F33" s="171"/>
      <c r="G33" s="171">
        <f t="shared" si="4"/>
        <v>11095</v>
      </c>
      <c r="H33" s="172">
        <f t="shared" si="5"/>
        <v>1.26693490592366E-3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'[73]Sch C'!D19</f>
        <v>25951</v>
      </c>
      <c r="D34" s="501">
        <f>'[73]Sch C'!F19</f>
        <v>0</v>
      </c>
      <c r="E34" s="171">
        <f t="shared" si="3"/>
        <v>25951</v>
      </c>
      <c r="F34" s="171"/>
      <c r="G34" s="171">
        <f t="shared" si="4"/>
        <v>25951</v>
      </c>
      <c r="H34" s="172">
        <f t="shared" si="5"/>
        <v>2.9633373360635333E-3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'[73]Sch C'!D20</f>
        <v>42877</v>
      </c>
      <c r="D35" s="501">
        <f>'[73]Sch C'!F20</f>
        <v>0</v>
      </c>
      <c r="E35" s="171">
        <f t="shared" si="3"/>
        <v>42877</v>
      </c>
      <c r="F35" s="171"/>
      <c r="G35" s="171">
        <f t="shared" si="4"/>
        <v>42877</v>
      </c>
      <c r="H35" s="172">
        <f t="shared" si="5"/>
        <v>4.8961124796114263E-3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'[73]Sch C'!D21</f>
        <v>17151</v>
      </c>
      <c r="D36" s="501">
        <f>'[73]Sch C'!F21</f>
        <v>0</v>
      </c>
      <c r="E36" s="171">
        <f t="shared" si="3"/>
        <v>17151</v>
      </c>
      <c r="F36" s="171"/>
      <c r="G36" s="171">
        <f t="shared" si="4"/>
        <v>17151</v>
      </c>
      <c r="H36" s="172">
        <f t="shared" si="5"/>
        <v>1.9584678297878948E-3</v>
      </c>
      <c r="J36" s="168"/>
      <c r="K36" s="168"/>
    </row>
    <row r="37" spans="1:11" s="167" customFormat="1">
      <c r="A37" s="163">
        <v>130</v>
      </c>
      <c r="B37" s="170" t="s">
        <v>28</v>
      </c>
      <c r="C37" s="501">
        <f>'[73]Sch C'!D22</f>
        <v>0</v>
      </c>
      <c r="D37" s="501">
        <f>'[73]Sch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J37" s="168"/>
      <c r="K37" s="168"/>
    </row>
    <row r="38" spans="1:11" s="167" customFormat="1">
      <c r="A38" s="163">
        <v>140</v>
      </c>
      <c r="B38" s="170" t="s">
        <v>149</v>
      </c>
      <c r="C38" s="501">
        <f>'[73]Sch C'!D23</f>
        <v>76818</v>
      </c>
      <c r="D38" s="501">
        <f>'[73]Sch C'!F23</f>
        <v>0</v>
      </c>
      <c r="E38" s="171">
        <f t="shared" si="3"/>
        <v>76818</v>
      </c>
      <c r="F38" s="171">
        <v>-74028</v>
      </c>
      <c r="G38" s="171">
        <f t="shared" si="4"/>
        <v>2790</v>
      </c>
      <c r="H38" s="172">
        <f t="shared" si="5"/>
        <v>3.185893093760263E-4</v>
      </c>
      <c r="I38" s="473" t="s">
        <v>678</v>
      </c>
      <c r="J38" s="168"/>
      <c r="K38" s="168"/>
    </row>
    <row r="39" spans="1:11" s="167" customFormat="1">
      <c r="A39" s="163">
        <v>150</v>
      </c>
      <c r="B39" s="170" t="s">
        <v>29</v>
      </c>
      <c r="C39" s="501">
        <f>'[73]Sch C'!D24</f>
        <v>669</v>
      </c>
      <c r="D39" s="501">
        <f>'[73]Sch C'!F24</f>
        <v>0</v>
      </c>
      <c r="E39" s="171">
        <f t="shared" si="3"/>
        <v>669</v>
      </c>
      <c r="F39" s="171">
        <v>74028</v>
      </c>
      <c r="G39" s="171">
        <f t="shared" si="4"/>
        <v>74697</v>
      </c>
      <c r="H39" s="172">
        <f t="shared" si="5"/>
        <v>8.5296292625308377E-3</v>
      </c>
      <c r="I39" s="473" t="s">
        <v>679</v>
      </c>
      <c r="J39" s="168"/>
      <c r="K39" s="168"/>
    </row>
    <row r="40" spans="1:11" s="167" customFormat="1">
      <c r="A40" s="163">
        <v>160</v>
      </c>
      <c r="B40" s="170" t="s">
        <v>30</v>
      </c>
      <c r="C40" s="501">
        <f>'[73]Sch C'!D25</f>
        <v>0</v>
      </c>
      <c r="D40" s="501">
        <f>'[73]Sch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'[73]Sch C'!D26</f>
        <v>166176</v>
      </c>
      <c r="D41" s="501">
        <f>'[73]Sch C'!F26</f>
        <v>0</v>
      </c>
      <c r="E41" s="171">
        <f t="shared" si="3"/>
        <v>166176</v>
      </c>
      <c r="F41" s="171"/>
      <c r="G41" s="171">
        <f t="shared" si="4"/>
        <v>166176</v>
      </c>
      <c r="H41" s="172">
        <f t="shared" si="5"/>
        <v>1.8975590349415965E-2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'[73]Sch C'!D27</f>
        <v>188</v>
      </c>
      <c r="D42" s="501">
        <f>'[73]Sch C'!F27</f>
        <v>-271</v>
      </c>
      <c r="E42" s="171">
        <f t="shared" si="3"/>
        <v>-83</v>
      </c>
      <c r="F42" s="171"/>
      <c r="G42" s="171">
        <f t="shared" si="4"/>
        <v>-83</v>
      </c>
      <c r="H42" s="172">
        <f t="shared" si="5"/>
        <v>-9.477746479645227E-6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'[73]Sch C'!D28</f>
        <v>0</v>
      </c>
      <c r="D43" s="501">
        <f>'[73]Sch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'[73]Sch C'!D29</f>
        <v>48011</v>
      </c>
      <c r="D44" s="501">
        <f>'[73]Sch C'!F29</f>
        <v>-48011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'[73]Sch C'!D30</f>
        <v>0</v>
      </c>
      <c r="D45" s="501">
        <f>'[73]Sch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'[73]Sch C'!D31</f>
        <v>82242</v>
      </c>
      <c r="D46" s="501">
        <f>'[73]Sch C'!F31</f>
        <v>0</v>
      </c>
      <c r="E46" s="171">
        <f t="shared" si="3"/>
        <v>82242</v>
      </c>
      <c r="F46" s="171"/>
      <c r="G46" s="171">
        <f t="shared" si="4"/>
        <v>82242</v>
      </c>
      <c r="H46" s="172">
        <f t="shared" si="5"/>
        <v>9.3911906744455747E-3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'[73]Sch C'!D32</f>
        <v>53530</v>
      </c>
      <c r="D47" s="501">
        <f>'[73]Sch C'!F32</f>
        <v>0</v>
      </c>
      <c r="E47" s="171">
        <f t="shared" si="3"/>
        <v>53530</v>
      </c>
      <c r="F47" s="171"/>
      <c r="G47" s="171">
        <f t="shared" si="4"/>
        <v>53530</v>
      </c>
      <c r="H47" s="172">
        <f t="shared" si="5"/>
        <v>6.1125755307880596E-3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'[73]Sch C'!D33</f>
        <v>0</v>
      </c>
      <c r="D48" s="501">
        <f>'[73]Sch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'[73]Sch C'!D34</f>
        <v>0</v>
      </c>
      <c r="D49" s="501">
        <f>'[73]Sch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'[73]Sch C'!D35</f>
        <v>0</v>
      </c>
      <c r="D50" s="501">
        <f>'[73]Sch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'[73]Sch C'!D36</f>
        <v>64960</v>
      </c>
      <c r="D51" s="501">
        <f>'[73]Sch C'!F36</f>
        <v>0</v>
      </c>
      <c r="E51" s="171">
        <f t="shared" si="3"/>
        <v>64960</v>
      </c>
      <c r="F51" s="171"/>
      <c r="G51" s="171">
        <f t="shared" si="4"/>
        <v>64960</v>
      </c>
      <c r="H51" s="172">
        <f t="shared" si="5"/>
        <v>7.4177639917801675E-3</v>
      </c>
      <c r="I51" s="473"/>
      <c r="J51" s="183">
        <v>4358</v>
      </c>
      <c r="K51" s="183">
        <v>4645</v>
      </c>
    </row>
    <row r="52" spans="1:11" s="167" customFormat="1">
      <c r="A52" s="163">
        <v>290</v>
      </c>
      <c r="B52" s="170" t="s">
        <v>205</v>
      </c>
      <c r="C52" s="501">
        <f>'[73]Sch C'!D37</f>
        <v>0</v>
      </c>
      <c r="D52" s="501">
        <f>'[73]Sch C'!F37</f>
        <v>10332</v>
      </c>
      <c r="E52" s="171">
        <f t="shared" si="3"/>
        <v>10332</v>
      </c>
      <c r="F52" s="171"/>
      <c r="G52" s="171">
        <f t="shared" si="4"/>
        <v>10332</v>
      </c>
      <c r="H52" s="172">
        <f t="shared" si="5"/>
        <v>1.1798081521408974E-3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'[73]Sch C'!D38</f>
        <v>0</v>
      </c>
      <c r="D53" s="501">
        <f>'[73]Sch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'[73]Sch C'!D39</f>
        <v>3739</v>
      </c>
      <c r="D54" s="501">
        <f>'[73]Sch C'!F39</f>
        <v>0</v>
      </c>
      <c r="E54" s="171">
        <f t="shared" si="3"/>
        <v>3739</v>
      </c>
      <c r="F54" s="171"/>
      <c r="G54" s="171">
        <f t="shared" si="4"/>
        <v>3739</v>
      </c>
      <c r="H54" s="172">
        <f t="shared" si="5"/>
        <v>4.2695535045052409E-4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'[73]Sch C'!D40</f>
        <v>5967</v>
      </c>
      <c r="D55" s="501">
        <f>'[73]Sch C'!F40</f>
        <v>0</v>
      </c>
      <c r="E55" s="171">
        <f t="shared" si="3"/>
        <v>5967</v>
      </c>
      <c r="F55" s="171"/>
      <c r="G55" s="171">
        <f t="shared" si="4"/>
        <v>5967</v>
      </c>
      <c r="H55" s="172">
        <f t="shared" si="5"/>
        <v>6.8137003908485616E-4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'[73]Sch C'!D41</f>
        <v>0</v>
      </c>
      <c r="D56" s="501">
        <f>'[73]Sch C'!F41</f>
        <v>0</v>
      </c>
      <c r="E56" s="171">
        <f t="shared" si="3"/>
        <v>0</v>
      </c>
      <c r="F56" s="171"/>
      <c r="G56" s="171">
        <f t="shared" si="4"/>
        <v>0</v>
      </c>
      <c r="H56" s="172">
        <f t="shared" si="5"/>
        <v>0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'[73]Sch C'!D42</f>
        <v>13028</v>
      </c>
      <c r="D57" s="501">
        <f>'[73]Sch C'!F42</f>
        <v>0</v>
      </c>
      <c r="E57" s="171">
        <f t="shared" si="3"/>
        <v>13028</v>
      </c>
      <c r="F57" s="171"/>
      <c r="G57" s="171">
        <f t="shared" si="4"/>
        <v>13028</v>
      </c>
      <c r="H57" s="172">
        <f t="shared" si="5"/>
        <v>1.4876636281544338E-3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'[73]Sch C'!D43</f>
        <v>10745</v>
      </c>
      <c r="D58" s="501">
        <f>'[73]Sch C'!F43</f>
        <v>0</v>
      </c>
      <c r="E58" s="171">
        <f t="shared" si="3"/>
        <v>10745</v>
      </c>
      <c r="F58" s="171"/>
      <c r="G58" s="171">
        <f t="shared" si="4"/>
        <v>10745</v>
      </c>
      <c r="H58" s="172">
        <f t="shared" si="5"/>
        <v>1.2269685051058789E-3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'[73]Sch C'!D44</f>
        <v>0</v>
      </c>
      <c r="D59" s="501">
        <f>'[73]Sch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'[73]Sch C'!D45</f>
        <v>15461</v>
      </c>
      <c r="D60" s="501">
        <f>'[73]Sch C'!F45</f>
        <v>0</v>
      </c>
      <c r="E60" s="171">
        <f t="shared" si="3"/>
        <v>15461</v>
      </c>
      <c r="F60" s="171"/>
      <c r="G60" s="171">
        <f t="shared" si="4"/>
        <v>15461</v>
      </c>
      <c r="H60" s="172">
        <f t="shared" si="5"/>
        <v>1.7654872086963235E-3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2089799</v>
      </c>
      <c r="D61" s="501">
        <f>SUM(D25:D60)</f>
        <v>-826491</v>
      </c>
      <c r="E61" s="171">
        <f t="shared" ref="E61:F61" si="6">SUM(E25:E60)</f>
        <v>1263308</v>
      </c>
      <c r="F61" s="171">
        <f t="shared" si="6"/>
        <v>0</v>
      </c>
      <c r="G61" s="171">
        <f>SUM(G25:G60)</f>
        <v>1263308</v>
      </c>
      <c r="H61" s="186">
        <f t="shared" si="5"/>
        <v>0.14425678252659821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'[73]Sch C'!D57</f>
        <v>0</v>
      </c>
      <c r="D64" s="501">
        <f>'[73]Sch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'[73]Sch C'!D58</f>
        <v>454349</v>
      </c>
      <c r="D65" s="501">
        <f>'[73]Sch C'!F58</f>
        <v>0</v>
      </c>
      <c r="E65" s="171">
        <f t="shared" si="7"/>
        <v>454349</v>
      </c>
      <c r="F65" s="171"/>
      <c r="G65" s="171">
        <f t="shared" si="8"/>
        <v>454349</v>
      </c>
      <c r="H65" s="172">
        <f t="shared" si="9"/>
        <v>5.1881983557594324E-2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'[73]Sch C'!D59</f>
        <v>398364</v>
      </c>
      <c r="D66" s="501">
        <f>'[73]Sch C'!F59</f>
        <v>0</v>
      </c>
      <c r="E66" s="171">
        <f t="shared" si="7"/>
        <v>398364</v>
      </c>
      <c r="F66" s="171"/>
      <c r="G66" s="171">
        <f t="shared" si="8"/>
        <v>398364</v>
      </c>
      <c r="H66" s="172">
        <f t="shared" si="9"/>
        <v>4.5489072272498689E-2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'[73]Sch C'!D60</f>
        <v>74773</v>
      </c>
      <c r="D67" s="501">
        <f>'[73]Sch C'!F60</f>
        <v>0</v>
      </c>
      <c r="E67" s="171">
        <f t="shared" si="7"/>
        <v>74773</v>
      </c>
      <c r="F67" s="171"/>
      <c r="G67" s="171">
        <f t="shared" si="8"/>
        <v>74773</v>
      </c>
      <c r="H67" s="172">
        <f t="shared" si="9"/>
        <v>8.5383076809941259E-3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'[73]Sch C'!D61</f>
        <v>0</v>
      </c>
      <c r="D68" s="501">
        <f>'[73]Sch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'[73]Sch C'!D62</f>
        <v>0</v>
      </c>
      <c r="D69" s="501">
        <f>'[73]Sch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'[73]Sch C'!D63</f>
        <v>0</v>
      </c>
      <c r="D70" s="501">
        <f>'[73]Sch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'[73]Sch C'!D64</f>
        <v>0</v>
      </c>
      <c r="D71" s="501">
        <f>'[73]Sch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'[73]Sch C'!D65</f>
        <v>2610</v>
      </c>
      <c r="D72" s="501">
        <f>'[73]Sch C'!F65</f>
        <v>0</v>
      </c>
      <c r="E72" s="171">
        <f t="shared" si="7"/>
        <v>2610</v>
      </c>
      <c r="F72" s="171"/>
      <c r="G72" s="171">
        <f t="shared" si="8"/>
        <v>2610</v>
      </c>
      <c r="H72" s="172">
        <f t="shared" si="9"/>
        <v>2.9803516038402457E-4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'[73]Sch C'!D66</f>
        <v>47030</v>
      </c>
      <c r="D73" s="501">
        <f>'[73]Sch C'!F66</f>
        <v>0</v>
      </c>
      <c r="E73" s="171">
        <f t="shared" si="7"/>
        <v>47030</v>
      </c>
      <c r="F73" s="171"/>
      <c r="G73" s="171">
        <f t="shared" si="8"/>
        <v>47030</v>
      </c>
      <c r="H73" s="172">
        <f t="shared" si="9"/>
        <v>5.3703423727435541E-3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'[73]Sch C'!D67</f>
        <v>0</v>
      </c>
      <c r="D74" s="501">
        <f>'[73]Sch C'!F67</f>
        <v>0</v>
      </c>
      <c r="E74" s="171">
        <f t="shared" si="7"/>
        <v>0</v>
      </c>
      <c r="F74" s="171"/>
      <c r="G74" s="171">
        <f t="shared" si="8"/>
        <v>0</v>
      </c>
      <c r="H74" s="172">
        <f t="shared" si="9"/>
        <v>0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'[73]Sch C'!D68</f>
        <v>0</v>
      </c>
      <c r="D75" s="501">
        <f>'[73]Sch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'[73]Sch C'!D69</f>
        <v>0</v>
      </c>
      <c r="D76" s="501">
        <f>'[73]Sch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'[73]Sch C'!D70</f>
        <v>0</v>
      </c>
      <c r="D77" s="501">
        <f>'[73]Sch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'[73]Sch C'!D71</f>
        <v>0</v>
      </c>
      <c r="D78" s="501">
        <f>'[73]Sch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977126</v>
      </c>
      <c r="D79" s="501">
        <f>SUM(D64:D78)</f>
        <v>0</v>
      </c>
      <c r="E79" s="171">
        <f t="shared" ref="E79:F79" si="10">SUM(E64:E78)</f>
        <v>977126</v>
      </c>
      <c r="F79" s="171">
        <f t="shared" si="10"/>
        <v>0</v>
      </c>
      <c r="G79" s="171">
        <f>SUM(G64:G78)</f>
        <v>977126</v>
      </c>
      <c r="H79" s="172">
        <f t="shared" si="9"/>
        <v>0.11157774104421471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'[73]Sch C'!D75</f>
        <v>50637</v>
      </c>
      <c r="D82" s="501">
        <f>'[73]Sch C'!F75</f>
        <v>0</v>
      </c>
      <c r="E82" s="171">
        <f t="shared" ref="E82:E92" si="11">C82+D82</f>
        <v>50637</v>
      </c>
      <c r="F82" s="171"/>
      <c r="G82" s="171">
        <f t="shared" ref="G82:G92" si="12">E82+F82</f>
        <v>50637</v>
      </c>
      <c r="H82" s="172">
        <f t="shared" ref="H82:H93" si="13">IF($G$208=0,0,G82/$G$208)</f>
        <v>5.7822246805999435E-3</v>
      </c>
      <c r="I82" s="473"/>
      <c r="J82" s="183">
        <v>2107</v>
      </c>
      <c r="K82" s="183">
        <v>2299</v>
      </c>
    </row>
    <row r="83" spans="1:11" s="167" customFormat="1">
      <c r="A83" s="169" t="s">
        <v>86</v>
      </c>
      <c r="B83" s="199" t="s">
        <v>45</v>
      </c>
      <c r="C83" s="501">
        <f>'[73]Sch C'!D76</f>
        <v>0</v>
      </c>
      <c r="D83" s="501">
        <f>'[73]Sch C'!F76</f>
        <v>8054</v>
      </c>
      <c r="E83" s="171">
        <f t="shared" si="11"/>
        <v>8054</v>
      </c>
      <c r="F83" s="171"/>
      <c r="G83" s="171">
        <f t="shared" si="12"/>
        <v>8054</v>
      </c>
      <c r="H83" s="172">
        <f t="shared" si="13"/>
        <v>9.1968397767545364E-4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'[73]Sch C'!D77</f>
        <v>41436</v>
      </c>
      <c r="D84" s="501">
        <f>'[73]Sch C'!F77</f>
        <v>0</v>
      </c>
      <c r="E84" s="171">
        <f t="shared" si="11"/>
        <v>41436</v>
      </c>
      <c r="F84" s="171"/>
      <c r="G84" s="171">
        <f t="shared" si="12"/>
        <v>41436</v>
      </c>
      <c r="H84" s="172">
        <f t="shared" si="13"/>
        <v>4.7315650979587905E-3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'[73]Sch C'!D78</f>
        <v>790</v>
      </c>
      <c r="D85" s="501">
        <f>'[73]Sch C'!F78</f>
        <v>0</v>
      </c>
      <c r="E85" s="171">
        <f t="shared" si="11"/>
        <v>790</v>
      </c>
      <c r="F85" s="171"/>
      <c r="G85" s="171">
        <f t="shared" si="12"/>
        <v>790</v>
      </c>
      <c r="H85" s="172">
        <f t="shared" si="13"/>
        <v>9.0209876131563E-5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'[73]Sch C'!D79</f>
        <v>58563</v>
      </c>
      <c r="D86" s="501">
        <f>'[73]Sch C'!F79</f>
        <v>0</v>
      </c>
      <c r="E86" s="171">
        <f t="shared" si="11"/>
        <v>58563</v>
      </c>
      <c r="F86" s="171"/>
      <c r="G86" s="171">
        <f>E86+F86</f>
        <v>58563</v>
      </c>
      <c r="H86" s="172">
        <f t="shared" si="13"/>
        <v>6.6872923745477514E-3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'[73]Sch C'!D80</f>
        <v>24148</v>
      </c>
      <c r="D87" s="501">
        <f>'[73]Sch C'!F80</f>
        <v>0</v>
      </c>
      <c r="E87" s="171">
        <f t="shared" si="11"/>
        <v>24148</v>
      </c>
      <c r="F87" s="171"/>
      <c r="G87" s="171">
        <f t="shared" si="12"/>
        <v>24148</v>
      </c>
      <c r="H87" s="172">
        <f t="shared" si="13"/>
        <v>2.7574532769936498E-3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'[73]Sch C'!D81</f>
        <v>5033</v>
      </c>
      <c r="D88" s="501">
        <f>'[73]Sch C'!F81</f>
        <v>0</v>
      </c>
      <c r="E88" s="171">
        <f t="shared" si="11"/>
        <v>5033</v>
      </c>
      <c r="F88" s="171"/>
      <c r="G88" s="171">
        <f t="shared" si="12"/>
        <v>5033</v>
      </c>
      <c r="H88" s="172">
        <f t="shared" si="13"/>
        <v>5.7471684375969185E-4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'[73]Sch C'!D82</f>
        <v>-8650</v>
      </c>
      <c r="D89" s="501">
        <f>'[73]Sch C'!F82</f>
        <v>0</v>
      </c>
      <c r="E89" s="171">
        <f t="shared" si="11"/>
        <v>-8650</v>
      </c>
      <c r="F89" s="171"/>
      <c r="G89" s="171">
        <f t="shared" si="12"/>
        <v>-8650</v>
      </c>
      <c r="H89" s="172">
        <f t="shared" si="13"/>
        <v>-9.877410487823036E-4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'[73]Sch C'!D83</f>
        <v>9966</v>
      </c>
      <c r="D90" s="501">
        <f>'[73]Sch C'!F83</f>
        <v>0</v>
      </c>
      <c r="E90" s="171">
        <f t="shared" si="11"/>
        <v>9966</v>
      </c>
      <c r="F90" s="171"/>
      <c r="G90" s="171">
        <f t="shared" si="12"/>
        <v>9966</v>
      </c>
      <c r="H90" s="172">
        <f t="shared" si="13"/>
        <v>1.1380147158571606E-3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'[73]Sch C'!D84</f>
        <v>122589</v>
      </c>
      <c r="D91" s="501">
        <f>'[73]Sch C'!F84</f>
        <v>0</v>
      </c>
      <c r="E91" s="171">
        <f t="shared" si="11"/>
        <v>122589</v>
      </c>
      <c r="F91" s="171"/>
      <c r="G91" s="171">
        <f t="shared" si="12"/>
        <v>122589</v>
      </c>
      <c r="H91" s="172">
        <f t="shared" si="13"/>
        <v>1.3998403171002755E-2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'[73]Sch C'!D85</f>
        <v>0</v>
      </c>
      <c r="D92" s="501">
        <f>'[73]Sch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304512</v>
      </c>
      <c r="D93" s="501">
        <f>SUM(D82:D92)</f>
        <v>8054</v>
      </c>
      <c r="E93" s="171">
        <f t="shared" ref="E93:F93" si="14">SUM(E82:E92)</f>
        <v>312566</v>
      </c>
      <c r="F93" s="171">
        <f t="shared" si="14"/>
        <v>0</v>
      </c>
      <c r="G93" s="171">
        <f>SUM(G82:G92)</f>
        <v>312566</v>
      </c>
      <c r="H93" s="172">
        <f t="shared" si="13"/>
        <v>3.5691822965744455E-2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'[73]Sch C'!D89</f>
        <v>345019</v>
      </c>
      <c r="D96" s="501">
        <f>'[73]Sch C'!F89</f>
        <v>0</v>
      </c>
      <c r="E96" s="171">
        <f t="shared" ref="E96:E101" si="15">C96+D96</f>
        <v>345019</v>
      </c>
      <c r="F96" s="171"/>
      <c r="G96" s="171">
        <f t="shared" ref="G96:G101" si="16">E96+F96</f>
        <v>345019</v>
      </c>
      <c r="H96" s="172">
        <f t="shared" ref="H96:H102" si="17">IF($G$208=0,0,G96/$G$208)</f>
        <v>3.9397621839285739E-2</v>
      </c>
      <c r="I96" s="473"/>
      <c r="J96" s="183">
        <v>26376</v>
      </c>
      <c r="K96" s="183">
        <v>27881</v>
      </c>
    </row>
    <row r="97" spans="1:11" s="167" customFormat="1">
      <c r="A97" s="169" t="s">
        <v>86</v>
      </c>
      <c r="B97" s="170" t="s">
        <v>45</v>
      </c>
      <c r="C97" s="501">
        <f>'[73]Sch C'!D90</f>
        <v>0</v>
      </c>
      <c r="D97" s="501">
        <f>'[73]Sch C'!F90</f>
        <v>54875</v>
      </c>
      <c r="E97" s="171">
        <f t="shared" si="15"/>
        <v>54875</v>
      </c>
      <c r="F97" s="171"/>
      <c r="G97" s="171">
        <f t="shared" si="16"/>
        <v>54875</v>
      </c>
      <c r="H97" s="172">
        <f t="shared" si="17"/>
        <v>6.2661606996449615E-3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'[73]Sch C'!D91</f>
        <v>10379</v>
      </c>
      <c r="D98" s="501">
        <f>'[73]Sch C'!F91</f>
        <v>0</v>
      </c>
      <c r="E98" s="171">
        <f t="shared" si="15"/>
        <v>10379</v>
      </c>
      <c r="F98" s="171"/>
      <c r="G98" s="171">
        <f t="shared" si="16"/>
        <v>10379</v>
      </c>
      <c r="H98" s="172">
        <f t="shared" si="17"/>
        <v>1.1851750688221421E-3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'[73]Sch C'!D92</f>
        <v>221402</v>
      </c>
      <c r="D99" s="501">
        <f>'[73]Sch C'!F92</f>
        <v>-450</v>
      </c>
      <c r="E99" s="171">
        <f t="shared" si="15"/>
        <v>220952</v>
      </c>
      <c r="F99" s="171"/>
      <c r="G99" s="171">
        <f t="shared" si="16"/>
        <v>220952</v>
      </c>
      <c r="H99" s="172">
        <f t="shared" si="17"/>
        <v>2.5230446267115327E-2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'[73]Sch C'!D93</f>
        <v>28273</v>
      </c>
      <c r="D100" s="501">
        <f>'[73]Sch C'!F93</f>
        <v>0</v>
      </c>
      <c r="E100" s="171">
        <f t="shared" si="15"/>
        <v>28273</v>
      </c>
      <c r="F100" s="171"/>
      <c r="G100" s="171">
        <f t="shared" si="16"/>
        <v>28273</v>
      </c>
      <c r="H100" s="172">
        <f t="shared" si="17"/>
        <v>3.2284858580603551E-3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'[73]Sch C'!D94</f>
        <v>-371</v>
      </c>
      <c r="D101" s="501">
        <f>'[73]Sch C'!F94</f>
        <v>0</v>
      </c>
      <c r="E101" s="171">
        <f t="shared" si="15"/>
        <v>-371</v>
      </c>
      <c r="F101" s="171"/>
      <c r="G101" s="171">
        <f t="shared" si="16"/>
        <v>-371</v>
      </c>
      <c r="H101" s="172">
        <f t="shared" si="17"/>
        <v>-4.2364384866847941E-5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604702</v>
      </c>
      <c r="D102" s="501">
        <f>SUM(D96:D101)</f>
        <v>54425</v>
      </c>
      <c r="E102" s="171">
        <f t="shared" ref="E102:F102" si="18">SUM(E96:E101)</f>
        <v>659127</v>
      </c>
      <c r="F102" s="171">
        <f t="shared" si="18"/>
        <v>0</v>
      </c>
      <c r="G102" s="171">
        <f>SUM(G96:G101)</f>
        <v>659127</v>
      </c>
      <c r="H102" s="172">
        <f t="shared" si="17"/>
        <v>7.5265525348061676E-2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'[73]Sch C'!D98</f>
        <v>0</v>
      </c>
      <c r="D105" s="501">
        <f>'[73]Sch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'[73]Sch C'!D99</f>
        <v>0</v>
      </c>
      <c r="D106" s="501">
        <f>'[73]Sch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'[73]Sch C'!D100</f>
        <v>18710</v>
      </c>
      <c r="D107" s="501">
        <f>'[73]Sch C'!F100</f>
        <v>0</v>
      </c>
      <c r="E107" s="171">
        <f t="shared" si="19"/>
        <v>18710</v>
      </c>
      <c r="F107" s="171"/>
      <c r="G107" s="171">
        <f t="shared" si="20"/>
        <v>18710</v>
      </c>
      <c r="H107" s="172">
        <f t="shared" si="21"/>
        <v>2.136489598001954E-3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'[73]Sch C'!D101</f>
        <v>0</v>
      </c>
      <c r="D108" s="501">
        <f>'[73]Sch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'[73]Sch C'!D102</f>
        <v>8209</v>
      </c>
      <c r="D109" s="501">
        <f>'[73]Sch C'!F102</f>
        <v>0</v>
      </c>
      <c r="E109" s="171">
        <f t="shared" si="19"/>
        <v>8209</v>
      </c>
      <c r="F109" s="171"/>
      <c r="G109" s="171">
        <f t="shared" si="20"/>
        <v>8209</v>
      </c>
      <c r="H109" s="172">
        <f t="shared" si="21"/>
        <v>9.3738338375189958E-4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'[73]Sch C'!D103</f>
        <v>0</v>
      </c>
      <c r="D110" s="501">
        <f>'[73]Sch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26919</v>
      </c>
      <c r="D111" s="501">
        <f>SUM(D105:D110)</f>
        <v>0</v>
      </c>
      <c r="E111" s="171">
        <f t="shared" ref="E111:F111" si="22">SUM(E105:E110)</f>
        <v>26919</v>
      </c>
      <c r="F111" s="171">
        <f t="shared" si="22"/>
        <v>0</v>
      </c>
      <c r="G111" s="171">
        <f>SUM(G105:G110)</f>
        <v>26919</v>
      </c>
      <c r="H111" s="172">
        <f t="shared" si="21"/>
        <v>3.0738729817538536E-3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'[73]Sch C'!D115</f>
        <v>129927</v>
      </c>
      <c r="D114" s="501">
        <f>'[73]Sch C'!F115</f>
        <v>0</v>
      </c>
      <c r="E114" s="171">
        <f t="shared" ref="E114:E118" si="23">C114+D114</f>
        <v>129927</v>
      </c>
      <c r="F114" s="171"/>
      <c r="G114" s="171">
        <f>E114+F114</f>
        <v>129927</v>
      </c>
      <c r="H114" s="172">
        <f t="shared" ref="H114:H119" si="24">IF($G$208=0,0,G114/$G$208)</f>
        <v>1.483632731157669E-2</v>
      </c>
      <c r="I114" s="473"/>
      <c r="J114" s="183">
        <v>13007</v>
      </c>
      <c r="K114" s="183">
        <v>13655</v>
      </c>
    </row>
    <row r="115" spans="1:11" s="167" customFormat="1">
      <c r="A115" s="169" t="s">
        <v>86</v>
      </c>
      <c r="B115" s="170" t="s">
        <v>151</v>
      </c>
      <c r="C115" s="501">
        <f>'[73]Sch C'!D116</f>
        <v>0</v>
      </c>
      <c r="D115" s="501">
        <f>'[73]Sch C'!F116</f>
        <v>20665</v>
      </c>
      <c r="E115" s="171">
        <f t="shared" si="23"/>
        <v>20665</v>
      </c>
      <c r="F115" s="171"/>
      <c r="G115" s="171">
        <f>E115+F115</f>
        <v>20665</v>
      </c>
      <c r="H115" s="172">
        <f t="shared" si="24"/>
        <v>2.3597304939984168E-3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'[73]Sch C'!D117</f>
        <v>22670</v>
      </c>
      <c r="D116" s="501">
        <f>'[73]Sch C'!F117</f>
        <v>0</v>
      </c>
      <c r="E116" s="171">
        <f t="shared" si="23"/>
        <v>22670</v>
      </c>
      <c r="F116" s="171"/>
      <c r="G116" s="171">
        <f>E116+F116</f>
        <v>22670</v>
      </c>
      <c r="H116" s="172">
        <f t="shared" si="24"/>
        <v>2.5886808758259915E-3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'[73]Sch C'!D118</f>
        <v>0</v>
      </c>
      <c r="D117" s="501">
        <f>'[73]Sch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'[73]Sch C'!D119</f>
        <v>-1915</v>
      </c>
      <c r="D118" s="501">
        <f>'[73]Sch C'!F119</f>
        <v>0</v>
      </c>
      <c r="E118" s="171">
        <f t="shared" si="23"/>
        <v>-1915</v>
      </c>
      <c r="F118" s="171"/>
      <c r="G118" s="171">
        <f>E118+F118</f>
        <v>-1915</v>
      </c>
      <c r="H118" s="172">
        <f t="shared" si="24"/>
        <v>-2.1867330733157359E-4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150682</v>
      </c>
      <c r="D119" s="501">
        <f>SUM(D114:D118)</f>
        <v>20665</v>
      </c>
      <c r="E119" s="171">
        <f t="shared" ref="E119:F119" si="25">SUM(E114:E118)</f>
        <v>171347</v>
      </c>
      <c r="F119" s="171">
        <f t="shared" si="25"/>
        <v>0</v>
      </c>
      <c r="G119" s="171">
        <f>SUM(G114:G118)</f>
        <v>171347</v>
      </c>
      <c r="H119" s="172">
        <f t="shared" si="24"/>
        <v>1.9566065374069526E-2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'[73]Sch C'!D124</f>
        <v>0</v>
      </c>
      <c r="D123" s="501">
        <f>'[73]Sch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'[73]Sch C'!D125</f>
        <v>501707</v>
      </c>
      <c r="D124" s="501">
        <f>'[73]Sch C'!F125</f>
        <v>0</v>
      </c>
      <c r="E124" s="171">
        <f t="shared" si="26"/>
        <v>501707</v>
      </c>
      <c r="F124" s="171"/>
      <c r="G124" s="171">
        <f>E124+F124</f>
        <v>501707</v>
      </c>
      <c r="H124" s="172">
        <f>IF($G$208=0,0,G124/$G$208)</f>
        <v>5.7289780157389968E-2</v>
      </c>
      <c r="I124" s="473"/>
      <c r="J124" s="183">
        <v>14572</v>
      </c>
      <c r="K124" s="183">
        <v>15639</v>
      </c>
    </row>
    <row r="125" spans="1:11" s="167" customFormat="1">
      <c r="A125" s="163" t="s">
        <v>198</v>
      </c>
      <c r="B125" s="163" t="s">
        <v>195</v>
      </c>
      <c r="C125" s="501">
        <f>'[73]Sch C'!D126</f>
        <v>0</v>
      </c>
      <c r="D125" s="501">
        <f>'[73]Sch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'[73]Sch C'!D127</f>
        <v>0</v>
      </c>
      <c r="D126" s="501">
        <f>'[73]Sch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'[73]Sch C'!D128</f>
        <v>25847</v>
      </c>
      <c r="D127" s="501">
        <f>'[73]Sch C'!F128</f>
        <v>0</v>
      </c>
      <c r="E127" s="171">
        <f t="shared" si="26"/>
        <v>25847</v>
      </c>
      <c r="F127" s="171"/>
      <c r="G127" s="171">
        <f>E127+F127</f>
        <v>25847</v>
      </c>
      <c r="H127" s="172">
        <f>IF($G$208=0,0,G127/$G$208)</f>
        <v>2.9514616055348213E-3</v>
      </c>
      <c r="I127" s="473"/>
      <c r="J127" s="183">
        <v>1526</v>
      </c>
      <c r="K127" s="183">
        <v>1702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'[73]Sch C'!D130</f>
        <v>0</v>
      </c>
      <c r="D129" s="501">
        <f>'[73]Sch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'[73]Sch C'!D131</f>
        <v>0</v>
      </c>
      <c r="D130" s="501">
        <f>'[73]Sch C'!F131</f>
        <v>48629</v>
      </c>
      <c r="E130" s="171">
        <f t="shared" si="27"/>
        <v>48629</v>
      </c>
      <c r="F130" s="171"/>
      <c r="G130" s="171">
        <f>E130+F130</f>
        <v>48629</v>
      </c>
      <c r="H130" s="172">
        <f>IF($G$208=0,0,G130/$G$208)</f>
        <v>5.5529317296225027E-3</v>
      </c>
      <c r="I130" s="473"/>
      <c r="J130" s="204"/>
      <c r="K130" s="204"/>
    </row>
    <row r="131" spans="1:11" s="167" customFormat="1">
      <c r="B131" s="163" t="s">
        <v>195</v>
      </c>
      <c r="C131" s="501">
        <f>'[73]Sch C'!D132</f>
        <v>0</v>
      </c>
      <c r="D131" s="501">
        <f>'[73]Sch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'[73]Sch C'!D133</f>
        <v>0</v>
      </c>
      <c r="D132" s="501">
        <f>'[73]Sch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'[73]Sch C'!D134</f>
        <v>0</v>
      </c>
      <c r="D133" s="501">
        <f>'[73]Sch C'!F134</f>
        <v>35278</v>
      </c>
      <c r="E133" s="171">
        <f t="shared" si="27"/>
        <v>35278</v>
      </c>
      <c r="F133" s="171"/>
      <c r="G133" s="171">
        <f>E133+F133</f>
        <v>35278</v>
      </c>
      <c r="H133" s="172">
        <f>IF($G$208=0,0,G133/$G$208)</f>
        <v>4.0283848229990876E-3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'[73]Sch C'!D136</f>
        <v>578037</v>
      </c>
      <c r="D135" s="501">
        <f>'[73]Sch C'!F136</f>
        <v>0</v>
      </c>
      <c r="E135" s="171">
        <f t="shared" ref="E135:E138" si="28">C135+D135</f>
        <v>578037</v>
      </c>
      <c r="F135" s="171"/>
      <c r="G135" s="171">
        <f>E135+F135</f>
        <v>578037</v>
      </c>
      <c r="H135" s="172">
        <f>IF($G$208=0,0,G135/$G$208)</f>
        <v>6.6005881227164914E-2</v>
      </c>
      <c r="I135" s="473"/>
      <c r="J135" s="183">
        <v>20641</v>
      </c>
      <c r="K135" s="183">
        <v>21526</v>
      </c>
    </row>
    <row r="136" spans="1:11" s="167" customFormat="1">
      <c r="A136" s="169"/>
      <c r="B136" s="163" t="s">
        <v>195</v>
      </c>
      <c r="C136" s="501">
        <f>'[73]Sch C'!D137</f>
        <v>451704</v>
      </c>
      <c r="D136" s="501">
        <f>'[73]Sch C'!F137</f>
        <v>0</v>
      </c>
      <c r="E136" s="171">
        <f t="shared" si="28"/>
        <v>451704</v>
      </c>
      <c r="F136" s="171"/>
      <c r="G136" s="171">
        <f>E136+F136</f>
        <v>451704</v>
      </c>
      <c r="H136" s="172">
        <f>IF($G$208=0,0,G136/$G$208)</f>
        <v>5.1579951757128518E-2</v>
      </c>
      <c r="I136" s="473"/>
      <c r="J136" s="183">
        <v>18910</v>
      </c>
      <c r="K136" s="183">
        <v>19649</v>
      </c>
    </row>
    <row r="137" spans="1:11" s="167" customFormat="1">
      <c r="A137" s="169"/>
      <c r="B137" s="163" t="s">
        <v>196</v>
      </c>
      <c r="C137" s="501">
        <f>'[73]Sch C'!D138</f>
        <v>932915</v>
      </c>
      <c r="D137" s="501">
        <f>'[73]Sch C'!F138</f>
        <v>0</v>
      </c>
      <c r="E137" s="171">
        <f t="shared" si="28"/>
        <v>932915</v>
      </c>
      <c r="F137" s="171"/>
      <c r="G137" s="171">
        <f>E137+F137</f>
        <v>932915</v>
      </c>
      <c r="H137" s="172">
        <f>IF($G$208=0,0,G137/$G$208)</f>
        <v>0.10652929948262924</v>
      </c>
      <c r="I137" s="473"/>
      <c r="J137" s="183">
        <v>77949</v>
      </c>
      <c r="K137" s="183">
        <v>80909</v>
      </c>
    </row>
    <row r="138" spans="1:11" s="167" customFormat="1">
      <c r="A138" s="169"/>
      <c r="B138" s="163" t="s">
        <v>197</v>
      </c>
      <c r="C138" s="501">
        <f>'[73]Sch C'!D139</f>
        <v>0</v>
      </c>
      <c r="D138" s="501">
        <f>'[73]Sch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208"/>
      <c r="K139" s="208"/>
    </row>
    <row r="140" spans="1:11" s="167" customFormat="1">
      <c r="A140" s="169"/>
      <c r="B140" s="163" t="s">
        <v>194</v>
      </c>
      <c r="C140" s="501">
        <f>'[73]Sch C'!D141</f>
        <v>0</v>
      </c>
      <c r="D140" s="501">
        <f>'[73]Sch C'!F141</f>
        <v>91936</v>
      </c>
      <c r="E140" s="171">
        <f t="shared" ref="E140:E143" si="29">C140+D140</f>
        <v>91936</v>
      </c>
      <c r="F140" s="171"/>
      <c r="G140" s="171">
        <f>E140+F140</f>
        <v>91936</v>
      </c>
      <c r="H140" s="172">
        <f>IF($G$208=0,0,G140/$G$208)</f>
        <v>1.0498145787381489E-2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'[73]Sch C'!D142</f>
        <v>0</v>
      </c>
      <c r="D141" s="501">
        <f>'[73]Sch C'!F142</f>
        <v>71843</v>
      </c>
      <c r="E141" s="171">
        <f t="shared" si="29"/>
        <v>71843</v>
      </c>
      <c r="F141" s="171"/>
      <c r="G141" s="171">
        <f>E141+F141</f>
        <v>71843</v>
      </c>
      <c r="H141" s="172">
        <f>IF($G$208=0,0,G141/$G$208)</f>
        <v>8.2037318112909881E-3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'[73]Sch C'!D143</f>
        <v>0</v>
      </c>
      <c r="D142" s="501">
        <f>'[73]Sch C'!F143</f>
        <v>148379</v>
      </c>
      <c r="E142" s="171">
        <f t="shared" si="29"/>
        <v>148379</v>
      </c>
      <c r="F142" s="171"/>
      <c r="G142" s="171">
        <f>E142+F142</f>
        <v>148379</v>
      </c>
      <c r="H142" s="172">
        <f>IF($G$208=0,0,G142/$G$208)</f>
        <v>1.6943355962690108E-2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'[73]Sch C'!D144</f>
        <v>0</v>
      </c>
      <c r="D143" s="501">
        <f>'[73]Sch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'[73]Sch C'!D146</f>
        <v>29917</v>
      </c>
      <c r="D145" s="501">
        <f>'[73]Sch C'!F146</f>
        <v>0</v>
      </c>
      <c r="E145" s="171">
        <f t="shared" ref="E145:E153" si="30">C145+D145</f>
        <v>29917</v>
      </c>
      <c r="F145" s="171"/>
      <c r="G145" s="171">
        <f t="shared" ref="G145:G153" si="31">E145+F145</f>
        <v>29917</v>
      </c>
      <c r="H145" s="172">
        <f t="shared" ref="H145:H153" si="32">IF($G$208=0,0,G145/$G$208)</f>
        <v>3.4162137521873042E-3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'[73]Sch C'!D147</f>
        <v>0</v>
      </c>
      <c r="D146" s="501">
        <f>'[73]Sch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'[73]Sch C'!D148</f>
        <v>0</v>
      </c>
      <c r="D147" s="501">
        <f>'[73]Sch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'[73]Sch C'!D149</f>
        <v>0</v>
      </c>
      <c r="D148" s="501">
        <f>'[73]Sch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'[73]Sch C'!D150</f>
        <v>29215</v>
      </c>
      <c r="D149" s="501">
        <f>'[73]Sch C'!F150</f>
        <v>0</v>
      </c>
      <c r="E149" s="171">
        <f t="shared" si="30"/>
        <v>29215</v>
      </c>
      <c r="F149" s="171"/>
      <c r="G149" s="171">
        <f t="shared" si="31"/>
        <v>29215</v>
      </c>
      <c r="H149" s="172">
        <f t="shared" si="32"/>
        <v>3.3360525711184975E-3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'[73]Sch C'!D151</f>
        <v>252437</v>
      </c>
      <c r="D150" s="501">
        <f>'[73]Sch C'!F151</f>
        <v>0</v>
      </c>
      <c r="E150" s="171">
        <f t="shared" si="30"/>
        <v>252437</v>
      </c>
      <c r="F150" s="171"/>
      <c r="G150" s="171">
        <f t="shared" si="31"/>
        <v>252437</v>
      </c>
      <c r="H150" s="172">
        <f t="shared" si="32"/>
        <v>2.8825709494966288E-2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'[73]Sch C'!D152</f>
        <v>1356</v>
      </c>
      <c r="D151" s="501">
        <f>'[73]Sch C'!F152</f>
        <v>0</v>
      </c>
      <c r="E151" s="171">
        <f t="shared" si="30"/>
        <v>1356</v>
      </c>
      <c r="F151" s="171"/>
      <c r="G151" s="171">
        <f t="shared" si="31"/>
        <v>1356</v>
      </c>
      <c r="H151" s="172">
        <f t="shared" si="32"/>
        <v>1.548412557397461E-4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'[73]Sch C'!D153</f>
        <v>0</v>
      </c>
      <c r="D152" s="501">
        <f>'[73]Sch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'[73]Sch C'!D154</f>
        <v>0</v>
      </c>
      <c r="D153" s="501">
        <f>'[73]Sch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'[73]Sch C'!D156</f>
        <v>0</v>
      </c>
      <c r="D155" s="501">
        <f>'[73]Sch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'[73]Sch C'!D157</f>
        <v>0</v>
      </c>
      <c r="D156" s="501">
        <f>'[73]Sch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'[73]Sch C'!D158</f>
        <v>0</v>
      </c>
      <c r="D157" s="501">
        <f>'[73]Sch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'[73]Sch C'!D159</f>
        <v>0</v>
      </c>
      <c r="D158" s="501">
        <f>'[73]Sch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'[73]Sch C'!D160</f>
        <v>0</v>
      </c>
      <c r="D159" s="501">
        <f>'[73]Sch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'[73]Sch C'!D161</f>
        <v>8385</v>
      </c>
      <c r="D160" s="501">
        <f>'[73]Sch C'!F161</f>
        <v>0</v>
      </c>
      <c r="E160" s="171">
        <f t="shared" si="33"/>
        <v>8385</v>
      </c>
      <c r="F160" s="171"/>
      <c r="G160" s="171">
        <f t="shared" si="34"/>
        <v>8385</v>
      </c>
      <c r="H160" s="172">
        <f t="shared" si="35"/>
        <v>9.5748077387741227E-4</v>
      </c>
      <c r="I160" s="61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2811520</v>
      </c>
      <c r="D161" s="501">
        <f>SUM(D123:D160)</f>
        <v>396065</v>
      </c>
      <c r="E161" s="171">
        <f t="shared" ref="E161:F161" si="36">SUM(E123:E160)</f>
        <v>3207585</v>
      </c>
      <c r="F161" s="171">
        <f t="shared" si="36"/>
        <v>0</v>
      </c>
      <c r="G161" s="171">
        <f>SUM(G123:G160)</f>
        <v>3207585</v>
      </c>
      <c r="H161" s="172">
        <f t="shared" si="35"/>
        <v>0.36627322219172087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'[73]Sch C'!D175</f>
        <v>0</v>
      </c>
      <c r="D164" s="501">
        <f>'[73]Sch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'[73]Sch C'!D176</f>
        <v>0</v>
      </c>
      <c r="D165" s="501">
        <f>'[73]Sch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'[73]Sch C'!D177</f>
        <v>345237</v>
      </c>
      <c r="D166" s="501">
        <f>'[73]Sch C'!F177</f>
        <v>0</v>
      </c>
      <c r="E166" s="171">
        <f t="shared" si="37"/>
        <v>345237</v>
      </c>
      <c r="F166" s="216"/>
      <c r="G166" s="171">
        <f t="shared" si="38"/>
        <v>345237</v>
      </c>
      <c r="H166" s="172">
        <f t="shared" si="39"/>
        <v>3.9422515197509382E-2</v>
      </c>
      <c r="I166" s="483"/>
      <c r="J166" s="183">
        <v>26696</v>
      </c>
      <c r="K166" s="183">
        <v>28312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'[73]Sch C'!D178</f>
        <v>0</v>
      </c>
      <c r="D167" s="501">
        <f>'[73]Sch C'!F178</f>
        <v>54910</v>
      </c>
      <c r="E167" s="171">
        <f t="shared" si="37"/>
        <v>54910</v>
      </c>
      <c r="F167" s="216"/>
      <c r="G167" s="171">
        <f t="shared" si="38"/>
        <v>54910</v>
      </c>
      <c r="H167" s="172">
        <f t="shared" si="39"/>
        <v>6.2701573397267391E-3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'[73]Sch C'!D179</f>
        <v>0</v>
      </c>
      <c r="D168" s="501">
        <f>'[73]Sch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'[73]Sch C'!D180</f>
        <v>0</v>
      </c>
      <c r="D169" s="501">
        <f>'[73]Sch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'[73]Sch C'!D181</f>
        <v>0</v>
      </c>
      <c r="D170" s="501">
        <f>'[73]Sch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'[73]Sch C'!D182</f>
        <v>0</v>
      </c>
      <c r="D171" s="501">
        <f>'[73]Sch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'[73]Sch C'!D183</f>
        <v>306727</v>
      </c>
      <c r="D172" s="501">
        <f>'[73]Sch C'!F183</f>
        <v>0</v>
      </c>
      <c r="E172" s="171">
        <f t="shared" si="37"/>
        <v>306727</v>
      </c>
      <c r="F172" s="216"/>
      <c r="G172" s="171">
        <f t="shared" si="38"/>
        <v>306727</v>
      </c>
      <c r="H172" s="172">
        <f t="shared" si="39"/>
        <v>3.5025069210387241E-2</v>
      </c>
      <c r="I172" s="483"/>
      <c r="J172" s="183">
        <v>16357</v>
      </c>
      <c r="K172" s="183">
        <v>17317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'[73]Sch C'!D184</f>
        <v>0</v>
      </c>
      <c r="D173" s="501">
        <f>'[73]Sch C'!F184</f>
        <v>48785</v>
      </c>
      <c r="E173" s="171">
        <f t="shared" si="37"/>
        <v>48785</v>
      </c>
      <c r="F173" s="216"/>
      <c r="G173" s="171">
        <f t="shared" si="38"/>
        <v>48785</v>
      </c>
      <c r="H173" s="172">
        <f t="shared" si="39"/>
        <v>5.5707453254155706E-3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'[73]Sch C'!D185</f>
        <v>0</v>
      </c>
      <c r="D174" s="501">
        <f>'[73]Sch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'[73]Sch C'!D186</f>
        <v>0</v>
      </c>
      <c r="D175" s="501">
        <f>'[73]Sch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'[73]Sch C'!D187</f>
        <v>0</v>
      </c>
      <c r="D176" s="501">
        <f>'[73]Sch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'[73]Sch C'!D188</f>
        <v>15062</v>
      </c>
      <c r="D177" s="501">
        <f>'[73]Sch C'!F188</f>
        <v>0</v>
      </c>
      <c r="E177" s="171">
        <f t="shared" si="37"/>
        <v>15062</v>
      </c>
      <c r="F177" s="216"/>
      <c r="G177" s="171">
        <f t="shared" si="38"/>
        <v>15062</v>
      </c>
      <c r="H177" s="172">
        <f t="shared" si="39"/>
        <v>1.719925511764053E-3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'[73]Sch C'!D189</f>
        <v>0</v>
      </c>
      <c r="D178" s="501">
        <f>'[73]Sch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'[73]Sch C'!D190</f>
        <v>0</v>
      </c>
      <c r="D179" s="501">
        <f>'[73]Sch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'[73]Sch C'!D191</f>
        <v>36</v>
      </c>
      <c r="D180" s="501">
        <f>'[73]Sch C'!F191</f>
        <v>0</v>
      </c>
      <c r="E180" s="171">
        <f t="shared" si="37"/>
        <v>36</v>
      </c>
      <c r="F180" s="216"/>
      <c r="G180" s="171">
        <f t="shared" si="38"/>
        <v>36</v>
      </c>
      <c r="H180" s="172">
        <f t="shared" si="39"/>
        <v>4.1108297984003395E-6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'[73]Sch C'!D192</f>
        <v>0</v>
      </c>
      <c r="D181" s="501">
        <f>'[73]Sch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'[73]Sch C'!D193</f>
        <v>0</v>
      </c>
      <c r="D182" s="501">
        <f>'[73]Sch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'[73]Sch C'!D194</f>
        <v>227754</v>
      </c>
      <c r="D183" s="501">
        <f>'[73]Sch C'!F194</f>
        <v>0</v>
      </c>
      <c r="E183" s="171">
        <f t="shared" si="37"/>
        <v>227754</v>
      </c>
      <c r="F183" s="216"/>
      <c r="G183" s="171">
        <f t="shared" si="38"/>
        <v>227754</v>
      </c>
      <c r="H183" s="172">
        <f t="shared" si="39"/>
        <v>2.6007164719579746E-2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'[73]Sch C'!D195</f>
        <v>78141</v>
      </c>
      <c r="D184" s="501">
        <f>'[73]Sch C'!F195</f>
        <v>0</v>
      </c>
      <c r="E184" s="171">
        <f t="shared" si="37"/>
        <v>78141</v>
      </c>
      <c r="F184" s="216"/>
      <c r="G184" s="171">
        <f t="shared" si="38"/>
        <v>78141</v>
      </c>
      <c r="H184" s="172">
        <f t="shared" si="39"/>
        <v>8.922898646577802E-3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'[73]Sch C'!D196</f>
        <v>0</v>
      </c>
      <c r="D185" s="501">
        <f>'[73]Sch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'[73]Sch C'!D197</f>
        <v>190108</v>
      </c>
      <c r="D186" s="501">
        <f>'[73]Sch C'!F197</f>
        <v>0</v>
      </c>
      <c r="E186" s="171">
        <f t="shared" si="37"/>
        <v>190108</v>
      </c>
      <c r="F186" s="216"/>
      <c r="G186" s="171">
        <f t="shared" si="38"/>
        <v>190108</v>
      </c>
      <c r="H186" s="172">
        <f t="shared" si="39"/>
        <v>2.1708378647619212E-2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'[73]Sch C'!D198</f>
        <v>166586</v>
      </c>
      <c r="D187" s="501">
        <f>'[73]Sch C'!F198</f>
        <v>0</v>
      </c>
      <c r="E187" s="171">
        <f t="shared" si="37"/>
        <v>166586</v>
      </c>
      <c r="F187" s="216"/>
      <c r="G187" s="171">
        <f t="shared" si="38"/>
        <v>166586</v>
      </c>
      <c r="H187" s="172">
        <f t="shared" si="39"/>
        <v>1.902240813323108E-2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'[73]Sch C'!D199</f>
        <v>0</v>
      </c>
      <c r="D188" s="501">
        <f>'[73]Sch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'[73]Sch C'!D200</f>
        <v>390</v>
      </c>
      <c r="D189" s="501">
        <f>'[73]Sch C'!F200</f>
        <v>0</v>
      </c>
      <c r="E189" s="171">
        <f t="shared" si="37"/>
        <v>390</v>
      </c>
      <c r="F189" s="216"/>
      <c r="G189" s="171">
        <f t="shared" si="38"/>
        <v>390</v>
      </c>
      <c r="H189" s="172">
        <f t="shared" si="39"/>
        <v>4.4533989482670342E-5</v>
      </c>
      <c r="I189" s="620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'[73]Sch C'!D201</f>
        <v>0</v>
      </c>
      <c r="D190" s="501">
        <f>'[73]Sch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'[73]Sch C'!D202</f>
        <v>0</v>
      </c>
      <c r="D191" s="501">
        <f>'[73]Sch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'[73]Sch C'!D203</f>
        <v>0</v>
      </c>
      <c r="D192" s="501">
        <f>'[73]Sch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'[73]Sch C'!D204</f>
        <v>0</v>
      </c>
      <c r="D193" s="501">
        <f>'[73]Sch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'[73]Sch C'!D205</f>
        <v>549268</v>
      </c>
      <c r="D194" s="501">
        <f>'[73]Sch C'!F205</f>
        <v>0</v>
      </c>
      <c r="E194" s="171">
        <f t="shared" si="37"/>
        <v>549268</v>
      </c>
      <c r="F194" s="216"/>
      <c r="G194" s="171">
        <f t="shared" si="38"/>
        <v>549268</v>
      </c>
      <c r="H194" s="172">
        <f t="shared" si="39"/>
        <v>6.2720757269659935E-2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'[73]Sch C'!D206</f>
        <v>23843</v>
      </c>
      <c r="D195" s="501">
        <f>'[73]Sch C'!F206</f>
        <v>0</v>
      </c>
      <c r="E195" s="171">
        <f t="shared" si="37"/>
        <v>23843</v>
      </c>
      <c r="F195" s="216"/>
      <c r="G195" s="171">
        <f t="shared" si="38"/>
        <v>23843</v>
      </c>
      <c r="H195" s="172">
        <f t="shared" si="39"/>
        <v>2.7226254134238691E-3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'[73]Sch C'!D207</f>
        <v>500</v>
      </c>
      <c r="D196" s="501">
        <f>'[73]Sch C'!F207</f>
        <v>0</v>
      </c>
      <c r="E196" s="171">
        <f t="shared" si="37"/>
        <v>500</v>
      </c>
      <c r="F196" s="216"/>
      <c r="G196" s="171">
        <f t="shared" si="38"/>
        <v>500</v>
      </c>
      <c r="H196" s="172">
        <f t="shared" si="39"/>
        <v>5.7094858311115818E-5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1903652</v>
      </c>
      <c r="D197" s="501">
        <f>SUM(D164:D196)</f>
        <v>103695</v>
      </c>
      <c r="E197" s="171">
        <f t="shared" ref="E197:F197" si="40">SUM(E164:E196)</f>
        <v>2007347</v>
      </c>
      <c r="F197" s="171">
        <f t="shared" si="40"/>
        <v>0</v>
      </c>
      <c r="G197" s="171">
        <f>SUM(G164:G196)</f>
        <v>2007347</v>
      </c>
      <c r="H197" s="172">
        <f>IF($G$208=0,0,G197/$G$208)</f>
        <v>0.22921838509248682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'[73]Sch C'!D211</f>
        <v>95404</v>
      </c>
      <c r="D200" s="501">
        <f>'[73]Sch C'!F211</f>
        <v>0</v>
      </c>
      <c r="E200" s="171">
        <f t="shared" ref="E200:E205" si="41">C200+D200</f>
        <v>95404</v>
      </c>
      <c r="F200" s="171"/>
      <c r="G200" s="171">
        <f t="shared" ref="G200:G205" si="42">E200+F200</f>
        <v>95404</v>
      </c>
      <c r="H200" s="172">
        <f t="shared" ref="H200:H206" si="43">IF($G$208=0,0,G200/$G$208)</f>
        <v>1.0894155724627387E-2</v>
      </c>
      <c r="I200" s="473"/>
      <c r="J200" s="183">
        <v>2912</v>
      </c>
      <c r="K200" s="183">
        <v>3156</v>
      </c>
    </row>
    <row r="201" spans="1:14" s="167" customFormat="1">
      <c r="A201" s="169" t="s">
        <v>86</v>
      </c>
      <c r="B201" s="170" t="s">
        <v>45</v>
      </c>
      <c r="C201" s="501">
        <f>'[73]Sch C'!D212</f>
        <v>0</v>
      </c>
      <c r="D201" s="501">
        <f>'[73]Sch C'!F212</f>
        <v>15174</v>
      </c>
      <c r="E201" s="171">
        <f t="shared" si="41"/>
        <v>15174</v>
      </c>
      <c r="F201" s="171"/>
      <c r="G201" s="171">
        <f t="shared" si="42"/>
        <v>15174</v>
      </c>
      <c r="H201" s="172">
        <f t="shared" si="43"/>
        <v>1.7327147600257429E-3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'[73]Sch C'!D213</f>
        <v>14841</v>
      </c>
      <c r="D202" s="501">
        <f>'[73]Sch C'!F213</f>
        <v>0</v>
      </c>
      <c r="E202" s="171">
        <f t="shared" si="41"/>
        <v>14841</v>
      </c>
      <c r="F202" s="171"/>
      <c r="G202" s="171">
        <f t="shared" si="42"/>
        <v>14841</v>
      </c>
      <c r="H202" s="172">
        <f t="shared" si="43"/>
        <v>1.6946895843905397E-3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'[73]Sch C'!D214</f>
        <v>0</v>
      </c>
      <c r="D203" s="501">
        <f>'[73]Sch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'[73]Sch C'!D215</f>
        <v>0</v>
      </c>
      <c r="D204" s="501">
        <f>'[73]Sch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'[73]Sch C'!D216</f>
        <v>6612</v>
      </c>
      <c r="D205" s="501">
        <f>'[73]Sch C'!F216</f>
        <v>0</v>
      </c>
      <c r="E205" s="171">
        <f t="shared" si="41"/>
        <v>6612</v>
      </c>
      <c r="F205" s="171"/>
      <c r="G205" s="171">
        <f t="shared" si="42"/>
        <v>6612</v>
      </c>
      <c r="H205" s="172">
        <f t="shared" si="43"/>
        <v>7.5502240630619566E-4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116857</v>
      </c>
      <c r="D206" s="501">
        <f>SUM(D200:D205)</f>
        <v>15174</v>
      </c>
      <c r="E206" s="171">
        <f t="shared" ref="E206:F206" si="44">SUM(E200:E205)</f>
        <v>132031</v>
      </c>
      <c r="F206" s="171">
        <f t="shared" si="44"/>
        <v>0</v>
      </c>
      <c r="G206" s="171">
        <f>SUM(G200:G205)</f>
        <v>132031</v>
      </c>
      <c r="H206" s="172">
        <f t="shared" si="43"/>
        <v>1.5076582475349865E-2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8985769</v>
      </c>
      <c r="D208" s="501">
        <f>SUM(D25:D206)/2</f>
        <v>-228413</v>
      </c>
      <c r="E208" s="171">
        <f t="shared" ref="E208:F208" si="45">SUM(E25:E206)/2</f>
        <v>8757356</v>
      </c>
      <c r="F208" s="171">
        <f t="shared" si="45"/>
        <v>0</v>
      </c>
      <c r="G208" s="171">
        <f>SUM(G25:G206)/2</f>
        <v>8757356</v>
      </c>
      <c r="H208" s="172">
        <f>IF($G$208=0,0,G208/$G$208)</f>
        <v>1</v>
      </c>
      <c r="I208" s="473"/>
      <c r="J208" s="183">
        <f>SUM(J25:J200)</f>
        <v>235749</v>
      </c>
      <c r="K208" s="183">
        <f>SUM(K25:K200)</f>
        <v>247752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'[73]Sch C'!D221</f>
        <v>8985769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942125</v>
      </c>
      <c r="D215" s="501">
        <f>D21-D208</f>
        <v>228413</v>
      </c>
      <c r="E215" s="171">
        <f t="shared" ref="E215:F215" si="46">E21-E208</f>
        <v>1170538</v>
      </c>
      <c r="F215" s="171">
        <f t="shared" si="46"/>
        <v>0</v>
      </c>
      <c r="G215" s="171">
        <f>G21-G208</f>
        <v>1170538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'[73]Sch D'!C9</f>
        <v>7305</v>
      </c>
      <c r="D219" s="530"/>
      <c r="E219" s="234">
        <f t="shared" ref="E219:G227" si="47">C219+D219</f>
        <v>7305</v>
      </c>
      <c r="F219" s="233"/>
      <c r="G219" s="234">
        <f t="shared" si="47"/>
        <v>7305</v>
      </c>
      <c r="H219" s="172">
        <f t="shared" ref="H219:H228" si="48">IF($G$228=0,0,G219/$G$228)</f>
        <v>0.29943433349729465</v>
      </c>
      <c r="I219" s="473"/>
      <c r="J219" s="168"/>
      <c r="K219" s="168"/>
    </row>
    <row r="220" spans="1:11">
      <c r="A220" s="163"/>
      <c r="B220" s="170" t="s">
        <v>217</v>
      </c>
      <c r="C220" s="530">
        <f>'[73]Sch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'[73]Sch D'!E9</f>
        <v>14037</v>
      </c>
      <c r="D221" s="530"/>
      <c r="E221" s="234">
        <f t="shared" si="49"/>
        <v>14037</v>
      </c>
      <c r="F221" s="233"/>
      <c r="G221" s="234">
        <f t="shared" si="47"/>
        <v>14037</v>
      </c>
      <c r="H221" s="172">
        <f t="shared" si="48"/>
        <v>0.57538121003443188</v>
      </c>
      <c r="I221" s="473"/>
      <c r="J221" s="168"/>
      <c r="K221" s="168"/>
    </row>
    <row r="222" spans="1:11">
      <c r="A222" s="163"/>
      <c r="B222" s="202" t="s">
        <v>334</v>
      </c>
      <c r="C222" s="530">
        <f>'[73]Sch D'!F9</f>
        <v>0</v>
      </c>
      <c r="D222" s="530"/>
      <c r="E222" s="234">
        <f>C222+D222</f>
        <v>0</v>
      </c>
      <c r="F222" s="233"/>
      <c r="G222" s="234">
        <f>E222+F222</f>
        <v>0</v>
      </c>
      <c r="H222" s="172">
        <f t="shared" si="48"/>
        <v>0</v>
      </c>
      <c r="I222" s="473"/>
      <c r="J222" s="168"/>
      <c r="K222" s="168"/>
    </row>
    <row r="223" spans="1:11">
      <c r="A223" s="163"/>
      <c r="B223" s="170" t="s">
        <v>73</v>
      </c>
      <c r="C223" s="530">
        <f>'[73]Sch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'[73]Sch D'!H9</f>
        <v>2833</v>
      </c>
      <c r="D224" s="530"/>
      <c r="E224" s="234">
        <f t="shared" si="49"/>
        <v>2833</v>
      </c>
      <c r="F224" s="233"/>
      <c r="G224" s="234">
        <f t="shared" si="47"/>
        <v>2833</v>
      </c>
      <c r="H224" s="172">
        <f t="shared" si="48"/>
        <v>0.1161255943597311</v>
      </c>
      <c r="I224" s="473"/>
      <c r="J224" s="168"/>
      <c r="K224" s="168"/>
    </row>
    <row r="225" spans="1:11">
      <c r="A225" s="163"/>
      <c r="B225" s="170" t="s">
        <v>236</v>
      </c>
      <c r="C225" s="530">
        <f>'[73]Sch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'[73]Sch D'!J9</f>
        <v>221</v>
      </c>
      <c r="D226" s="530"/>
      <c r="E226" s="234">
        <f>C226+D226</f>
        <v>221</v>
      </c>
      <c r="F226" s="233"/>
      <c r="G226" s="234">
        <f>E226+F226</f>
        <v>221</v>
      </c>
      <c r="H226" s="172">
        <f t="shared" si="48"/>
        <v>9.0588621085423843E-3</v>
      </c>
      <c r="I226" s="473"/>
      <c r="J226" s="168"/>
      <c r="K226" s="168"/>
    </row>
    <row r="227" spans="1:11">
      <c r="A227" s="163"/>
      <c r="B227" s="170" t="s">
        <v>179</v>
      </c>
      <c r="C227" s="530">
        <f>'[73]Sch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24396</v>
      </c>
      <c r="D228" s="530">
        <f>SUM(D219:D227)</f>
        <v>0</v>
      </c>
      <c r="E228" s="236">
        <f>SUM(E219:E227)</f>
        <v>24396</v>
      </c>
      <c r="F228" s="236">
        <f>SUM(F219:F227)</f>
        <v>0</v>
      </c>
      <c r="G228" s="236">
        <f>SUM(G219:G227)</f>
        <v>24396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455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'[73]Sch D'!N22</f>
        <v>119</v>
      </c>
      <c r="D231" s="502"/>
      <c r="E231" s="234">
        <f>C231+D231</f>
        <v>119</v>
      </c>
      <c r="F231" s="234"/>
      <c r="G231" s="234">
        <f>E231+F231</f>
        <v>119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'[73]Sch D'!N24</f>
        <v>119</v>
      </c>
      <c r="D232" s="502"/>
      <c r="E232" s="234">
        <f>C232+D232</f>
        <v>119</v>
      </c>
      <c r="F232" s="456">
        <v>-38</v>
      </c>
      <c r="G232" s="234">
        <f>E232+F232</f>
        <v>81</v>
      </c>
      <c r="H232" s="457" t="s">
        <v>603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'[73]Sch D'!N28</f>
        <v>43435</v>
      </c>
      <c r="D235" s="438"/>
      <c r="E235" s="233">
        <f>E231*E233</f>
        <v>43435</v>
      </c>
      <c r="F235" s="238"/>
      <c r="G235" s="233">
        <f>G231*G233</f>
        <v>43435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'[73]Sch D'!N30</f>
        <v>0.56166685852423159</v>
      </c>
      <c r="D236" s="238"/>
      <c r="E236" s="242">
        <f>E228/E235</f>
        <v>0.56166685852423159</v>
      </c>
      <c r="F236" s="243"/>
      <c r="G236" s="242">
        <f>G228/G235</f>
        <v>0.56166685852423159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'[73]Sch D'!N32</f>
        <v>0.16818234142972258</v>
      </c>
      <c r="D237" s="238"/>
      <c r="E237" s="242">
        <f>(E219+E220)/E235</f>
        <v>0.16818234142972258</v>
      </c>
      <c r="F237" s="243"/>
      <c r="G237" s="242">
        <f>(G219+G220)/G235</f>
        <v>0.16818234142972258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'[73]Sch D'!N34</f>
        <v>0.29943433349729465</v>
      </c>
      <c r="D238" s="238"/>
      <c r="E238" s="242">
        <f>(E237/E236)</f>
        <v>0.29943433349729465</v>
      </c>
      <c r="F238" s="243"/>
      <c r="G238" s="242">
        <f>(G237/G236)</f>
        <v>0.29943433349729465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'[73]Sch B'!C85</f>
        <v>118.60356347438753</v>
      </c>
      <c r="I241" s="475"/>
    </row>
    <row r="242" spans="2:9">
      <c r="B242" s="556"/>
      <c r="F242" s="142" t="s">
        <v>341</v>
      </c>
      <c r="G242" s="501">
        <f>'[73]Sch B'!E85</f>
        <v>118.60382513661202</v>
      </c>
      <c r="I242" s="475"/>
    </row>
    <row r="243" spans="2:9" ht="14">
      <c r="B243" s="557"/>
      <c r="F243" s="142" t="s">
        <v>342</v>
      </c>
      <c r="G243" s="501">
        <f>'[73]Sch B'!G85</f>
        <v>118.60393873085339</v>
      </c>
      <c r="I243" s="475"/>
    </row>
    <row r="244" spans="2:9" ht="14">
      <c r="B244" s="557"/>
      <c r="F244" s="142" t="s">
        <v>343</v>
      </c>
      <c r="G244" s="501">
        <f>'[73]Sch B'!I85</f>
        <v>118.60433604336043</v>
      </c>
      <c r="I244" s="475"/>
    </row>
    <row r="245" spans="2:9" ht="14">
      <c r="B245" s="557"/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E28CAB"/>
  </sheetPr>
  <dimension ref="A1:O246"/>
  <sheetViews>
    <sheetView showGridLines="0" topLeftCell="A35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429</v>
      </c>
      <c r="D2" s="144"/>
      <c r="E2" s="421"/>
    </row>
    <row r="3" spans="1:11">
      <c r="A3" s="145"/>
      <c r="B3" s="140" t="s">
        <v>79</v>
      </c>
      <c r="C3" s="441">
        <v>42552</v>
      </c>
      <c r="D3" s="402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'[74]Sch B'!E10</f>
        <v>193072</v>
      </c>
      <c r="D11" s="501">
        <f>'[74]Sch B'!G10</f>
        <v>0</v>
      </c>
      <c r="E11" s="171">
        <f>C11+D11</f>
        <v>193072</v>
      </c>
      <c r="F11" s="171"/>
      <c r="G11" s="171">
        <f t="shared" ref="G11:G20" si="0">E11+F11</f>
        <v>193072</v>
      </c>
      <c r="H11" s="172">
        <f t="shared" ref="H11:H21" si="1">IF($G$21=0,0,G11/$G$21)</f>
        <v>3.352085278582885E-2</v>
      </c>
      <c r="I11" s="473"/>
      <c r="J11" s="336" t="s">
        <v>344</v>
      </c>
      <c r="K11" s="337">
        <f>G21</f>
        <v>5759758</v>
      </c>
    </row>
    <row r="12" spans="1:11" s="167" customFormat="1">
      <c r="A12" s="169" t="s">
        <v>15</v>
      </c>
      <c r="B12" s="170" t="s">
        <v>212</v>
      </c>
      <c r="C12" s="501">
        <f>'[74]Sch B'!E15</f>
        <v>0</v>
      </c>
      <c r="D12" s="501">
        <f>'[74]Sch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5993789</v>
      </c>
    </row>
    <row r="13" spans="1:11" s="167" customFormat="1">
      <c r="A13" s="169" t="s">
        <v>16</v>
      </c>
      <c r="B13" s="170" t="s">
        <v>170</v>
      </c>
      <c r="C13" s="501">
        <f>'[74]Sch B'!E21</f>
        <v>3694970</v>
      </c>
      <c r="D13" s="501">
        <f>'[74]Sch B'!G21</f>
        <v>0</v>
      </c>
      <c r="E13" s="171">
        <f t="shared" si="2"/>
        <v>3694970</v>
      </c>
      <c r="F13" s="171"/>
      <c r="G13" s="171">
        <f t="shared" si="0"/>
        <v>3694970</v>
      </c>
      <c r="H13" s="172">
        <f t="shared" si="1"/>
        <v>0.64151479975373971</v>
      </c>
      <c r="I13" s="473"/>
      <c r="J13" s="338" t="s">
        <v>346</v>
      </c>
      <c r="K13" s="339">
        <f>G228</f>
        <v>13610</v>
      </c>
    </row>
    <row r="14" spans="1:11" s="167" customFormat="1">
      <c r="A14" s="173" t="s">
        <v>18</v>
      </c>
      <c r="B14" s="174" t="s">
        <v>306</v>
      </c>
      <c r="C14" s="501">
        <f>'[74]Sch B'!E27</f>
        <v>1197297</v>
      </c>
      <c r="D14" s="501">
        <f>'[74]Sch B'!G27</f>
        <v>0</v>
      </c>
      <c r="E14" s="171">
        <f t="shared" si="2"/>
        <v>1197297</v>
      </c>
      <c r="F14" s="175"/>
      <c r="G14" s="175">
        <f>E14+F14</f>
        <v>1197297</v>
      </c>
      <c r="H14" s="176">
        <f t="shared" si="1"/>
        <v>0.20787279604455605</v>
      </c>
      <c r="I14" s="479"/>
      <c r="J14" s="338" t="s">
        <v>347</v>
      </c>
      <c r="K14" s="339">
        <f>G231</f>
        <v>52</v>
      </c>
    </row>
    <row r="15" spans="1:11" s="167" customFormat="1">
      <c r="A15" s="169" t="s">
        <v>19</v>
      </c>
      <c r="B15" s="170" t="s">
        <v>171</v>
      </c>
      <c r="C15" s="501">
        <f>'[74]Sch B'!E32</f>
        <v>0</v>
      </c>
      <c r="D15" s="501">
        <f>'[74]Sch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18980</v>
      </c>
    </row>
    <row r="16" spans="1:11" s="167" customFormat="1">
      <c r="A16" s="169" t="s">
        <v>21</v>
      </c>
      <c r="B16" s="170" t="s">
        <v>172</v>
      </c>
      <c r="C16" s="501">
        <f>'[74]Sch B'!E37</f>
        <v>646376</v>
      </c>
      <c r="D16" s="501">
        <f>'[74]Sch B'!G37</f>
        <v>0</v>
      </c>
      <c r="E16" s="171">
        <f t="shared" si="2"/>
        <v>646376</v>
      </c>
      <c r="F16" s="171"/>
      <c r="G16" s="171">
        <f t="shared" si="0"/>
        <v>646376</v>
      </c>
      <c r="H16" s="172">
        <f t="shared" si="1"/>
        <v>0.11222277047056491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'[74]Sch B'!E42</f>
        <v>0</v>
      </c>
      <c r="D17" s="501">
        <f>'[74]Sch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138650</v>
      </c>
    </row>
    <row r="18" spans="1:11" s="167" customFormat="1" ht="13.5" thickBot="1">
      <c r="A18" s="169" t="s">
        <v>216</v>
      </c>
      <c r="B18" s="170" t="s">
        <v>229</v>
      </c>
      <c r="C18" s="501">
        <f>'[74]Sch B'!E47</f>
        <v>27708</v>
      </c>
      <c r="D18" s="501">
        <f>'[74]Sch B'!G47</f>
        <v>0</v>
      </c>
      <c r="E18" s="171">
        <f t="shared" si="2"/>
        <v>27708</v>
      </c>
      <c r="F18" s="171"/>
      <c r="G18" s="171">
        <f>E18+F18</f>
        <v>27708</v>
      </c>
      <c r="H18" s="172">
        <f t="shared" si="1"/>
        <v>4.810618779469554E-3</v>
      </c>
      <c r="I18" s="473"/>
      <c r="J18" s="341" t="s">
        <v>252</v>
      </c>
      <c r="K18" s="342">
        <f>K208</f>
        <v>149174</v>
      </c>
    </row>
    <row r="19" spans="1:11" s="167" customFormat="1">
      <c r="A19" s="169" t="s">
        <v>227</v>
      </c>
      <c r="B19" s="177" t="s">
        <v>173</v>
      </c>
      <c r="C19" s="501">
        <f>'[74]Sch B'!E52</f>
        <v>0</v>
      </c>
      <c r="D19" s="501">
        <f>'[74]Sch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'[74]Sch B'!E67</f>
        <v>335</v>
      </c>
      <c r="D20" s="501">
        <f>'[74]Sch B'!G67</f>
        <v>0</v>
      </c>
      <c r="E20" s="171">
        <f t="shared" si="2"/>
        <v>335</v>
      </c>
      <c r="F20" s="171"/>
      <c r="G20" s="171">
        <f t="shared" si="0"/>
        <v>335</v>
      </c>
      <c r="H20" s="172">
        <f t="shared" si="1"/>
        <v>5.8162165840995406E-5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5759758</v>
      </c>
      <c r="D21" s="501">
        <f>SUM(D11:D20)</f>
        <v>0</v>
      </c>
      <c r="E21" s="171">
        <f>SUM(E11:E20)</f>
        <v>5759758</v>
      </c>
      <c r="F21" s="171">
        <f>SUM(F11:F20)</f>
        <v>0</v>
      </c>
      <c r="G21" s="171">
        <f>SUM(G11:G20)</f>
        <v>5759758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'[74]Sch C'!D10</f>
        <v>103608</v>
      </c>
      <c r="D25" s="501">
        <f>'[74]Sch C'!F10</f>
        <v>0</v>
      </c>
      <c r="E25" s="171">
        <f t="shared" ref="E25:E60" si="3">C25+D25</f>
        <v>103608</v>
      </c>
      <c r="F25" s="171"/>
      <c r="G25" s="182">
        <f>E25+F25</f>
        <v>103608</v>
      </c>
      <c r="H25" s="172">
        <f>IF($G$208=0,0,G25/$G$208)</f>
        <v>1.728589378104568E-2</v>
      </c>
      <c r="I25" s="473"/>
      <c r="J25" s="183">
        <v>1932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'[74]Sch C'!D11</f>
        <v>0</v>
      </c>
      <c r="D26" s="501">
        <f>'[74]Sch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'[74]Sch C'!D12</f>
        <v>162776</v>
      </c>
      <c r="D27" s="501">
        <f>'[74]Sch C'!F12</f>
        <v>0</v>
      </c>
      <c r="E27" s="171">
        <f t="shared" si="3"/>
        <v>162776</v>
      </c>
      <c r="F27" s="171"/>
      <c r="G27" s="171">
        <f t="shared" si="4"/>
        <v>162776</v>
      </c>
      <c r="H27" s="172">
        <f t="shared" si="5"/>
        <v>2.7157445815993855E-2</v>
      </c>
      <c r="I27" s="473"/>
      <c r="J27" s="183">
        <v>5947</v>
      </c>
      <c r="K27" s="183">
        <v>6547</v>
      </c>
    </row>
    <row r="28" spans="1:11" s="167" customFormat="1">
      <c r="A28" s="169" t="s">
        <v>86</v>
      </c>
      <c r="B28" s="170" t="s">
        <v>45</v>
      </c>
      <c r="C28" s="501">
        <f>'[74]Sch C'!D13</f>
        <v>507431</v>
      </c>
      <c r="D28" s="501">
        <f>'[74]Sch C'!F13</f>
        <v>-458706</v>
      </c>
      <c r="E28" s="171">
        <f t="shared" si="3"/>
        <v>48725</v>
      </c>
      <c r="F28" s="171"/>
      <c r="G28" s="171">
        <f t="shared" si="4"/>
        <v>48725</v>
      </c>
      <c r="H28" s="172">
        <f t="shared" si="5"/>
        <v>8.1292484603645541E-3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'[74]Sch C'!D14</f>
        <v>0</v>
      </c>
      <c r="D29" s="501">
        <f>'[74]Sch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'[74]Sch C'!D15</f>
        <v>0</v>
      </c>
      <c r="D30" s="501">
        <f>'[74]Sch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'[74]Sch C'!D16</f>
        <v>232120</v>
      </c>
      <c r="D31" s="501">
        <f>'[74]Sch C'!F16</f>
        <v>-40556</v>
      </c>
      <c r="E31" s="171">
        <f t="shared" si="3"/>
        <v>191564</v>
      </c>
      <c r="F31" s="171"/>
      <c r="G31" s="171">
        <f t="shared" si="4"/>
        <v>191564</v>
      </c>
      <c r="H31" s="172">
        <f t="shared" si="5"/>
        <v>3.1960417692381227E-2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'[74]Sch C'!D17</f>
        <v>0</v>
      </c>
      <c r="D32" s="501">
        <f>'[74]Sch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'[74]Sch C'!D18</f>
        <v>5876</v>
      </c>
      <c r="D33" s="501">
        <f>'[74]Sch C'!F18</f>
        <v>0</v>
      </c>
      <c r="E33" s="171">
        <f t="shared" si="3"/>
        <v>5876</v>
      </c>
      <c r="F33" s="171"/>
      <c r="G33" s="171">
        <f t="shared" si="4"/>
        <v>5876</v>
      </c>
      <c r="H33" s="172">
        <f t="shared" si="5"/>
        <v>9.8034815706725745E-4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'[74]Sch C'!D19</f>
        <v>17885</v>
      </c>
      <c r="D34" s="501">
        <f>'[74]Sch C'!F19</f>
        <v>0</v>
      </c>
      <c r="E34" s="171">
        <f t="shared" si="3"/>
        <v>17885</v>
      </c>
      <c r="F34" s="171"/>
      <c r="G34" s="171">
        <f t="shared" si="4"/>
        <v>17885</v>
      </c>
      <c r="H34" s="172">
        <f t="shared" si="5"/>
        <v>2.9839221901204731E-3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'[74]Sch C'!D20</f>
        <v>20740</v>
      </c>
      <c r="D35" s="501">
        <f>'[74]Sch C'!F20</f>
        <v>0</v>
      </c>
      <c r="E35" s="171">
        <f t="shared" si="3"/>
        <v>20740</v>
      </c>
      <c r="F35" s="171"/>
      <c r="G35" s="171">
        <f t="shared" si="4"/>
        <v>20740</v>
      </c>
      <c r="H35" s="172">
        <f t="shared" si="5"/>
        <v>3.4602486006764669E-3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'[74]Sch C'!D21</f>
        <v>13121</v>
      </c>
      <c r="D36" s="501">
        <f>'[74]Sch C'!F21</f>
        <v>0</v>
      </c>
      <c r="E36" s="171">
        <f t="shared" si="3"/>
        <v>13121</v>
      </c>
      <c r="F36" s="171"/>
      <c r="G36" s="171">
        <f t="shared" si="4"/>
        <v>13121</v>
      </c>
      <c r="H36" s="172">
        <f t="shared" si="5"/>
        <v>2.1890994160788779E-3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'[74]Sch C'!D22</f>
        <v>0</v>
      </c>
      <c r="D37" s="501">
        <f>'[74]Sch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'[74]Sch C'!D23</f>
        <v>43141</v>
      </c>
      <c r="D38" s="501">
        <f>'[74]Sch C'!F23</f>
        <v>0</v>
      </c>
      <c r="E38" s="171">
        <f t="shared" si="3"/>
        <v>43141</v>
      </c>
      <c r="F38" s="171">
        <v>-37776</v>
      </c>
      <c r="G38" s="171">
        <f t="shared" si="4"/>
        <v>5365</v>
      </c>
      <c r="H38" s="172">
        <f t="shared" si="5"/>
        <v>8.950932373495297E-4</v>
      </c>
      <c r="I38" s="473" t="s">
        <v>680</v>
      </c>
      <c r="J38" s="168"/>
      <c r="K38" s="168"/>
    </row>
    <row r="39" spans="1:11" s="167" customFormat="1">
      <c r="A39" s="163">
        <v>150</v>
      </c>
      <c r="B39" s="170" t="s">
        <v>29</v>
      </c>
      <c r="C39" s="501">
        <f>'[74]Sch C'!D24</f>
        <v>2056</v>
      </c>
      <c r="D39" s="501">
        <f>'[74]Sch C'!F24</f>
        <v>0</v>
      </c>
      <c r="E39" s="171">
        <f t="shared" si="3"/>
        <v>2056</v>
      </c>
      <c r="F39" s="171">
        <v>37776</v>
      </c>
      <c r="G39" s="171">
        <f t="shared" si="4"/>
        <v>39832</v>
      </c>
      <c r="H39" s="172">
        <f t="shared" si="5"/>
        <v>6.6455459142789313E-3</v>
      </c>
      <c r="I39" s="473" t="s">
        <v>681</v>
      </c>
      <c r="J39" s="168"/>
      <c r="K39" s="168"/>
    </row>
    <row r="40" spans="1:11" s="167" customFormat="1">
      <c r="A40" s="163">
        <v>160</v>
      </c>
      <c r="B40" s="170" t="s">
        <v>30</v>
      </c>
      <c r="C40" s="501">
        <f>'[74]Sch C'!D25</f>
        <v>0</v>
      </c>
      <c r="D40" s="501">
        <f>'[74]Sch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'[74]Sch C'!D26</f>
        <v>62140</v>
      </c>
      <c r="D41" s="501">
        <f>'[74]Sch C'!F26</f>
        <v>0</v>
      </c>
      <c r="E41" s="171">
        <f t="shared" si="3"/>
        <v>62140</v>
      </c>
      <c r="F41" s="171"/>
      <c r="G41" s="171">
        <f t="shared" si="4"/>
        <v>62140</v>
      </c>
      <c r="H41" s="172">
        <f t="shared" si="5"/>
        <v>1.036739865217144E-2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'[74]Sch C'!D27</f>
        <v>0</v>
      </c>
      <c r="D42" s="501">
        <f>'[74]Sch C'!F27</f>
        <v>-75</v>
      </c>
      <c r="E42" s="171">
        <f t="shared" si="3"/>
        <v>-75</v>
      </c>
      <c r="F42" s="171"/>
      <c r="G42" s="171">
        <f t="shared" si="4"/>
        <v>-75</v>
      </c>
      <c r="H42" s="172">
        <f t="shared" si="5"/>
        <v>-1.2512952991838719E-5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'[74]Sch C'!D28</f>
        <v>0</v>
      </c>
      <c r="D43" s="501">
        <f>'[74]Sch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'[74]Sch C'!D29</f>
        <v>-55809</v>
      </c>
      <c r="D44" s="501">
        <f>'[74]Sch C'!F29</f>
        <v>55809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'[74]Sch C'!D30</f>
        <v>0</v>
      </c>
      <c r="D45" s="501">
        <f>'[74]Sch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'[74]Sch C'!D31</f>
        <v>50099</v>
      </c>
      <c r="D46" s="501">
        <f>'[74]Sch C'!F31</f>
        <v>0</v>
      </c>
      <c r="E46" s="171">
        <f t="shared" si="3"/>
        <v>50099</v>
      </c>
      <c r="F46" s="171"/>
      <c r="G46" s="171">
        <f t="shared" si="4"/>
        <v>50099</v>
      </c>
      <c r="H46" s="172">
        <f t="shared" si="5"/>
        <v>8.3584857591750394E-3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'[74]Sch C'!D32</f>
        <v>0</v>
      </c>
      <c r="D47" s="501">
        <f>'[74]Sch C'!F32</f>
        <v>0</v>
      </c>
      <c r="E47" s="171">
        <f t="shared" si="3"/>
        <v>0</v>
      </c>
      <c r="F47" s="171"/>
      <c r="G47" s="171">
        <f t="shared" si="4"/>
        <v>0</v>
      </c>
      <c r="H47" s="172">
        <f t="shared" si="5"/>
        <v>0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'[74]Sch C'!D33</f>
        <v>0</v>
      </c>
      <c r="D48" s="501">
        <f>'[74]Sch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'[74]Sch C'!D34</f>
        <v>0</v>
      </c>
      <c r="D49" s="501">
        <f>'[74]Sch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'[74]Sch C'!D35</f>
        <v>0</v>
      </c>
      <c r="D50" s="501">
        <f>'[74]Sch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'[74]Sch C'!D36</f>
        <v>75522</v>
      </c>
      <c r="D51" s="501">
        <f>'[74]Sch C'!F36</f>
        <v>0</v>
      </c>
      <c r="E51" s="171">
        <f t="shared" si="3"/>
        <v>75522</v>
      </c>
      <c r="F51" s="171"/>
      <c r="G51" s="171">
        <f t="shared" si="4"/>
        <v>75522</v>
      </c>
      <c r="H51" s="172">
        <f t="shared" si="5"/>
        <v>1.2600043144661916E-2</v>
      </c>
      <c r="I51" s="473"/>
      <c r="J51" s="183">
        <v>3811</v>
      </c>
      <c r="K51" s="183">
        <v>4198</v>
      </c>
    </row>
    <row r="52" spans="1:11" s="167" customFormat="1">
      <c r="A52" s="163">
        <v>290</v>
      </c>
      <c r="B52" s="170" t="s">
        <v>205</v>
      </c>
      <c r="C52" s="501">
        <f>'[74]Sch C'!D37</f>
        <v>0</v>
      </c>
      <c r="D52" s="501">
        <f>'[74]Sch C'!F37</f>
        <v>13814</v>
      </c>
      <c r="E52" s="171">
        <f t="shared" si="3"/>
        <v>13814</v>
      </c>
      <c r="F52" s="171"/>
      <c r="G52" s="171">
        <f t="shared" si="4"/>
        <v>13814</v>
      </c>
      <c r="H52" s="172">
        <f t="shared" si="5"/>
        <v>2.3047191017234675E-3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'[74]Sch C'!D38</f>
        <v>0</v>
      </c>
      <c r="D53" s="501">
        <f>'[74]Sch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'[74]Sch C'!D39</f>
        <v>6313</v>
      </c>
      <c r="D54" s="501">
        <f>'[74]Sch C'!F39</f>
        <v>0</v>
      </c>
      <c r="E54" s="171">
        <f t="shared" si="3"/>
        <v>6313</v>
      </c>
      <c r="F54" s="171"/>
      <c r="G54" s="171">
        <f t="shared" si="4"/>
        <v>6313</v>
      </c>
      <c r="H54" s="172">
        <f t="shared" si="5"/>
        <v>1.0532569631663711E-3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'[74]Sch C'!D40</f>
        <v>6501</v>
      </c>
      <c r="D55" s="501">
        <f>'[74]Sch C'!F40</f>
        <v>0</v>
      </c>
      <c r="E55" s="171">
        <f t="shared" si="3"/>
        <v>6501</v>
      </c>
      <c r="F55" s="171"/>
      <c r="G55" s="171">
        <f t="shared" si="4"/>
        <v>6501</v>
      </c>
      <c r="H55" s="172">
        <f t="shared" si="5"/>
        <v>1.08462276533258E-3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'[74]Sch C'!D41</f>
        <v>0</v>
      </c>
      <c r="D56" s="501">
        <f>'[74]Sch C'!F41</f>
        <v>0</v>
      </c>
      <c r="E56" s="171">
        <f t="shared" si="3"/>
        <v>0</v>
      </c>
      <c r="F56" s="171"/>
      <c r="G56" s="171">
        <f t="shared" si="4"/>
        <v>0</v>
      </c>
      <c r="H56" s="172">
        <f t="shared" si="5"/>
        <v>0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'[74]Sch C'!D42</f>
        <v>2097</v>
      </c>
      <c r="D57" s="501">
        <f>'[74]Sch C'!F42</f>
        <v>0</v>
      </c>
      <c r="E57" s="171">
        <f t="shared" si="3"/>
        <v>2097</v>
      </c>
      <c r="F57" s="171"/>
      <c r="G57" s="171">
        <f t="shared" si="4"/>
        <v>2097</v>
      </c>
      <c r="H57" s="172">
        <f t="shared" si="5"/>
        <v>3.4986216565181057E-4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'[74]Sch C'!D43</f>
        <v>11087</v>
      </c>
      <c r="D58" s="501">
        <f>'[74]Sch C'!F43</f>
        <v>0</v>
      </c>
      <c r="E58" s="171">
        <f t="shared" si="3"/>
        <v>11087</v>
      </c>
      <c r="F58" s="171"/>
      <c r="G58" s="171">
        <f t="shared" si="4"/>
        <v>11087</v>
      </c>
      <c r="H58" s="172">
        <f t="shared" si="5"/>
        <v>1.8497481309402116E-3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'[74]Sch C'!D44</f>
        <v>0</v>
      </c>
      <c r="D59" s="501">
        <f>'[74]Sch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'[74]Sch C'!D45</f>
        <v>13808</v>
      </c>
      <c r="D60" s="501">
        <f>'[74]Sch C'!F45</f>
        <v>305</v>
      </c>
      <c r="E60" s="171">
        <f t="shared" si="3"/>
        <v>14113</v>
      </c>
      <c r="F60" s="171"/>
      <c r="G60" s="171">
        <f t="shared" si="4"/>
        <v>14113</v>
      </c>
      <c r="H60" s="172">
        <f t="shared" si="5"/>
        <v>2.3546040743175978E-3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1280512</v>
      </c>
      <c r="D61" s="501">
        <f>SUM(D25:D60)</f>
        <v>-429409</v>
      </c>
      <c r="E61" s="171">
        <f t="shared" ref="E61:F61" si="6">SUM(E25:E60)</f>
        <v>851103</v>
      </c>
      <c r="F61" s="171">
        <f t="shared" si="6"/>
        <v>0</v>
      </c>
      <c r="G61" s="171">
        <f>SUM(G25:G60)</f>
        <v>851103</v>
      </c>
      <c r="H61" s="186">
        <f t="shared" si="5"/>
        <v>0.14199749106950546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'[74]Sch C'!D57</f>
        <v>0</v>
      </c>
      <c r="D64" s="501">
        <f>'[74]Sch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'[74]Sch C'!D58</f>
        <v>373385</v>
      </c>
      <c r="D65" s="501">
        <f>'[74]Sch C'!F58</f>
        <v>0</v>
      </c>
      <c r="E65" s="171">
        <f t="shared" si="7"/>
        <v>373385</v>
      </c>
      <c r="F65" s="171"/>
      <c r="G65" s="171">
        <f t="shared" si="8"/>
        <v>373385</v>
      </c>
      <c r="H65" s="172">
        <f t="shared" si="9"/>
        <v>6.2295319371435995E-2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'[74]Sch C'!D59</f>
        <v>339286</v>
      </c>
      <c r="D66" s="501">
        <f>'[74]Sch C'!F59</f>
        <v>0</v>
      </c>
      <c r="E66" s="171">
        <f t="shared" si="7"/>
        <v>339286</v>
      </c>
      <c r="F66" s="171"/>
      <c r="G66" s="171">
        <f t="shared" si="8"/>
        <v>339286</v>
      </c>
      <c r="H66" s="172">
        <f t="shared" si="9"/>
        <v>5.660626358385322E-2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'[74]Sch C'!D60</f>
        <v>76608</v>
      </c>
      <c r="D67" s="501">
        <f>'[74]Sch C'!F60</f>
        <v>0</v>
      </c>
      <c r="E67" s="171">
        <f t="shared" si="7"/>
        <v>76608</v>
      </c>
      <c r="F67" s="171"/>
      <c r="G67" s="171">
        <f t="shared" si="8"/>
        <v>76608</v>
      </c>
      <c r="H67" s="172">
        <f t="shared" si="9"/>
        <v>1.278123070398374E-2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'[74]Sch C'!D61</f>
        <v>30851</v>
      </c>
      <c r="D68" s="501">
        <f>'[74]Sch C'!F61</f>
        <v>0</v>
      </c>
      <c r="E68" s="171">
        <f t="shared" si="7"/>
        <v>30851</v>
      </c>
      <c r="F68" s="171"/>
      <c r="G68" s="171">
        <f t="shared" si="8"/>
        <v>30851</v>
      </c>
      <c r="H68" s="172">
        <f t="shared" si="9"/>
        <v>5.1471615033495503E-3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'[74]Sch C'!D62</f>
        <v>0</v>
      </c>
      <c r="D69" s="501">
        <f>'[74]Sch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'[74]Sch C'!D63</f>
        <v>0</v>
      </c>
      <c r="D70" s="501">
        <f>'[74]Sch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'[74]Sch C'!D64</f>
        <v>0</v>
      </c>
      <c r="D71" s="501">
        <f>'[74]Sch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'[74]Sch C'!D65</f>
        <v>1512</v>
      </c>
      <c r="D72" s="501">
        <f>'[74]Sch C'!F65</f>
        <v>0</v>
      </c>
      <c r="E72" s="171">
        <f t="shared" si="7"/>
        <v>1512</v>
      </c>
      <c r="F72" s="171"/>
      <c r="G72" s="171">
        <f t="shared" si="8"/>
        <v>1512</v>
      </c>
      <c r="H72" s="172">
        <f t="shared" si="9"/>
        <v>2.5226113231546858E-4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'[74]Sch C'!D66</f>
        <v>32665</v>
      </c>
      <c r="D73" s="501">
        <f>'[74]Sch C'!F66</f>
        <v>0</v>
      </c>
      <c r="E73" s="171">
        <f t="shared" si="7"/>
        <v>32665</v>
      </c>
      <c r="F73" s="171"/>
      <c r="G73" s="171">
        <f t="shared" si="8"/>
        <v>32665</v>
      </c>
      <c r="H73" s="172">
        <f t="shared" si="9"/>
        <v>5.4498081263788228E-3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'[74]Sch C'!D67</f>
        <v>0</v>
      </c>
      <c r="D74" s="501">
        <f>'[74]Sch C'!F67</f>
        <v>0</v>
      </c>
      <c r="E74" s="171">
        <f t="shared" si="7"/>
        <v>0</v>
      </c>
      <c r="F74" s="171"/>
      <c r="G74" s="171">
        <f t="shared" si="8"/>
        <v>0</v>
      </c>
      <c r="H74" s="172">
        <f t="shared" si="9"/>
        <v>0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'[74]Sch C'!D68</f>
        <v>0</v>
      </c>
      <c r="D75" s="501">
        <f>'[74]Sch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'[74]Sch C'!D69</f>
        <v>1449</v>
      </c>
      <c r="D76" s="501">
        <f>'[74]Sch C'!F69</f>
        <v>0</v>
      </c>
      <c r="E76" s="171">
        <f t="shared" si="7"/>
        <v>1449</v>
      </c>
      <c r="F76" s="171"/>
      <c r="G76" s="171">
        <f t="shared" si="8"/>
        <v>1449</v>
      </c>
      <c r="H76" s="172">
        <f t="shared" si="9"/>
        <v>2.4175025180232405E-4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'[74]Sch C'!D70</f>
        <v>0</v>
      </c>
      <c r="D77" s="501">
        <f>'[74]Sch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'[74]Sch C'!D71</f>
        <v>0</v>
      </c>
      <c r="D78" s="501">
        <f>'[74]Sch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855756</v>
      </c>
      <c r="D79" s="501">
        <f>SUM(D64:D78)</f>
        <v>0</v>
      </c>
      <c r="E79" s="171">
        <f t="shared" ref="E79:F79" si="10">SUM(E64:E78)</f>
        <v>855756</v>
      </c>
      <c r="F79" s="171">
        <f t="shared" si="10"/>
        <v>0</v>
      </c>
      <c r="G79" s="171">
        <f>SUM(G64:G78)</f>
        <v>855756</v>
      </c>
      <c r="H79" s="172">
        <f t="shared" si="9"/>
        <v>0.14277379467311913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'[74]Sch C'!D75</f>
        <v>42554</v>
      </c>
      <c r="D82" s="501">
        <f>'[74]Sch C'!F75</f>
        <v>0</v>
      </c>
      <c r="E82" s="171">
        <f t="shared" ref="E82:E92" si="11">C82+D82</f>
        <v>42554</v>
      </c>
      <c r="F82" s="171"/>
      <c r="G82" s="171">
        <f t="shared" ref="G82:G92" si="12">E82+F82</f>
        <v>42554</v>
      </c>
      <c r="H82" s="172">
        <f t="shared" ref="H82:H93" si="13">IF($G$208=0,0,G82/$G$208)</f>
        <v>7.0996826881960639E-3</v>
      </c>
      <c r="I82" s="473"/>
      <c r="J82" s="183">
        <v>1898</v>
      </c>
      <c r="K82" s="183">
        <v>2069</v>
      </c>
    </row>
    <row r="83" spans="1:11" s="167" customFormat="1">
      <c r="A83" s="169" t="s">
        <v>86</v>
      </c>
      <c r="B83" s="199" t="s">
        <v>45</v>
      </c>
      <c r="C83" s="501">
        <f>'[74]Sch C'!D76</f>
        <v>0</v>
      </c>
      <c r="D83" s="501">
        <f>'[74]Sch C'!F76</f>
        <v>7784</v>
      </c>
      <c r="E83" s="171">
        <f t="shared" si="11"/>
        <v>7784</v>
      </c>
      <c r="F83" s="171"/>
      <c r="G83" s="171">
        <f t="shared" si="12"/>
        <v>7784</v>
      </c>
      <c r="H83" s="172">
        <f t="shared" si="13"/>
        <v>1.2986776811796344E-3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'[74]Sch C'!D77</f>
        <v>3710</v>
      </c>
      <c r="D84" s="501">
        <f>'[74]Sch C'!F77</f>
        <v>0</v>
      </c>
      <c r="E84" s="171">
        <f t="shared" si="11"/>
        <v>3710</v>
      </c>
      <c r="F84" s="171"/>
      <c r="G84" s="171">
        <f t="shared" si="12"/>
        <v>3710</v>
      </c>
      <c r="H84" s="172">
        <f t="shared" si="13"/>
        <v>6.1897407466295529E-4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'[74]Sch C'!D78</f>
        <v>0</v>
      </c>
      <c r="D85" s="501">
        <f>'[74]Sch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'[74]Sch C'!D79</f>
        <v>11677</v>
      </c>
      <c r="D86" s="501">
        <f>'[74]Sch C'!F79</f>
        <v>0</v>
      </c>
      <c r="E86" s="171">
        <f t="shared" si="11"/>
        <v>11677</v>
      </c>
      <c r="F86" s="171"/>
      <c r="G86" s="171">
        <f>E86+F86</f>
        <v>11677</v>
      </c>
      <c r="H86" s="172">
        <f t="shared" si="13"/>
        <v>1.9481833611426761E-3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'[74]Sch C'!D80</f>
        <v>11213</v>
      </c>
      <c r="D87" s="501">
        <f>'[74]Sch C'!F80</f>
        <v>0</v>
      </c>
      <c r="E87" s="171">
        <f t="shared" si="11"/>
        <v>11213</v>
      </c>
      <c r="F87" s="171"/>
      <c r="G87" s="171">
        <f t="shared" si="12"/>
        <v>11213</v>
      </c>
      <c r="H87" s="172">
        <f t="shared" si="13"/>
        <v>1.8707698919665007E-3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'[74]Sch C'!D81</f>
        <v>13204</v>
      </c>
      <c r="D88" s="501">
        <f>'[74]Sch C'!F81</f>
        <v>0</v>
      </c>
      <c r="E88" s="171">
        <f t="shared" si="11"/>
        <v>13204</v>
      </c>
      <c r="F88" s="171"/>
      <c r="G88" s="171">
        <f t="shared" si="12"/>
        <v>13204</v>
      </c>
      <c r="H88" s="172">
        <f t="shared" si="13"/>
        <v>2.2029470840565124E-3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'[74]Sch C'!D82</f>
        <v>1975</v>
      </c>
      <c r="D89" s="501">
        <f>'[74]Sch C'!F82</f>
        <v>0</v>
      </c>
      <c r="E89" s="171">
        <f t="shared" si="11"/>
        <v>1975</v>
      </c>
      <c r="F89" s="171"/>
      <c r="G89" s="171">
        <f t="shared" si="12"/>
        <v>1975</v>
      </c>
      <c r="H89" s="172">
        <f t="shared" si="13"/>
        <v>3.2950776211841958E-4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'[74]Sch C'!D83</f>
        <v>8054</v>
      </c>
      <c r="D90" s="501">
        <f>'[74]Sch C'!F83</f>
        <v>0</v>
      </c>
      <c r="E90" s="171">
        <f t="shared" si="11"/>
        <v>8054</v>
      </c>
      <c r="F90" s="171"/>
      <c r="G90" s="171">
        <f t="shared" si="12"/>
        <v>8054</v>
      </c>
      <c r="H90" s="172">
        <f t="shared" si="13"/>
        <v>1.3437243119502537E-3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'[74]Sch C'!D84</f>
        <v>84457</v>
      </c>
      <c r="D91" s="501">
        <f>'[74]Sch C'!F84</f>
        <v>0</v>
      </c>
      <c r="E91" s="171">
        <f t="shared" si="11"/>
        <v>84457</v>
      </c>
      <c r="F91" s="171"/>
      <c r="G91" s="171">
        <f t="shared" si="12"/>
        <v>84457</v>
      </c>
      <c r="H91" s="172">
        <f t="shared" si="13"/>
        <v>1.4090752944422968E-2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'[74]Sch C'!D85</f>
        <v>0</v>
      </c>
      <c r="D92" s="501">
        <f>'[74]Sch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176844</v>
      </c>
      <c r="D93" s="501">
        <f>SUM(D82:D92)</f>
        <v>7784</v>
      </c>
      <c r="E93" s="171">
        <f t="shared" ref="E93:F93" si="14">SUM(E82:E92)</f>
        <v>184628</v>
      </c>
      <c r="F93" s="171">
        <f t="shared" si="14"/>
        <v>0</v>
      </c>
      <c r="G93" s="171">
        <f>SUM(G82:G92)</f>
        <v>184628</v>
      </c>
      <c r="H93" s="172">
        <f t="shared" si="13"/>
        <v>3.0803219799695986E-2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'[74]Sch C'!D89</f>
        <v>230288</v>
      </c>
      <c r="D96" s="501">
        <f>'[74]Sch C'!F89</f>
        <v>0</v>
      </c>
      <c r="E96" s="171">
        <f t="shared" ref="E96:E101" si="15">C96+D96</f>
        <v>230288</v>
      </c>
      <c r="F96" s="171"/>
      <c r="G96" s="171">
        <f t="shared" ref="G96:G101" si="16">E96+F96</f>
        <v>230288</v>
      </c>
      <c r="H96" s="172">
        <f t="shared" ref="H96:H102" si="17">IF($G$208=0,0,G96/$G$208)</f>
        <v>3.84211055811274E-2</v>
      </c>
      <c r="I96" s="473"/>
      <c r="J96" s="183">
        <v>15705</v>
      </c>
      <c r="K96" s="183">
        <v>16665</v>
      </c>
    </row>
    <row r="97" spans="1:11" s="167" customFormat="1">
      <c r="A97" s="169" t="s">
        <v>86</v>
      </c>
      <c r="B97" s="170" t="s">
        <v>45</v>
      </c>
      <c r="C97" s="501">
        <f>'[74]Sch C'!D90</f>
        <v>0</v>
      </c>
      <c r="D97" s="501">
        <f>'[74]Sch C'!F90</f>
        <v>42122</v>
      </c>
      <c r="E97" s="171">
        <f t="shared" si="15"/>
        <v>42122</v>
      </c>
      <c r="F97" s="171"/>
      <c r="G97" s="171">
        <f t="shared" si="16"/>
        <v>42122</v>
      </c>
      <c r="H97" s="172">
        <f t="shared" si="17"/>
        <v>7.0276080789630734E-3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'[74]Sch C'!D91</f>
        <v>20553</v>
      </c>
      <c r="D98" s="501">
        <f>'[74]Sch C'!F91</f>
        <v>0</v>
      </c>
      <c r="E98" s="171">
        <f t="shared" si="15"/>
        <v>20553</v>
      </c>
      <c r="F98" s="171"/>
      <c r="G98" s="171">
        <f t="shared" si="16"/>
        <v>20553</v>
      </c>
      <c r="H98" s="172">
        <f t="shared" si="17"/>
        <v>3.4290496378834826E-3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'[74]Sch C'!D92</f>
        <v>97168</v>
      </c>
      <c r="D99" s="501">
        <f>'[74]Sch C'!F92</f>
        <v>-565</v>
      </c>
      <c r="E99" s="171">
        <f t="shared" si="15"/>
        <v>96603</v>
      </c>
      <c r="F99" s="171"/>
      <c r="G99" s="171">
        <f t="shared" si="16"/>
        <v>96603</v>
      </c>
      <c r="H99" s="172">
        <f t="shared" si="17"/>
        <v>1.6117183971607944E-2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'[74]Sch C'!D93</f>
        <v>11271</v>
      </c>
      <c r="D100" s="501">
        <f>'[74]Sch C'!F93</f>
        <v>0</v>
      </c>
      <c r="E100" s="171">
        <f t="shared" si="15"/>
        <v>11271</v>
      </c>
      <c r="F100" s="171"/>
      <c r="G100" s="171">
        <f t="shared" si="16"/>
        <v>11271</v>
      </c>
      <c r="H100" s="172">
        <f t="shared" si="17"/>
        <v>1.8804465756135226E-3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'[74]Sch C'!D94</f>
        <v>2033</v>
      </c>
      <c r="D101" s="501">
        <f>'[74]Sch C'!F94</f>
        <v>0</v>
      </c>
      <c r="E101" s="171">
        <f t="shared" si="15"/>
        <v>2033</v>
      </c>
      <c r="F101" s="171"/>
      <c r="G101" s="171">
        <f t="shared" si="16"/>
        <v>2033</v>
      </c>
      <c r="H101" s="172">
        <f t="shared" si="17"/>
        <v>3.3918444576544151E-4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361313</v>
      </c>
      <c r="D102" s="501">
        <f>SUM(D96:D101)</f>
        <v>41557</v>
      </c>
      <c r="E102" s="171">
        <f t="shared" ref="E102:F102" si="18">SUM(E96:E101)</f>
        <v>402870</v>
      </c>
      <c r="F102" s="171">
        <f t="shared" si="18"/>
        <v>0</v>
      </c>
      <c r="G102" s="171">
        <f>SUM(G96:G101)</f>
        <v>402870</v>
      </c>
      <c r="H102" s="172">
        <f t="shared" si="17"/>
        <v>6.7214578290960864E-2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'[74]Sch C'!D98</f>
        <v>0</v>
      </c>
      <c r="D105" s="501">
        <f>'[74]Sch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'[74]Sch C'!D99</f>
        <v>0</v>
      </c>
      <c r="D106" s="501">
        <f>'[74]Sch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'[74]Sch C'!D100</f>
        <v>7907</v>
      </c>
      <c r="D107" s="501">
        <f>'[74]Sch C'!F100</f>
        <v>0</v>
      </c>
      <c r="E107" s="171">
        <f t="shared" si="19"/>
        <v>7907</v>
      </c>
      <c r="F107" s="171"/>
      <c r="G107" s="171">
        <f t="shared" si="20"/>
        <v>7907</v>
      </c>
      <c r="H107" s="172">
        <f t="shared" si="21"/>
        <v>1.31919892408625E-3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'[74]Sch C'!D101</f>
        <v>0</v>
      </c>
      <c r="D108" s="501">
        <f>'[74]Sch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'[74]Sch C'!D102</f>
        <v>1311</v>
      </c>
      <c r="D109" s="501">
        <f>'[74]Sch C'!F102</f>
        <v>0</v>
      </c>
      <c r="E109" s="171">
        <f t="shared" si="19"/>
        <v>1311</v>
      </c>
      <c r="F109" s="171"/>
      <c r="G109" s="171">
        <f t="shared" si="20"/>
        <v>1311</v>
      </c>
      <c r="H109" s="172">
        <f t="shared" si="21"/>
        <v>2.1872641829734081E-4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'[74]Sch C'!D103</f>
        <v>0</v>
      </c>
      <c r="D110" s="501">
        <f>'[74]Sch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9218</v>
      </c>
      <c r="D111" s="501">
        <f>SUM(D105:D110)</f>
        <v>0</v>
      </c>
      <c r="E111" s="171">
        <f t="shared" ref="E111:F111" si="22">SUM(E105:E110)</f>
        <v>9218</v>
      </c>
      <c r="F111" s="171">
        <f t="shared" si="22"/>
        <v>0</v>
      </c>
      <c r="G111" s="171">
        <f>SUM(G105:G110)</f>
        <v>9218</v>
      </c>
      <c r="H111" s="172">
        <f t="shared" si="21"/>
        <v>1.5379253423835908E-3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'[74]Sch C'!D115</f>
        <v>96897</v>
      </c>
      <c r="D114" s="501">
        <f>'[74]Sch C'!F115</f>
        <v>0</v>
      </c>
      <c r="E114" s="171">
        <f t="shared" ref="E114:E118" si="23">C114+D114</f>
        <v>96897</v>
      </c>
      <c r="F114" s="171"/>
      <c r="G114" s="171">
        <f>E114+F114</f>
        <v>96897</v>
      </c>
      <c r="H114" s="172">
        <f t="shared" ref="H114:H119" si="24">IF($G$208=0,0,G114/$G$208)</f>
        <v>1.6166234747335952E-2</v>
      </c>
      <c r="I114" s="473"/>
      <c r="J114" s="183">
        <v>7948</v>
      </c>
      <c r="K114" s="183">
        <v>8612</v>
      </c>
    </row>
    <row r="115" spans="1:11" s="167" customFormat="1">
      <c r="A115" s="169" t="s">
        <v>86</v>
      </c>
      <c r="B115" s="170" t="s">
        <v>151</v>
      </c>
      <c r="C115" s="501">
        <f>'[74]Sch C'!D116</f>
        <v>0</v>
      </c>
      <c r="D115" s="501">
        <f>'[74]Sch C'!F116</f>
        <v>17724</v>
      </c>
      <c r="E115" s="171">
        <f t="shared" si="23"/>
        <v>17724</v>
      </c>
      <c r="F115" s="171"/>
      <c r="G115" s="171">
        <f>E115+F115</f>
        <v>17724</v>
      </c>
      <c r="H115" s="172">
        <f t="shared" si="24"/>
        <v>2.9570610510313258E-3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'[74]Sch C'!D117</f>
        <v>16194</v>
      </c>
      <c r="D116" s="501">
        <f>'[74]Sch C'!F117</f>
        <v>0</v>
      </c>
      <c r="E116" s="171">
        <f t="shared" si="23"/>
        <v>16194</v>
      </c>
      <c r="F116" s="171"/>
      <c r="G116" s="171">
        <f>E116+F116</f>
        <v>16194</v>
      </c>
      <c r="H116" s="172">
        <f t="shared" si="24"/>
        <v>2.701796809997816E-3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'[74]Sch C'!D118</f>
        <v>0</v>
      </c>
      <c r="D117" s="501">
        <f>'[74]Sch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'[74]Sch C'!D119</f>
        <v>0</v>
      </c>
      <c r="D118" s="501">
        <f>'[74]Sch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113091</v>
      </c>
      <c r="D119" s="501">
        <f>SUM(D114:D118)</f>
        <v>17724</v>
      </c>
      <c r="E119" s="171">
        <f t="shared" ref="E119:F119" si="25">SUM(E114:E118)</f>
        <v>130815</v>
      </c>
      <c r="F119" s="171">
        <f t="shared" si="25"/>
        <v>0</v>
      </c>
      <c r="G119" s="171">
        <f>SUM(G114:G118)</f>
        <v>130815</v>
      </c>
      <c r="H119" s="172">
        <f t="shared" si="24"/>
        <v>2.1825092608365092E-2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'[74]Sch C'!D124</f>
        <v>0</v>
      </c>
      <c r="D123" s="501">
        <f>'[74]Sch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'[74]Sch C'!D125</f>
        <v>89361</v>
      </c>
      <c r="D124" s="501">
        <f>'[74]Sch C'!F125</f>
        <v>0</v>
      </c>
      <c r="E124" s="171">
        <f t="shared" si="26"/>
        <v>89361</v>
      </c>
      <c r="F124" s="171"/>
      <c r="G124" s="171">
        <f>E124+F124</f>
        <v>89361</v>
      </c>
      <c r="H124" s="172">
        <f>IF($G$208=0,0,G124/$G$208)</f>
        <v>1.4908933230715996E-2</v>
      </c>
      <c r="I124" s="473"/>
      <c r="J124" s="183">
        <v>1798</v>
      </c>
      <c r="K124" s="183">
        <v>1922</v>
      </c>
    </row>
    <row r="125" spans="1:11" s="167" customFormat="1">
      <c r="A125" s="163" t="s">
        <v>198</v>
      </c>
      <c r="B125" s="163" t="s">
        <v>195</v>
      </c>
      <c r="C125" s="501">
        <f>'[74]Sch C'!D126</f>
        <v>0</v>
      </c>
      <c r="D125" s="501">
        <f>'[74]Sch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'[74]Sch C'!D127</f>
        <v>0</v>
      </c>
      <c r="D126" s="501">
        <f>'[74]Sch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'[74]Sch C'!D128</f>
        <v>292836</v>
      </c>
      <c r="D127" s="501">
        <f>'[74]Sch C'!F128</f>
        <v>0</v>
      </c>
      <c r="E127" s="171">
        <f t="shared" si="26"/>
        <v>292836</v>
      </c>
      <c r="F127" s="171"/>
      <c r="G127" s="171">
        <f>E127+F127</f>
        <v>292836</v>
      </c>
      <c r="H127" s="172">
        <f>IF($G$208=0,0,G127/$G$208)</f>
        <v>4.8856574697574442E-2</v>
      </c>
      <c r="I127" s="473"/>
      <c r="J127" s="183">
        <v>9257</v>
      </c>
      <c r="K127" s="183">
        <v>10013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'[74]Sch C'!D130</f>
        <v>0</v>
      </c>
      <c r="D129" s="501">
        <f>'[74]Sch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'[74]Sch C'!D131</f>
        <v>0</v>
      </c>
      <c r="D130" s="501">
        <f>'[74]Sch C'!F131</f>
        <v>35448</v>
      </c>
      <c r="E130" s="171">
        <f t="shared" si="27"/>
        <v>35448</v>
      </c>
      <c r="F130" s="171"/>
      <c r="G130" s="171">
        <f>E130+F130</f>
        <v>35448</v>
      </c>
      <c r="H130" s="172">
        <f>IF($G$208=0,0,G130/$G$208)</f>
        <v>5.9141221020626517E-3</v>
      </c>
      <c r="I130" s="473"/>
      <c r="J130" s="204"/>
      <c r="K130" s="204"/>
    </row>
    <row r="131" spans="1:11" s="167" customFormat="1">
      <c r="B131" s="163" t="s">
        <v>195</v>
      </c>
      <c r="C131" s="501">
        <f>'[74]Sch C'!D132</f>
        <v>0</v>
      </c>
      <c r="D131" s="501">
        <f>'[74]Sch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'[74]Sch C'!D133</f>
        <v>0</v>
      </c>
      <c r="D132" s="501">
        <f>'[74]Sch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'[74]Sch C'!D134</f>
        <v>0</v>
      </c>
      <c r="D133" s="501">
        <f>'[74]Sch C'!F134</f>
        <v>34460</v>
      </c>
      <c r="E133" s="171">
        <f t="shared" si="27"/>
        <v>34460</v>
      </c>
      <c r="F133" s="171"/>
      <c r="G133" s="171">
        <f>E133+F133</f>
        <v>34460</v>
      </c>
      <c r="H133" s="172">
        <f>IF($G$208=0,0,G133/$G$208)</f>
        <v>5.7492848013168301E-3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'[74]Sch C'!D136</f>
        <v>396852</v>
      </c>
      <c r="D135" s="501">
        <f>'[74]Sch C'!F136</f>
        <v>0</v>
      </c>
      <c r="E135" s="171">
        <f t="shared" ref="E135:E138" si="28">C135+D135</f>
        <v>396852</v>
      </c>
      <c r="F135" s="171"/>
      <c r="G135" s="171">
        <f>E135+F135</f>
        <v>396852</v>
      </c>
      <c r="H135" s="172">
        <f>IF($G$208=0,0,G135/$G$208)</f>
        <v>6.6210538942895719E-2</v>
      </c>
      <c r="I135" s="473"/>
      <c r="J135" s="183">
        <v>12748</v>
      </c>
      <c r="K135" s="183">
        <v>13668</v>
      </c>
    </row>
    <row r="136" spans="1:11" s="167" customFormat="1">
      <c r="A136" s="169"/>
      <c r="B136" s="163" t="s">
        <v>195</v>
      </c>
      <c r="C136" s="501">
        <f>'[74]Sch C'!D137</f>
        <v>231349</v>
      </c>
      <c r="D136" s="501">
        <f>'[74]Sch C'!F137</f>
        <v>0</v>
      </c>
      <c r="E136" s="171">
        <f t="shared" si="28"/>
        <v>231349</v>
      </c>
      <c r="F136" s="171"/>
      <c r="G136" s="171">
        <f>E136+F136</f>
        <v>231349</v>
      </c>
      <c r="H136" s="172">
        <f>IF($G$208=0,0,G136/$G$208)</f>
        <v>3.859812215611861E-2</v>
      </c>
      <c r="I136" s="473"/>
      <c r="J136" s="183">
        <v>8848</v>
      </c>
      <c r="K136" s="183">
        <v>9495</v>
      </c>
    </row>
    <row r="137" spans="1:11" s="167" customFormat="1">
      <c r="A137" s="169"/>
      <c r="B137" s="163" t="s">
        <v>196</v>
      </c>
      <c r="C137" s="501">
        <f>'[74]Sch C'!D138</f>
        <v>515738</v>
      </c>
      <c r="D137" s="501">
        <f>'[74]Sch C'!F138</f>
        <v>0</v>
      </c>
      <c r="E137" s="171">
        <f t="shared" si="28"/>
        <v>515738</v>
      </c>
      <c r="F137" s="171"/>
      <c r="G137" s="171">
        <f>E137+F137</f>
        <v>515738</v>
      </c>
      <c r="H137" s="172">
        <f>IF($G$208=0,0,G137/$G$208)</f>
        <v>8.6045404668065553E-2</v>
      </c>
      <c r="I137" s="473"/>
      <c r="J137" s="183">
        <v>38435</v>
      </c>
      <c r="K137" s="183">
        <v>41145</v>
      </c>
    </row>
    <row r="138" spans="1:11" s="167" customFormat="1">
      <c r="A138" s="169"/>
      <c r="B138" s="163" t="s">
        <v>197</v>
      </c>
      <c r="C138" s="501">
        <f>'[74]Sch C'!D139</f>
        <v>0</v>
      </c>
      <c r="D138" s="501">
        <f>'[74]Sch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208"/>
      <c r="K139" s="208"/>
    </row>
    <row r="140" spans="1:11" s="167" customFormat="1">
      <c r="A140" s="169"/>
      <c r="B140" s="163" t="s">
        <v>194</v>
      </c>
      <c r="C140" s="501">
        <f>'[74]Sch C'!D141</f>
        <v>0</v>
      </c>
      <c r="D140" s="501">
        <f>'[74]Sch C'!F141</f>
        <v>72589</v>
      </c>
      <c r="E140" s="171">
        <f t="shared" ref="E140:E143" si="29">C140+D140</f>
        <v>72589</v>
      </c>
      <c r="F140" s="171"/>
      <c r="G140" s="171">
        <f>E140+F140</f>
        <v>72589</v>
      </c>
      <c r="H140" s="172">
        <f>IF($G$208=0,0,G140/$G$208)</f>
        <v>1.211070326299441E-2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'[74]Sch C'!D142</f>
        <v>0</v>
      </c>
      <c r="D141" s="501">
        <f>'[74]Sch C'!F142</f>
        <v>42316</v>
      </c>
      <c r="E141" s="171">
        <f t="shared" si="29"/>
        <v>42316</v>
      </c>
      <c r="F141" s="171"/>
      <c r="G141" s="171">
        <f>E141+F141</f>
        <v>42316</v>
      </c>
      <c r="H141" s="172">
        <f>IF($G$208=0,0,G141/$G$208)</f>
        <v>7.0599749173686291E-3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'[74]Sch C'!D143</f>
        <v>0</v>
      </c>
      <c r="D142" s="501">
        <f>'[74]Sch C'!F143</f>
        <v>94335</v>
      </c>
      <c r="E142" s="171">
        <f t="shared" si="29"/>
        <v>94335</v>
      </c>
      <c r="F142" s="171"/>
      <c r="G142" s="171">
        <f>E142+F142</f>
        <v>94335</v>
      </c>
      <c r="H142" s="172">
        <f>IF($G$208=0,0,G142/$G$208)</f>
        <v>1.5738792273134738E-2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'[74]Sch C'!D144</f>
        <v>0</v>
      </c>
      <c r="D143" s="501">
        <f>'[74]Sch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'[74]Sch C'!D146</f>
        <v>38750</v>
      </c>
      <c r="D145" s="501">
        <f>'[74]Sch C'!F146</f>
        <v>0</v>
      </c>
      <c r="E145" s="171">
        <f t="shared" ref="E145:E153" si="30">C145+D145</f>
        <v>38750</v>
      </c>
      <c r="F145" s="171"/>
      <c r="G145" s="171">
        <f t="shared" ref="G145:G153" si="31">E145+F145</f>
        <v>38750</v>
      </c>
      <c r="H145" s="172">
        <f t="shared" ref="H145:H153" si="32">IF($G$208=0,0,G145/$G$208)</f>
        <v>6.4650257124500045E-3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'[74]Sch C'!D147</f>
        <v>0</v>
      </c>
      <c r="D146" s="501">
        <f>'[74]Sch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'[74]Sch C'!D148</f>
        <v>0</v>
      </c>
      <c r="D147" s="501">
        <f>'[74]Sch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'[74]Sch C'!D149</f>
        <v>0</v>
      </c>
      <c r="D148" s="501">
        <f>'[74]Sch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'[74]Sch C'!D150</f>
        <v>10046</v>
      </c>
      <c r="D149" s="501">
        <f>'[74]Sch C'!F150</f>
        <v>0</v>
      </c>
      <c r="E149" s="171">
        <f t="shared" si="30"/>
        <v>10046</v>
      </c>
      <c r="F149" s="171"/>
      <c r="G149" s="171">
        <f t="shared" si="31"/>
        <v>10046</v>
      </c>
      <c r="H149" s="172">
        <f t="shared" si="32"/>
        <v>1.6760683434134901E-3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'[74]Sch C'!D151</f>
        <v>150533</v>
      </c>
      <c r="D150" s="501">
        <f>'[74]Sch C'!F151</f>
        <v>0</v>
      </c>
      <c r="E150" s="171">
        <f t="shared" si="30"/>
        <v>150533</v>
      </c>
      <c r="F150" s="171"/>
      <c r="G150" s="171">
        <f t="shared" si="31"/>
        <v>150533</v>
      </c>
      <c r="H150" s="172">
        <f t="shared" si="32"/>
        <v>2.5114831369606103E-2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'[74]Sch C'!D152</f>
        <v>1718</v>
      </c>
      <c r="D151" s="501">
        <f>'[74]Sch C'!F152</f>
        <v>0</v>
      </c>
      <c r="E151" s="171">
        <f t="shared" si="30"/>
        <v>1718</v>
      </c>
      <c r="F151" s="171"/>
      <c r="G151" s="171">
        <f t="shared" si="31"/>
        <v>1718</v>
      </c>
      <c r="H151" s="172">
        <f t="shared" si="32"/>
        <v>2.8663004319971893E-4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'[74]Sch C'!D153</f>
        <v>0</v>
      </c>
      <c r="D152" s="501">
        <f>'[74]Sch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'[74]Sch C'!D154</f>
        <v>0</v>
      </c>
      <c r="D153" s="501">
        <f>'[74]Sch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'[74]Sch C'!D156</f>
        <v>0</v>
      </c>
      <c r="D155" s="501">
        <f>'[74]Sch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'[74]Sch C'!D157</f>
        <v>0</v>
      </c>
      <c r="D156" s="501">
        <f>'[74]Sch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'[74]Sch C'!D158</f>
        <v>0</v>
      </c>
      <c r="D157" s="501">
        <f>'[74]Sch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'[74]Sch C'!D159</f>
        <v>0</v>
      </c>
      <c r="D158" s="501">
        <f>'[74]Sch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'[74]Sch C'!D160</f>
        <v>0</v>
      </c>
      <c r="D159" s="501">
        <f>'[74]Sch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'[74]Sch C'!D161</f>
        <v>0</v>
      </c>
      <c r="D160" s="501">
        <f>'[74]Sch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1727183</v>
      </c>
      <c r="D161" s="501">
        <f>SUM(D123:D160)</f>
        <v>279148</v>
      </c>
      <c r="E161" s="171">
        <f t="shared" ref="E161:F161" si="36">SUM(E123:E160)</f>
        <v>2006331</v>
      </c>
      <c r="F161" s="171">
        <f t="shared" si="36"/>
        <v>0</v>
      </c>
      <c r="G161" s="171">
        <f>SUM(G123:G160)</f>
        <v>2006331</v>
      </c>
      <c r="H161" s="172">
        <f t="shared" si="35"/>
        <v>0.33473500652091692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'[74]Sch C'!D175</f>
        <v>0</v>
      </c>
      <c r="D164" s="501">
        <f>'[74]Sch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'[74]Sch C'!D176</f>
        <v>0</v>
      </c>
      <c r="D165" s="501">
        <f>'[74]Sch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'[74]Sch C'!D177</f>
        <v>169020</v>
      </c>
      <c r="D166" s="501">
        <f>'[74]Sch C'!F177</f>
        <v>0</v>
      </c>
      <c r="E166" s="171">
        <f t="shared" si="37"/>
        <v>169020</v>
      </c>
      <c r="F166" s="216"/>
      <c r="G166" s="171">
        <f t="shared" si="38"/>
        <v>169020</v>
      </c>
      <c r="H166" s="172">
        <f t="shared" si="39"/>
        <v>2.8199190862407734E-2</v>
      </c>
      <c r="I166" s="483"/>
      <c r="J166" s="183">
        <v>12594</v>
      </c>
      <c r="K166" s="183">
        <v>13552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'[74]Sch C'!D178</f>
        <v>0</v>
      </c>
      <c r="D167" s="501">
        <f>'[74]Sch C'!F178</f>
        <v>30916</v>
      </c>
      <c r="E167" s="171">
        <f t="shared" si="37"/>
        <v>30916</v>
      </c>
      <c r="F167" s="216"/>
      <c r="G167" s="171">
        <f t="shared" si="38"/>
        <v>30916</v>
      </c>
      <c r="H167" s="172">
        <f t="shared" si="39"/>
        <v>5.1580060626091441E-3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'[74]Sch C'!D179</f>
        <v>93150</v>
      </c>
      <c r="D168" s="501">
        <f>'[74]Sch C'!F179</f>
        <v>0</v>
      </c>
      <c r="E168" s="171">
        <f t="shared" si="37"/>
        <v>93150</v>
      </c>
      <c r="F168" s="216"/>
      <c r="G168" s="171">
        <f t="shared" si="38"/>
        <v>93150</v>
      </c>
      <c r="H168" s="172">
        <f t="shared" si="39"/>
        <v>1.5541087615863688E-2</v>
      </c>
      <c r="I168" s="483"/>
      <c r="J168" s="183">
        <v>1904</v>
      </c>
      <c r="K168" s="183">
        <v>2080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'[74]Sch C'!D180</f>
        <v>0</v>
      </c>
      <c r="D169" s="501">
        <f>'[74]Sch C'!F180</f>
        <v>17038</v>
      </c>
      <c r="E169" s="171">
        <f t="shared" si="37"/>
        <v>17038</v>
      </c>
      <c r="F169" s="216"/>
      <c r="G169" s="171">
        <f t="shared" si="38"/>
        <v>17038</v>
      </c>
      <c r="H169" s="172">
        <f t="shared" si="39"/>
        <v>2.8426092409993076E-3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'[74]Sch C'!D181</f>
        <v>0</v>
      </c>
      <c r="D170" s="501">
        <f>'[74]Sch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'[74]Sch C'!D182</f>
        <v>0</v>
      </c>
      <c r="D171" s="501">
        <f>'[74]Sch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'[74]Sch C'!D183</f>
        <v>175344</v>
      </c>
      <c r="D172" s="501">
        <f>'[74]Sch C'!F183</f>
        <v>0</v>
      </c>
      <c r="E172" s="171">
        <f t="shared" si="37"/>
        <v>175344</v>
      </c>
      <c r="F172" s="216"/>
      <c r="G172" s="171">
        <f t="shared" si="38"/>
        <v>175344</v>
      </c>
      <c r="H172" s="172">
        <f t="shared" si="39"/>
        <v>2.9254283058679578E-2</v>
      </c>
      <c r="I172" s="483"/>
      <c r="J172" s="183">
        <v>11000</v>
      </c>
      <c r="K172" s="183">
        <v>11847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'[74]Sch C'!D184</f>
        <v>0</v>
      </c>
      <c r="D173" s="501">
        <f>'[74]Sch C'!F184</f>
        <v>32072</v>
      </c>
      <c r="E173" s="171">
        <f t="shared" si="37"/>
        <v>32072</v>
      </c>
      <c r="F173" s="216"/>
      <c r="G173" s="171">
        <f t="shared" si="38"/>
        <v>32072</v>
      </c>
      <c r="H173" s="172">
        <f t="shared" si="39"/>
        <v>5.3508723780566854E-3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'[74]Sch C'!D185</f>
        <v>0</v>
      </c>
      <c r="D174" s="501">
        <f>'[74]Sch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'[74]Sch C'!D186</f>
        <v>0</v>
      </c>
      <c r="D175" s="501">
        <f>'[74]Sch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'[74]Sch C'!D187</f>
        <v>0</v>
      </c>
      <c r="D176" s="501">
        <f>'[74]Sch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'[74]Sch C'!D188</f>
        <v>6043</v>
      </c>
      <c r="D177" s="501">
        <f>'[74]Sch C'!F188</f>
        <v>0</v>
      </c>
      <c r="E177" s="171">
        <f t="shared" si="37"/>
        <v>6043</v>
      </c>
      <c r="F177" s="216"/>
      <c r="G177" s="171">
        <f t="shared" si="38"/>
        <v>6043</v>
      </c>
      <c r="H177" s="172">
        <f t="shared" si="39"/>
        <v>1.0082103323957516E-3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'[74]Sch C'!D189</f>
        <v>0</v>
      </c>
      <c r="D178" s="501">
        <f>'[74]Sch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'[74]Sch C'!D190</f>
        <v>0</v>
      </c>
      <c r="D179" s="501">
        <f>'[74]Sch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'[74]Sch C'!D191</f>
        <v>0</v>
      </c>
      <c r="D180" s="501">
        <f>'[74]Sch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'[74]Sch C'!D192</f>
        <v>0</v>
      </c>
      <c r="D181" s="501">
        <f>'[74]Sch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'[74]Sch C'!D193</f>
        <v>0</v>
      </c>
      <c r="D182" s="501">
        <f>'[74]Sch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'[74]Sch C'!D194</f>
        <v>219595</v>
      </c>
      <c r="D183" s="501">
        <f>'[74]Sch C'!F194</f>
        <v>0</v>
      </c>
      <c r="E183" s="171">
        <f t="shared" si="37"/>
        <v>219595</v>
      </c>
      <c r="F183" s="216"/>
      <c r="G183" s="171">
        <f t="shared" si="38"/>
        <v>219595</v>
      </c>
      <c r="H183" s="172">
        <f t="shared" si="39"/>
        <v>3.6637092163237642E-2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'[74]Sch C'!D195</f>
        <v>0</v>
      </c>
      <c r="D184" s="501">
        <f>'[74]Sch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'[74]Sch C'!D196</f>
        <v>0</v>
      </c>
      <c r="D185" s="501">
        <f>'[74]Sch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'[74]Sch C'!D197</f>
        <v>198683</v>
      </c>
      <c r="D186" s="501">
        <f>'[74]Sch C'!F197</f>
        <v>0</v>
      </c>
      <c r="E186" s="171">
        <f t="shared" si="37"/>
        <v>198683</v>
      </c>
      <c r="F186" s="216"/>
      <c r="G186" s="171">
        <f t="shared" si="38"/>
        <v>198683</v>
      </c>
      <c r="H186" s="172">
        <f t="shared" si="39"/>
        <v>3.3148147190366559E-2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'[74]Sch C'!D198</f>
        <v>117594</v>
      </c>
      <c r="D187" s="501">
        <f>'[74]Sch C'!F198</f>
        <v>0</v>
      </c>
      <c r="E187" s="171">
        <f t="shared" si="37"/>
        <v>117594</v>
      </c>
      <c r="F187" s="216"/>
      <c r="G187" s="171">
        <f t="shared" si="38"/>
        <v>117594</v>
      </c>
      <c r="H187" s="172">
        <f t="shared" si="39"/>
        <v>1.9619309254963763E-2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'[74]Sch C'!D199</f>
        <v>0</v>
      </c>
      <c r="D188" s="501">
        <f>'[74]Sch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'[74]Sch C'!D200</f>
        <v>0</v>
      </c>
      <c r="D189" s="501">
        <f>'[74]Sch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'[74]Sch C'!D201</f>
        <v>0</v>
      </c>
      <c r="D190" s="501">
        <f>'[74]Sch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'[74]Sch C'!D202</f>
        <v>0</v>
      </c>
      <c r="D191" s="501">
        <f>'[74]Sch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'[74]Sch C'!D203</f>
        <v>0</v>
      </c>
      <c r="D192" s="501">
        <f>'[74]Sch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'[74]Sch C'!D204</f>
        <v>0</v>
      </c>
      <c r="D193" s="501">
        <f>'[74]Sch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'[74]Sch C'!D205</f>
        <v>348839</v>
      </c>
      <c r="D194" s="501">
        <f>'[74]Sch C'!F205</f>
        <v>0</v>
      </c>
      <c r="E194" s="171">
        <f t="shared" si="37"/>
        <v>348839</v>
      </c>
      <c r="F194" s="216"/>
      <c r="G194" s="171">
        <f t="shared" si="38"/>
        <v>348839</v>
      </c>
      <c r="H194" s="172">
        <f t="shared" si="39"/>
        <v>5.8200080116267025E-2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'[74]Sch C'!D206</f>
        <v>9339</v>
      </c>
      <c r="D195" s="501">
        <f>'[74]Sch C'!F206</f>
        <v>0</v>
      </c>
      <c r="E195" s="171">
        <f t="shared" si="37"/>
        <v>9339</v>
      </c>
      <c r="F195" s="216"/>
      <c r="G195" s="171">
        <f t="shared" si="38"/>
        <v>9339</v>
      </c>
      <c r="H195" s="172">
        <f t="shared" si="39"/>
        <v>1.5581129065437571E-3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'[74]Sch C'!D207</f>
        <v>7271</v>
      </c>
      <c r="D196" s="501">
        <f>'[74]Sch C'!F207</f>
        <v>0</v>
      </c>
      <c r="E196" s="171">
        <f t="shared" si="37"/>
        <v>7271</v>
      </c>
      <c r="F196" s="216"/>
      <c r="G196" s="171">
        <f t="shared" si="38"/>
        <v>7271</v>
      </c>
      <c r="H196" s="172">
        <f t="shared" si="39"/>
        <v>1.2130890827154576E-3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1344878</v>
      </c>
      <c r="D197" s="501">
        <f>SUM(D164:D196)</f>
        <v>80026</v>
      </c>
      <c r="E197" s="171">
        <f t="shared" ref="E197:F197" si="40">SUM(E164:E196)</f>
        <v>1424904</v>
      </c>
      <c r="F197" s="171">
        <f t="shared" si="40"/>
        <v>0</v>
      </c>
      <c r="G197" s="171">
        <f>SUM(G164:G196)</f>
        <v>1424904</v>
      </c>
      <c r="H197" s="172">
        <f>IF($G$208=0,0,G197/$G$208)</f>
        <v>0.23773009026510611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'[74]Sch C'!D211</f>
        <v>98890</v>
      </c>
      <c r="D200" s="501">
        <f>'[74]Sch C'!F211</f>
        <v>0</v>
      </c>
      <c r="E200" s="171">
        <f t="shared" ref="E200:E205" si="41">C200+D200</f>
        <v>98890</v>
      </c>
      <c r="F200" s="171"/>
      <c r="G200" s="171">
        <f t="shared" ref="G200:G205" si="42">E200+F200</f>
        <v>98890</v>
      </c>
      <c r="H200" s="172">
        <f t="shared" ref="H200:H206" si="43">IF($G$208=0,0,G200/$G$208)</f>
        <v>1.6498745618172411E-2</v>
      </c>
      <c r="I200" s="473"/>
      <c r="J200" s="183">
        <v>4825</v>
      </c>
      <c r="K200" s="183">
        <v>5281</v>
      </c>
    </row>
    <row r="201" spans="1:14" s="167" customFormat="1">
      <c r="A201" s="169" t="s">
        <v>86</v>
      </c>
      <c r="B201" s="170" t="s">
        <v>45</v>
      </c>
      <c r="C201" s="501">
        <f>'[74]Sch C'!D212</f>
        <v>0</v>
      </c>
      <c r="D201" s="501">
        <f>'[74]Sch C'!F212</f>
        <v>18088</v>
      </c>
      <c r="E201" s="171">
        <f t="shared" si="41"/>
        <v>18088</v>
      </c>
      <c r="F201" s="171"/>
      <c r="G201" s="171">
        <f t="shared" si="42"/>
        <v>18088</v>
      </c>
      <c r="H201" s="172">
        <f t="shared" si="43"/>
        <v>3.0177905828850499E-3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'[74]Sch C'!D213</f>
        <v>8346</v>
      </c>
      <c r="D202" s="501">
        <f>'[74]Sch C'!F213</f>
        <v>0</v>
      </c>
      <c r="E202" s="171">
        <f t="shared" si="41"/>
        <v>8346</v>
      </c>
      <c r="F202" s="171"/>
      <c r="G202" s="171">
        <f t="shared" si="42"/>
        <v>8346</v>
      </c>
      <c r="H202" s="172">
        <f t="shared" si="43"/>
        <v>1.3924414089318126E-3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'[74]Sch C'!D214</f>
        <v>0</v>
      </c>
      <c r="D203" s="501">
        <f>'[74]Sch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'[74]Sch C'!D215</f>
        <v>0</v>
      </c>
      <c r="D204" s="501">
        <f>'[74]Sch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'[74]Sch C'!D216</f>
        <v>2840</v>
      </c>
      <c r="D205" s="501">
        <f>'[74]Sch C'!F216</f>
        <v>0</v>
      </c>
      <c r="E205" s="171">
        <f t="shared" si="41"/>
        <v>2840</v>
      </c>
      <c r="F205" s="171"/>
      <c r="G205" s="171">
        <f t="shared" si="42"/>
        <v>2840</v>
      </c>
      <c r="H205" s="172">
        <f t="shared" si="43"/>
        <v>4.7382381995762611E-4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110076</v>
      </c>
      <c r="D206" s="501">
        <f>SUM(D200:D205)</f>
        <v>18088</v>
      </c>
      <c r="E206" s="171">
        <f t="shared" ref="E206:F206" si="44">SUM(E200:E205)</f>
        <v>128164</v>
      </c>
      <c r="F206" s="171">
        <f t="shared" si="44"/>
        <v>0</v>
      </c>
      <c r="G206" s="171">
        <f>SUM(G200:G205)</f>
        <v>128164</v>
      </c>
      <c r="H206" s="172">
        <f t="shared" si="43"/>
        <v>2.1382801429946901E-2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5978871</v>
      </c>
      <c r="D208" s="501">
        <f>SUM(D25:D206)/2</f>
        <v>14918</v>
      </c>
      <c r="E208" s="171">
        <f t="shared" ref="E208:F208" si="45">SUM(E25:E206)/2</f>
        <v>5993789</v>
      </c>
      <c r="F208" s="171">
        <f t="shared" si="45"/>
        <v>0</v>
      </c>
      <c r="G208" s="171">
        <f>SUM(G25:G206)/2</f>
        <v>5993789</v>
      </c>
      <c r="H208" s="172">
        <f>IF($G$208=0,0,G208/$G$208)</f>
        <v>1</v>
      </c>
      <c r="I208" s="473"/>
      <c r="J208" s="183">
        <f>SUM(J25:J200)</f>
        <v>138650</v>
      </c>
      <c r="K208" s="183">
        <f>SUM(K25:K200)</f>
        <v>149174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'[74]Sch C'!D221</f>
        <v>5978871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-219113</v>
      </c>
      <c r="D215" s="501">
        <f>D21-D208</f>
        <v>-14918</v>
      </c>
      <c r="E215" s="171">
        <f t="shared" ref="E215:F215" si="46">E21-E208</f>
        <v>-234031</v>
      </c>
      <c r="F215" s="171">
        <f t="shared" si="46"/>
        <v>0</v>
      </c>
      <c r="G215" s="171">
        <f>G21-G208</f>
        <v>-234031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'[74]Sch D'!C9</f>
        <v>958</v>
      </c>
      <c r="D219" s="530"/>
      <c r="E219" s="234">
        <f t="shared" ref="E219:G227" si="47">C219+D219</f>
        <v>958</v>
      </c>
      <c r="F219" s="233"/>
      <c r="G219" s="234">
        <f t="shared" si="47"/>
        <v>958</v>
      </c>
      <c r="H219" s="172">
        <f t="shared" ref="H219:H228" si="48">IF($G$228=0,0,G219/$G$228)</f>
        <v>7.0389419544452603E-2</v>
      </c>
      <c r="I219" s="473"/>
      <c r="J219" s="168"/>
      <c r="K219" s="168"/>
    </row>
    <row r="220" spans="1:11">
      <c r="A220" s="163"/>
      <c r="B220" s="170" t="s">
        <v>217</v>
      </c>
      <c r="C220" s="530">
        <f>'[74]Sch D'!D9</f>
        <v>0</v>
      </c>
      <c r="D220" s="530"/>
      <c r="E220" s="234">
        <f t="shared" si="47"/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'[74]Sch D'!E9</f>
        <v>7187</v>
      </c>
      <c r="D221" s="530"/>
      <c r="E221" s="234">
        <f t="shared" si="47"/>
        <v>7187</v>
      </c>
      <c r="F221" s="233"/>
      <c r="G221" s="234">
        <f t="shared" si="47"/>
        <v>7187</v>
      </c>
      <c r="H221" s="172">
        <f t="shared" si="48"/>
        <v>0.52806759735488606</v>
      </c>
      <c r="I221" s="473"/>
      <c r="J221" s="168"/>
      <c r="K221" s="168"/>
    </row>
    <row r="222" spans="1:11">
      <c r="A222" s="163"/>
      <c r="B222" s="202" t="s">
        <v>334</v>
      </c>
      <c r="C222" s="530">
        <f>'[74]Sch D'!F9</f>
        <v>3117</v>
      </c>
      <c r="D222" s="530"/>
      <c r="E222" s="234">
        <f>C222+D222</f>
        <v>3117</v>
      </c>
      <c r="F222" s="233"/>
      <c r="G222" s="234">
        <f>E222+F222</f>
        <v>3117</v>
      </c>
      <c r="H222" s="172">
        <f t="shared" si="48"/>
        <v>0.22902277736958118</v>
      </c>
      <c r="I222" s="473"/>
      <c r="J222" s="168"/>
      <c r="K222" s="168"/>
    </row>
    <row r="223" spans="1:11">
      <c r="A223" s="163"/>
      <c r="B223" s="170" t="s">
        <v>73</v>
      </c>
      <c r="C223" s="530">
        <f>'[74]Sch D'!G9</f>
        <v>0</v>
      </c>
      <c r="D223" s="530"/>
      <c r="E223" s="234">
        <f t="shared" si="47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'[74]Sch D'!H9</f>
        <v>2224</v>
      </c>
      <c r="D224" s="530"/>
      <c r="E224" s="234">
        <f t="shared" si="47"/>
        <v>2224</v>
      </c>
      <c r="F224" s="233"/>
      <c r="G224" s="234">
        <f t="shared" si="47"/>
        <v>2224</v>
      </c>
      <c r="H224" s="172">
        <f t="shared" si="48"/>
        <v>0.16340925789860397</v>
      </c>
      <c r="I224" s="473"/>
      <c r="J224" s="168"/>
      <c r="K224" s="168"/>
    </row>
    <row r="225" spans="1:11">
      <c r="A225" s="163"/>
      <c r="B225" s="170" t="s">
        <v>236</v>
      </c>
      <c r="C225" s="530">
        <f>'[74]Sch D'!I9</f>
        <v>0</v>
      </c>
      <c r="D225" s="530"/>
      <c r="E225" s="234">
        <f t="shared" si="47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'[74]Sch D'!J9</f>
        <v>124</v>
      </c>
      <c r="D226" s="530"/>
      <c r="E226" s="234">
        <f>C226+D226</f>
        <v>124</v>
      </c>
      <c r="F226" s="233"/>
      <c r="G226" s="234">
        <f>E226+F226</f>
        <v>124</v>
      </c>
      <c r="H226" s="172">
        <f t="shared" si="48"/>
        <v>9.1109478324761205E-3</v>
      </c>
      <c r="I226" s="473"/>
      <c r="J226" s="168"/>
      <c r="K226" s="168"/>
    </row>
    <row r="227" spans="1:11">
      <c r="A227" s="163"/>
      <c r="B227" s="170" t="s">
        <v>179</v>
      </c>
      <c r="C227" s="530">
        <f>'[74]Sch D'!K9</f>
        <v>0</v>
      </c>
      <c r="D227" s="530"/>
      <c r="E227" s="234">
        <f t="shared" si="47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13610</v>
      </c>
      <c r="D228" s="530">
        <f>SUM(D219:D227)</f>
        <v>0</v>
      </c>
      <c r="E228" s="236">
        <f>SUM(E219:E227)</f>
        <v>13610</v>
      </c>
      <c r="F228" s="236">
        <f>SUM(F219:F227)</f>
        <v>0</v>
      </c>
      <c r="G228" s="236">
        <f>SUM(G219:G227)</f>
        <v>13610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'[74]Sch D'!N22</f>
        <v>52</v>
      </c>
      <c r="D231" s="502"/>
      <c r="E231" s="234">
        <f>C231+D231</f>
        <v>52</v>
      </c>
      <c r="F231" s="234"/>
      <c r="G231" s="234">
        <f>E231+F231</f>
        <v>52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'[74]Sch D'!N24</f>
        <v>52</v>
      </c>
      <c r="D232" s="502"/>
      <c r="E232" s="234">
        <f>C232+D232</f>
        <v>52</v>
      </c>
      <c r="F232" s="234"/>
      <c r="G232" s="234">
        <f>E232+F232</f>
        <v>52</v>
      </c>
      <c r="H232" s="470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'[74]Sch D'!N28</f>
        <v>18980</v>
      </c>
      <c r="D235" s="438"/>
      <c r="E235" s="233">
        <f>E231*E233</f>
        <v>18980</v>
      </c>
      <c r="F235" s="238"/>
      <c r="G235" s="233">
        <f>G231*G233</f>
        <v>18980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'[74]Sch D'!N30</f>
        <v>0.71707060063224448</v>
      </c>
      <c r="D236" s="238"/>
      <c r="E236" s="242">
        <f>E228/E235</f>
        <v>0.71707060063224448</v>
      </c>
      <c r="F236" s="243"/>
      <c r="G236" s="242">
        <f>G228/G235</f>
        <v>0.71707060063224448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'[74]Sch D'!N32</f>
        <v>5.0474183350895679E-2</v>
      </c>
      <c r="D237" s="238"/>
      <c r="E237" s="242">
        <f>(E219+E220)/E235</f>
        <v>5.0474183350895679E-2</v>
      </c>
      <c r="F237" s="243"/>
      <c r="G237" s="242">
        <f>(G219+G220)/G235</f>
        <v>5.0474183350895679E-2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'[74]Sch D'!N34</f>
        <v>7.0389419544452603E-2</v>
      </c>
      <c r="D238" s="238"/>
      <c r="E238" s="242">
        <f>(E237/E236)</f>
        <v>7.0389419544452603E-2</v>
      </c>
      <c r="F238" s="243"/>
      <c r="G238" s="242">
        <f>(G237/G236)</f>
        <v>7.0389419544452603E-2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'[74]Sch B'!C85</f>
        <v>289.9121756487026</v>
      </c>
      <c r="I241" s="475"/>
    </row>
    <row r="242" spans="2:9">
      <c r="B242" s="471" t="s">
        <v>403</v>
      </c>
      <c r="F242" s="142" t="s">
        <v>341</v>
      </c>
      <c r="G242" s="501">
        <f>'[74]Sch B'!E85</f>
        <v>295.16173570019726</v>
      </c>
      <c r="I242" s="475"/>
    </row>
    <row r="243" spans="2:9">
      <c r="B243" s="421" t="s">
        <v>404</v>
      </c>
      <c r="F243" s="142" t="s">
        <v>342</v>
      </c>
      <c r="G243" s="501">
        <f>'[74]Sch B'!G85</f>
        <v>284.7072</v>
      </c>
      <c r="I243" s="475"/>
    </row>
    <row r="244" spans="2:9">
      <c r="F244" s="142" t="s">
        <v>343</v>
      </c>
      <c r="G244" s="501">
        <f>'[74]Sch B'!I85</f>
        <v>293.63959390862942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E28CAB"/>
  </sheetPr>
  <dimension ref="A1:O246"/>
  <sheetViews>
    <sheetView showGridLines="0" topLeftCell="A35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447</v>
      </c>
      <c r="D2" s="144"/>
      <c r="E2" s="421"/>
    </row>
    <row r="3" spans="1:11">
      <c r="A3" s="145"/>
      <c r="B3" s="140" t="s">
        <v>79</v>
      </c>
      <c r="C3" s="441">
        <v>42552</v>
      </c>
      <c r="D3" s="402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'[75]Sch B'!E10</f>
        <v>5765</v>
      </c>
      <c r="D11" s="501">
        <f>'[75]Sch B'!G10</f>
        <v>0</v>
      </c>
      <c r="E11" s="171">
        <f>C11+D11</f>
        <v>5765</v>
      </c>
      <c r="F11" s="171"/>
      <c r="G11" s="171">
        <f t="shared" ref="G11:G20" si="0">E11+F11</f>
        <v>5765</v>
      </c>
      <c r="H11" s="172">
        <f t="shared" ref="H11:H21" si="1">IF($G$21=0,0,G11/$G$21)</f>
        <v>1.1999219894602516E-3</v>
      </c>
      <c r="I11" s="473"/>
      <c r="J11" s="336" t="s">
        <v>344</v>
      </c>
      <c r="K11" s="337">
        <f>G21</f>
        <v>4804479</v>
      </c>
    </row>
    <row r="12" spans="1:11" s="167" customFormat="1">
      <c r="A12" s="169" t="s">
        <v>15</v>
      </c>
      <c r="B12" s="170" t="s">
        <v>212</v>
      </c>
      <c r="C12" s="501">
        <f>'[75]Sch B'!E15</f>
        <v>0</v>
      </c>
      <c r="D12" s="501">
        <f>'[75]Sch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4611302</v>
      </c>
    </row>
    <row r="13" spans="1:11" s="167" customFormat="1">
      <c r="A13" s="169" t="s">
        <v>16</v>
      </c>
      <c r="B13" s="170" t="s">
        <v>170</v>
      </c>
      <c r="C13" s="501">
        <f>'[75]Sch B'!E21</f>
        <v>3508073</v>
      </c>
      <c r="D13" s="501">
        <f>'[75]Sch B'!G21</f>
        <v>0</v>
      </c>
      <c r="E13" s="171">
        <f t="shared" si="2"/>
        <v>3508073</v>
      </c>
      <c r="F13" s="171"/>
      <c r="G13" s="171">
        <f t="shared" si="0"/>
        <v>3508073</v>
      </c>
      <c r="H13" s="172">
        <f t="shared" si="1"/>
        <v>0.73016720439406646</v>
      </c>
      <c r="I13" s="473"/>
      <c r="J13" s="338" t="s">
        <v>346</v>
      </c>
      <c r="K13" s="339">
        <f>G228</f>
        <v>9607</v>
      </c>
    </row>
    <row r="14" spans="1:11" s="167" customFormat="1">
      <c r="A14" s="173" t="s">
        <v>18</v>
      </c>
      <c r="B14" s="174" t="s">
        <v>306</v>
      </c>
      <c r="C14" s="501">
        <f>'[75]Sch B'!E27</f>
        <v>991843</v>
      </c>
      <c r="D14" s="501">
        <f>'[75]Sch B'!G27</f>
        <v>0</v>
      </c>
      <c r="E14" s="171">
        <f t="shared" si="2"/>
        <v>991843</v>
      </c>
      <c r="F14" s="175"/>
      <c r="G14" s="175">
        <f>E14+F14</f>
        <v>991843</v>
      </c>
      <c r="H14" s="176">
        <f t="shared" si="1"/>
        <v>0.20644132277401983</v>
      </c>
      <c r="I14" s="479"/>
      <c r="J14" s="338" t="s">
        <v>347</v>
      </c>
      <c r="K14" s="339">
        <f>G231</f>
        <v>34</v>
      </c>
    </row>
    <row r="15" spans="1:11" s="167" customFormat="1">
      <c r="A15" s="169" t="s">
        <v>19</v>
      </c>
      <c r="B15" s="170" t="s">
        <v>171</v>
      </c>
      <c r="C15" s="501">
        <f>'[75]Sch B'!E32</f>
        <v>0</v>
      </c>
      <c r="D15" s="501">
        <f>'[75]Sch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12410</v>
      </c>
    </row>
    <row r="16" spans="1:11" s="167" customFormat="1">
      <c r="A16" s="169" t="s">
        <v>21</v>
      </c>
      <c r="B16" s="170" t="s">
        <v>172</v>
      </c>
      <c r="C16" s="501">
        <f>'[75]Sch B'!E37</f>
        <v>297128</v>
      </c>
      <c r="D16" s="501">
        <f>'[75]Sch B'!G37</f>
        <v>0</v>
      </c>
      <c r="E16" s="171">
        <f t="shared" si="2"/>
        <v>297128</v>
      </c>
      <c r="F16" s="171"/>
      <c r="G16" s="171">
        <f t="shared" si="0"/>
        <v>297128</v>
      </c>
      <c r="H16" s="172">
        <f t="shared" si="1"/>
        <v>6.1843958522870016E-2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'[75]Sch B'!E42</f>
        <v>0</v>
      </c>
      <c r="D17" s="501">
        <f>'[75]Sch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104051</v>
      </c>
    </row>
    <row r="18" spans="1:11" s="167" customFormat="1" ht="13.5" thickBot="1">
      <c r="A18" s="169" t="s">
        <v>216</v>
      </c>
      <c r="B18" s="170" t="s">
        <v>229</v>
      </c>
      <c r="C18" s="501">
        <f>'[75]Sch B'!E47</f>
        <v>0</v>
      </c>
      <c r="D18" s="501">
        <f>'[75]Sch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111576</v>
      </c>
    </row>
    <row r="19" spans="1:11" s="167" customFormat="1">
      <c r="A19" s="169" t="s">
        <v>227</v>
      </c>
      <c r="B19" s="177" t="s">
        <v>173</v>
      </c>
      <c r="C19" s="501">
        <f>'[75]Sch B'!E52</f>
        <v>0</v>
      </c>
      <c r="D19" s="501">
        <f>'[75]Sch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'[75]Sch B'!E67</f>
        <v>1670</v>
      </c>
      <c r="D20" s="501">
        <f>'[75]Sch B'!G67</f>
        <v>0</v>
      </c>
      <c r="E20" s="171">
        <f t="shared" si="2"/>
        <v>1670</v>
      </c>
      <c r="F20" s="171"/>
      <c r="G20" s="171">
        <f t="shared" si="0"/>
        <v>1670</v>
      </c>
      <c r="H20" s="172">
        <f t="shared" si="1"/>
        <v>3.4759231958345538E-4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4804479</v>
      </c>
      <c r="D21" s="501">
        <f>SUM(D11:D20)</f>
        <v>0</v>
      </c>
      <c r="E21" s="171">
        <f>SUM(E11:E20)</f>
        <v>4804479</v>
      </c>
      <c r="F21" s="171">
        <f>SUM(F11:F20)</f>
        <v>0</v>
      </c>
      <c r="G21" s="171">
        <f>SUM(G11:G20)</f>
        <v>4804479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'[75]Sch C'!D10</f>
        <v>116048</v>
      </c>
      <c r="D25" s="501">
        <f>'[75]Sch C'!F10</f>
        <v>0</v>
      </c>
      <c r="E25" s="171">
        <f t="shared" ref="E25:E60" si="3">C25+D25</f>
        <v>116048</v>
      </c>
      <c r="F25" s="171"/>
      <c r="G25" s="182">
        <f>E25+F25</f>
        <v>116048</v>
      </c>
      <c r="H25" s="172">
        <f>IF($G$208=0,0,G25/$G$208)</f>
        <v>2.5165994333053877E-2</v>
      </c>
      <c r="I25" s="473"/>
      <c r="J25" s="183">
        <v>1958</v>
      </c>
      <c r="K25" s="183">
        <v>2172</v>
      </c>
    </row>
    <row r="26" spans="1:11" s="167" customFormat="1">
      <c r="A26" s="169" t="s">
        <v>84</v>
      </c>
      <c r="B26" s="170" t="s">
        <v>176</v>
      </c>
      <c r="C26" s="501">
        <f>'[75]Sch C'!D11</f>
        <v>0</v>
      </c>
      <c r="D26" s="501">
        <f>'[75]Sch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'[75]Sch C'!D12</f>
        <v>144917</v>
      </c>
      <c r="D27" s="501">
        <f>'[75]Sch C'!F12</f>
        <v>0</v>
      </c>
      <c r="E27" s="171">
        <f t="shared" si="3"/>
        <v>144917</v>
      </c>
      <c r="F27" s="171"/>
      <c r="G27" s="171">
        <f t="shared" si="4"/>
        <v>144917</v>
      </c>
      <c r="H27" s="172">
        <f t="shared" si="5"/>
        <v>3.1426482151895495E-2</v>
      </c>
      <c r="I27" s="473"/>
      <c r="J27" s="183">
        <v>4573</v>
      </c>
      <c r="K27" s="183">
        <v>5045</v>
      </c>
    </row>
    <row r="28" spans="1:11" s="167" customFormat="1">
      <c r="A28" s="169" t="s">
        <v>86</v>
      </c>
      <c r="B28" s="170" t="s">
        <v>45</v>
      </c>
      <c r="C28" s="501">
        <f>'[75]Sch C'!D13</f>
        <v>394819</v>
      </c>
      <c r="D28" s="501">
        <f>'[75]Sch C'!F13</f>
        <v>-347264</v>
      </c>
      <c r="E28" s="171">
        <f t="shared" si="3"/>
        <v>47555</v>
      </c>
      <c r="F28" s="171"/>
      <c r="G28" s="171">
        <f t="shared" si="4"/>
        <v>47555</v>
      </c>
      <c r="H28" s="172">
        <f t="shared" si="5"/>
        <v>1.0312705608958164E-2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'[75]Sch C'!D14</f>
        <v>0</v>
      </c>
      <c r="D29" s="501">
        <f>'[75]Sch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'[75]Sch C'!D15</f>
        <v>0</v>
      </c>
      <c r="D30" s="501">
        <f>'[75]Sch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'[75]Sch C'!D16</f>
        <v>0</v>
      </c>
      <c r="D31" s="501">
        <f>'[75]Sch C'!F16</f>
        <v>157137</v>
      </c>
      <c r="E31" s="171">
        <f t="shared" si="3"/>
        <v>157137</v>
      </c>
      <c r="F31" s="171"/>
      <c r="G31" s="171">
        <f t="shared" si="4"/>
        <v>157137</v>
      </c>
      <c r="H31" s="172">
        <f t="shared" si="5"/>
        <v>3.4076492929762572E-2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'[75]Sch C'!D17</f>
        <v>0</v>
      </c>
      <c r="D32" s="501">
        <f>'[75]Sch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'[75]Sch C'!D18</f>
        <v>12302</v>
      </c>
      <c r="D33" s="501">
        <f>'[75]Sch C'!F18</f>
        <v>0</v>
      </c>
      <c r="E33" s="171">
        <f t="shared" si="3"/>
        <v>12302</v>
      </c>
      <c r="F33" s="171"/>
      <c r="G33" s="171">
        <f t="shared" si="4"/>
        <v>12302</v>
      </c>
      <c r="H33" s="172">
        <f t="shared" si="5"/>
        <v>2.6677931742488349E-3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'[75]Sch C'!D19</f>
        <v>8888</v>
      </c>
      <c r="D34" s="501">
        <f>'[75]Sch C'!F19</f>
        <v>0</v>
      </c>
      <c r="E34" s="171">
        <f t="shared" si="3"/>
        <v>8888</v>
      </c>
      <c r="F34" s="171"/>
      <c r="G34" s="171">
        <f t="shared" si="4"/>
        <v>8888</v>
      </c>
      <c r="H34" s="172">
        <f t="shared" si="5"/>
        <v>1.9274382809887534E-3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'[75]Sch C'!D20</f>
        <v>12652</v>
      </c>
      <c r="D35" s="501">
        <f>'[75]Sch C'!F20</f>
        <v>0</v>
      </c>
      <c r="E35" s="171">
        <f t="shared" si="3"/>
        <v>12652</v>
      </c>
      <c r="F35" s="171"/>
      <c r="G35" s="171">
        <f t="shared" si="4"/>
        <v>12652</v>
      </c>
      <c r="H35" s="172">
        <f t="shared" si="5"/>
        <v>2.7436936466100031E-3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'[75]Sch C'!D21</f>
        <v>10841</v>
      </c>
      <c r="D36" s="501">
        <f>'[75]Sch C'!F21</f>
        <v>0</v>
      </c>
      <c r="E36" s="171">
        <f t="shared" si="3"/>
        <v>10841</v>
      </c>
      <c r="F36" s="171"/>
      <c r="G36" s="171">
        <f t="shared" si="4"/>
        <v>10841</v>
      </c>
      <c r="H36" s="172">
        <f t="shared" si="5"/>
        <v>2.3509629167640725E-3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'[75]Sch C'!D22</f>
        <v>0</v>
      </c>
      <c r="D37" s="501">
        <f>'[75]Sch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'[75]Sch C'!D23</f>
        <v>37645</v>
      </c>
      <c r="D38" s="501">
        <f>'[75]Sch C'!F23</f>
        <v>0</v>
      </c>
      <c r="E38" s="171">
        <f t="shared" si="3"/>
        <v>37645</v>
      </c>
      <c r="F38" s="171">
        <v>-34853</v>
      </c>
      <c r="G38" s="171">
        <f t="shared" si="4"/>
        <v>2792</v>
      </c>
      <c r="H38" s="172">
        <f t="shared" si="5"/>
        <v>6.0546891094966234E-4</v>
      </c>
      <c r="I38" s="168" t="s">
        <v>678</v>
      </c>
      <c r="K38" s="168"/>
    </row>
    <row r="39" spans="1:11" s="167" customFormat="1">
      <c r="A39" s="163">
        <v>150</v>
      </c>
      <c r="B39" s="170" t="s">
        <v>29</v>
      </c>
      <c r="C39" s="501">
        <f>'[75]Sch C'!D24</f>
        <v>3239</v>
      </c>
      <c r="D39" s="501">
        <f>'[75]Sch C'!F24</f>
        <v>0</v>
      </c>
      <c r="E39" s="171">
        <f t="shared" si="3"/>
        <v>3239</v>
      </c>
      <c r="F39" s="171">
        <v>34853</v>
      </c>
      <c r="G39" s="171">
        <f t="shared" si="4"/>
        <v>38092</v>
      </c>
      <c r="H39" s="172">
        <f t="shared" si="5"/>
        <v>8.2605736948046342E-3</v>
      </c>
      <c r="I39" s="473" t="s">
        <v>679</v>
      </c>
      <c r="J39" s="168"/>
      <c r="K39" s="168"/>
    </row>
    <row r="40" spans="1:11" s="167" customFormat="1">
      <c r="A40" s="163">
        <v>160</v>
      </c>
      <c r="B40" s="170" t="s">
        <v>30</v>
      </c>
      <c r="C40" s="501">
        <f>'[75]Sch C'!D25</f>
        <v>0</v>
      </c>
      <c r="D40" s="501">
        <f>'[75]Sch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'[75]Sch C'!D26</f>
        <v>7571</v>
      </c>
      <c r="D41" s="501">
        <f>'[75]Sch C'!F26</f>
        <v>0</v>
      </c>
      <c r="E41" s="171">
        <f t="shared" si="3"/>
        <v>7571</v>
      </c>
      <c r="F41" s="171"/>
      <c r="G41" s="171">
        <f t="shared" si="4"/>
        <v>7571</v>
      </c>
      <c r="H41" s="172">
        <f t="shared" si="5"/>
        <v>1.6418356464183001E-3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'[75]Sch C'!D27</f>
        <v>0</v>
      </c>
      <c r="D42" s="501">
        <f>'[75]Sch C'!F27</f>
        <v>-689</v>
      </c>
      <c r="E42" s="171">
        <f t="shared" si="3"/>
        <v>-689</v>
      </c>
      <c r="F42" s="171"/>
      <c r="G42" s="171">
        <f t="shared" si="4"/>
        <v>-689</v>
      </c>
      <c r="H42" s="172">
        <f t="shared" si="5"/>
        <v>-1.4941550130527127E-4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'[75]Sch C'!D28</f>
        <v>0</v>
      </c>
      <c r="D43" s="501">
        <f>'[75]Sch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'[75]Sch C'!D29</f>
        <v>463</v>
      </c>
      <c r="D44" s="501">
        <f>'[75]Sch C'!F29</f>
        <v>-463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'[75]Sch C'!D30</f>
        <v>0</v>
      </c>
      <c r="D45" s="501">
        <f>'[75]Sch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'[75]Sch C'!D31</f>
        <v>34312</v>
      </c>
      <c r="D46" s="501">
        <f>'[75]Sch C'!F31</f>
        <v>0</v>
      </c>
      <c r="E46" s="171">
        <f t="shared" si="3"/>
        <v>34312</v>
      </c>
      <c r="F46" s="171"/>
      <c r="G46" s="171">
        <f t="shared" si="4"/>
        <v>34312</v>
      </c>
      <c r="H46" s="172">
        <f t="shared" si="5"/>
        <v>7.4408485933040169E-3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'[75]Sch C'!D32</f>
        <v>21903</v>
      </c>
      <c r="D47" s="501">
        <f>'[75]Sch C'!F32</f>
        <v>0</v>
      </c>
      <c r="E47" s="171">
        <f t="shared" si="3"/>
        <v>21903</v>
      </c>
      <c r="F47" s="171"/>
      <c r="G47" s="171">
        <f t="shared" si="4"/>
        <v>21903</v>
      </c>
      <c r="H47" s="172">
        <f t="shared" si="5"/>
        <v>4.7498515603619108E-3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'[75]Sch C'!D33</f>
        <v>0</v>
      </c>
      <c r="D48" s="501">
        <f>'[75]Sch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'[75]Sch C'!D34</f>
        <v>0</v>
      </c>
      <c r="D49" s="501">
        <f>'[75]Sch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'[75]Sch C'!D35</f>
        <v>0</v>
      </c>
      <c r="D50" s="501">
        <f>'[75]Sch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'[75]Sch C'!D36</f>
        <v>45953</v>
      </c>
      <c r="D51" s="501">
        <f>'[75]Sch C'!F36</f>
        <v>0</v>
      </c>
      <c r="E51" s="171">
        <f t="shared" si="3"/>
        <v>45953</v>
      </c>
      <c r="F51" s="171"/>
      <c r="G51" s="171">
        <f t="shared" si="4"/>
        <v>45953</v>
      </c>
      <c r="H51" s="172">
        <f t="shared" si="5"/>
        <v>9.965298304036474E-3</v>
      </c>
      <c r="I51" s="473"/>
      <c r="J51" s="183">
        <v>2292</v>
      </c>
      <c r="K51" s="183">
        <v>2512</v>
      </c>
    </row>
    <row r="52" spans="1:11" s="167" customFormat="1">
      <c r="A52" s="163">
        <v>290</v>
      </c>
      <c r="B52" s="170" t="s">
        <v>205</v>
      </c>
      <c r="C52" s="501">
        <f>'[75]Sch C'!D37</f>
        <v>0</v>
      </c>
      <c r="D52" s="501">
        <f>'[75]Sch C'!F37</f>
        <v>8374</v>
      </c>
      <c r="E52" s="171">
        <f t="shared" si="3"/>
        <v>8374</v>
      </c>
      <c r="F52" s="171"/>
      <c r="G52" s="171">
        <f t="shared" si="4"/>
        <v>8374</v>
      </c>
      <c r="H52" s="172">
        <f t="shared" si="5"/>
        <v>1.8159730158640662E-3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'[75]Sch C'!D38</f>
        <v>0</v>
      </c>
      <c r="D53" s="501">
        <f>'[75]Sch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'[75]Sch C'!D39</f>
        <v>5083</v>
      </c>
      <c r="D54" s="501">
        <f>'[75]Sch C'!F39</f>
        <v>0</v>
      </c>
      <c r="E54" s="171">
        <f t="shared" si="3"/>
        <v>5083</v>
      </c>
      <c r="F54" s="171"/>
      <c r="G54" s="171">
        <f t="shared" si="4"/>
        <v>5083</v>
      </c>
      <c r="H54" s="172">
        <f t="shared" si="5"/>
        <v>1.1022917171766239E-3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'[75]Sch C'!D40</f>
        <v>10975</v>
      </c>
      <c r="D55" s="501">
        <f>'[75]Sch C'!F40</f>
        <v>0</v>
      </c>
      <c r="E55" s="171">
        <f t="shared" si="3"/>
        <v>10975</v>
      </c>
      <c r="F55" s="171"/>
      <c r="G55" s="171">
        <f t="shared" si="4"/>
        <v>10975</v>
      </c>
      <c r="H55" s="172">
        <f t="shared" si="5"/>
        <v>2.3800219547537769E-3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'[75]Sch C'!D41</f>
        <v>5066</v>
      </c>
      <c r="D56" s="501">
        <f>'[75]Sch C'!F41</f>
        <v>0</v>
      </c>
      <c r="E56" s="171">
        <f t="shared" si="3"/>
        <v>5066</v>
      </c>
      <c r="F56" s="171"/>
      <c r="G56" s="171">
        <f t="shared" si="4"/>
        <v>5066</v>
      </c>
      <c r="H56" s="172">
        <f t="shared" si="5"/>
        <v>1.0986051228047957E-3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'[75]Sch C'!D42</f>
        <v>4415</v>
      </c>
      <c r="D57" s="501">
        <f>'[75]Sch C'!F42</f>
        <v>0</v>
      </c>
      <c r="E57" s="171">
        <f t="shared" si="3"/>
        <v>4415</v>
      </c>
      <c r="F57" s="171"/>
      <c r="G57" s="171">
        <f t="shared" si="4"/>
        <v>4415</v>
      </c>
      <c r="H57" s="172">
        <f t="shared" si="5"/>
        <v>9.5743024421302274E-4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'[75]Sch C'!D43</f>
        <v>7110</v>
      </c>
      <c r="D58" s="501">
        <f>'[75]Sch C'!F43</f>
        <v>0</v>
      </c>
      <c r="E58" s="171">
        <f t="shared" si="3"/>
        <v>7110</v>
      </c>
      <c r="F58" s="171">
        <v>-7110</v>
      </c>
      <c r="G58" s="171">
        <f t="shared" si="4"/>
        <v>0</v>
      </c>
      <c r="H58" s="172">
        <f t="shared" si="5"/>
        <v>0</v>
      </c>
      <c r="I58" s="473" t="s">
        <v>686</v>
      </c>
      <c r="J58" s="168"/>
      <c r="K58" s="168"/>
    </row>
    <row r="59" spans="1:11" s="167" customFormat="1">
      <c r="A59" s="163">
        <v>360</v>
      </c>
      <c r="B59" s="170" t="s">
        <v>211</v>
      </c>
      <c r="C59" s="501">
        <f>'[75]Sch C'!D44</f>
        <v>0</v>
      </c>
      <c r="D59" s="501">
        <f>'[75]Sch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'[75]Sch C'!D45</f>
        <v>14800</v>
      </c>
      <c r="D60" s="501">
        <f>'[75]Sch C'!F45</f>
        <v>941</v>
      </c>
      <c r="E60" s="171">
        <f t="shared" si="3"/>
        <v>15741</v>
      </c>
      <c r="F60" s="171"/>
      <c r="G60" s="171">
        <f t="shared" si="4"/>
        <v>15741</v>
      </c>
      <c r="H60" s="172">
        <f t="shared" si="5"/>
        <v>3.413569529820428E-3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899002</v>
      </c>
      <c r="D61" s="501">
        <f>SUM(D25:D60)</f>
        <v>-181964</v>
      </c>
      <c r="E61" s="171">
        <f t="shared" ref="E61:F61" si="6">SUM(E25:E60)</f>
        <v>717038</v>
      </c>
      <c r="F61" s="171">
        <f t="shared" si="6"/>
        <v>-7110</v>
      </c>
      <c r="G61" s="171">
        <f>SUM(G25:G60)</f>
        <v>709928</v>
      </c>
      <c r="H61" s="186">
        <f t="shared" si="5"/>
        <v>0.15395391583548421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'[75]Sch C'!D57</f>
        <v>0</v>
      </c>
      <c r="D64" s="501">
        <f>'[75]Sch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'[75]Sch C'!D58</f>
        <v>235335</v>
      </c>
      <c r="D65" s="501">
        <f>'[75]Sch C'!F58</f>
        <v>0</v>
      </c>
      <c r="E65" s="171">
        <f t="shared" si="7"/>
        <v>235335</v>
      </c>
      <c r="F65" s="171"/>
      <c r="G65" s="171">
        <f t="shared" si="8"/>
        <v>235335</v>
      </c>
      <c r="H65" s="172">
        <f t="shared" si="9"/>
        <v>5.1034393323187245E-2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'[75]Sch C'!D59</f>
        <v>268813</v>
      </c>
      <c r="D66" s="501">
        <f>'[75]Sch C'!F59</f>
        <v>0</v>
      </c>
      <c r="E66" s="171">
        <f t="shared" si="7"/>
        <v>268813</v>
      </c>
      <c r="F66" s="171"/>
      <c r="G66" s="171">
        <f t="shared" si="8"/>
        <v>268813</v>
      </c>
      <c r="H66" s="172">
        <f t="shared" si="9"/>
        <v>5.829438193377922E-2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'[75]Sch C'!D60</f>
        <v>43526</v>
      </c>
      <c r="D67" s="501">
        <f>'[75]Sch C'!F60</f>
        <v>0</v>
      </c>
      <c r="E67" s="171">
        <f t="shared" si="7"/>
        <v>43526</v>
      </c>
      <c r="F67" s="171"/>
      <c r="G67" s="171">
        <f t="shared" si="8"/>
        <v>43526</v>
      </c>
      <c r="H67" s="172">
        <f t="shared" si="9"/>
        <v>9.4389827428348876E-3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'[75]Sch C'!D61</f>
        <v>0</v>
      </c>
      <c r="D68" s="501">
        <f>'[75]Sch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'[75]Sch C'!D62</f>
        <v>0</v>
      </c>
      <c r="D69" s="501">
        <f>'[75]Sch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'[75]Sch C'!D63</f>
        <v>0</v>
      </c>
      <c r="D70" s="501">
        <f>'[75]Sch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'[75]Sch C'!D64</f>
        <v>0</v>
      </c>
      <c r="D71" s="501">
        <f>'[75]Sch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'[75]Sch C'!D65</f>
        <v>1482</v>
      </c>
      <c r="D72" s="501">
        <f>'[75]Sch C'!F65</f>
        <v>0</v>
      </c>
      <c r="E72" s="171">
        <f t="shared" si="7"/>
        <v>1482</v>
      </c>
      <c r="F72" s="171"/>
      <c r="G72" s="171">
        <f t="shared" si="8"/>
        <v>1482</v>
      </c>
      <c r="H72" s="172">
        <f t="shared" si="9"/>
        <v>3.2138428582643253E-4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'[75]Sch C'!D66</f>
        <v>24549</v>
      </c>
      <c r="D73" s="501">
        <f>'[75]Sch C'!F66</f>
        <v>0</v>
      </c>
      <c r="E73" s="171">
        <f t="shared" si="7"/>
        <v>24549</v>
      </c>
      <c r="F73" s="171"/>
      <c r="G73" s="171">
        <f t="shared" si="8"/>
        <v>24549</v>
      </c>
      <c r="H73" s="172">
        <f t="shared" si="9"/>
        <v>5.3236591314123434E-3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'[75]Sch C'!D67</f>
        <v>0</v>
      </c>
      <c r="D74" s="501">
        <f>'[75]Sch C'!F67</f>
        <v>0</v>
      </c>
      <c r="E74" s="171">
        <f t="shared" si="7"/>
        <v>0</v>
      </c>
      <c r="F74" s="171"/>
      <c r="G74" s="171">
        <f t="shared" si="8"/>
        <v>0</v>
      </c>
      <c r="H74" s="172">
        <f t="shared" si="9"/>
        <v>0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'[75]Sch C'!D68</f>
        <v>0</v>
      </c>
      <c r="D75" s="501">
        <f>'[75]Sch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'[75]Sch C'!D69</f>
        <v>0</v>
      </c>
      <c r="D76" s="501">
        <f>'[75]Sch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'[75]Sch C'!D70</f>
        <v>0</v>
      </c>
      <c r="D77" s="501">
        <f>'[75]Sch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'[75]Sch C'!D71</f>
        <v>0</v>
      </c>
      <c r="D78" s="501">
        <f>'[75]Sch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573705</v>
      </c>
      <c r="D79" s="501">
        <f>SUM(D64:D78)</f>
        <v>0</v>
      </c>
      <c r="E79" s="171">
        <f t="shared" ref="E79:F79" si="10">SUM(E64:E78)</f>
        <v>573705</v>
      </c>
      <c r="F79" s="171">
        <f t="shared" si="10"/>
        <v>0</v>
      </c>
      <c r="G79" s="171">
        <f>SUM(G64:G78)</f>
        <v>573705</v>
      </c>
      <c r="H79" s="172">
        <f t="shared" si="9"/>
        <v>0.12441280141704013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'[75]Sch C'!D75</f>
        <v>42148</v>
      </c>
      <c r="D82" s="501">
        <f>'[75]Sch C'!F75</f>
        <v>0</v>
      </c>
      <c r="E82" s="171">
        <f t="shared" ref="E82:E92" si="11">C82+D82</f>
        <v>42148</v>
      </c>
      <c r="F82" s="171"/>
      <c r="G82" s="171">
        <f t="shared" ref="G82:G92" si="12">E82+F82</f>
        <v>42148</v>
      </c>
      <c r="H82" s="172">
        <f t="shared" ref="H82:H93" si="13">IF($G$208=0,0,G82/$G$208)</f>
        <v>9.1401517402243445E-3</v>
      </c>
      <c r="I82" s="473"/>
      <c r="J82" s="183">
        <v>1884</v>
      </c>
      <c r="K82" s="183">
        <v>2059</v>
      </c>
    </row>
    <row r="83" spans="1:11" s="167" customFormat="1">
      <c r="A83" s="169" t="s">
        <v>86</v>
      </c>
      <c r="B83" s="199" t="s">
        <v>45</v>
      </c>
      <c r="C83" s="501">
        <f>'[75]Sch C'!D76</f>
        <v>0</v>
      </c>
      <c r="D83" s="501">
        <f>'[75]Sch C'!F76</f>
        <v>7681</v>
      </c>
      <c r="E83" s="171">
        <f t="shared" si="11"/>
        <v>7681</v>
      </c>
      <c r="F83" s="171"/>
      <c r="G83" s="171">
        <f t="shared" si="12"/>
        <v>7681</v>
      </c>
      <c r="H83" s="172">
        <f t="shared" si="13"/>
        <v>1.6656900805889529E-3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'[75]Sch C'!D77</f>
        <v>7219</v>
      </c>
      <c r="D84" s="501">
        <f>'[75]Sch C'!F77</f>
        <v>0</v>
      </c>
      <c r="E84" s="171">
        <f t="shared" si="11"/>
        <v>7219</v>
      </c>
      <c r="F84" s="171"/>
      <c r="G84" s="171">
        <f t="shared" si="12"/>
        <v>7219</v>
      </c>
      <c r="H84" s="172">
        <f t="shared" si="13"/>
        <v>1.5655014570722108E-3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'[75]Sch C'!D78</f>
        <v>0</v>
      </c>
      <c r="D85" s="501">
        <f>'[75]Sch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'[75]Sch C'!D79</f>
        <v>4592</v>
      </c>
      <c r="D86" s="501">
        <f>'[75]Sch C'!F79</f>
        <v>0</v>
      </c>
      <c r="E86" s="171">
        <f t="shared" si="11"/>
        <v>4592</v>
      </c>
      <c r="F86" s="171"/>
      <c r="G86" s="171">
        <f>E86+F86</f>
        <v>4592</v>
      </c>
      <c r="H86" s="172">
        <f t="shared" si="13"/>
        <v>9.9581419737852783E-4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'[75]Sch C'!D80</f>
        <v>27320</v>
      </c>
      <c r="D87" s="501">
        <f>'[75]Sch C'!F80</f>
        <v>0</v>
      </c>
      <c r="E87" s="171">
        <f t="shared" si="11"/>
        <v>27320</v>
      </c>
      <c r="F87" s="171"/>
      <c r="G87" s="171">
        <f t="shared" si="12"/>
        <v>27320</v>
      </c>
      <c r="H87" s="172">
        <f t="shared" si="13"/>
        <v>5.9245740140203354E-3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'[75]Sch C'!D81</f>
        <v>11285</v>
      </c>
      <c r="D88" s="501">
        <f>'[75]Sch C'!F81</f>
        <v>0</v>
      </c>
      <c r="E88" s="171">
        <f t="shared" si="11"/>
        <v>11285</v>
      </c>
      <c r="F88" s="171"/>
      <c r="G88" s="171">
        <f t="shared" si="12"/>
        <v>11285</v>
      </c>
      <c r="H88" s="172">
        <f t="shared" si="13"/>
        <v>2.4472480874165258E-3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'[75]Sch C'!D82</f>
        <v>6690</v>
      </c>
      <c r="D89" s="501">
        <f>'[75]Sch C'!F82</f>
        <v>0</v>
      </c>
      <c r="E89" s="171">
        <f t="shared" si="11"/>
        <v>6690</v>
      </c>
      <c r="F89" s="171"/>
      <c r="G89" s="171">
        <f t="shared" si="12"/>
        <v>6690</v>
      </c>
      <c r="H89" s="172">
        <f t="shared" si="13"/>
        <v>1.4507833145606165E-3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'[75]Sch C'!D83</f>
        <v>8831</v>
      </c>
      <c r="D90" s="501">
        <f>'[75]Sch C'!F83</f>
        <v>0</v>
      </c>
      <c r="E90" s="171">
        <f t="shared" si="11"/>
        <v>8831</v>
      </c>
      <c r="F90" s="171"/>
      <c r="G90" s="171">
        <f t="shared" si="12"/>
        <v>8831</v>
      </c>
      <c r="H90" s="172">
        <f t="shared" si="13"/>
        <v>1.9150773469185059E-3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'[75]Sch C'!D84</f>
        <v>61910</v>
      </c>
      <c r="D91" s="501">
        <f>'[75]Sch C'!F84</f>
        <v>0</v>
      </c>
      <c r="E91" s="171">
        <f t="shared" si="11"/>
        <v>61910</v>
      </c>
      <c r="F91" s="171"/>
      <c r="G91" s="171">
        <f t="shared" si="12"/>
        <v>61910</v>
      </c>
      <c r="H91" s="172">
        <f t="shared" si="13"/>
        <v>1.3425709268228366E-2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'[75]Sch C'!D85</f>
        <v>0</v>
      </c>
      <c r="D92" s="501">
        <f>'[75]Sch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169995</v>
      </c>
      <c r="D93" s="501">
        <f>SUM(D82:D92)</f>
        <v>7681</v>
      </c>
      <c r="E93" s="171">
        <f t="shared" ref="E93:F93" si="14">SUM(E82:E92)</f>
        <v>177676</v>
      </c>
      <c r="F93" s="171">
        <f t="shared" si="14"/>
        <v>0</v>
      </c>
      <c r="G93" s="171">
        <f>SUM(G82:G92)</f>
        <v>177676</v>
      </c>
      <c r="H93" s="172">
        <f t="shared" si="13"/>
        <v>3.8530549506408385E-2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'[75]Sch C'!D89</f>
        <v>175626</v>
      </c>
      <c r="D96" s="501">
        <f>'[75]Sch C'!F89</f>
        <v>0</v>
      </c>
      <c r="E96" s="171">
        <f t="shared" ref="E96:E101" si="15">C96+D96</f>
        <v>175626</v>
      </c>
      <c r="F96" s="171"/>
      <c r="G96" s="171">
        <f t="shared" ref="G96:G101" si="16">E96+F96</f>
        <v>175626</v>
      </c>
      <c r="H96" s="172">
        <f t="shared" ref="H96:H102" si="17">IF($G$208=0,0,G96/$G$208)</f>
        <v>3.8085989596864399E-2</v>
      </c>
      <c r="I96" s="473"/>
      <c r="J96" s="183">
        <v>10512</v>
      </c>
      <c r="K96" s="183">
        <v>10965</v>
      </c>
    </row>
    <row r="97" spans="1:11" s="167" customFormat="1">
      <c r="A97" s="169" t="s">
        <v>86</v>
      </c>
      <c r="B97" s="170" t="s">
        <v>45</v>
      </c>
      <c r="C97" s="501">
        <f>'[75]Sch C'!D90</f>
        <v>0</v>
      </c>
      <c r="D97" s="501">
        <f>'[75]Sch C'!F90</f>
        <v>32004</v>
      </c>
      <c r="E97" s="171">
        <f t="shared" si="15"/>
        <v>32004</v>
      </c>
      <c r="F97" s="171"/>
      <c r="G97" s="171">
        <f t="shared" si="16"/>
        <v>32004</v>
      </c>
      <c r="H97" s="172">
        <f t="shared" si="17"/>
        <v>6.940339192705227E-3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'[75]Sch C'!D91</f>
        <v>6781</v>
      </c>
      <c r="D98" s="501">
        <f>'[75]Sch C'!F91</f>
        <v>0</v>
      </c>
      <c r="E98" s="171">
        <f t="shared" si="15"/>
        <v>6781</v>
      </c>
      <c r="F98" s="171"/>
      <c r="G98" s="171">
        <f t="shared" si="16"/>
        <v>6781</v>
      </c>
      <c r="H98" s="172">
        <f t="shared" si="17"/>
        <v>1.4705174373745202E-3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'[75]Sch C'!D92</f>
        <v>83593</v>
      </c>
      <c r="D99" s="501">
        <f>'[75]Sch C'!F92</f>
        <v>-1922</v>
      </c>
      <c r="E99" s="171">
        <f t="shared" si="15"/>
        <v>81671</v>
      </c>
      <c r="F99" s="171"/>
      <c r="G99" s="171">
        <f t="shared" si="16"/>
        <v>81671</v>
      </c>
      <c r="H99" s="172">
        <f t="shared" si="17"/>
        <v>1.7711049937739927E-2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'[75]Sch C'!D93</f>
        <v>8096</v>
      </c>
      <c r="D100" s="501">
        <f>'[75]Sch C'!F93</f>
        <v>0</v>
      </c>
      <c r="E100" s="171">
        <f t="shared" si="15"/>
        <v>8096</v>
      </c>
      <c r="F100" s="171"/>
      <c r="G100" s="171">
        <f t="shared" si="16"/>
        <v>8096</v>
      </c>
      <c r="H100" s="172">
        <f t="shared" si="17"/>
        <v>1.7556863549600525E-3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'[75]Sch C'!D94</f>
        <v>1433</v>
      </c>
      <c r="D101" s="501">
        <f>'[75]Sch C'!F94</f>
        <v>0</v>
      </c>
      <c r="E101" s="171">
        <f t="shared" si="15"/>
        <v>1433</v>
      </c>
      <c r="F101" s="171"/>
      <c r="G101" s="171">
        <f t="shared" si="16"/>
        <v>1433</v>
      </c>
      <c r="H101" s="172">
        <f t="shared" si="17"/>
        <v>3.1075821969586898E-4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275529</v>
      </c>
      <c r="D102" s="501">
        <f>SUM(D96:D101)</f>
        <v>30082</v>
      </c>
      <c r="E102" s="171">
        <f t="shared" ref="E102:F102" si="18">SUM(E96:E101)</f>
        <v>305611</v>
      </c>
      <c r="F102" s="171">
        <f t="shared" si="18"/>
        <v>0</v>
      </c>
      <c r="G102" s="171">
        <f>SUM(G96:G101)</f>
        <v>305611</v>
      </c>
      <c r="H102" s="172">
        <f t="shared" si="17"/>
        <v>6.6274340739339993E-2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'[75]Sch C'!D98</f>
        <v>0</v>
      </c>
      <c r="D105" s="501">
        <f>'[75]Sch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'[75]Sch C'!D99</f>
        <v>0</v>
      </c>
      <c r="D106" s="501">
        <f>'[75]Sch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'[75]Sch C'!D100</f>
        <v>7624</v>
      </c>
      <c r="D107" s="501">
        <f>'[75]Sch C'!F100</f>
        <v>0</v>
      </c>
      <c r="E107" s="171">
        <f t="shared" si="19"/>
        <v>7624</v>
      </c>
      <c r="F107" s="171"/>
      <c r="G107" s="171">
        <f t="shared" si="20"/>
        <v>7624</v>
      </c>
      <c r="H107" s="172">
        <f t="shared" si="21"/>
        <v>1.6533291465187056E-3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'[75]Sch C'!D101</f>
        <v>0</v>
      </c>
      <c r="D108" s="501">
        <f>'[75]Sch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'[75]Sch C'!D102</f>
        <v>20</v>
      </c>
      <c r="D109" s="501">
        <f>'[75]Sch C'!F102</f>
        <v>0</v>
      </c>
      <c r="E109" s="171">
        <f t="shared" si="19"/>
        <v>20</v>
      </c>
      <c r="F109" s="171"/>
      <c r="G109" s="171">
        <f t="shared" si="20"/>
        <v>20</v>
      </c>
      <c r="H109" s="172">
        <f t="shared" si="21"/>
        <v>4.337169849209616E-6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'[75]Sch C'!D103</f>
        <v>0</v>
      </c>
      <c r="D110" s="501">
        <f>'[75]Sch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7644</v>
      </c>
      <c r="D111" s="501">
        <f>SUM(D105:D110)</f>
        <v>0</v>
      </c>
      <c r="E111" s="171">
        <f t="shared" ref="E111:F111" si="22">SUM(E105:E110)</f>
        <v>7644</v>
      </c>
      <c r="F111" s="171">
        <f t="shared" si="22"/>
        <v>0</v>
      </c>
      <c r="G111" s="171">
        <f>SUM(G105:G110)</f>
        <v>7644</v>
      </c>
      <c r="H111" s="172">
        <f t="shared" si="21"/>
        <v>1.6576663163679153E-3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'[75]Sch C'!D115</f>
        <v>74795</v>
      </c>
      <c r="D114" s="501">
        <f>'[75]Sch C'!F115</f>
        <v>0</v>
      </c>
      <c r="E114" s="171">
        <f t="shared" ref="E114:E118" si="23">C114+D114</f>
        <v>74795</v>
      </c>
      <c r="F114" s="171"/>
      <c r="G114" s="171">
        <f>E114+F114</f>
        <v>74795</v>
      </c>
      <c r="H114" s="172">
        <f t="shared" ref="H114:H119" si="24">IF($G$208=0,0,G114/$G$208)</f>
        <v>1.6219930943581661E-2</v>
      </c>
      <c r="I114" s="473"/>
      <c r="J114" s="183">
        <v>6755</v>
      </c>
      <c r="K114" s="183">
        <v>7196</v>
      </c>
    </row>
    <row r="115" spans="1:11" s="167" customFormat="1">
      <c r="A115" s="169" t="s">
        <v>86</v>
      </c>
      <c r="B115" s="170" t="s">
        <v>151</v>
      </c>
      <c r="C115" s="501">
        <f>'[75]Sch C'!D116</f>
        <v>0</v>
      </c>
      <c r="D115" s="501">
        <f>'[75]Sch C'!F116</f>
        <v>13630</v>
      </c>
      <c r="E115" s="171">
        <f t="shared" si="23"/>
        <v>13630</v>
      </c>
      <c r="F115" s="171"/>
      <c r="G115" s="171">
        <f>E115+F115</f>
        <v>13630</v>
      </c>
      <c r="H115" s="172">
        <f t="shared" si="24"/>
        <v>2.9557812522363531E-3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'[75]Sch C'!D117</f>
        <v>12760</v>
      </c>
      <c r="D116" s="501">
        <f>'[75]Sch C'!F117</f>
        <v>0</v>
      </c>
      <c r="E116" s="171">
        <f t="shared" si="23"/>
        <v>12760</v>
      </c>
      <c r="F116" s="171"/>
      <c r="G116" s="171">
        <f>E116+F116</f>
        <v>12760</v>
      </c>
      <c r="H116" s="172">
        <f t="shared" si="24"/>
        <v>2.7671143637957351E-3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'[75]Sch C'!D118</f>
        <v>0</v>
      </c>
      <c r="D117" s="501">
        <f>'[75]Sch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'[75]Sch C'!D119</f>
        <v>342</v>
      </c>
      <c r="D118" s="501">
        <f>'[75]Sch C'!F119</f>
        <v>0</v>
      </c>
      <c r="E118" s="171">
        <f t="shared" si="23"/>
        <v>342</v>
      </c>
      <c r="F118" s="171"/>
      <c r="G118" s="171">
        <f>E118+F118</f>
        <v>342</v>
      </c>
      <c r="H118" s="172">
        <f t="shared" si="24"/>
        <v>7.4165604421484426E-5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87897</v>
      </c>
      <c r="D119" s="501">
        <f>SUM(D114:D118)</f>
        <v>13630</v>
      </c>
      <c r="E119" s="171">
        <f t="shared" ref="E119:F119" si="25">SUM(E114:E118)</f>
        <v>101527</v>
      </c>
      <c r="F119" s="171">
        <f t="shared" si="25"/>
        <v>0</v>
      </c>
      <c r="G119" s="171">
        <f>SUM(G114:G118)</f>
        <v>101527</v>
      </c>
      <c r="H119" s="172">
        <f t="shared" si="24"/>
        <v>2.2016992164035232E-2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'[75]Sch C'!D124</f>
        <v>0</v>
      </c>
      <c r="D123" s="501">
        <f>'[75]Sch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'[75]Sch C'!D125</f>
        <v>148963</v>
      </c>
      <c r="D124" s="501">
        <f>'[75]Sch C'!F125</f>
        <v>0</v>
      </c>
      <c r="E124" s="171">
        <f t="shared" si="26"/>
        <v>148963</v>
      </c>
      <c r="F124" s="171"/>
      <c r="G124" s="171">
        <f>E124+F124</f>
        <v>148963</v>
      </c>
      <c r="H124" s="172">
        <f>IF($G$208=0,0,G124/$G$208)</f>
        <v>3.2303891612390598E-2</v>
      </c>
      <c r="I124" s="473"/>
      <c r="J124" s="183">
        <v>1729</v>
      </c>
      <c r="K124" s="183">
        <v>1966</v>
      </c>
    </row>
    <row r="125" spans="1:11" s="167" customFormat="1">
      <c r="A125" s="163" t="s">
        <v>198</v>
      </c>
      <c r="B125" s="163" t="s">
        <v>195</v>
      </c>
      <c r="C125" s="501">
        <f>'[75]Sch C'!D126</f>
        <v>0</v>
      </c>
      <c r="D125" s="501">
        <f>'[75]Sch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'[75]Sch C'!D127</f>
        <v>0</v>
      </c>
      <c r="D126" s="501">
        <f>'[75]Sch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'[75]Sch C'!D128</f>
        <v>125592</v>
      </c>
      <c r="D127" s="501">
        <f>'[75]Sch C'!F128</f>
        <v>0</v>
      </c>
      <c r="E127" s="171">
        <f t="shared" si="26"/>
        <v>125592</v>
      </c>
      <c r="F127" s="171"/>
      <c r="G127" s="171">
        <f>E127+F127</f>
        <v>125592</v>
      </c>
      <c r="H127" s="172">
        <f>IF($G$208=0,0,G127/$G$208)</f>
        <v>2.7235691785096702E-2</v>
      </c>
      <c r="I127" s="473"/>
      <c r="J127" s="183">
        <v>4476</v>
      </c>
      <c r="K127" s="183">
        <v>4127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'[75]Sch C'!D130</f>
        <v>0</v>
      </c>
      <c r="D129" s="501">
        <f>'[75]Sch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'[75]Sch C'!D131</f>
        <v>0</v>
      </c>
      <c r="D130" s="501">
        <f>'[75]Sch C'!F131</f>
        <v>27145</v>
      </c>
      <c r="E130" s="171">
        <f t="shared" si="27"/>
        <v>27145</v>
      </c>
      <c r="F130" s="171"/>
      <c r="G130" s="171">
        <f>E130+F130</f>
        <v>27145</v>
      </c>
      <c r="H130" s="172">
        <f>IF($G$208=0,0,G130/$G$208)</f>
        <v>5.8866237778397515E-3</v>
      </c>
      <c r="I130" s="473"/>
      <c r="J130" s="204"/>
      <c r="K130" s="204"/>
    </row>
    <row r="131" spans="1:11" s="167" customFormat="1">
      <c r="B131" s="163" t="s">
        <v>195</v>
      </c>
      <c r="C131" s="501">
        <f>'[75]Sch C'!D132</f>
        <v>0</v>
      </c>
      <c r="D131" s="501">
        <f>'[75]Sch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'[75]Sch C'!D133</f>
        <v>0</v>
      </c>
      <c r="D132" s="501">
        <f>'[75]Sch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'[75]Sch C'!D134</f>
        <v>0</v>
      </c>
      <c r="D133" s="501">
        <f>'[75]Sch C'!F134</f>
        <v>22887</v>
      </c>
      <c r="E133" s="171">
        <f t="shared" si="27"/>
        <v>22887</v>
      </c>
      <c r="F133" s="171"/>
      <c r="G133" s="171">
        <f>E133+F133</f>
        <v>22887</v>
      </c>
      <c r="H133" s="172">
        <f>IF($G$208=0,0,G133/$G$208)</f>
        <v>4.9632403169430237E-3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'[75]Sch C'!D136</f>
        <v>283862</v>
      </c>
      <c r="D135" s="501">
        <f>'[75]Sch C'!F136</f>
        <v>0</v>
      </c>
      <c r="E135" s="171">
        <f t="shared" ref="E135:E138" si="28">C135+D135</f>
        <v>283862</v>
      </c>
      <c r="F135" s="171"/>
      <c r="G135" s="171">
        <f>E135+F135</f>
        <v>283862</v>
      </c>
      <c r="H135" s="172">
        <f>IF($G$208=0,0,G135/$G$208)</f>
        <v>6.1557885386817002E-2</v>
      </c>
      <c r="I135" s="473"/>
      <c r="J135" s="183">
        <v>9729</v>
      </c>
      <c r="K135" s="183">
        <v>10017</v>
      </c>
    </row>
    <row r="136" spans="1:11" s="167" customFormat="1">
      <c r="A136" s="169"/>
      <c r="B136" s="163" t="s">
        <v>195</v>
      </c>
      <c r="C136" s="501">
        <f>'[75]Sch C'!D137</f>
        <v>171333</v>
      </c>
      <c r="D136" s="501">
        <f>'[75]Sch C'!F137</f>
        <v>0</v>
      </c>
      <c r="E136" s="171">
        <f t="shared" si="28"/>
        <v>171333</v>
      </c>
      <c r="F136" s="171"/>
      <c r="G136" s="171">
        <f>E136+F136</f>
        <v>171333</v>
      </c>
      <c r="H136" s="172">
        <f>IF($G$208=0,0,G136/$G$208)</f>
        <v>3.7155016088731556E-2</v>
      </c>
      <c r="I136" s="473"/>
      <c r="J136" s="183">
        <v>6782</v>
      </c>
      <c r="K136" s="183">
        <v>6955</v>
      </c>
    </row>
    <row r="137" spans="1:11" s="167" customFormat="1">
      <c r="A137" s="169"/>
      <c r="B137" s="163" t="s">
        <v>196</v>
      </c>
      <c r="C137" s="501">
        <f>'[75]Sch C'!D138</f>
        <v>380345</v>
      </c>
      <c r="D137" s="501">
        <f>'[75]Sch C'!F138</f>
        <v>0</v>
      </c>
      <c r="E137" s="171">
        <f t="shared" si="28"/>
        <v>380345</v>
      </c>
      <c r="F137" s="171"/>
      <c r="G137" s="171">
        <f>E137+F137</f>
        <v>380345</v>
      </c>
      <c r="H137" s="172">
        <f>IF($G$208=0,0,G137/$G$208)</f>
        <v>8.2481043314881569E-2</v>
      </c>
      <c r="I137" s="473"/>
      <c r="J137" s="183">
        <v>29244</v>
      </c>
      <c r="K137" s="183">
        <v>30489</v>
      </c>
    </row>
    <row r="138" spans="1:11" s="167" customFormat="1">
      <c r="A138" s="169"/>
      <c r="B138" s="163" t="s">
        <v>197</v>
      </c>
      <c r="C138" s="501">
        <f>'[75]Sch C'!D139</f>
        <v>0</v>
      </c>
      <c r="D138" s="501">
        <f>'[75]Sch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208"/>
      <c r="K139" s="208"/>
    </row>
    <row r="140" spans="1:11" s="167" customFormat="1">
      <c r="A140" s="169"/>
      <c r="B140" s="163" t="s">
        <v>194</v>
      </c>
      <c r="C140" s="501">
        <f>'[75]Sch C'!D141</f>
        <v>0</v>
      </c>
      <c r="D140" s="501">
        <f>'[75]Sch C'!F141</f>
        <v>51728</v>
      </c>
      <c r="E140" s="171">
        <f t="shared" ref="E140:E143" si="29">C140+D140</f>
        <v>51728</v>
      </c>
      <c r="F140" s="171"/>
      <c r="G140" s="171">
        <f>E140+F140</f>
        <v>51728</v>
      </c>
      <c r="H140" s="172">
        <f>IF($G$208=0,0,G140/$G$208)</f>
        <v>1.121765609799575E-2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'[75]Sch C'!D142</f>
        <v>0</v>
      </c>
      <c r="D141" s="501">
        <f>'[75]Sch C'!F142</f>
        <v>31222</v>
      </c>
      <c r="E141" s="171">
        <f t="shared" si="29"/>
        <v>31222</v>
      </c>
      <c r="F141" s="171"/>
      <c r="G141" s="171">
        <f>E141+F141</f>
        <v>31222</v>
      </c>
      <c r="H141" s="172">
        <f>IF($G$208=0,0,G141/$G$208)</f>
        <v>6.7707558516011315E-3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'[75]Sch C'!D143</f>
        <v>0</v>
      </c>
      <c r="D142" s="501">
        <f>'[75]Sch C'!F143</f>
        <v>69310</v>
      </c>
      <c r="E142" s="171">
        <f t="shared" si="29"/>
        <v>69310</v>
      </c>
      <c r="F142" s="171"/>
      <c r="G142" s="171">
        <f>E142+F142</f>
        <v>69310</v>
      </c>
      <c r="H142" s="172">
        <f>IF($G$208=0,0,G142/$G$208)</f>
        <v>1.5030462112435923E-2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'[75]Sch C'!D144</f>
        <v>0</v>
      </c>
      <c r="D143" s="501">
        <f>'[75]Sch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'[75]Sch C'!D146</f>
        <v>50200</v>
      </c>
      <c r="D145" s="501">
        <f>'[75]Sch C'!F146</f>
        <v>0</v>
      </c>
      <c r="E145" s="171">
        <f t="shared" ref="E145:E153" si="30">C145+D145</f>
        <v>50200</v>
      </c>
      <c r="F145" s="171"/>
      <c r="G145" s="171">
        <f t="shared" ref="G145:G153" si="31">E145+F145</f>
        <v>50200</v>
      </c>
      <c r="H145" s="172">
        <f t="shared" ref="H145:H153" si="32">IF($G$208=0,0,G145/$G$208)</f>
        <v>1.0886296321516135E-2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'[75]Sch C'!D147</f>
        <v>0</v>
      </c>
      <c r="D146" s="501">
        <f>'[75]Sch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'[75]Sch C'!D148</f>
        <v>0</v>
      </c>
      <c r="D147" s="501">
        <f>'[75]Sch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'[75]Sch C'!D149</f>
        <v>0</v>
      </c>
      <c r="D148" s="501">
        <f>'[75]Sch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'[75]Sch C'!D150</f>
        <v>9993</v>
      </c>
      <c r="D149" s="501">
        <f>'[75]Sch C'!F150</f>
        <v>0</v>
      </c>
      <c r="E149" s="171">
        <f t="shared" si="30"/>
        <v>9993</v>
      </c>
      <c r="F149" s="171"/>
      <c r="G149" s="171">
        <f t="shared" si="31"/>
        <v>9993</v>
      </c>
      <c r="H149" s="172">
        <f t="shared" si="32"/>
        <v>2.1670669151575847E-3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'[75]Sch C'!D151</f>
        <v>87768</v>
      </c>
      <c r="D150" s="501">
        <f>'[75]Sch C'!F151</f>
        <v>0</v>
      </c>
      <c r="E150" s="171">
        <f t="shared" si="30"/>
        <v>87768</v>
      </c>
      <c r="F150" s="171"/>
      <c r="G150" s="171">
        <f t="shared" si="31"/>
        <v>87768</v>
      </c>
      <c r="H150" s="172">
        <f t="shared" si="32"/>
        <v>1.9033236166271478E-2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'[75]Sch C'!D152</f>
        <v>1551</v>
      </c>
      <c r="D151" s="501">
        <f>'[75]Sch C'!F152</f>
        <v>0</v>
      </c>
      <c r="E151" s="171">
        <f t="shared" si="30"/>
        <v>1551</v>
      </c>
      <c r="F151" s="171"/>
      <c r="G151" s="171">
        <f t="shared" si="31"/>
        <v>1551</v>
      </c>
      <c r="H151" s="172">
        <f t="shared" si="32"/>
        <v>3.3634752180620569E-4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'[75]Sch C'!D153</f>
        <v>0</v>
      </c>
      <c r="D152" s="501">
        <f>'[75]Sch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'[75]Sch C'!D154</f>
        <v>0</v>
      </c>
      <c r="D153" s="501">
        <f>'[75]Sch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'[75]Sch C'!D156</f>
        <v>0</v>
      </c>
      <c r="D155" s="501">
        <f>'[75]Sch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'[75]Sch C'!D157</f>
        <v>0</v>
      </c>
      <c r="D156" s="501">
        <f>'[75]Sch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'[75]Sch C'!D158</f>
        <v>0</v>
      </c>
      <c r="D157" s="501">
        <f>'[75]Sch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'[75]Sch C'!D159</f>
        <v>0</v>
      </c>
      <c r="D158" s="501">
        <f>'[75]Sch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'[75]Sch C'!D160</f>
        <v>0</v>
      </c>
      <c r="D159" s="501">
        <f>'[75]Sch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'[75]Sch C'!D161</f>
        <v>0</v>
      </c>
      <c r="D160" s="501">
        <f>'[75]Sch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1259607</v>
      </c>
      <c r="D161" s="501">
        <f>SUM(D123:D160)</f>
        <v>202292</v>
      </c>
      <c r="E161" s="171">
        <f t="shared" ref="E161:F161" si="36">SUM(E123:E160)</f>
        <v>1461899</v>
      </c>
      <c r="F161" s="171">
        <f t="shared" si="36"/>
        <v>0</v>
      </c>
      <c r="G161" s="171">
        <f>SUM(G123:G160)</f>
        <v>1461899</v>
      </c>
      <c r="H161" s="172">
        <f t="shared" si="35"/>
        <v>0.31702521326948441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'[75]Sch C'!D175</f>
        <v>0</v>
      </c>
      <c r="D164" s="501">
        <f>'[75]Sch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'[75]Sch C'!D176</f>
        <v>0</v>
      </c>
      <c r="D165" s="501">
        <f>'[75]Sch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'[75]Sch C'!D177</f>
        <v>229905</v>
      </c>
      <c r="D166" s="501">
        <f>'[75]Sch C'!F177</f>
        <v>0</v>
      </c>
      <c r="E166" s="171">
        <f t="shared" si="37"/>
        <v>229905</v>
      </c>
      <c r="F166" s="216"/>
      <c r="G166" s="171">
        <f t="shared" si="38"/>
        <v>229905</v>
      </c>
      <c r="H166" s="172">
        <f t="shared" si="39"/>
        <v>4.9856851709126834E-2</v>
      </c>
      <c r="I166" s="483"/>
      <c r="J166" s="183">
        <v>13713</v>
      </c>
      <c r="K166" s="183">
        <v>14967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'[75]Sch C'!D178</f>
        <v>0</v>
      </c>
      <c r="D167" s="501">
        <f>'[75]Sch C'!F178</f>
        <v>41895</v>
      </c>
      <c r="E167" s="171">
        <f t="shared" si="37"/>
        <v>41895</v>
      </c>
      <c r="F167" s="216"/>
      <c r="G167" s="171">
        <f t="shared" si="38"/>
        <v>41895</v>
      </c>
      <c r="H167" s="172">
        <f t="shared" si="39"/>
        <v>9.0852865416318433E-3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'[75]Sch C'!D179</f>
        <v>0</v>
      </c>
      <c r="D168" s="501">
        <f>'[75]Sch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'[75]Sch C'!D180</f>
        <v>0</v>
      </c>
      <c r="D169" s="501">
        <f>'[75]Sch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'[75]Sch C'!D181</f>
        <v>0</v>
      </c>
      <c r="D170" s="501">
        <f>'[75]Sch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'[75]Sch C'!D182</f>
        <v>0</v>
      </c>
      <c r="D171" s="501">
        <f>'[75]Sch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'[75]Sch C'!D183</f>
        <v>136761</v>
      </c>
      <c r="D172" s="501">
        <f>'[75]Sch C'!F183</f>
        <v>0</v>
      </c>
      <c r="E172" s="171">
        <f t="shared" si="37"/>
        <v>136761</v>
      </c>
      <c r="F172" s="216"/>
      <c r="G172" s="171">
        <f t="shared" si="38"/>
        <v>136761</v>
      </c>
      <c r="H172" s="172">
        <f t="shared" si="39"/>
        <v>2.9657784287387814E-2</v>
      </c>
      <c r="I172" s="483"/>
      <c r="J172" s="183">
        <v>6600</v>
      </c>
      <c r="K172" s="183">
        <v>8962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'[75]Sch C'!D184</f>
        <v>0</v>
      </c>
      <c r="D173" s="501">
        <f>'[75]Sch C'!F184</f>
        <v>24922</v>
      </c>
      <c r="E173" s="171">
        <f t="shared" si="37"/>
        <v>24922</v>
      </c>
      <c r="F173" s="216"/>
      <c r="G173" s="171">
        <f t="shared" si="38"/>
        <v>24922</v>
      </c>
      <c r="H173" s="172">
        <f t="shared" si="39"/>
        <v>5.4045473491001021E-3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'[75]Sch C'!D185</f>
        <v>0</v>
      </c>
      <c r="D174" s="501">
        <f>'[75]Sch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'[75]Sch C'!D186</f>
        <v>0</v>
      </c>
      <c r="D175" s="501">
        <f>'[75]Sch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'[75]Sch C'!D187</f>
        <v>0</v>
      </c>
      <c r="D176" s="501">
        <f>'[75]Sch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'[75]Sch C'!D188</f>
        <v>2058</v>
      </c>
      <c r="D177" s="501">
        <f>'[75]Sch C'!F188</f>
        <v>0</v>
      </c>
      <c r="E177" s="171">
        <f t="shared" si="37"/>
        <v>2058</v>
      </c>
      <c r="F177" s="216"/>
      <c r="G177" s="171">
        <f t="shared" si="38"/>
        <v>2058</v>
      </c>
      <c r="H177" s="172">
        <f t="shared" si="39"/>
        <v>4.4629477748366948E-4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'[75]Sch C'!D189</f>
        <v>0</v>
      </c>
      <c r="D178" s="501">
        <f>'[75]Sch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'[75]Sch C'!D190</f>
        <v>0</v>
      </c>
      <c r="D179" s="501">
        <f>'[75]Sch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'[75]Sch C'!D191</f>
        <v>0</v>
      </c>
      <c r="D180" s="501">
        <f>'[75]Sch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'[75]Sch C'!D192</f>
        <v>0</v>
      </c>
      <c r="D181" s="501">
        <f>'[75]Sch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'[75]Sch C'!D193</f>
        <v>0</v>
      </c>
      <c r="D182" s="501">
        <f>'[75]Sch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'[75]Sch C'!D194</f>
        <v>183568</v>
      </c>
      <c r="D183" s="501">
        <f>'[75]Sch C'!F194</f>
        <v>0</v>
      </c>
      <c r="E183" s="171">
        <f t="shared" si="37"/>
        <v>183568</v>
      </c>
      <c r="F183" s="216"/>
      <c r="G183" s="171">
        <f t="shared" si="38"/>
        <v>183568</v>
      </c>
      <c r="H183" s="172">
        <f t="shared" si="39"/>
        <v>3.9808279743985535E-2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'[75]Sch C'!D195</f>
        <v>21798</v>
      </c>
      <c r="D184" s="501">
        <f>'[75]Sch C'!F195</f>
        <v>0</v>
      </c>
      <c r="E184" s="171">
        <f t="shared" si="37"/>
        <v>21798</v>
      </c>
      <c r="F184" s="216"/>
      <c r="G184" s="171">
        <f t="shared" si="38"/>
        <v>21798</v>
      </c>
      <c r="H184" s="172">
        <f t="shared" si="39"/>
        <v>4.7270814186535599E-3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'[75]Sch C'!D196</f>
        <v>0</v>
      </c>
      <c r="D185" s="501">
        <f>'[75]Sch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'[75]Sch C'!D197</f>
        <v>136946</v>
      </c>
      <c r="D186" s="501">
        <f>'[75]Sch C'!F197</f>
        <v>0</v>
      </c>
      <c r="E186" s="171">
        <f t="shared" si="37"/>
        <v>136946</v>
      </c>
      <c r="F186" s="216"/>
      <c r="G186" s="171">
        <f t="shared" si="38"/>
        <v>136946</v>
      </c>
      <c r="H186" s="172">
        <f t="shared" si="39"/>
        <v>2.9697903108493004E-2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'[75]Sch C'!D198</f>
        <v>63257</v>
      </c>
      <c r="D187" s="501">
        <f>'[75]Sch C'!F198</f>
        <v>0</v>
      </c>
      <c r="E187" s="171">
        <f t="shared" si="37"/>
        <v>63257</v>
      </c>
      <c r="F187" s="216"/>
      <c r="G187" s="171">
        <f t="shared" si="38"/>
        <v>63257</v>
      </c>
      <c r="H187" s="172">
        <f t="shared" si="39"/>
        <v>1.3717817657572634E-2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'[75]Sch C'!D199</f>
        <v>0</v>
      </c>
      <c r="D188" s="501">
        <f>'[75]Sch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'[75]Sch C'!D200</f>
        <v>0</v>
      </c>
      <c r="D189" s="501">
        <f>'[75]Sch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'[75]Sch C'!D201</f>
        <v>0</v>
      </c>
      <c r="D190" s="501">
        <f>'[75]Sch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'[75]Sch C'!D202</f>
        <v>0</v>
      </c>
      <c r="D191" s="501">
        <f>'[75]Sch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'[75]Sch C'!D203</f>
        <v>0</v>
      </c>
      <c r="D192" s="501">
        <f>'[75]Sch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'[75]Sch C'!D204</f>
        <v>0</v>
      </c>
      <c r="D193" s="501">
        <f>'[75]Sch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'[75]Sch C'!D205</f>
        <v>304336</v>
      </c>
      <c r="D194" s="501">
        <f>'[75]Sch C'!F205</f>
        <v>0</v>
      </c>
      <c r="E194" s="171">
        <f t="shared" si="37"/>
        <v>304336</v>
      </c>
      <c r="F194" s="216"/>
      <c r="G194" s="171">
        <f t="shared" si="38"/>
        <v>304336</v>
      </c>
      <c r="H194" s="172">
        <f t="shared" si="39"/>
        <v>6.5997846161452878E-2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'[75]Sch C'!D206</f>
        <v>11781</v>
      </c>
      <c r="D195" s="501">
        <f>'[75]Sch C'!F206</f>
        <v>0</v>
      </c>
      <c r="E195" s="171">
        <f t="shared" si="37"/>
        <v>11781</v>
      </c>
      <c r="F195" s="216"/>
      <c r="G195" s="171">
        <f t="shared" si="38"/>
        <v>11781</v>
      </c>
      <c r="H195" s="172">
        <f t="shared" si="39"/>
        <v>2.554809899676924E-3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'[75]Sch C'!D207</f>
        <v>53</v>
      </c>
      <c r="D196" s="501">
        <f>'[75]Sch C'!F207</f>
        <v>0</v>
      </c>
      <c r="E196" s="171">
        <f t="shared" si="37"/>
        <v>53</v>
      </c>
      <c r="F196" s="216"/>
      <c r="G196" s="171">
        <f t="shared" si="38"/>
        <v>53</v>
      </c>
      <c r="H196" s="172">
        <f t="shared" si="39"/>
        <v>1.1493500100405482E-5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1090463</v>
      </c>
      <c r="D197" s="501">
        <f>SUM(D164:D196)</f>
        <v>66817</v>
      </c>
      <c r="E197" s="171">
        <f t="shared" ref="E197:F197" si="40">SUM(E164:E196)</f>
        <v>1157280</v>
      </c>
      <c r="F197" s="171">
        <f t="shared" si="40"/>
        <v>0</v>
      </c>
      <c r="G197" s="171">
        <f>SUM(G164:G196)</f>
        <v>1157280</v>
      </c>
      <c r="H197" s="172">
        <f>IF($G$208=0,0,G197/$G$208)</f>
        <v>0.25096599615466519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'[75]Sch C'!D211</f>
        <v>90359</v>
      </c>
      <c r="D200" s="501">
        <f>'[75]Sch C'!F211</f>
        <v>0</v>
      </c>
      <c r="E200" s="171">
        <f t="shared" ref="E200:E205" si="41">C200+D200</f>
        <v>90359</v>
      </c>
      <c r="F200" s="171"/>
      <c r="G200" s="171">
        <f t="shared" ref="G200:G205" si="42">E200+F200</f>
        <v>90359</v>
      </c>
      <c r="H200" s="172">
        <f t="shared" ref="H200:H206" si="43">IF($G$208=0,0,G200/$G$208)</f>
        <v>1.9595116520236582E-2</v>
      </c>
      <c r="I200" s="473"/>
      <c r="J200" s="183">
        <v>3804</v>
      </c>
      <c r="K200" s="183">
        <v>4144</v>
      </c>
    </row>
    <row r="201" spans="1:14" s="167" customFormat="1">
      <c r="A201" s="169" t="s">
        <v>86</v>
      </c>
      <c r="B201" s="170" t="s">
        <v>45</v>
      </c>
      <c r="C201" s="501">
        <f>'[75]Sch C'!D212</f>
        <v>0</v>
      </c>
      <c r="D201" s="501">
        <f>'[75]Sch C'!F212</f>
        <v>16466</v>
      </c>
      <c r="E201" s="171">
        <f t="shared" si="41"/>
        <v>16466</v>
      </c>
      <c r="F201" s="171"/>
      <c r="G201" s="171">
        <f t="shared" si="42"/>
        <v>16466</v>
      </c>
      <c r="H201" s="172">
        <f t="shared" si="43"/>
        <v>3.5707919368542767E-3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'[75]Sch C'!D213</f>
        <v>4130</v>
      </c>
      <c r="D202" s="501">
        <f>'[75]Sch C'!F213</f>
        <v>0</v>
      </c>
      <c r="E202" s="171">
        <f t="shared" si="41"/>
        <v>4130</v>
      </c>
      <c r="F202" s="171"/>
      <c r="G202" s="171">
        <f t="shared" si="42"/>
        <v>4130</v>
      </c>
      <c r="H202" s="172">
        <f t="shared" si="43"/>
        <v>8.9562557386178572E-4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'[75]Sch C'!D214</f>
        <v>0</v>
      </c>
      <c r="D203" s="501">
        <f>'[75]Sch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'[75]Sch C'!D215</f>
        <v>0</v>
      </c>
      <c r="D204" s="501">
        <f>'[75]Sch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'[75]Sch C'!D216</f>
        <v>5077</v>
      </c>
      <c r="D205" s="501">
        <f>'[75]Sch C'!F216</f>
        <v>0</v>
      </c>
      <c r="E205" s="171">
        <f t="shared" si="41"/>
        <v>5077</v>
      </c>
      <c r="F205" s="171"/>
      <c r="G205" s="171">
        <f t="shared" si="42"/>
        <v>5077</v>
      </c>
      <c r="H205" s="172">
        <f t="shared" si="43"/>
        <v>1.1009905662218609E-3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99566</v>
      </c>
      <c r="D206" s="501">
        <f>SUM(D200:D205)</f>
        <v>16466</v>
      </c>
      <c r="E206" s="171">
        <f t="shared" ref="E206:F206" si="44">SUM(E200:E205)</f>
        <v>116032</v>
      </c>
      <c r="F206" s="171">
        <f t="shared" si="44"/>
        <v>0</v>
      </c>
      <c r="G206" s="171">
        <f>SUM(G200:G205)</f>
        <v>116032</v>
      </c>
      <c r="H206" s="172">
        <f t="shared" si="43"/>
        <v>2.5162524597174506E-2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4463408</v>
      </c>
      <c r="D208" s="501">
        <f>SUM(D25:D206)/2</f>
        <v>155004</v>
      </c>
      <c r="E208" s="171">
        <f t="shared" ref="E208:F208" si="45">SUM(E25:E206)/2</f>
        <v>4618412</v>
      </c>
      <c r="F208" s="171">
        <f t="shared" si="45"/>
        <v>-7110</v>
      </c>
      <c r="G208" s="171">
        <f>SUM(G25:G206)/2</f>
        <v>4611302</v>
      </c>
      <c r="H208" s="172">
        <f>IF($G$208=0,0,G208/$G$208)</f>
        <v>1</v>
      </c>
      <c r="I208" s="473"/>
      <c r="J208" s="183">
        <f>SUM(J25:J200)</f>
        <v>104051</v>
      </c>
      <c r="K208" s="183">
        <f>SUM(K25:K200)</f>
        <v>111576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'[75]Sch C'!D221</f>
        <v>4463408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341071</v>
      </c>
      <c r="D215" s="501">
        <f>D21-D208</f>
        <v>-155004</v>
      </c>
      <c r="E215" s="171">
        <f t="shared" ref="E215:F215" si="46">E21-E208</f>
        <v>186067</v>
      </c>
      <c r="F215" s="171">
        <f t="shared" si="46"/>
        <v>7110</v>
      </c>
      <c r="G215" s="171">
        <f>G21-G208</f>
        <v>193177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'[75]Sch D'!C9</f>
        <v>35</v>
      </c>
      <c r="D219" s="530"/>
      <c r="E219" s="234">
        <f t="shared" ref="E219:G227" si="47">C219+D219</f>
        <v>35</v>
      </c>
      <c r="F219" s="233"/>
      <c r="G219" s="234">
        <f t="shared" si="47"/>
        <v>35</v>
      </c>
      <c r="H219" s="172">
        <f t="shared" ref="H219:H228" si="48">IF($G$228=0,0,G219/$G$228)</f>
        <v>3.6431768502133859E-3</v>
      </c>
      <c r="I219" s="473"/>
      <c r="J219" s="168"/>
      <c r="K219" s="168"/>
    </row>
    <row r="220" spans="1:11">
      <c r="A220" s="163"/>
      <c r="B220" s="170" t="s">
        <v>217</v>
      </c>
      <c r="C220" s="530">
        <f>'[75]Sch D'!D9</f>
        <v>0</v>
      </c>
      <c r="D220" s="530"/>
      <c r="E220" s="234">
        <f t="shared" si="47"/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'[75]Sch D'!E9</f>
        <v>5964</v>
      </c>
      <c r="D221" s="530"/>
      <c r="E221" s="234">
        <f t="shared" si="47"/>
        <v>5964</v>
      </c>
      <c r="F221" s="233"/>
      <c r="G221" s="234">
        <f t="shared" si="47"/>
        <v>5964</v>
      </c>
      <c r="H221" s="172">
        <f t="shared" si="48"/>
        <v>0.62079733527636094</v>
      </c>
      <c r="I221" s="473"/>
      <c r="J221" s="168"/>
      <c r="K221" s="168"/>
    </row>
    <row r="222" spans="1:11">
      <c r="A222" s="163"/>
      <c r="B222" s="202" t="s">
        <v>334</v>
      </c>
      <c r="C222" s="530">
        <f>'[75]Sch D'!F9</f>
        <v>2427</v>
      </c>
      <c r="D222" s="530"/>
      <c r="E222" s="234">
        <f>C222+D222</f>
        <v>2427</v>
      </c>
      <c r="F222" s="233"/>
      <c r="G222" s="234">
        <f>E222+F222</f>
        <v>2427</v>
      </c>
      <c r="H222" s="172">
        <f t="shared" si="48"/>
        <v>0.25262829187051111</v>
      </c>
      <c r="I222" s="473"/>
      <c r="J222" s="168"/>
      <c r="K222" s="168"/>
    </row>
    <row r="223" spans="1:11">
      <c r="A223" s="163"/>
      <c r="B223" s="170" t="s">
        <v>73</v>
      </c>
      <c r="C223" s="530">
        <f>'[75]Sch D'!G9</f>
        <v>0</v>
      </c>
      <c r="D223" s="530"/>
      <c r="E223" s="234">
        <f t="shared" si="47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'[75]Sch D'!H9</f>
        <v>1181</v>
      </c>
      <c r="D224" s="530"/>
      <c r="E224" s="234">
        <f t="shared" si="47"/>
        <v>1181</v>
      </c>
      <c r="F224" s="233"/>
      <c r="G224" s="234">
        <f t="shared" si="47"/>
        <v>1181</v>
      </c>
      <c r="H224" s="172">
        <f t="shared" si="48"/>
        <v>0.12293119600291454</v>
      </c>
      <c r="I224" s="473"/>
      <c r="J224" s="168"/>
      <c r="K224" s="168"/>
    </row>
    <row r="225" spans="1:11">
      <c r="A225" s="163"/>
      <c r="B225" s="170" t="s">
        <v>236</v>
      </c>
      <c r="C225" s="530">
        <f>'[75]Sch D'!I9</f>
        <v>0</v>
      </c>
      <c r="D225" s="530"/>
      <c r="E225" s="234">
        <f t="shared" si="47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'[75]Sch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'[75]Sch D'!K9</f>
        <v>0</v>
      </c>
      <c r="D227" s="530"/>
      <c r="E227" s="234">
        <f t="shared" si="47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9607</v>
      </c>
      <c r="D228" s="530">
        <f>SUM(D219:D227)</f>
        <v>0</v>
      </c>
      <c r="E228" s="236">
        <f>SUM(E219:E227)</f>
        <v>9607</v>
      </c>
      <c r="F228" s="236">
        <f>SUM(F219:F227)</f>
        <v>0</v>
      </c>
      <c r="G228" s="236">
        <f>SUM(G219:G227)</f>
        <v>9607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570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'[75]Sch D'!N22</f>
        <v>36</v>
      </c>
      <c r="D231" s="502"/>
      <c r="E231" s="234">
        <f>C231+D231</f>
        <v>36</v>
      </c>
      <c r="F231" s="456">
        <v>-2</v>
      </c>
      <c r="G231" s="234">
        <f>E231+F231</f>
        <v>34</v>
      </c>
      <c r="H231" s="421" t="s">
        <v>550</v>
      </c>
      <c r="I231" s="475"/>
      <c r="J231" s="168"/>
      <c r="K231" s="168"/>
    </row>
    <row r="232" spans="1:11">
      <c r="A232" s="163"/>
      <c r="B232" s="202" t="s">
        <v>290</v>
      </c>
      <c r="C232" s="531">
        <f>'[75]Sch D'!N24</f>
        <v>0</v>
      </c>
      <c r="D232" s="502"/>
      <c r="E232" s="234">
        <f>C232+D232</f>
        <v>0</v>
      </c>
      <c r="F232" s="456"/>
      <c r="G232" s="234">
        <f>E232+F232</f>
        <v>0</v>
      </c>
      <c r="H232" s="457" t="s">
        <v>528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 t="s">
        <v>525</v>
      </c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457" t="s">
        <v>683</v>
      </c>
      <c r="I234" s="475"/>
      <c r="J234" s="168"/>
      <c r="K234" s="168"/>
    </row>
    <row r="235" spans="1:11" ht="26">
      <c r="A235" s="163"/>
      <c r="B235" s="241" t="s">
        <v>335</v>
      </c>
      <c r="C235" s="531">
        <f>'[75]Sch D'!N28</f>
        <v>13140</v>
      </c>
      <c r="D235" s="438"/>
      <c r="E235" s="233">
        <f>E231*E233</f>
        <v>13140</v>
      </c>
      <c r="F235" s="238"/>
      <c r="G235" s="233">
        <f>G231*G233</f>
        <v>12410</v>
      </c>
      <c r="H235" s="457" t="s">
        <v>682</v>
      </c>
      <c r="I235" s="475"/>
      <c r="J235" s="168"/>
      <c r="K235" s="168"/>
    </row>
    <row r="236" spans="1:11" ht="26">
      <c r="A236" s="163"/>
      <c r="B236" s="241" t="s">
        <v>336</v>
      </c>
      <c r="C236" s="532">
        <f>'[75]Sch D'!N30</f>
        <v>0.7311263318112633</v>
      </c>
      <c r="D236" s="238"/>
      <c r="E236" s="242">
        <f>E228/E235</f>
        <v>0.7311263318112633</v>
      </c>
      <c r="F236" s="243"/>
      <c r="G236" s="242">
        <f>G228/G235</f>
        <v>0.77413376309427884</v>
      </c>
      <c r="I236" s="475"/>
      <c r="J236" s="523" t="s">
        <v>685</v>
      </c>
      <c r="K236" s="457" t="s">
        <v>684</v>
      </c>
    </row>
    <row r="237" spans="1:11" ht="26">
      <c r="A237" s="163"/>
      <c r="B237" s="241" t="s">
        <v>337</v>
      </c>
      <c r="C237" s="532">
        <f>'[75]Sch D'!N32</f>
        <v>2.6636225266362251E-3</v>
      </c>
      <c r="D237" s="238"/>
      <c r="E237" s="242">
        <f>(E219+E220)/E235</f>
        <v>2.6636225266362251E-3</v>
      </c>
      <c r="F237" s="243"/>
      <c r="G237" s="242">
        <f>(G219+G220)/G235</f>
        <v>2.8203062046736503E-3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'[75]Sch D'!N34</f>
        <v>3.6431768502133859E-3</v>
      </c>
      <c r="D238" s="238"/>
      <c r="E238" s="242">
        <f>(E237/E236)</f>
        <v>3.6431768502133859E-3</v>
      </c>
      <c r="F238" s="243"/>
      <c r="G238" s="242">
        <f>(G237/G236)</f>
        <v>3.6431768502133859E-3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'[75]Sch B'!C85</f>
        <v>256.01351351351349</v>
      </c>
      <c r="I241" s="475"/>
    </row>
    <row r="242" spans="2:9">
      <c r="B242" s="471"/>
      <c r="F242" s="142" t="s">
        <v>341</v>
      </c>
      <c r="G242" s="501">
        <f>'[75]Sch B'!E85</f>
        <v>256.87796610169494</v>
      </c>
      <c r="I242" s="475"/>
    </row>
    <row r="243" spans="2:9">
      <c r="B243" s="421"/>
      <c r="F243" s="142" t="s">
        <v>342</v>
      </c>
      <c r="G243" s="501">
        <f>'[75]Sch B'!G85</f>
        <v>256.87796610169494</v>
      </c>
      <c r="I243" s="475"/>
    </row>
    <row r="244" spans="2:9">
      <c r="F244" s="142" t="s">
        <v>343</v>
      </c>
      <c r="G244" s="501">
        <f>'[75]Sch B'!I85</f>
        <v>256.87796610169494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E28CAB"/>
  </sheetPr>
  <dimension ref="A1:O246"/>
  <sheetViews>
    <sheetView showGridLines="0" topLeftCell="A34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 t="s">
        <v>513</v>
      </c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373</v>
      </c>
      <c r="D2" s="144"/>
      <c r="E2" s="421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'[76]Sch B'!E10</f>
        <v>361315</v>
      </c>
      <c r="D11" s="501">
        <f>'[76]Sch B'!G10</f>
        <v>0</v>
      </c>
      <c r="E11" s="171">
        <f>C11+D11</f>
        <v>361315</v>
      </c>
      <c r="F11" s="171"/>
      <c r="G11" s="171">
        <f t="shared" ref="G11:G20" si="0">E11+F11</f>
        <v>361315</v>
      </c>
      <c r="H11" s="172">
        <f t="shared" ref="H11:H21" si="1">IF($G$21=0,0,G11/$G$21)</f>
        <v>0.11360735055892622</v>
      </c>
      <c r="I11" s="473"/>
      <c r="J11" s="336" t="s">
        <v>344</v>
      </c>
      <c r="K11" s="337">
        <f>G21</f>
        <v>3180384</v>
      </c>
    </row>
    <row r="12" spans="1:11" s="167" customFormat="1">
      <c r="A12" s="169" t="s">
        <v>15</v>
      </c>
      <c r="B12" s="170" t="s">
        <v>212</v>
      </c>
      <c r="C12" s="501">
        <f>'[76]Sch B'!E15</f>
        <v>0</v>
      </c>
      <c r="D12" s="501">
        <f>'[76]Sch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3173778</v>
      </c>
    </row>
    <row r="13" spans="1:11" s="167" customFormat="1">
      <c r="A13" s="169" t="s">
        <v>16</v>
      </c>
      <c r="B13" s="170" t="s">
        <v>170</v>
      </c>
      <c r="C13" s="501">
        <f>'[76]Sch B'!E21</f>
        <v>2483700</v>
      </c>
      <c r="D13" s="501">
        <f>'[76]Sch B'!G21</f>
        <v>0</v>
      </c>
      <c r="E13" s="171">
        <f t="shared" si="2"/>
        <v>2483700</v>
      </c>
      <c r="F13" s="171"/>
      <c r="G13" s="171">
        <f t="shared" si="0"/>
        <v>2483700</v>
      </c>
      <c r="H13" s="172">
        <f t="shared" si="1"/>
        <v>0.78094343324579674</v>
      </c>
      <c r="I13" s="473"/>
      <c r="J13" s="338" t="s">
        <v>346</v>
      </c>
      <c r="K13" s="339">
        <f>G228</f>
        <v>7852</v>
      </c>
    </row>
    <row r="14" spans="1:11" s="167" customFormat="1">
      <c r="A14" s="173" t="s">
        <v>18</v>
      </c>
      <c r="B14" s="174" t="s">
        <v>306</v>
      </c>
      <c r="C14" s="501">
        <f>'[76]Sch B'!E27</f>
        <v>223887</v>
      </c>
      <c r="D14" s="501">
        <f>'[76]Sch B'!G27</f>
        <v>0</v>
      </c>
      <c r="E14" s="171">
        <f t="shared" si="2"/>
        <v>223887</v>
      </c>
      <c r="F14" s="175"/>
      <c r="G14" s="175">
        <f>E14+F14</f>
        <v>223887</v>
      </c>
      <c r="H14" s="176">
        <f t="shared" si="1"/>
        <v>7.0396216305955508E-2</v>
      </c>
      <c r="I14" s="479"/>
      <c r="J14" s="338" t="s">
        <v>347</v>
      </c>
      <c r="K14" s="339">
        <f>G231</f>
        <v>30</v>
      </c>
    </row>
    <row r="15" spans="1:11" s="167" customFormat="1">
      <c r="A15" s="169" t="s">
        <v>19</v>
      </c>
      <c r="B15" s="170" t="s">
        <v>171</v>
      </c>
      <c r="C15" s="501">
        <f>'[76]Sch B'!E32</f>
        <v>0</v>
      </c>
      <c r="D15" s="501">
        <f>'[76]Sch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10950</v>
      </c>
    </row>
    <row r="16" spans="1:11" s="167" customFormat="1">
      <c r="A16" s="169" t="s">
        <v>21</v>
      </c>
      <c r="B16" s="170" t="s">
        <v>172</v>
      </c>
      <c r="C16" s="501">
        <f>'[76]Sch B'!E37</f>
        <v>103773</v>
      </c>
      <c r="D16" s="501">
        <f>'[76]Sch B'!G37</f>
        <v>0</v>
      </c>
      <c r="E16" s="171">
        <f t="shared" si="2"/>
        <v>103773</v>
      </c>
      <c r="F16" s="171"/>
      <c r="G16" s="171">
        <f t="shared" si="0"/>
        <v>103773</v>
      </c>
      <c r="H16" s="172">
        <f t="shared" si="1"/>
        <v>3.2629078752754385E-2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'[76]Sch B'!E42</f>
        <v>0</v>
      </c>
      <c r="D17" s="501">
        <f>'[76]Sch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68029</v>
      </c>
    </row>
    <row r="18" spans="1:11" s="167" customFormat="1" ht="13.5" thickBot="1">
      <c r="A18" s="169" t="s">
        <v>216</v>
      </c>
      <c r="B18" s="170" t="s">
        <v>229</v>
      </c>
      <c r="C18" s="501">
        <f>'[76]Sch B'!E47</f>
        <v>5740</v>
      </c>
      <c r="D18" s="501">
        <f>'[76]Sch B'!G47</f>
        <v>0</v>
      </c>
      <c r="E18" s="171">
        <f t="shared" si="2"/>
        <v>5740</v>
      </c>
      <c r="F18" s="171"/>
      <c r="G18" s="171">
        <f>E18+F18</f>
        <v>5740</v>
      </c>
      <c r="H18" s="172">
        <f t="shared" si="1"/>
        <v>1.8048135067966636E-3</v>
      </c>
      <c r="I18" s="473"/>
      <c r="J18" s="341" t="s">
        <v>252</v>
      </c>
      <c r="K18" s="342">
        <f>K208</f>
        <v>72073</v>
      </c>
    </row>
    <row r="19" spans="1:11" s="167" customFormat="1">
      <c r="A19" s="169" t="s">
        <v>227</v>
      </c>
      <c r="B19" s="177" t="s">
        <v>173</v>
      </c>
      <c r="C19" s="501">
        <f>'[76]Sch B'!E52</f>
        <v>0</v>
      </c>
      <c r="D19" s="501">
        <f>'[76]Sch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'[76]Sch B'!E67</f>
        <v>1969</v>
      </c>
      <c r="D20" s="501">
        <f>'[76]Sch B'!G67</f>
        <v>0</v>
      </c>
      <c r="E20" s="171">
        <f t="shared" si="2"/>
        <v>1969</v>
      </c>
      <c r="F20" s="171"/>
      <c r="G20" s="171">
        <f t="shared" si="0"/>
        <v>1969</v>
      </c>
      <c r="H20" s="172">
        <f t="shared" si="1"/>
        <v>6.1910762977049317E-4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3180384</v>
      </c>
      <c r="D21" s="501">
        <f>SUM(D11:D20)</f>
        <v>0</v>
      </c>
      <c r="E21" s="171">
        <f>SUM(E11:E20)</f>
        <v>3180384</v>
      </c>
      <c r="F21" s="171">
        <f>SUM(F11:F20)</f>
        <v>0</v>
      </c>
      <c r="G21" s="171">
        <f>SUM(G11:G20)</f>
        <v>3180384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'[76]Sch C'!D10</f>
        <v>92695</v>
      </c>
      <c r="D25" s="501">
        <f>'[76]Sch C'!F10</f>
        <v>0</v>
      </c>
      <c r="E25" s="171">
        <f t="shared" ref="E25:E60" si="3">C25+D25</f>
        <v>92695</v>
      </c>
      <c r="F25" s="171"/>
      <c r="G25" s="182">
        <f>E25+F25</f>
        <v>92695</v>
      </c>
      <c r="H25" s="172">
        <f>IF($G$208=0,0,G25/$G$208)</f>
        <v>2.92065166498728E-2</v>
      </c>
      <c r="I25" s="473"/>
      <c r="J25" s="183">
        <v>1952</v>
      </c>
      <c r="K25" s="183">
        <v>2088</v>
      </c>
    </row>
    <row r="26" spans="1:11" s="167" customFormat="1">
      <c r="A26" s="169" t="s">
        <v>84</v>
      </c>
      <c r="B26" s="170" t="s">
        <v>176</v>
      </c>
      <c r="C26" s="501">
        <f>'[76]Sch C'!D11</f>
        <v>0</v>
      </c>
      <c r="D26" s="501">
        <f>'[76]Sch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'[76]Sch C'!D12</f>
        <v>54911</v>
      </c>
      <c r="D27" s="501">
        <f>'[76]Sch C'!F12</f>
        <v>0</v>
      </c>
      <c r="E27" s="171">
        <f t="shared" si="3"/>
        <v>54911</v>
      </c>
      <c r="F27" s="171"/>
      <c r="G27" s="171">
        <f t="shared" si="4"/>
        <v>54911</v>
      </c>
      <c r="H27" s="172">
        <f t="shared" si="5"/>
        <v>1.7301462169061605E-2</v>
      </c>
      <c r="I27" s="473"/>
      <c r="J27" s="183">
        <v>1794</v>
      </c>
      <c r="K27" s="183">
        <v>1943</v>
      </c>
    </row>
    <row r="28" spans="1:11" s="167" customFormat="1">
      <c r="A28" s="169" t="s">
        <v>86</v>
      </c>
      <c r="B28" s="170" t="s">
        <v>45</v>
      </c>
      <c r="C28" s="501">
        <f>'[76]Sch C'!D13</f>
        <v>248941</v>
      </c>
      <c r="D28" s="501">
        <f>'[76]Sch C'!F13</f>
        <v>-218760</v>
      </c>
      <c r="E28" s="171">
        <f t="shared" si="3"/>
        <v>30181</v>
      </c>
      <c r="F28" s="171"/>
      <c r="G28" s="171">
        <f t="shared" si="4"/>
        <v>30181</v>
      </c>
      <c r="H28" s="172">
        <f t="shared" si="5"/>
        <v>9.5094868009041583E-3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'[76]Sch C'!D14</f>
        <v>0</v>
      </c>
      <c r="D29" s="501">
        <f>'[76]Sch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'[76]Sch C'!D15</f>
        <v>0</v>
      </c>
      <c r="D30" s="501">
        <f>'[76]Sch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'[76]Sch C'!D16</f>
        <v>92015</v>
      </c>
      <c r="D31" s="501">
        <f>'[76]Sch C'!F16</f>
        <v>8925</v>
      </c>
      <c r="E31" s="171">
        <f t="shared" si="3"/>
        <v>100940</v>
      </c>
      <c r="F31" s="171"/>
      <c r="G31" s="171">
        <f t="shared" si="4"/>
        <v>100940</v>
      </c>
      <c r="H31" s="172">
        <f t="shared" si="5"/>
        <v>3.1804366909090678E-2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'[76]Sch C'!D17</f>
        <v>0</v>
      </c>
      <c r="D32" s="501">
        <f>'[76]Sch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'[76]Sch C'!D18</f>
        <v>2472</v>
      </c>
      <c r="D33" s="501">
        <f>'[76]Sch C'!F18</f>
        <v>0</v>
      </c>
      <c r="E33" s="171">
        <f t="shared" si="3"/>
        <v>2472</v>
      </c>
      <c r="F33" s="171"/>
      <c r="G33" s="171">
        <f t="shared" si="4"/>
        <v>2472</v>
      </c>
      <c r="H33" s="172">
        <f t="shared" si="5"/>
        <v>7.7888245491650643E-4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'[76]Sch C'!D19</f>
        <v>4228</v>
      </c>
      <c r="D34" s="501">
        <f>'[76]Sch C'!F19</f>
        <v>0</v>
      </c>
      <c r="E34" s="171">
        <f t="shared" si="3"/>
        <v>4228</v>
      </c>
      <c r="F34" s="171"/>
      <c r="G34" s="171">
        <f t="shared" si="4"/>
        <v>4228</v>
      </c>
      <c r="H34" s="172">
        <f t="shared" si="5"/>
        <v>1.3321662699785554E-3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'[76]Sch C'!D20</f>
        <v>4698</v>
      </c>
      <c r="D35" s="501">
        <f>'[76]Sch C'!F20</f>
        <v>0</v>
      </c>
      <c r="E35" s="171">
        <f t="shared" si="3"/>
        <v>4698</v>
      </c>
      <c r="F35" s="171"/>
      <c r="G35" s="171">
        <f t="shared" si="4"/>
        <v>4698</v>
      </c>
      <c r="H35" s="172">
        <f t="shared" si="5"/>
        <v>1.480254762620448E-3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'[76]Sch C'!D21</f>
        <v>8458</v>
      </c>
      <c r="D36" s="501">
        <f>'[76]Sch C'!F21</f>
        <v>0</v>
      </c>
      <c r="E36" s="171">
        <f t="shared" si="3"/>
        <v>8458</v>
      </c>
      <c r="F36" s="171"/>
      <c r="G36" s="171">
        <f t="shared" si="4"/>
        <v>8458</v>
      </c>
      <c r="H36" s="172">
        <f t="shared" si="5"/>
        <v>2.6649627037555871E-3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'[76]Sch C'!D22</f>
        <v>0</v>
      </c>
      <c r="D37" s="501">
        <f>'[76]Sch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'[76]Sch C'!D23</f>
        <v>17711</v>
      </c>
      <c r="D38" s="501">
        <f>'[76]Sch C'!F23</f>
        <v>0</v>
      </c>
      <c r="E38" s="171">
        <f t="shared" si="3"/>
        <v>17711</v>
      </c>
      <c r="F38" s="171">
        <v>-13876</v>
      </c>
      <c r="G38" s="171">
        <f t="shared" si="4"/>
        <v>3835</v>
      </c>
      <c r="H38" s="172">
        <f t="shared" si="5"/>
        <v>1.2083390835779945E-3</v>
      </c>
      <c r="I38" s="473" t="s">
        <v>678</v>
      </c>
      <c r="J38" s="168"/>
      <c r="K38" s="168"/>
    </row>
    <row r="39" spans="1:11" s="167" customFormat="1">
      <c r="A39" s="163">
        <v>150</v>
      </c>
      <c r="B39" s="170" t="s">
        <v>29</v>
      </c>
      <c r="C39" s="501">
        <f>'[76]Sch C'!D24</f>
        <v>3042</v>
      </c>
      <c r="D39" s="501">
        <f>'[76]Sch C'!F24</f>
        <v>0</v>
      </c>
      <c r="E39" s="171">
        <f t="shared" si="3"/>
        <v>3042</v>
      </c>
      <c r="F39" s="171">
        <v>13876</v>
      </c>
      <c r="G39" s="171">
        <f t="shared" si="4"/>
        <v>16918</v>
      </c>
      <c r="H39" s="172">
        <f t="shared" si="5"/>
        <v>5.3305555713096505E-3</v>
      </c>
      <c r="I39" s="473" t="s">
        <v>679</v>
      </c>
      <c r="J39" s="168"/>
      <c r="K39" s="168"/>
    </row>
    <row r="40" spans="1:11" s="167" customFormat="1">
      <c r="A40" s="163">
        <v>160</v>
      </c>
      <c r="B40" s="170" t="s">
        <v>30</v>
      </c>
      <c r="C40" s="501">
        <f>'[76]Sch C'!D25</f>
        <v>0</v>
      </c>
      <c r="D40" s="501">
        <f>'[76]Sch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'[76]Sch C'!D26</f>
        <v>46643</v>
      </c>
      <c r="D41" s="501">
        <f>'[76]Sch C'!F26</f>
        <v>0</v>
      </c>
      <c r="E41" s="171">
        <f t="shared" si="3"/>
        <v>46643</v>
      </c>
      <c r="F41" s="171"/>
      <c r="G41" s="171">
        <f t="shared" si="4"/>
        <v>46643</v>
      </c>
      <c r="H41" s="172">
        <f t="shared" si="5"/>
        <v>1.469636502616125E-2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'[76]Sch C'!D27</f>
        <v>0</v>
      </c>
      <c r="D42" s="501">
        <f>'[76]Sch C'!F27</f>
        <v>-170</v>
      </c>
      <c r="E42" s="171">
        <f t="shared" si="3"/>
        <v>-170</v>
      </c>
      <c r="F42" s="171"/>
      <c r="G42" s="171">
        <f t="shared" si="4"/>
        <v>-170</v>
      </c>
      <c r="H42" s="172">
        <f t="shared" si="5"/>
        <v>-5.3563922870471722E-5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'[76]Sch C'!D28</f>
        <v>0</v>
      </c>
      <c r="D43" s="501">
        <f>'[76]Sch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'[76]Sch C'!D29</f>
        <v>-2462</v>
      </c>
      <c r="D44" s="501">
        <f>'[76]Sch C'!F29</f>
        <v>2462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'[76]Sch C'!D30</f>
        <v>0</v>
      </c>
      <c r="D45" s="501">
        <f>'[76]Sch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'[76]Sch C'!D31</f>
        <v>24109</v>
      </c>
      <c r="D46" s="501">
        <f>'[76]Sch C'!F31</f>
        <v>0</v>
      </c>
      <c r="E46" s="171">
        <f t="shared" si="3"/>
        <v>24109</v>
      </c>
      <c r="F46" s="171"/>
      <c r="G46" s="171">
        <f t="shared" si="4"/>
        <v>24109</v>
      </c>
      <c r="H46" s="172">
        <f t="shared" si="5"/>
        <v>7.5963095087306044E-3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'[76]Sch C'!D32</f>
        <v>18111</v>
      </c>
      <c r="D47" s="501">
        <f>'[76]Sch C'!F32</f>
        <v>0</v>
      </c>
      <c r="E47" s="171">
        <f t="shared" si="3"/>
        <v>18111</v>
      </c>
      <c r="F47" s="171"/>
      <c r="G47" s="171">
        <f t="shared" si="4"/>
        <v>18111</v>
      </c>
      <c r="H47" s="172">
        <f t="shared" si="5"/>
        <v>5.7064482771006664E-3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'[76]Sch C'!D33</f>
        <v>0</v>
      </c>
      <c r="D48" s="501">
        <f>'[76]Sch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'[76]Sch C'!D34</f>
        <v>0</v>
      </c>
      <c r="D49" s="501">
        <f>'[76]Sch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'[76]Sch C'!D35</f>
        <v>0</v>
      </c>
      <c r="D50" s="501">
        <f>'[76]Sch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'[76]Sch C'!D36</f>
        <v>8879</v>
      </c>
      <c r="D51" s="501">
        <f>'[76]Sch C'!F36</f>
        <v>0</v>
      </c>
      <c r="E51" s="171">
        <f t="shared" si="3"/>
        <v>8879</v>
      </c>
      <c r="F51" s="171"/>
      <c r="G51" s="171">
        <f t="shared" si="4"/>
        <v>8879</v>
      </c>
      <c r="H51" s="172">
        <f t="shared" si="5"/>
        <v>2.797612183334814E-3</v>
      </c>
      <c r="I51" s="473"/>
      <c r="J51" s="183">
        <v>826</v>
      </c>
      <c r="K51" s="183">
        <v>826</v>
      </c>
    </row>
    <row r="52" spans="1:11" s="167" customFormat="1">
      <c r="A52" s="163">
        <v>290</v>
      </c>
      <c r="B52" s="170" t="s">
        <v>205</v>
      </c>
      <c r="C52" s="501">
        <f>'[76]Sch C'!D37</f>
        <v>0</v>
      </c>
      <c r="D52" s="501">
        <f>'[76]Sch C'!F37</f>
        <v>1815</v>
      </c>
      <c r="E52" s="171">
        <f t="shared" si="3"/>
        <v>1815</v>
      </c>
      <c r="F52" s="171"/>
      <c r="G52" s="171">
        <f t="shared" si="4"/>
        <v>1815</v>
      </c>
      <c r="H52" s="172">
        <f t="shared" si="5"/>
        <v>5.7187364711709513E-4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'[76]Sch C'!D38</f>
        <v>0</v>
      </c>
      <c r="D53" s="501">
        <f>'[76]Sch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'[76]Sch C'!D39</f>
        <v>561</v>
      </c>
      <c r="D54" s="501">
        <f>'[76]Sch C'!F39</f>
        <v>0</v>
      </c>
      <c r="E54" s="171">
        <f t="shared" si="3"/>
        <v>561</v>
      </c>
      <c r="F54" s="171"/>
      <c r="G54" s="171">
        <f t="shared" si="4"/>
        <v>561</v>
      </c>
      <c r="H54" s="172">
        <f t="shared" si="5"/>
        <v>1.7676094547255667E-4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'[76]Sch C'!D40</f>
        <v>5370</v>
      </c>
      <c r="D55" s="501">
        <f>'[76]Sch C'!F40</f>
        <v>0</v>
      </c>
      <c r="E55" s="171">
        <f t="shared" si="3"/>
        <v>5370</v>
      </c>
      <c r="F55" s="171"/>
      <c r="G55" s="171">
        <f t="shared" si="4"/>
        <v>5370</v>
      </c>
      <c r="H55" s="172">
        <f t="shared" si="5"/>
        <v>1.6919897989084304E-3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'[76]Sch C'!D41</f>
        <v>0</v>
      </c>
      <c r="D56" s="501">
        <f>'[76]Sch C'!F41</f>
        <v>0</v>
      </c>
      <c r="E56" s="171">
        <f t="shared" si="3"/>
        <v>0</v>
      </c>
      <c r="F56" s="171"/>
      <c r="G56" s="171">
        <f t="shared" si="4"/>
        <v>0</v>
      </c>
      <c r="H56" s="172">
        <f t="shared" si="5"/>
        <v>0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'[76]Sch C'!D42</f>
        <v>1148</v>
      </c>
      <c r="D57" s="501">
        <f>'[76]Sch C'!F42</f>
        <v>0</v>
      </c>
      <c r="E57" s="171">
        <f t="shared" si="3"/>
        <v>1148</v>
      </c>
      <c r="F57" s="171"/>
      <c r="G57" s="171">
        <f t="shared" si="4"/>
        <v>1148</v>
      </c>
      <c r="H57" s="172">
        <f t="shared" si="5"/>
        <v>3.6171402032530314E-4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'[76]Sch C'!D43</f>
        <v>5560</v>
      </c>
      <c r="D58" s="501">
        <f>'[76]Sch C'!F43</f>
        <v>0</v>
      </c>
      <c r="E58" s="171">
        <f t="shared" si="3"/>
        <v>5560</v>
      </c>
      <c r="F58" s="171">
        <v>-5560</v>
      </c>
      <c r="G58" s="171">
        <f t="shared" si="4"/>
        <v>0</v>
      </c>
      <c r="H58" s="172">
        <f t="shared" si="5"/>
        <v>0</v>
      </c>
      <c r="I58" s="473" t="s">
        <v>687</v>
      </c>
      <c r="J58" s="168"/>
      <c r="K58" s="168"/>
    </row>
    <row r="59" spans="1:11" s="167" customFormat="1">
      <c r="A59" s="163">
        <v>360</v>
      </c>
      <c r="B59" s="170" t="s">
        <v>211</v>
      </c>
      <c r="C59" s="501">
        <f>'[76]Sch C'!D44</f>
        <v>0</v>
      </c>
      <c r="D59" s="501">
        <f>'[76]Sch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'[76]Sch C'!D45</f>
        <v>14295</v>
      </c>
      <c r="D60" s="501">
        <f>'[76]Sch C'!F45</f>
        <v>0</v>
      </c>
      <c r="E60" s="171">
        <f t="shared" si="3"/>
        <v>14295</v>
      </c>
      <c r="F60" s="171"/>
      <c r="G60" s="171">
        <f t="shared" si="4"/>
        <v>14295</v>
      </c>
      <c r="H60" s="172">
        <f t="shared" si="5"/>
        <v>4.5040957496081955E-3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651385</v>
      </c>
      <c r="D61" s="501">
        <f>SUM(D25:D60)</f>
        <v>-205728</v>
      </c>
      <c r="E61" s="171">
        <f t="shared" ref="E61:F61" si="6">SUM(E25:E60)</f>
        <v>445657</v>
      </c>
      <c r="F61" s="171">
        <f t="shared" si="6"/>
        <v>-5560</v>
      </c>
      <c r="G61" s="171">
        <f>SUM(G25:G60)</f>
        <v>440097</v>
      </c>
      <c r="H61" s="186">
        <f t="shared" si="5"/>
        <v>0.13866659860897643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'[76]Sch C'!D57</f>
        <v>0</v>
      </c>
      <c r="D64" s="501">
        <f>'[76]Sch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'[76]Sch C'!D58</f>
        <v>174504</v>
      </c>
      <c r="D65" s="501">
        <f>'[76]Sch C'!F58</f>
        <v>0</v>
      </c>
      <c r="E65" s="171">
        <f t="shared" si="7"/>
        <v>174504</v>
      </c>
      <c r="F65" s="171"/>
      <c r="G65" s="171">
        <f t="shared" si="8"/>
        <v>174504</v>
      </c>
      <c r="H65" s="172">
        <f t="shared" si="9"/>
        <v>5.4983051744639987E-2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'[76]Sch C'!D59</f>
        <v>107625</v>
      </c>
      <c r="D66" s="501">
        <f>'[76]Sch C'!F59</f>
        <v>0</v>
      </c>
      <c r="E66" s="171">
        <f t="shared" si="7"/>
        <v>107625</v>
      </c>
      <c r="F66" s="171"/>
      <c r="G66" s="171">
        <f t="shared" si="8"/>
        <v>107625</v>
      </c>
      <c r="H66" s="172">
        <f t="shared" si="9"/>
        <v>3.3910689405497171E-2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'[76]Sch C'!D60</f>
        <v>45088</v>
      </c>
      <c r="D67" s="501">
        <f>'[76]Sch C'!F60</f>
        <v>0</v>
      </c>
      <c r="E67" s="171">
        <f t="shared" si="7"/>
        <v>45088</v>
      </c>
      <c r="F67" s="171"/>
      <c r="G67" s="171">
        <f t="shared" si="8"/>
        <v>45088</v>
      </c>
      <c r="H67" s="172">
        <f t="shared" si="9"/>
        <v>1.4206412672846053E-2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'[76]Sch C'!D61</f>
        <v>0</v>
      </c>
      <c r="D68" s="501">
        <f>'[76]Sch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'[76]Sch C'!D62</f>
        <v>0</v>
      </c>
      <c r="D69" s="501">
        <f>'[76]Sch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'[76]Sch C'!D63</f>
        <v>0</v>
      </c>
      <c r="D70" s="501">
        <f>'[76]Sch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'[76]Sch C'!D64</f>
        <v>0</v>
      </c>
      <c r="D71" s="501">
        <f>'[76]Sch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'[76]Sch C'!D65</f>
        <v>2060</v>
      </c>
      <c r="D72" s="501">
        <f>'[76]Sch C'!F65</f>
        <v>0</v>
      </c>
      <c r="E72" s="171">
        <f t="shared" si="7"/>
        <v>2060</v>
      </c>
      <c r="F72" s="171"/>
      <c r="G72" s="171">
        <f t="shared" si="8"/>
        <v>2060</v>
      </c>
      <c r="H72" s="172">
        <f t="shared" si="9"/>
        <v>6.4906871243042199E-4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'[76]Sch C'!D66</f>
        <v>31694</v>
      </c>
      <c r="D73" s="501">
        <f>'[76]Sch C'!F66</f>
        <v>0</v>
      </c>
      <c r="E73" s="171">
        <f t="shared" si="7"/>
        <v>31694</v>
      </c>
      <c r="F73" s="171"/>
      <c r="G73" s="171">
        <f t="shared" si="8"/>
        <v>31694</v>
      </c>
      <c r="H73" s="172">
        <f t="shared" si="9"/>
        <v>9.9862057144513572E-3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'[76]Sch C'!D67</f>
        <v>0</v>
      </c>
      <c r="D74" s="501">
        <f>'[76]Sch C'!F67</f>
        <v>0</v>
      </c>
      <c r="E74" s="171">
        <f t="shared" si="7"/>
        <v>0</v>
      </c>
      <c r="F74" s="171"/>
      <c r="G74" s="171">
        <f t="shared" si="8"/>
        <v>0</v>
      </c>
      <c r="H74" s="172">
        <f t="shared" si="9"/>
        <v>0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'[76]Sch C'!D68</f>
        <v>0</v>
      </c>
      <c r="D75" s="501">
        <f>'[76]Sch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'[76]Sch C'!D69</f>
        <v>2135</v>
      </c>
      <c r="D76" s="501">
        <f>'[76]Sch C'!F69</f>
        <v>0</v>
      </c>
      <c r="E76" s="171">
        <f t="shared" si="7"/>
        <v>2135</v>
      </c>
      <c r="F76" s="171"/>
      <c r="G76" s="171">
        <f t="shared" si="8"/>
        <v>2135</v>
      </c>
      <c r="H76" s="172">
        <f t="shared" si="9"/>
        <v>6.7269985487327722E-4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'[76]Sch C'!D70</f>
        <v>0</v>
      </c>
      <c r="D77" s="501">
        <f>'[76]Sch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'[76]Sch C'!D71</f>
        <v>0</v>
      </c>
      <c r="D78" s="501">
        <f>'[76]Sch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363106</v>
      </c>
      <c r="D79" s="501">
        <f>SUM(D64:D78)</f>
        <v>0</v>
      </c>
      <c r="E79" s="171">
        <f t="shared" ref="E79:F79" si="10">SUM(E64:E78)</f>
        <v>363106</v>
      </c>
      <c r="F79" s="171">
        <f t="shared" si="10"/>
        <v>0</v>
      </c>
      <c r="G79" s="171">
        <f>SUM(G64:G78)</f>
        <v>363106</v>
      </c>
      <c r="H79" s="172">
        <f t="shared" si="9"/>
        <v>0.11440812810473827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'[76]Sch C'!D75</f>
        <v>26833</v>
      </c>
      <c r="D82" s="501">
        <f>'[76]Sch C'!F75</f>
        <v>0</v>
      </c>
      <c r="E82" s="171">
        <f t="shared" ref="E82:E92" si="11">C82+D82</f>
        <v>26833</v>
      </c>
      <c r="F82" s="171"/>
      <c r="G82" s="171">
        <f t="shared" ref="G82:G92" si="12">E82+F82</f>
        <v>26833</v>
      </c>
      <c r="H82" s="172">
        <f t="shared" ref="H82:H93" si="13">IF($G$208=0,0,G82/$G$208)</f>
        <v>8.4545926022551038E-3</v>
      </c>
      <c r="I82" s="473"/>
      <c r="J82" s="183">
        <v>1967</v>
      </c>
      <c r="K82" s="183">
        <v>2067</v>
      </c>
    </row>
    <row r="83" spans="1:11" s="167" customFormat="1">
      <c r="A83" s="169" t="s">
        <v>86</v>
      </c>
      <c r="B83" s="199" t="s">
        <v>45</v>
      </c>
      <c r="C83" s="501">
        <f>'[76]Sch C'!D76</f>
        <v>0</v>
      </c>
      <c r="D83" s="501">
        <f>'[76]Sch C'!F76</f>
        <v>5486</v>
      </c>
      <c r="E83" s="171">
        <f t="shared" si="11"/>
        <v>5486</v>
      </c>
      <c r="F83" s="171"/>
      <c r="G83" s="171">
        <f t="shared" si="12"/>
        <v>5486</v>
      </c>
      <c r="H83" s="172">
        <f t="shared" si="13"/>
        <v>1.7285392992200462E-3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'[76]Sch C'!D77</f>
        <v>2909</v>
      </c>
      <c r="D84" s="501">
        <f>'[76]Sch C'!F77</f>
        <v>0</v>
      </c>
      <c r="E84" s="171">
        <f t="shared" si="11"/>
        <v>2909</v>
      </c>
      <c r="F84" s="171"/>
      <c r="G84" s="171">
        <f t="shared" si="12"/>
        <v>2909</v>
      </c>
      <c r="H84" s="172">
        <f t="shared" si="13"/>
        <v>9.1657324488354254E-4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'[76]Sch C'!D78</f>
        <v>0</v>
      </c>
      <c r="D85" s="501">
        <f>'[76]Sch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'[76]Sch C'!D79</f>
        <v>6768</v>
      </c>
      <c r="D86" s="501">
        <f>'[76]Sch C'!F79</f>
        <v>0</v>
      </c>
      <c r="E86" s="171">
        <f t="shared" si="11"/>
        <v>6768</v>
      </c>
      <c r="F86" s="171"/>
      <c r="G86" s="171">
        <f>E86+F86</f>
        <v>6768</v>
      </c>
      <c r="H86" s="172">
        <f t="shared" si="13"/>
        <v>2.1324742940432508E-3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'[76]Sch C'!D80</f>
        <v>14169</v>
      </c>
      <c r="D87" s="501">
        <f>'[76]Sch C'!F80</f>
        <v>0</v>
      </c>
      <c r="E87" s="171">
        <f t="shared" si="11"/>
        <v>14169</v>
      </c>
      <c r="F87" s="171"/>
      <c r="G87" s="171">
        <f t="shared" si="12"/>
        <v>14169</v>
      </c>
      <c r="H87" s="172">
        <f t="shared" si="13"/>
        <v>4.4643954303041989E-3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'[76]Sch C'!D81</f>
        <v>1102</v>
      </c>
      <c r="D88" s="501">
        <f>'[76]Sch C'!F81</f>
        <v>0</v>
      </c>
      <c r="E88" s="171">
        <f t="shared" si="11"/>
        <v>1102</v>
      </c>
      <c r="F88" s="171"/>
      <c r="G88" s="171">
        <f t="shared" si="12"/>
        <v>1102</v>
      </c>
      <c r="H88" s="172">
        <f t="shared" si="13"/>
        <v>3.4722025296035196E-4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'[76]Sch C'!D82</f>
        <v>361</v>
      </c>
      <c r="D89" s="501">
        <f>'[76]Sch C'!F82</f>
        <v>0</v>
      </c>
      <c r="E89" s="171">
        <f t="shared" si="11"/>
        <v>361</v>
      </c>
      <c r="F89" s="171"/>
      <c r="G89" s="171">
        <f t="shared" si="12"/>
        <v>361</v>
      </c>
      <c r="H89" s="172">
        <f t="shared" si="13"/>
        <v>1.1374456562494289E-4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'[76]Sch C'!D83</f>
        <v>7441</v>
      </c>
      <c r="D90" s="501">
        <f>'[76]Sch C'!F83</f>
        <v>0</v>
      </c>
      <c r="E90" s="171">
        <f t="shared" si="11"/>
        <v>7441</v>
      </c>
      <c r="F90" s="171"/>
      <c r="G90" s="171">
        <f t="shared" si="12"/>
        <v>7441</v>
      </c>
      <c r="H90" s="172">
        <f t="shared" si="13"/>
        <v>2.3445244122304709E-3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'[76]Sch C'!D84</f>
        <v>44636</v>
      </c>
      <c r="D91" s="501">
        <f>'[76]Sch C'!F84</f>
        <v>0</v>
      </c>
      <c r="E91" s="171">
        <f t="shared" si="11"/>
        <v>44636</v>
      </c>
      <c r="F91" s="171"/>
      <c r="G91" s="171">
        <f t="shared" si="12"/>
        <v>44636</v>
      </c>
      <c r="H91" s="172">
        <f t="shared" si="13"/>
        <v>1.4063995654390446E-2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'[76]Sch C'!D85</f>
        <v>0</v>
      </c>
      <c r="D92" s="501">
        <f>'[76]Sch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104219</v>
      </c>
      <c r="D93" s="501">
        <f>SUM(D82:D92)</f>
        <v>5486</v>
      </c>
      <c r="E93" s="171">
        <f t="shared" ref="E93:F93" si="14">SUM(E82:E92)</f>
        <v>109705</v>
      </c>
      <c r="F93" s="171">
        <f t="shared" si="14"/>
        <v>0</v>
      </c>
      <c r="G93" s="171">
        <f>SUM(G82:G92)</f>
        <v>109705</v>
      </c>
      <c r="H93" s="172">
        <f t="shared" si="13"/>
        <v>3.4566059755912357E-2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'[76]Sch C'!D89</f>
        <v>133479</v>
      </c>
      <c r="D96" s="501">
        <f>'[76]Sch C'!F89</f>
        <v>0</v>
      </c>
      <c r="E96" s="171">
        <f t="shared" ref="E96:E101" si="15">C96+D96</f>
        <v>133479</v>
      </c>
      <c r="F96" s="171"/>
      <c r="G96" s="171">
        <f t="shared" ref="G96:G101" si="16">E96+F96</f>
        <v>133479</v>
      </c>
      <c r="H96" s="172">
        <f t="shared" ref="H96:H102" si="17">IF($G$208=0,0,G96/$G$208)</f>
        <v>4.2056816828398208E-2</v>
      </c>
      <c r="I96" s="473"/>
      <c r="J96" s="183">
        <v>10863</v>
      </c>
      <c r="K96" s="183">
        <v>11750</v>
      </c>
    </row>
    <row r="97" spans="1:11" s="167" customFormat="1">
      <c r="A97" s="169" t="s">
        <v>86</v>
      </c>
      <c r="B97" s="170" t="s">
        <v>45</v>
      </c>
      <c r="C97" s="501">
        <f>'[76]Sch C'!D90</f>
        <v>0</v>
      </c>
      <c r="D97" s="501">
        <f>'[76]Sch C'!F90</f>
        <v>27292</v>
      </c>
      <c r="E97" s="171">
        <f t="shared" si="15"/>
        <v>27292</v>
      </c>
      <c r="F97" s="171"/>
      <c r="G97" s="171">
        <f t="shared" si="16"/>
        <v>27292</v>
      </c>
      <c r="H97" s="172">
        <f t="shared" si="17"/>
        <v>8.5992151940053781E-3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'[76]Sch C'!D91</f>
        <v>7230</v>
      </c>
      <c r="D98" s="501">
        <f>'[76]Sch C'!F91</f>
        <v>0</v>
      </c>
      <c r="E98" s="171">
        <f t="shared" si="15"/>
        <v>7230</v>
      </c>
      <c r="F98" s="171"/>
      <c r="G98" s="171">
        <f t="shared" si="16"/>
        <v>7230</v>
      </c>
      <c r="H98" s="172">
        <f t="shared" si="17"/>
        <v>2.2780421314912386E-3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'[76]Sch C'!D92</f>
        <v>71025</v>
      </c>
      <c r="D99" s="501">
        <f>'[76]Sch C'!F92</f>
        <v>-1799</v>
      </c>
      <c r="E99" s="171">
        <f t="shared" si="15"/>
        <v>69226</v>
      </c>
      <c r="F99" s="171"/>
      <c r="G99" s="171">
        <f t="shared" si="16"/>
        <v>69226</v>
      </c>
      <c r="H99" s="172">
        <f t="shared" si="17"/>
        <v>2.1811859556654562E-2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'[76]Sch C'!D93</f>
        <v>12507</v>
      </c>
      <c r="D100" s="501">
        <f>'[76]Sch C'!F93</f>
        <v>0</v>
      </c>
      <c r="E100" s="171">
        <f t="shared" si="15"/>
        <v>12507</v>
      </c>
      <c r="F100" s="171"/>
      <c r="G100" s="171">
        <f t="shared" si="16"/>
        <v>12507</v>
      </c>
      <c r="H100" s="172">
        <f t="shared" si="17"/>
        <v>3.9407293137705282E-3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'[76]Sch C'!D94</f>
        <v>1798</v>
      </c>
      <c r="D101" s="501">
        <f>'[76]Sch C'!F94</f>
        <v>0</v>
      </c>
      <c r="E101" s="171">
        <f t="shared" si="15"/>
        <v>1798</v>
      </c>
      <c r="F101" s="171"/>
      <c r="G101" s="171">
        <f t="shared" si="16"/>
        <v>1798</v>
      </c>
      <c r="H101" s="172">
        <f t="shared" si="17"/>
        <v>5.6651725483004801E-4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226039</v>
      </c>
      <c r="D102" s="501">
        <f>SUM(D96:D101)</f>
        <v>25493</v>
      </c>
      <c r="E102" s="171">
        <f t="shared" ref="E102:F102" si="18">SUM(E96:E101)</f>
        <v>251532</v>
      </c>
      <c r="F102" s="171">
        <f t="shared" si="18"/>
        <v>0</v>
      </c>
      <c r="G102" s="171">
        <f>SUM(G96:G101)</f>
        <v>251532</v>
      </c>
      <c r="H102" s="172">
        <f t="shared" si="17"/>
        <v>7.925318027914996E-2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'[76]Sch C'!D98</f>
        <v>0</v>
      </c>
      <c r="D105" s="501">
        <f>'[76]Sch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'[76]Sch C'!D99</f>
        <v>0</v>
      </c>
      <c r="D106" s="501">
        <f>'[76]Sch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'[76]Sch C'!D100</f>
        <v>2318</v>
      </c>
      <c r="D107" s="501">
        <f>'[76]Sch C'!F100</f>
        <v>0</v>
      </c>
      <c r="E107" s="171">
        <f t="shared" si="19"/>
        <v>2318</v>
      </c>
      <c r="F107" s="171"/>
      <c r="G107" s="171">
        <f t="shared" si="20"/>
        <v>2318</v>
      </c>
      <c r="H107" s="172">
        <f t="shared" si="21"/>
        <v>7.303598424338438E-4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'[76]Sch C'!D101</f>
        <v>0</v>
      </c>
      <c r="D108" s="501">
        <f>'[76]Sch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'[76]Sch C'!D102</f>
        <v>1815</v>
      </c>
      <c r="D109" s="501">
        <f>'[76]Sch C'!F102</f>
        <v>0</v>
      </c>
      <c r="E109" s="171">
        <f t="shared" si="19"/>
        <v>1815</v>
      </c>
      <c r="F109" s="171"/>
      <c r="G109" s="171">
        <f t="shared" si="20"/>
        <v>1815</v>
      </c>
      <c r="H109" s="172">
        <f t="shared" si="21"/>
        <v>5.7187364711709513E-4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'[76]Sch C'!D103</f>
        <v>0</v>
      </c>
      <c r="D110" s="501">
        <f>'[76]Sch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4133</v>
      </c>
      <c r="D111" s="501">
        <f>SUM(D105:D110)</f>
        <v>0</v>
      </c>
      <c r="E111" s="171">
        <f t="shared" ref="E111:F111" si="22">SUM(E105:E110)</f>
        <v>4133</v>
      </c>
      <c r="F111" s="171">
        <f t="shared" si="22"/>
        <v>0</v>
      </c>
      <c r="G111" s="171">
        <f>SUM(G105:G110)</f>
        <v>4133</v>
      </c>
      <c r="H111" s="172">
        <f t="shared" si="21"/>
        <v>1.3022334895509389E-3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'[76]Sch C'!D115</f>
        <v>60776</v>
      </c>
      <c r="D114" s="501">
        <f>'[76]Sch C'!F115</f>
        <v>0</v>
      </c>
      <c r="E114" s="171">
        <f t="shared" ref="E114:E118" si="23">C114+D114</f>
        <v>60776</v>
      </c>
      <c r="F114" s="171"/>
      <c r="G114" s="171">
        <f>E114+F114</f>
        <v>60776</v>
      </c>
      <c r="H114" s="172">
        <f t="shared" ref="H114:H119" si="24">IF($G$208=0,0,G114/$G$208)</f>
        <v>1.9149417508092879E-2</v>
      </c>
      <c r="I114" s="473"/>
      <c r="J114" s="183">
        <v>5830</v>
      </c>
      <c r="K114" s="183">
        <v>6295</v>
      </c>
    </row>
    <row r="115" spans="1:11" s="167" customFormat="1">
      <c r="A115" s="169" t="s">
        <v>86</v>
      </c>
      <c r="B115" s="170" t="s">
        <v>151</v>
      </c>
      <c r="C115" s="501">
        <f>'[76]Sch C'!D116</f>
        <v>0</v>
      </c>
      <c r="D115" s="501">
        <f>'[76]Sch C'!F116</f>
        <v>12427</v>
      </c>
      <c r="E115" s="171">
        <f t="shared" si="23"/>
        <v>12427</v>
      </c>
      <c r="F115" s="171"/>
      <c r="G115" s="171">
        <f>E115+F115</f>
        <v>12427</v>
      </c>
      <c r="H115" s="172">
        <f t="shared" si="24"/>
        <v>3.9155227618314827E-3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'[76]Sch C'!D117</f>
        <v>11509</v>
      </c>
      <c r="D116" s="501">
        <f>'[76]Sch C'!F117</f>
        <v>0</v>
      </c>
      <c r="E116" s="171">
        <f t="shared" si="23"/>
        <v>11509</v>
      </c>
      <c r="F116" s="171"/>
      <c r="G116" s="171">
        <f>E116+F116</f>
        <v>11509</v>
      </c>
      <c r="H116" s="172">
        <f t="shared" si="24"/>
        <v>3.6262775783309355E-3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'[76]Sch C'!D118</f>
        <v>0</v>
      </c>
      <c r="D117" s="501">
        <f>'[76]Sch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'[76]Sch C'!D119</f>
        <v>72</v>
      </c>
      <c r="D118" s="501">
        <f>'[76]Sch C'!F119</f>
        <v>0</v>
      </c>
      <c r="E118" s="171">
        <f t="shared" si="23"/>
        <v>72</v>
      </c>
      <c r="F118" s="171"/>
      <c r="G118" s="171">
        <f>E118+F118</f>
        <v>72</v>
      </c>
      <c r="H118" s="172">
        <f t="shared" si="24"/>
        <v>2.2685896745140964E-5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72357</v>
      </c>
      <c r="D119" s="501">
        <f>SUM(D114:D118)</f>
        <v>12427</v>
      </c>
      <c r="E119" s="171">
        <f t="shared" ref="E119:F119" si="25">SUM(E114:E118)</f>
        <v>84784</v>
      </c>
      <c r="F119" s="171">
        <f t="shared" si="25"/>
        <v>0</v>
      </c>
      <c r="G119" s="171">
        <f>SUM(G114:G118)</f>
        <v>84784</v>
      </c>
      <c r="H119" s="172">
        <f t="shared" si="24"/>
        <v>2.6713903745000437E-2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'[76]Sch C'!D124</f>
        <v>0</v>
      </c>
      <c r="D123" s="501">
        <f>'[76]Sch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'[76]Sch C'!D125</f>
        <v>141081</v>
      </c>
      <c r="D124" s="501">
        <f>'[76]Sch C'!F125</f>
        <v>0</v>
      </c>
      <c r="E124" s="171">
        <f t="shared" si="26"/>
        <v>141081</v>
      </c>
      <c r="F124" s="171"/>
      <c r="G124" s="171">
        <f>E124+F124</f>
        <v>141081</v>
      </c>
      <c r="H124" s="172">
        <f>IF($G$208=0,0,G124/$G$208)</f>
        <v>4.4452069426406005E-2</v>
      </c>
      <c r="I124" s="473"/>
      <c r="J124" s="183">
        <v>3779</v>
      </c>
      <c r="K124" s="183">
        <v>4193</v>
      </c>
    </row>
    <row r="125" spans="1:11" s="167" customFormat="1">
      <c r="A125" s="163" t="s">
        <v>198</v>
      </c>
      <c r="B125" s="163" t="s">
        <v>195</v>
      </c>
      <c r="C125" s="501">
        <f>'[76]Sch C'!D126</f>
        <v>0</v>
      </c>
      <c r="D125" s="501">
        <f>'[76]Sch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'[76]Sch C'!D127</f>
        <v>0</v>
      </c>
      <c r="D126" s="501">
        <f>'[76]Sch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'[76]Sch C'!D128</f>
        <v>0</v>
      </c>
      <c r="D127" s="501">
        <f>'[76]Sch C'!F128</f>
        <v>0</v>
      </c>
      <c r="E127" s="171">
        <f t="shared" si="26"/>
        <v>0</v>
      </c>
      <c r="F127" s="171"/>
      <c r="G127" s="171">
        <f>E127+F127</f>
        <v>0</v>
      </c>
      <c r="H127" s="172">
        <f>IF($G$208=0,0,G127/$G$208)</f>
        <v>0</v>
      </c>
      <c r="I127" s="473"/>
      <c r="J127" s="183">
        <v>0</v>
      </c>
      <c r="K127" s="183">
        <v>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'[76]Sch C'!D130</f>
        <v>0</v>
      </c>
      <c r="D129" s="501">
        <f>'[76]Sch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'[76]Sch C'!D131</f>
        <v>0</v>
      </c>
      <c r="D130" s="501">
        <f>'[76]Sch C'!F131</f>
        <v>28846</v>
      </c>
      <c r="E130" s="171">
        <f t="shared" si="27"/>
        <v>28846</v>
      </c>
      <c r="F130" s="171"/>
      <c r="G130" s="171">
        <f>E130+F130</f>
        <v>28846</v>
      </c>
      <c r="H130" s="172">
        <f>IF($G$208=0,0,G130/$G$208)</f>
        <v>9.0888524654213366E-3</v>
      </c>
      <c r="I130" s="473"/>
      <c r="J130" s="204"/>
      <c r="K130" s="204"/>
    </row>
    <row r="131" spans="1:11" s="167" customFormat="1">
      <c r="B131" s="163" t="s">
        <v>195</v>
      </c>
      <c r="C131" s="501">
        <f>'[76]Sch C'!D132</f>
        <v>0</v>
      </c>
      <c r="D131" s="501">
        <f>'[76]Sch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'[76]Sch C'!D133</f>
        <v>0</v>
      </c>
      <c r="D132" s="501">
        <f>'[76]Sch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'[76]Sch C'!D134</f>
        <v>0</v>
      </c>
      <c r="D133" s="501">
        <f>'[76]Sch C'!F134</f>
        <v>0</v>
      </c>
      <c r="E133" s="171">
        <f t="shared" si="27"/>
        <v>0</v>
      </c>
      <c r="F133" s="171"/>
      <c r="G133" s="171">
        <f>E133+F133</f>
        <v>0</v>
      </c>
      <c r="H133" s="172">
        <f>IF($G$208=0,0,G133/$G$208)</f>
        <v>0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'[76]Sch C'!D136</f>
        <v>274908</v>
      </c>
      <c r="D135" s="501">
        <f>'[76]Sch C'!F136</f>
        <v>0</v>
      </c>
      <c r="E135" s="171">
        <f t="shared" ref="E135:E138" si="28">C135+D135</f>
        <v>274908</v>
      </c>
      <c r="F135" s="171"/>
      <c r="G135" s="171">
        <f>E135+F135</f>
        <v>274908</v>
      </c>
      <c r="H135" s="172">
        <f>IF($G$208=0,0,G135/$G$208)</f>
        <v>8.6618534755739066E-2</v>
      </c>
      <c r="I135" s="473"/>
      <c r="J135" s="183">
        <v>9958</v>
      </c>
      <c r="K135" s="183">
        <v>10410</v>
      </c>
    </row>
    <row r="136" spans="1:11" s="167" customFormat="1">
      <c r="A136" s="169"/>
      <c r="B136" s="163" t="s">
        <v>195</v>
      </c>
      <c r="C136" s="501">
        <f>'[76]Sch C'!D137</f>
        <v>116754</v>
      </c>
      <c r="D136" s="501">
        <f>'[76]Sch C'!F137</f>
        <v>0</v>
      </c>
      <c r="E136" s="171">
        <f t="shared" si="28"/>
        <v>116754</v>
      </c>
      <c r="F136" s="171"/>
      <c r="G136" s="171">
        <f>E136+F136</f>
        <v>116754</v>
      </c>
      <c r="H136" s="172">
        <f>IF($G$208=0,0,G136/$G$208)</f>
        <v>3.6787072063641506E-2</v>
      </c>
      <c r="I136" s="473"/>
      <c r="J136" s="183">
        <v>5119</v>
      </c>
      <c r="K136" s="183">
        <v>5281</v>
      </c>
    </row>
    <row r="137" spans="1:11" s="167" customFormat="1">
      <c r="A137" s="169"/>
      <c r="B137" s="163" t="s">
        <v>196</v>
      </c>
      <c r="C137" s="501">
        <f>'[76]Sch C'!D138</f>
        <v>249632</v>
      </c>
      <c r="D137" s="501">
        <f>'[76]Sch C'!F138</f>
        <v>0</v>
      </c>
      <c r="E137" s="171">
        <f t="shared" si="28"/>
        <v>249632</v>
      </c>
      <c r="F137" s="171"/>
      <c r="G137" s="171">
        <f>E137+F137</f>
        <v>249632</v>
      </c>
      <c r="H137" s="172">
        <f>IF($G$208=0,0,G137/$G$208)</f>
        <v>7.8654524670597623E-2</v>
      </c>
      <c r="I137" s="473"/>
      <c r="J137" s="183">
        <v>22362</v>
      </c>
      <c r="K137" s="183">
        <v>23285</v>
      </c>
    </row>
    <row r="138" spans="1:11" s="167" customFormat="1">
      <c r="A138" s="169"/>
      <c r="B138" s="163" t="s">
        <v>197</v>
      </c>
      <c r="C138" s="501">
        <f>'[76]Sch C'!D139</f>
        <v>0</v>
      </c>
      <c r="D138" s="501">
        <f>'[76]Sch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208"/>
      <c r="K139" s="208"/>
    </row>
    <row r="140" spans="1:11" s="167" customFormat="1">
      <c r="A140" s="169"/>
      <c r="B140" s="163" t="s">
        <v>194</v>
      </c>
      <c r="C140" s="501">
        <f>'[76]Sch C'!D141</f>
        <v>0</v>
      </c>
      <c r="D140" s="501">
        <f>'[76]Sch C'!F141</f>
        <v>56210</v>
      </c>
      <c r="E140" s="171">
        <f t="shared" ref="E140:E143" si="29">C140+D140</f>
        <v>56210</v>
      </c>
      <c r="F140" s="171"/>
      <c r="G140" s="171">
        <f>E140+F140</f>
        <v>56210</v>
      </c>
      <c r="H140" s="172">
        <f>IF($G$208=0,0,G140/$G$208)</f>
        <v>1.7710753556171854E-2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'[76]Sch C'!D142</f>
        <v>0</v>
      </c>
      <c r="D141" s="501">
        <f>'[76]Sch C'!F142</f>
        <v>23872</v>
      </c>
      <c r="E141" s="171">
        <f t="shared" si="29"/>
        <v>23872</v>
      </c>
      <c r="F141" s="171"/>
      <c r="G141" s="171">
        <f>E141+F141</f>
        <v>23872</v>
      </c>
      <c r="H141" s="172">
        <f>IF($G$208=0,0,G141/$G$208)</f>
        <v>7.5216350986111822E-3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'[76]Sch C'!D143</f>
        <v>0</v>
      </c>
      <c r="D142" s="501">
        <f>'[76]Sch C'!F143</f>
        <v>51042</v>
      </c>
      <c r="E142" s="171">
        <f t="shared" si="29"/>
        <v>51042</v>
      </c>
      <c r="F142" s="171"/>
      <c r="G142" s="171">
        <f>E142+F142</f>
        <v>51042</v>
      </c>
      <c r="H142" s="172">
        <f>IF($G$208=0,0,G142/$G$208)</f>
        <v>1.6082410300909514E-2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'[76]Sch C'!D144</f>
        <v>0</v>
      </c>
      <c r="D143" s="501">
        <f>'[76]Sch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'[76]Sch C'!D146</f>
        <v>21600</v>
      </c>
      <c r="D145" s="501">
        <f>'[76]Sch C'!F146</f>
        <v>0</v>
      </c>
      <c r="E145" s="171">
        <f t="shared" ref="E145:E153" si="30">C145+D145</f>
        <v>21600</v>
      </c>
      <c r="F145" s="171"/>
      <c r="G145" s="171">
        <f t="shared" ref="G145:G153" si="31">E145+F145</f>
        <v>21600</v>
      </c>
      <c r="H145" s="172">
        <f t="shared" ref="H145:H153" si="32">IF($G$208=0,0,G145/$G$208)</f>
        <v>6.8057690235422894E-3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'[76]Sch C'!D147</f>
        <v>0</v>
      </c>
      <c r="D146" s="501">
        <f>'[76]Sch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'[76]Sch C'!D148</f>
        <v>0</v>
      </c>
      <c r="D147" s="501">
        <f>'[76]Sch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'[76]Sch C'!D149</f>
        <v>0</v>
      </c>
      <c r="D148" s="501">
        <f>'[76]Sch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'[76]Sch C'!D150</f>
        <v>6637</v>
      </c>
      <c r="D149" s="501">
        <f>'[76]Sch C'!F150</f>
        <v>0</v>
      </c>
      <c r="E149" s="171">
        <f t="shared" si="30"/>
        <v>6637</v>
      </c>
      <c r="F149" s="171"/>
      <c r="G149" s="171">
        <f t="shared" si="31"/>
        <v>6637</v>
      </c>
      <c r="H149" s="172">
        <f t="shared" si="32"/>
        <v>2.0911985652430636E-3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'[76]Sch C'!D151</f>
        <v>46322</v>
      </c>
      <c r="D150" s="501">
        <f>'[76]Sch C'!F151</f>
        <v>0</v>
      </c>
      <c r="E150" s="171">
        <f t="shared" si="30"/>
        <v>46322</v>
      </c>
      <c r="F150" s="171"/>
      <c r="G150" s="171">
        <f t="shared" si="31"/>
        <v>46322</v>
      </c>
      <c r="H150" s="172">
        <f t="shared" si="32"/>
        <v>1.4595223736505829E-2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'[76]Sch C'!D152</f>
        <v>329</v>
      </c>
      <c r="D151" s="501">
        <f>'[76]Sch C'!F152</f>
        <v>0</v>
      </c>
      <c r="E151" s="171">
        <f t="shared" si="30"/>
        <v>329</v>
      </c>
      <c r="F151" s="171"/>
      <c r="G151" s="171">
        <f t="shared" si="31"/>
        <v>329</v>
      </c>
      <c r="H151" s="172">
        <f t="shared" si="32"/>
        <v>1.0366194484932468E-4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'[76]Sch C'!D153</f>
        <v>0</v>
      </c>
      <c r="D152" s="501">
        <f>'[76]Sch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'[76]Sch C'!D154</f>
        <v>0</v>
      </c>
      <c r="D153" s="501">
        <f>'[76]Sch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'[76]Sch C'!D156</f>
        <v>0</v>
      </c>
      <c r="D155" s="501">
        <f>'[76]Sch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'[76]Sch C'!D157</f>
        <v>0</v>
      </c>
      <c r="D156" s="501">
        <f>'[76]Sch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'[76]Sch C'!D158</f>
        <v>0</v>
      </c>
      <c r="D157" s="501">
        <f>'[76]Sch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'[76]Sch C'!D159</f>
        <v>0</v>
      </c>
      <c r="D158" s="501">
        <f>'[76]Sch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'[76]Sch C'!D160</f>
        <v>0</v>
      </c>
      <c r="D159" s="501">
        <f>'[76]Sch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'[76]Sch C'!D161</f>
        <v>0</v>
      </c>
      <c r="D160" s="501">
        <f>'[76]Sch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857263</v>
      </c>
      <c r="D161" s="501">
        <f>SUM(D123:D160)</f>
        <v>159970</v>
      </c>
      <c r="E161" s="171">
        <f t="shared" ref="E161:F161" si="36">SUM(E123:E160)</f>
        <v>1017233</v>
      </c>
      <c r="F161" s="171">
        <f t="shared" si="36"/>
        <v>0</v>
      </c>
      <c r="G161" s="171">
        <f>SUM(G123:G160)</f>
        <v>1017233</v>
      </c>
      <c r="H161" s="172">
        <f t="shared" si="35"/>
        <v>0.32051170560763859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'[76]Sch C'!D175</f>
        <v>0</v>
      </c>
      <c r="D164" s="501">
        <f>'[76]Sch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'[76]Sch C'!D176</f>
        <v>0</v>
      </c>
      <c r="D165" s="501">
        <f>'[76]Sch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'[76]Sch C'!D177</f>
        <v>0</v>
      </c>
      <c r="D166" s="501">
        <f>'[76]Sch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'[76]Sch C'!D178</f>
        <v>0</v>
      </c>
      <c r="D167" s="501">
        <f>'[76]Sch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'[76]Sch C'!D179</f>
        <v>0</v>
      </c>
      <c r="D168" s="501">
        <f>'[76]Sch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'[76]Sch C'!D180</f>
        <v>0</v>
      </c>
      <c r="D169" s="501">
        <f>'[76]Sch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'[76]Sch C'!D181</f>
        <v>0</v>
      </c>
      <c r="D170" s="501">
        <f>'[76]Sch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'[76]Sch C'!D182</f>
        <v>0</v>
      </c>
      <c r="D171" s="501">
        <f>'[76]Sch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'[76]Sch C'!D183</f>
        <v>0</v>
      </c>
      <c r="D172" s="501">
        <f>'[76]Sch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'[76]Sch C'!D184</f>
        <v>0</v>
      </c>
      <c r="D173" s="501">
        <f>'[76]Sch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'[76]Sch C'!D185</f>
        <v>0</v>
      </c>
      <c r="D174" s="501">
        <f>'[76]Sch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'[76]Sch C'!D186</f>
        <v>0</v>
      </c>
      <c r="D175" s="501">
        <f>'[76]Sch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'[76]Sch C'!D187</f>
        <v>0</v>
      </c>
      <c r="D176" s="501">
        <f>'[76]Sch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'[76]Sch C'!D188</f>
        <v>4870</v>
      </c>
      <c r="D177" s="501">
        <f>'[76]Sch C'!F188</f>
        <v>0</v>
      </c>
      <c r="E177" s="171">
        <f t="shared" si="37"/>
        <v>4870</v>
      </c>
      <c r="F177" s="216"/>
      <c r="G177" s="171">
        <f t="shared" si="38"/>
        <v>4870</v>
      </c>
      <c r="H177" s="172">
        <f t="shared" si="39"/>
        <v>1.5344488492893959E-3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'[76]Sch C'!D189</f>
        <v>0</v>
      </c>
      <c r="D178" s="501">
        <f>'[76]Sch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'[76]Sch C'!D190</f>
        <v>0</v>
      </c>
      <c r="D179" s="501">
        <f>'[76]Sch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'[76]Sch C'!D191</f>
        <v>0</v>
      </c>
      <c r="D180" s="501">
        <f>'[76]Sch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'[76]Sch C'!D192</f>
        <v>0</v>
      </c>
      <c r="D181" s="501">
        <f>'[76]Sch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'[76]Sch C'!D193</f>
        <v>0</v>
      </c>
      <c r="D182" s="501">
        <f>'[76]Sch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'[76]Sch C'!D194</f>
        <v>543234</v>
      </c>
      <c r="D183" s="501">
        <f>'[76]Sch C'!F194</f>
        <v>0</v>
      </c>
      <c r="E183" s="171">
        <f t="shared" si="37"/>
        <v>543234</v>
      </c>
      <c r="F183" s="216"/>
      <c r="G183" s="171">
        <f t="shared" si="38"/>
        <v>543234</v>
      </c>
      <c r="H183" s="172">
        <f t="shared" si="39"/>
        <v>0.17116320045069314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'[76]Sch C'!D195</f>
        <v>0</v>
      </c>
      <c r="D184" s="501">
        <f>'[76]Sch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'[76]Sch C'!D196</f>
        <v>0</v>
      </c>
      <c r="D185" s="501">
        <f>'[76]Sch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'[76]Sch C'!D197</f>
        <v>0</v>
      </c>
      <c r="D186" s="501">
        <f>'[76]Sch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'[76]Sch C'!D198</f>
        <v>24350</v>
      </c>
      <c r="D187" s="501">
        <f>'[76]Sch C'!F198</f>
        <v>0</v>
      </c>
      <c r="E187" s="171">
        <f t="shared" si="37"/>
        <v>24350</v>
      </c>
      <c r="F187" s="216"/>
      <c r="G187" s="171">
        <f t="shared" si="38"/>
        <v>24350</v>
      </c>
      <c r="H187" s="172">
        <f t="shared" si="39"/>
        <v>7.6722442464469791E-3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'[76]Sch C'!D199</f>
        <v>0</v>
      </c>
      <c r="D188" s="501">
        <f>'[76]Sch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'[76]Sch C'!D200</f>
        <v>0</v>
      </c>
      <c r="D189" s="501">
        <f>'[76]Sch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'[76]Sch C'!D201</f>
        <v>0</v>
      </c>
      <c r="D190" s="501">
        <f>'[76]Sch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'[76]Sch C'!D202</f>
        <v>0</v>
      </c>
      <c r="D191" s="501">
        <f>'[76]Sch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'[76]Sch C'!D203</f>
        <v>0</v>
      </c>
      <c r="D192" s="501">
        <f>'[76]Sch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'[76]Sch C'!D204</f>
        <v>0</v>
      </c>
      <c r="D193" s="501">
        <f>'[76]Sch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'[76]Sch C'!D205</f>
        <v>236168</v>
      </c>
      <c r="D194" s="501">
        <f>'[76]Sch C'!F205</f>
        <v>0</v>
      </c>
      <c r="E194" s="171">
        <f t="shared" si="37"/>
        <v>236168</v>
      </c>
      <c r="F194" s="216"/>
      <c r="G194" s="171">
        <f t="shared" si="38"/>
        <v>236168</v>
      </c>
      <c r="H194" s="172">
        <f t="shared" si="39"/>
        <v>7.4412261979256267E-2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'[76]Sch C'!D206</f>
        <v>14543</v>
      </c>
      <c r="D195" s="501">
        <f>'[76]Sch C'!F206</f>
        <v>0</v>
      </c>
      <c r="E195" s="171">
        <f t="shared" si="37"/>
        <v>14543</v>
      </c>
      <c r="F195" s="216"/>
      <c r="G195" s="171">
        <f t="shared" si="38"/>
        <v>14543</v>
      </c>
      <c r="H195" s="172">
        <f t="shared" si="39"/>
        <v>4.582236060619237E-3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'[76]Sch C'!D207</f>
        <v>1387</v>
      </c>
      <c r="D196" s="501">
        <f>'[76]Sch C'!F207</f>
        <v>0</v>
      </c>
      <c r="E196" s="171">
        <f t="shared" si="37"/>
        <v>1387</v>
      </c>
      <c r="F196" s="216"/>
      <c r="G196" s="171">
        <f t="shared" si="38"/>
        <v>1387</v>
      </c>
      <c r="H196" s="172">
        <f t="shared" si="39"/>
        <v>4.3701859424320164E-4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824552</v>
      </c>
      <c r="D197" s="501">
        <f>SUM(D164:D196)</f>
        <v>0</v>
      </c>
      <c r="E197" s="171">
        <f t="shared" ref="E197:F197" si="40">SUM(E164:E196)</f>
        <v>824552</v>
      </c>
      <c r="F197" s="171">
        <f t="shared" si="40"/>
        <v>0</v>
      </c>
      <c r="G197" s="171">
        <f>SUM(G164:G196)</f>
        <v>824552</v>
      </c>
      <c r="H197" s="172">
        <f>IF($G$208=0,0,G197/$G$208)</f>
        <v>0.25980141018054825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'[76]Sch C'!D211</f>
        <v>57564</v>
      </c>
      <c r="D200" s="501">
        <f>'[76]Sch C'!F211</f>
        <v>0</v>
      </c>
      <c r="E200" s="171">
        <f t="shared" ref="E200:E205" si="41">C200+D200</f>
        <v>57564</v>
      </c>
      <c r="F200" s="171"/>
      <c r="G200" s="171">
        <f t="shared" ref="G200:G205" si="42">E200+F200</f>
        <v>57564</v>
      </c>
      <c r="H200" s="172">
        <f t="shared" ref="H200:H206" si="43">IF($G$208=0,0,G200/$G$208)</f>
        <v>1.81373744477402E-2</v>
      </c>
      <c r="I200" s="473"/>
      <c r="J200" s="183">
        <v>3579</v>
      </c>
      <c r="K200" s="183">
        <v>3935</v>
      </c>
    </row>
    <row r="201" spans="1:14" s="167" customFormat="1">
      <c r="A201" s="169" t="s">
        <v>86</v>
      </c>
      <c r="B201" s="170" t="s">
        <v>45</v>
      </c>
      <c r="C201" s="501">
        <f>'[76]Sch C'!D212</f>
        <v>0</v>
      </c>
      <c r="D201" s="501">
        <f>'[76]Sch C'!F212</f>
        <v>11770</v>
      </c>
      <c r="E201" s="171">
        <f t="shared" si="41"/>
        <v>11770</v>
      </c>
      <c r="F201" s="171"/>
      <c r="G201" s="171">
        <f t="shared" si="42"/>
        <v>11770</v>
      </c>
      <c r="H201" s="172">
        <f t="shared" si="43"/>
        <v>3.7085139540320717E-3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'[76]Sch C'!D213</f>
        <v>6686</v>
      </c>
      <c r="D202" s="501">
        <f>'[76]Sch C'!F213</f>
        <v>0</v>
      </c>
      <c r="E202" s="171">
        <f t="shared" si="41"/>
        <v>6686</v>
      </c>
      <c r="F202" s="171"/>
      <c r="G202" s="171">
        <f t="shared" si="42"/>
        <v>6686</v>
      </c>
      <c r="H202" s="172">
        <f t="shared" si="43"/>
        <v>2.106637578305729E-3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'[76]Sch C'!D214</f>
        <v>0</v>
      </c>
      <c r="D203" s="501">
        <f>'[76]Sch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'[76]Sch C'!D215</f>
        <v>0</v>
      </c>
      <c r="D204" s="501">
        <f>'[76]Sch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'[76]Sch C'!D216</f>
        <v>2616</v>
      </c>
      <c r="D205" s="501">
        <f>'[76]Sch C'!F216</f>
        <v>0</v>
      </c>
      <c r="E205" s="171">
        <f t="shared" si="41"/>
        <v>2616</v>
      </c>
      <c r="F205" s="171"/>
      <c r="G205" s="171">
        <f t="shared" si="42"/>
        <v>2616</v>
      </c>
      <c r="H205" s="172">
        <f t="shared" si="43"/>
        <v>8.2425424840678837E-4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66866</v>
      </c>
      <c r="D206" s="501">
        <f>SUM(D200:D205)</f>
        <v>11770</v>
      </c>
      <c r="E206" s="171">
        <f t="shared" ref="E206:F206" si="44">SUM(E200:E205)</f>
        <v>78636</v>
      </c>
      <c r="F206" s="171">
        <f t="shared" si="44"/>
        <v>0</v>
      </c>
      <c r="G206" s="171">
        <f>SUM(G200:G205)</f>
        <v>78636</v>
      </c>
      <c r="H206" s="172">
        <f t="shared" si="43"/>
        <v>2.4776780228484788E-2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3169920</v>
      </c>
      <c r="D208" s="501">
        <f>SUM(D25:D206)/2</f>
        <v>9418</v>
      </c>
      <c r="E208" s="171">
        <f t="shared" ref="E208:F208" si="45">SUM(E25:E206)/2</f>
        <v>3179338</v>
      </c>
      <c r="F208" s="171">
        <f t="shared" si="45"/>
        <v>-5560</v>
      </c>
      <c r="G208" s="171">
        <f>SUM(G25:G206)/2</f>
        <v>3173778</v>
      </c>
      <c r="H208" s="172">
        <f>IF($G$208=0,0,G208/$G$208)</f>
        <v>1</v>
      </c>
      <c r="I208" s="473"/>
      <c r="J208" s="183">
        <f>SUM(J25:J200)</f>
        <v>68029</v>
      </c>
      <c r="K208" s="183">
        <f>SUM(K25:K200)</f>
        <v>72073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'[76]Sch C'!D221</f>
        <v>3169920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10464</v>
      </c>
      <c r="D215" s="501">
        <f>D21-D208</f>
        <v>-9418</v>
      </c>
      <c r="E215" s="171">
        <f t="shared" ref="E215:F215" si="46">E21-E208</f>
        <v>1046</v>
      </c>
      <c r="F215" s="171">
        <f t="shared" si="46"/>
        <v>5560</v>
      </c>
      <c r="G215" s="171">
        <f>G21-G208</f>
        <v>6606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'[76]Sch D'!C9</f>
        <v>1934</v>
      </c>
      <c r="D219" s="530"/>
      <c r="E219" s="234">
        <f t="shared" ref="E219:G227" si="47">C219+D219</f>
        <v>1934</v>
      </c>
      <c r="F219" s="233"/>
      <c r="G219" s="234">
        <f t="shared" si="47"/>
        <v>1934</v>
      </c>
      <c r="H219" s="172">
        <f t="shared" ref="H219:H228" si="48">IF($G$228=0,0,G219/$G$228)</f>
        <v>0.24630667345899135</v>
      </c>
      <c r="I219" s="473"/>
      <c r="J219" s="168"/>
      <c r="K219" s="168"/>
    </row>
    <row r="220" spans="1:11">
      <c r="A220" s="163"/>
      <c r="B220" s="170" t="s">
        <v>217</v>
      </c>
      <c r="C220" s="530">
        <f>'[76]Sch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'[76]Sch D'!E9</f>
        <v>4868</v>
      </c>
      <c r="D221" s="530"/>
      <c r="E221" s="234">
        <f t="shared" si="49"/>
        <v>4868</v>
      </c>
      <c r="F221" s="233"/>
      <c r="G221" s="234">
        <f t="shared" si="47"/>
        <v>4868</v>
      </c>
      <c r="H221" s="172">
        <f t="shared" si="48"/>
        <v>0.61996943453897091</v>
      </c>
      <c r="I221" s="473"/>
      <c r="J221" s="168"/>
      <c r="K221" s="168"/>
    </row>
    <row r="222" spans="1:11">
      <c r="A222" s="163"/>
      <c r="B222" s="202" t="s">
        <v>334</v>
      </c>
      <c r="C222" s="530">
        <f>'[76]Sch D'!F9</f>
        <v>546</v>
      </c>
      <c r="D222" s="530"/>
      <c r="E222" s="234">
        <f>C222+D222</f>
        <v>546</v>
      </c>
      <c r="F222" s="233"/>
      <c r="G222" s="234">
        <f>E222+F222</f>
        <v>546</v>
      </c>
      <c r="H222" s="172">
        <f t="shared" si="48"/>
        <v>6.9536423841059597E-2</v>
      </c>
      <c r="I222" s="473"/>
      <c r="J222" s="168"/>
      <c r="K222" s="168"/>
    </row>
    <row r="223" spans="1:11">
      <c r="A223" s="163"/>
      <c r="B223" s="170" t="s">
        <v>73</v>
      </c>
      <c r="C223" s="530">
        <f>'[76]Sch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'[76]Sch D'!H9</f>
        <v>481</v>
      </c>
      <c r="D224" s="530"/>
      <c r="E224" s="234">
        <f t="shared" si="49"/>
        <v>481</v>
      </c>
      <c r="F224" s="233"/>
      <c r="G224" s="234">
        <f t="shared" si="47"/>
        <v>481</v>
      </c>
      <c r="H224" s="172">
        <f t="shared" si="48"/>
        <v>6.1258278145695365E-2</v>
      </c>
      <c r="I224" s="473"/>
      <c r="J224" s="168"/>
      <c r="K224" s="168"/>
    </row>
    <row r="225" spans="1:11">
      <c r="A225" s="163"/>
      <c r="B225" s="170" t="s">
        <v>236</v>
      </c>
      <c r="C225" s="530">
        <f>'[76]Sch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'[76]Sch D'!J9</f>
        <v>23</v>
      </c>
      <c r="D226" s="530"/>
      <c r="E226" s="234">
        <f>C226+D226</f>
        <v>23</v>
      </c>
      <c r="F226" s="233"/>
      <c r="G226" s="234">
        <f>E226+F226</f>
        <v>23</v>
      </c>
      <c r="H226" s="172">
        <f t="shared" si="48"/>
        <v>2.9291900152827307E-3</v>
      </c>
      <c r="I226" s="473"/>
      <c r="J226" s="168"/>
      <c r="K226" s="168"/>
    </row>
    <row r="227" spans="1:11">
      <c r="A227" s="163"/>
      <c r="B227" s="170" t="s">
        <v>179</v>
      </c>
      <c r="C227" s="530">
        <f>'[76]Sch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7852</v>
      </c>
      <c r="D228" s="530">
        <f>SUM(D219:D227)</f>
        <v>0</v>
      </c>
      <c r="E228" s="236">
        <f>SUM(E219:E227)</f>
        <v>7852</v>
      </c>
      <c r="F228" s="236">
        <f>SUM(F219:F227)</f>
        <v>0</v>
      </c>
      <c r="G228" s="236">
        <f>SUM(G219:G227)</f>
        <v>7852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'[76]Sch D'!N22</f>
        <v>30</v>
      </c>
      <c r="D231" s="502"/>
      <c r="E231" s="234">
        <f>C231+D231</f>
        <v>30</v>
      </c>
      <c r="F231" s="234"/>
      <c r="G231" s="234">
        <f>E231+F231</f>
        <v>30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'[76]Sch D'!N24</f>
        <v>8</v>
      </c>
      <c r="D232" s="502"/>
      <c r="E232" s="234">
        <f>C232+D232</f>
        <v>8</v>
      </c>
      <c r="F232" s="183"/>
      <c r="G232" s="234">
        <f>E232+F232</f>
        <v>8</v>
      </c>
      <c r="H232" s="571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'[76]Sch D'!N28</f>
        <v>10950</v>
      </c>
      <c r="D235" s="438"/>
      <c r="E235" s="233">
        <f>E231*E233</f>
        <v>10950</v>
      </c>
      <c r="F235" s="238"/>
      <c r="G235" s="233">
        <f>G231*G233</f>
        <v>10950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'[76]Sch D'!N30</f>
        <v>0.71707762557077626</v>
      </c>
      <c r="D236" s="238"/>
      <c r="E236" s="242">
        <f>E228/E235</f>
        <v>0.71707762557077626</v>
      </c>
      <c r="F236" s="243"/>
      <c r="G236" s="242">
        <f>G228/G235</f>
        <v>0.71707762557077626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'[76]Sch D'!N32</f>
        <v>0.17662100456621005</v>
      </c>
      <c r="D237" s="238"/>
      <c r="E237" s="242">
        <f>(E219+E220)/E235</f>
        <v>0.17662100456621005</v>
      </c>
      <c r="F237" s="243"/>
      <c r="G237" s="242">
        <f>(G219+G220)/G235</f>
        <v>0.17662100456621005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'[76]Sch D'!N34</f>
        <v>0.24630667345899135</v>
      </c>
      <c r="D238" s="238"/>
      <c r="E238" s="242">
        <f>(E237/E236)</f>
        <v>0.24630667345899135</v>
      </c>
      <c r="F238" s="243"/>
      <c r="G238" s="242">
        <f>(G237/G236)</f>
        <v>0.24630667345899135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'[76]Sch B'!C85</f>
        <v>210.85567010309279</v>
      </c>
      <c r="I241" s="475"/>
    </row>
    <row r="242" spans="2:9">
      <c r="B242" s="471" t="s">
        <v>403</v>
      </c>
      <c r="F242" s="142" t="s">
        <v>341</v>
      </c>
      <c r="G242" s="501">
        <f>'[76]Sch B'!E85</f>
        <v>208.97872340425531</v>
      </c>
      <c r="I242" s="475"/>
    </row>
    <row r="243" spans="2:9">
      <c r="B243" s="421" t="s">
        <v>404</v>
      </c>
      <c r="F243" s="142" t="s">
        <v>342</v>
      </c>
      <c r="G243" s="501">
        <f>'[76]Sch B'!G85</f>
        <v>223.23500000000001</v>
      </c>
      <c r="I243" s="475"/>
    </row>
    <row r="244" spans="2:9">
      <c r="B244" s="421" t="s">
        <v>476</v>
      </c>
      <c r="F244" s="142" t="s">
        <v>343</v>
      </c>
      <c r="G244" s="501">
        <f>'[76]Sch B'!I85</f>
        <v>210.5912408759124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3">
    <tabColor rgb="FFE28CAB"/>
  </sheetPr>
  <dimension ref="A1:O246"/>
  <sheetViews>
    <sheetView showGridLines="0" topLeftCell="A61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377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436" t="s">
        <v>510</v>
      </c>
      <c r="D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  <c r="F5" s="140" t="s">
        <v>526</v>
      </c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'[77]Sch B'!E10</f>
        <v>588641</v>
      </c>
      <c r="D11" s="501">
        <f>'[77]Sch B'!G10</f>
        <v>0</v>
      </c>
      <c r="E11" s="171">
        <f>C11+D11</f>
        <v>588641</v>
      </c>
      <c r="F11" s="171"/>
      <c r="G11" s="171">
        <f t="shared" ref="G11:G20" si="0">E11+F11</f>
        <v>588641</v>
      </c>
      <c r="H11" s="172">
        <f t="shared" ref="H11:H21" si="1">IF($G$21=0,0,G11/$G$21)</f>
        <v>0.12049586962952046</v>
      </c>
      <c r="I11" s="473"/>
      <c r="J11" s="336" t="s">
        <v>344</v>
      </c>
      <c r="K11" s="337">
        <f>G21</f>
        <v>4885155</v>
      </c>
    </row>
    <row r="12" spans="1:11" s="167" customFormat="1">
      <c r="A12" s="169" t="s">
        <v>15</v>
      </c>
      <c r="B12" s="170" t="s">
        <v>212</v>
      </c>
      <c r="C12" s="501">
        <f>'[77]Sch B'!E15</f>
        <v>0</v>
      </c>
      <c r="D12" s="501">
        <f>'[77]Sch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4942018</v>
      </c>
    </row>
    <row r="13" spans="1:11" s="167" customFormat="1">
      <c r="A13" s="169" t="s">
        <v>16</v>
      </c>
      <c r="B13" s="170" t="s">
        <v>170</v>
      </c>
      <c r="C13" s="501">
        <f>'[77]Sch B'!E21</f>
        <v>3429856</v>
      </c>
      <c r="D13" s="501">
        <f>'[77]Sch B'!G21</f>
        <v>0</v>
      </c>
      <c r="E13" s="171">
        <f t="shared" si="2"/>
        <v>3429856</v>
      </c>
      <c r="F13" s="171"/>
      <c r="G13" s="171">
        <f t="shared" si="0"/>
        <v>3429856</v>
      </c>
      <c r="H13" s="172">
        <f t="shared" si="1"/>
        <v>0.70209768164981456</v>
      </c>
      <c r="I13" s="473"/>
      <c r="J13" s="338" t="s">
        <v>346</v>
      </c>
      <c r="K13" s="339">
        <f>G228</f>
        <v>12087</v>
      </c>
    </row>
    <row r="14" spans="1:11" s="167" customFormat="1">
      <c r="A14" s="173" t="s">
        <v>18</v>
      </c>
      <c r="B14" s="174" t="s">
        <v>306</v>
      </c>
      <c r="C14" s="501">
        <f>'[77]Sch B'!E27</f>
        <v>399237</v>
      </c>
      <c r="D14" s="501">
        <f>'[77]Sch B'!G27</f>
        <v>0</v>
      </c>
      <c r="E14" s="171">
        <f t="shared" si="2"/>
        <v>399237</v>
      </c>
      <c r="F14" s="175"/>
      <c r="G14" s="175">
        <f>E14+F14</f>
        <v>399237</v>
      </c>
      <c r="H14" s="176">
        <f t="shared" si="1"/>
        <v>8.1724530746721438E-2</v>
      </c>
      <c r="I14" s="479"/>
      <c r="J14" s="338" t="s">
        <v>347</v>
      </c>
      <c r="K14" s="339">
        <f>G231</f>
        <v>50</v>
      </c>
    </row>
    <row r="15" spans="1:11" s="167" customFormat="1">
      <c r="A15" s="169" t="s">
        <v>19</v>
      </c>
      <c r="B15" s="170" t="s">
        <v>171</v>
      </c>
      <c r="C15" s="501">
        <f>'[77]Sch B'!E32</f>
        <v>0</v>
      </c>
      <c r="D15" s="501">
        <f>'[77]Sch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18250</v>
      </c>
    </row>
    <row r="16" spans="1:11" s="167" customFormat="1">
      <c r="A16" s="169" t="s">
        <v>21</v>
      </c>
      <c r="B16" s="170" t="s">
        <v>172</v>
      </c>
      <c r="C16" s="501">
        <f>'[77]Sch B'!E37</f>
        <v>468997</v>
      </c>
      <c r="D16" s="501">
        <f>'[77]Sch B'!G37</f>
        <v>0</v>
      </c>
      <c r="E16" s="171">
        <f t="shared" si="2"/>
        <v>468997</v>
      </c>
      <c r="F16" s="171"/>
      <c r="G16" s="171">
        <f t="shared" si="0"/>
        <v>468997</v>
      </c>
      <c r="H16" s="172">
        <f t="shared" si="1"/>
        <v>9.6004528003717379E-2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'[77]Sch B'!E42</f>
        <v>0</v>
      </c>
      <c r="D17" s="501">
        <f>'[77]Sch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127394</v>
      </c>
    </row>
    <row r="18" spans="1:11" s="167" customFormat="1" ht="13.5" thickBot="1">
      <c r="A18" s="169" t="s">
        <v>216</v>
      </c>
      <c r="B18" s="170" t="s">
        <v>229</v>
      </c>
      <c r="C18" s="501">
        <f>'[77]Sch B'!E47</f>
        <v>0</v>
      </c>
      <c r="D18" s="501">
        <f>'[77]Sch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134052</v>
      </c>
    </row>
    <row r="19" spans="1:11" s="167" customFormat="1">
      <c r="A19" s="169" t="s">
        <v>227</v>
      </c>
      <c r="B19" s="177" t="s">
        <v>173</v>
      </c>
      <c r="C19" s="501">
        <f>'[77]Sch B'!E52</f>
        <v>0</v>
      </c>
      <c r="D19" s="501">
        <f>'[77]Sch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'[77]Sch B'!E67</f>
        <v>-1576</v>
      </c>
      <c r="D20" s="501">
        <f>'[77]Sch B'!G67</f>
        <v>0</v>
      </c>
      <c r="E20" s="171">
        <f t="shared" si="2"/>
        <v>-1576</v>
      </c>
      <c r="F20" s="171"/>
      <c r="G20" s="171">
        <f t="shared" si="0"/>
        <v>-1576</v>
      </c>
      <c r="H20" s="172">
        <f t="shared" si="1"/>
        <v>-3.2261002977387616E-4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4885155</v>
      </c>
      <c r="D21" s="501">
        <f>SUM(D11:D20)</f>
        <v>0</v>
      </c>
      <c r="E21" s="171">
        <f>SUM(E11:E20)</f>
        <v>4885155</v>
      </c>
      <c r="F21" s="171">
        <f>SUM(F11:F20)</f>
        <v>0</v>
      </c>
      <c r="G21" s="171">
        <f>SUM(G11:G20)</f>
        <v>4885155</v>
      </c>
      <c r="H21" s="172">
        <f t="shared" si="1"/>
        <v>1</v>
      </c>
      <c r="I21" s="473"/>
      <c r="J21" s="168"/>
      <c r="K21" s="168"/>
    </row>
    <row r="22" spans="1:1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'[77]Sch C'!D10</f>
        <v>74959</v>
      </c>
      <c r="D25" s="501">
        <f>'[77]Sch C'!F10</f>
        <v>0</v>
      </c>
      <c r="E25" s="171">
        <f t="shared" ref="E25:E60" si="3">C25+D25</f>
        <v>74959</v>
      </c>
      <c r="F25" s="171"/>
      <c r="G25" s="182">
        <f>E25+F25</f>
        <v>74959</v>
      </c>
      <c r="H25" s="172">
        <f>IF($G$208=0,0,G25/$G$208)</f>
        <v>1.516769060735918E-2</v>
      </c>
      <c r="I25" s="473"/>
      <c r="J25" s="183">
        <v>1976</v>
      </c>
      <c r="K25" s="183">
        <v>2095</v>
      </c>
    </row>
    <row r="26" spans="1:11" s="167" customFormat="1">
      <c r="A26" s="169" t="s">
        <v>84</v>
      </c>
      <c r="B26" s="170" t="s">
        <v>176</v>
      </c>
      <c r="C26" s="501">
        <f>'[77]Sch C'!D11</f>
        <v>0</v>
      </c>
      <c r="D26" s="501">
        <f>'[77]Sch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'[77]Sch C'!D12</f>
        <v>149179</v>
      </c>
      <c r="D27" s="501">
        <f>'[77]Sch C'!F12</f>
        <v>0</v>
      </c>
      <c r="E27" s="171">
        <f t="shared" si="3"/>
        <v>149179</v>
      </c>
      <c r="F27" s="171"/>
      <c r="G27" s="171">
        <f t="shared" si="4"/>
        <v>149179</v>
      </c>
      <c r="H27" s="172">
        <f t="shared" si="5"/>
        <v>3.0185847157982833E-2</v>
      </c>
      <c r="I27" s="473"/>
      <c r="J27" s="183">
        <v>7083</v>
      </c>
      <c r="K27" s="183">
        <v>7646</v>
      </c>
    </row>
    <row r="28" spans="1:11" s="167" customFormat="1">
      <c r="A28" s="169" t="s">
        <v>86</v>
      </c>
      <c r="B28" s="170" t="s">
        <v>45</v>
      </c>
      <c r="C28" s="501">
        <f>'[77]Sch C'!D13</f>
        <v>387590</v>
      </c>
      <c r="D28" s="501">
        <f>'[77]Sch C'!F13</f>
        <v>-354485</v>
      </c>
      <c r="E28" s="171">
        <f t="shared" si="3"/>
        <v>33105</v>
      </c>
      <c r="F28" s="171"/>
      <c r="G28" s="171">
        <f t="shared" si="4"/>
        <v>33105</v>
      </c>
      <c r="H28" s="172">
        <f t="shared" si="5"/>
        <v>6.6986805794717868E-3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'[77]Sch C'!D14</f>
        <v>0</v>
      </c>
      <c r="D29" s="501">
        <f>'[77]Sch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'[77]Sch C'!D15</f>
        <v>0</v>
      </c>
      <c r="D30" s="501">
        <f>'[77]Sch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'[77]Sch C'!D16</f>
        <v>71250</v>
      </c>
      <c r="D31" s="501">
        <f>'[77]Sch C'!F16</f>
        <v>42213</v>
      </c>
      <c r="E31" s="171">
        <f t="shared" si="3"/>
        <v>113463</v>
      </c>
      <c r="F31" s="171"/>
      <c r="G31" s="171">
        <f t="shared" si="4"/>
        <v>113463</v>
      </c>
      <c r="H31" s="172">
        <f t="shared" si="5"/>
        <v>2.2958839890910961E-2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'[77]Sch C'!D17</f>
        <v>0</v>
      </c>
      <c r="D32" s="501">
        <f>'[77]Sch C'!F17</f>
        <v>0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'[77]Sch C'!D18</f>
        <v>7851</v>
      </c>
      <c r="D33" s="501">
        <f>'[77]Sch C'!F18</f>
        <v>0</v>
      </c>
      <c r="E33" s="171">
        <f t="shared" si="3"/>
        <v>7851</v>
      </c>
      <c r="F33" s="171"/>
      <c r="G33" s="171">
        <f t="shared" si="4"/>
        <v>7851</v>
      </c>
      <c r="H33" s="172">
        <f t="shared" si="5"/>
        <v>1.5886222996354931E-3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'[77]Sch C'!D19</f>
        <v>8788</v>
      </c>
      <c r="D34" s="501">
        <f>'[77]Sch C'!F19</f>
        <v>0</v>
      </c>
      <c r="E34" s="171">
        <f t="shared" si="3"/>
        <v>8788</v>
      </c>
      <c r="F34" s="171"/>
      <c r="G34" s="171">
        <f t="shared" si="4"/>
        <v>8788</v>
      </c>
      <c r="H34" s="172">
        <f t="shared" si="5"/>
        <v>1.7782209615586184E-3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'[77]Sch C'!D20</f>
        <v>29217</v>
      </c>
      <c r="D35" s="501">
        <f>'[77]Sch C'!F20</f>
        <v>0</v>
      </c>
      <c r="E35" s="171">
        <f t="shared" si="3"/>
        <v>29217</v>
      </c>
      <c r="F35" s="171"/>
      <c r="G35" s="171">
        <f t="shared" si="4"/>
        <v>29217</v>
      </c>
      <c r="H35" s="172">
        <f t="shared" si="5"/>
        <v>5.9119574230607824E-3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'[77]Sch C'!D21</f>
        <v>9416</v>
      </c>
      <c r="D36" s="501">
        <f>'[77]Sch C'!F21</f>
        <v>0</v>
      </c>
      <c r="E36" s="171">
        <f t="shared" si="3"/>
        <v>9416</v>
      </c>
      <c r="F36" s="171"/>
      <c r="G36" s="171">
        <f t="shared" si="4"/>
        <v>9416</v>
      </c>
      <c r="H36" s="172">
        <f t="shared" si="5"/>
        <v>1.9052945578101901E-3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'[77]Sch C'!D22</f>
        <v>0</v>
      </c>
      <c r="D37" s="501">
        <f>'[77]Sch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'[77]Sch C'!D23</f>
        <v>3316</v>
      </c>
      <c r="D38" s="501">
        <f>'[77]Sch C'!F23</f>
        <v>0</v>
      </c>
      <c r="E38" s="171">
        <f t="shared" si="3"/>
        <v>3316</v>
      </c>
      <c r="F38" s="171"/>
      <c r="G38" s="171">
        <f t="shared" si="4"/>
        <v>3316</v>
      </c>
      <c r="H38" s="172">
        <f t="shared" si="5"/>
        <v>6.7098096364683415E-4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'[77]Sch C'!D24</f>
        <v>28023</v>
      </c>
      <c r="D39" s="501">
        <f>'[77]Sch C'!F24</f>
        <v>0</v>
      </c>
      <c r="E39" s="171">
        <f t="shared" si="3"/>
        <v>28023</v>
      </c>
      <c r="F39" s="171"/>
      <c r="G39" s="171">
        <f t="shared" si="4"/>
        <v>28023</v>
      </c>
      <c r="H39" s="172">
        <f t="shared" si="5"/>
        <v>5.6703557129901185E-3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'[77]Sch C'!D25</f>
        <v>0</v>
      </c>
      <c r="D40" s="501">
        <f>'[77]Sch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'[77]Sch C'!D26</f>
        <v>91382</v>
      </c>
      <c r="D41" s="501">
        <f>'[77]Sch C'!F26</f>
        <v>0</v>
      </c>
      <c r="E41" s="171">
        <f t="shared" si="3"/>
        <v>91382</v>
      </c>
      <c r="F41" s="171"/>
      <c r="G41" s="171">
        <f t="shared" si="4"/>
        <v>91382</v>
      </c>
      <c r="H41" s="172">
        <f t="shared" si="5"/>
        <v>1.8490827026530456E-2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'[77]Sch C'!D27</f>
        <v>28</v>
      </c>
      <c r="D42" s="501">
        <f>'[77]Sch C'!F27</f>
        <v>0</v>
      </c>
      <c r="E42" s="171">
        <f t="shared" si="3"/>
        <v>28</v>
      </c>
      <c r="F42" s="171"/>
      <c r="G42" s="171">
        <f t="shared" si="4"/>
        <v>28</v>
      </c>
      <c r="H42" s="172">
        <f t="shared" si="5"/>
        <v>5.6657017437006503E-6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'[77]Sch C'!D28</f>
        <v>0</v>
      </c>
      <c r="D43" s="501">
        <f>'[77]Sch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'[77]Sch C'!D29</f>
        <v>-180</v>
      </c>
      <c r="D44" s="501">
        <f>'[77]Sch C'!F29</f>
        <v>180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'[77]Sch C'!D30</f>
        <v>0</v>
      </c>
      <c r="D45" s="501">
        <f>'[77]Sch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'[77]Sch C'!D31</f>
        <v>47776</v>
      </c>
      <c r="D46" s="501">
        <f>'[77]Sch C'!F31</f>
        <v>0</v>
      </c>
      <c r="E46" s="171">
        <f t="shared" si="3"/>
        <v>47776</v>
      </c>
      <c r="F46" s="171"/>
      <c r="G46" s="171">
        <f t="shared" si="4"/>
        <v>47776</v>
      </c>
      <c r="H46" s="172">
        <f t="shared" si="5"/>
        <v>9.6673059466800808E-3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'[77]Sch C'!D32</f>
        <v>0</v>
      </c>
      <c r="D47" s="501">
        <f>'[77]Sch C'!F32</f>
        <v>0</v>
      </c>
      <c r="E47" s="171">
        <f t="shared" si="3"/>
        <v>0</v>
      </c>
      <c r="F47" s="171"/>
      <c r="G47" s="171">
        <f t="shared" si="4"/>
        <v>0</v>
      </c>
      <c r="H47" s="172">
        <f t="shared" si="5"/>
        <v>0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'[77]Sch C'!D33</f>
        <v>0</v>
      </c>
      <c r="D48" s="501">
        <f>'[77]Sch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'[77]Sch C'!D34</f>
        <v>0</v>
      </c>
      <c r="D49" s="501">
        <f>'[77]Sch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'[77]Sch C'!D35</f>
        <v>0</v>
      </c>
      <c r="D50" s="501">
        <f>'[77]Sch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'[77]Sch C'!D36</f>
        <v>26023</v>
      </c>
      <c r="D51" s="501">
        <f>'[77]Sch C'!F36</f>
        <v>0</v>
      </c>
      <c r="E51" s="171">
        <f t="shared" si="3"/>
        <v>26023</v>
      </c>
      <c r="F51" s="171"/>
      <c r="G51" s="171">
        <f t="shared" si="4"/>
        <v>26023</v>
      </c>
      <c r="H51" s="172">
        <f t="shared" si="5"/>
        <v>5.2656627312972154E-3</v>
      </c>
      <c r="I51" s="473"/>
      <c r="J51" s="183">
        <v>1850</v>
      </c>
      <c r="K51" s="183">
        <v>1970</v>
      </c>
    </row>
    <row r="52" spans="1:11" s="167" customFormat="1">
      <c r="A52" s="163">
        <v>290</v>
      </c>
      <c r="B52" s="170" t="s">
        <v>205</v>
      </c>
      <c r="C52" s="501">
        <f>'[77]Sch C'!D37</f>
        <v>0</v>
      </c>
      <c r="D52" s="501">
        <f>'[77]Sch C'!F37</f>
        <v>3844</v>
      </c>
      <c r="E52" s="171">
        <f t="shared" si="3"/>
        <v>3844</v>
      </c>
      <c r="F52" s="171"/>
      <c r="G52" s="171">
        <f t="shared" si="4"/>
        <v>3844</v>
      </c>
      <c r="H52" s="172">
        <f t="shared" si="5"/>
        <v>7.7781991081376069E-4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'[77]Sch C'!D38</f>
        <v>0</v>
      </c>
      <c r="D53" s="501">
        <f>'[77]Sch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'[77]Sch C'!D39</f>
        <v>5190</v>
      </c>
      <c r="D54" s="501">
        <f>'[77]Sch C'!F39</f>
        <v>0</v>
      </c>
      <c r="E54" s="171">
        <f t="shared" si="3"/>
        <v>5190</v>
      </c>
      <c r="F54" s="171"/>
      <c r="G54" s="171">
        <f t="shared" si="4"/>
        <v>5190</v>
      </c>
      <c r="H54" s="172">
        <f t="shared" si="5"/>
        <v>1.0501782874930848E-3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'[77]Sch C'!D40</f>
        <v>1846</v>
      </c>
      <c r="D55" s="501">
        <f>'[77]Sch C'!F40</f>
        <v>0</v>
      </c>
      <c r="E55" s="171">
        <f t="shared" si="3"/>
        <v>1846</v>
      </c>
      <c r="F55" s="171"/>
      <c r="G55" s="171">
        <f t="shared" si="4"/>
        <v>1846</v>
      </c>
      <c r="H55" s="172">
        <f t="shared" si="5"/>
        <v>3.7353162210255E-4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'[77]Sch C'!D41</f>
        <v>16701</v>
      </c>
      <c r="D56" s="501">
        <f>'[77]Sch C'!F41</f>
        <v>0</v>
      </c>
      <c r="E56" s="171">
        <f t="shared" si="3"/>
        <v>16701</v>
      </c>
      <c r="F56" s="171"/>
      <c r="G56" s="171">
        <f t="shared" si="4"/>
        <v>16701</v>
      </c>
      <c r="H56" s="172">
        <f t="shared" si="5"/>
        <v>3.3793887436265914E-3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'[77]Sch C'!D42</f>
        <v>0</v>
      </c>
      <c r="D57" s="501">
        <f>'[77]Sch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'[77]Sch C'!D43</f>
        <v>5016</v>
      </c>
      <c r="D58" s="501">
        <f>'[77]Sch C'!F43</f>
        <v>0</v>
      </c>
      <c r="E58" s="171">
        <f t="shared" si="3"/>
        <v>5016</v>
      </c>
      <c r="F58" s="171"/>
      <c r="G58" s="171">
        <f t="shared" si="4"/>
        <v>5016</v>
      </c>
      <c r="H58" s="172">
        <f t="shared" si="5"/>
        <v>1.0149699980858023E-3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'[77]Sch C'!D44</f>
        <v>0</v>
      </c>
      <c r="D59" s="501">
        <f>'[77]Sch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'[77]Sch C'!D45</f>
        <v>18228</v>
      </c>
      <c r="D60" s="501">
        <f>'[77]Sch C'!F45</f>
        <v>4541</v>
      </c>
      <c r="E60" s="171">
        <f t="shared" si="3"/>
        <v>22769</v>
      </c>
      <c r="F60" s="171"/>
      <c r="G60" s="171">
        <f t="shared" si="4"/>
        <v>22769</v>
      </c>
      <c r="H60" s="172">
        <f t="shared" si="5"/>
        <v>4.6072272500828609E-3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981599</v>
      </c>
      <c r="D61" s="501">
        <f>SUM(D25:D60)</f>
        <v>-303707</v>
      </c>
      <c r="E61" s="171">
        <f t="shared" ref="E61:F61" si="6">SUM(E25:E60)</f>
        <v>677892</v>
      </c>
      <c r="F61" s="171">
        <f t="shared" si="6"/>
        <v>0</v>
      </c>
      <c r="G61" s="171">
        <f>SUM(G25:G60)</f>
        <v>677892</v>
      </c>
      <c r="H61" s="186">
        <f t="shared" si="5"/>
        <v>0.1371690673728829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'[77]Sch C'!D57</f>
        <v>0</v>
      </c>
      <c r="D64" s="501">
        <f>'[77]Sch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'[77]Sch C'!D58</f>
        <v>383832</v>
      </c>
      <c r="D65" s="501">
        <f>'[77]Sch C'!F58</f>
        <v>0</v>
      </c>
      <c r="E65" s="171">
        <f t="shared" si="7"/>
        <v>383832</v>
      </c>
      <c r="F65" s="171"/>
      <c r="G65" s="171">
        <f t="shared" si="8"/>
        <v>383832</v>
      </c>
      <c r="H65" s="172">
        <f t="shared" si="9"/>
        <v>7.766705827457529E-2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'[77]Sch C'!D59</f>
        <v>289166</v>
      </c>
      <c r="D66" s="501">
        <f>'[77]Sch C'!F59</f>
        <v>0</v>
      </c>
      <c r="E66" s="171">
        <f t="shared" si="7"/>
        <v>289166</v>
      </c>
      <c r="F66" s="171"/>
      <c r="G66" s="171">
        <f t="shared" si="8"/>
        <v>289166</v>
      </c>
      <c r="H66" s="172">
        <f t="shared" si="9"/>
        <v>5.8511725372105076E-2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'[77]Sch C'!D60</f>
        <v>51719</v>
      </c>
      <c r="D67" s="501">
        <f>'[77]Sch C'!F60</f>
        <v>0</v>
      </c>
      <c r="E67" s="171">
        <f t="shared" si="7"/>
        <v>51719</v>
      </c>
      <c r="F67" s="171"/>
      <c r="G67" s="171">
        <f t="shared" si="8"/>
        <v>51719</v>
      </c>
      <c r="H67" s="172">
        <f t="shared" si="9"/>
        <v>1.046515816008764E-2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'[77]Sch C'!D61</f>
        <v>0</v>
      </c>
      <c r="D68" s="501">
        <f>'[77]Sch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'[77]Sch C'!D62</f>
        <v>0</v>
      </c>
      <c r="D69" s="501">
        <f>'[77]Sch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'[77]Sch C'!D63</f>
        <v>0</v>
      </c>
      <c r="D70" s="501">
        <f>'[77]Sch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'[77]Sch C'!D64</f>
        <v>0</v>
      </c>
      <c r="D71" s="501">
        <f>'[77]Sch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'[77]Sch C'!D65</f>
        <v>1966</v>
      </c>
      <c r="D72" s="501">
        <f>'[77]Sch C'!F65</f>
        <v>0</v>
      </c>
      <c r="E72" s="171">
        <f t="shared" si="7"/>
        <v>1966</v>
      </c>
      <c r="F72" s="171"/>
      <c r="G72" s="171">
        <f t="shared" si="8"/>
        <v>1966</v>
      </c>
      <c r="H72" s="172">
        <f t="shared" si="9"/>
        <v>3.9781320100412421E-4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'[77]Sch C'!D66</f>
        <v>42826</v>
      </c>
      <c r="D73" s="501">
        <f>'[77]Sch C'!F66</f>
        <v>0</v>
      </c>
      <c r="E73" s="171">
        <f t="shared" si="7"/>
        <v>42826</v>
      </c>
      <c r="F73" s="171"/>
      <c r="G73" s="171">
        <f t="shared" si="8"/>
        <v>42826</v>
      </c>
      <c r="H73" s="172">
        <f t="shared" si="9"/>
        <v>8.6656908169901441E-3</v>
      </c>
      <c r="I73" s="473"/>
      <c r="J73" s="195"/>
      <c r="K73" s="168"/>
    </row>
    <row r="74" spans="1:11" s="167" customFormat="1">
      <c r="A74" s="142">
        <v>330</v>
      </c>
      <c r="B74" s="645" t="s">
        <v>263</v>
      </c>
      <c r="C74" s="501">
        <f>'[77]Sch C'!D67</f>
        <v>-6136</v>
      </c>
      <c r="D74" s="501">
        <f>'[77]Sch C'!F67</f>
        <v>0</v>
      </c>
      <c r="E74" s="171">
        <f t="shared" si="7"/>
        <v>-6136</v>
      </c>
      <c r="F74" s="171"/>
      <c r="G74" s="171">
        <f t="shared" si="8"/>
        <v>-6136</v>
      </c>
      <c r="H74" s="172">
        <f t="shared" si="9"/>
        <v>-1.2415980678338282E-3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'[77]Sch C'!D68</f>
        <v>0</v>
      </c>
      <c r="D75" s="501">
        <f>'[77]Sch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'[77]Sch C'!D69</f>
        <v>408</v>
      </c>
      <c r="D76" s="501">
        <f>'[77]Sch C'!F69</f>
        <v>0</v>
      </c>
      <c r="E76" s="171">
        <f t="shared" si="7"/>
        <v>408</v>
      </c>
      <c r="F76" s="171"/>
      <c r="G76" s="171">
        <f t="shared" si="8"/>
        <v>408</v>
      </c>
      <c r="H76" s="172">
        <f t="shared" si="9"/>
        <v>8.2557368265352338E-5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'[77]Sch C'!D70</f>
        <v>0</v>
      </c>
      <c r="D77" s="501">
        <f>'[77]Sch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'[77]Sch C'!D71</f>
        <v>0</v>
      </c>
      <c r="D78" s="501">
        <f>'[77]Sch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763781</v>
      </c>
      <c r="D79" s="501">
        <f>SUM(D64:D78)</f>
        <v>0</v>
      </c>
      <c r="E79" s="171">
        <f t="shared" ref="E79:F79" si="10">SUM(E64:E78)</f>
        <v>763781</v>
      </c>
      <c r="F79" s="171">
        <f t="shared" si="10"/>
        <v>0</v>
      </c>
      <c r="G79" s="171">
        <f>SUM(G64:G78)</f>
        <v>763781</v>
      </c>
      <c r="H79" s="172">
        <f t="shared" si="9"/>
        <v>0.1545484051251938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'[77]Sch C'!D75</f>
        <v>30110</v>
      </c>
      <c r="D82" s="501">
        <f>'[77]Sch C'!F75</f>
        <v>0</v>
      </c>
      <c r="E82" s="171">
        <f t="shared" ref="E82:E92" si="11">C82+D82</f>
        <v>30110</v>
      </c>
      <c r="F82" s="171"/>
      <c r="G82" s="171">
        <f t="shared" ref="G82:G92" si="12">E82+F82</f>
        <v>30110</v>
      </c>
      <c r="H82" s="172">
        <f t="shared" ref="H82:H93" si="13">IF($G$208=0,0,G82/$G$208)</f>
        <v>6.0926528393866631E-3</v>
      </c>
      <c r="I82" s="473"/>
      <c r="J82" s="183">
        <v>1527</v>
      </c>
      <c r="K82" s="183">
        <v>1682</v>
      </c>
    </row>
    <row r="83" spans="1:11" s="167" customFormat="1">
      <c r="A83" s="169" t="s">
        <v>86</v>
      </c>
      <c r="B83" s="199" t="s">
        <v>45</v>
      </c>
      <c r="C83" s="501">
        <f>'[77]Sch C'!D76</f>
        <v>0</v>
      </c>
      <c r="D83" s="501">
        <f>'[77]Sch C'!F76</f>
        <v>4447</v>
      </c>
      <c r="E83" s="171">
        <f t="shared" si="11"/>
        <v>4447</v>
      </c>
      <c r="F83" s="171"/>
      <c r="G83" s="171">
        <f t="shared" si="12"/>
        <v>4447</v>
      </c>
      <c r="H83" s="172">
        <f t="shared" si="13"/>
        <v>8.998348447941711E-4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'[77]Sch C'!D77</f>
        <v>28</v>
      </c>
      <c r="D84" s="501">
        <f>'[77]Sch C'!F77</f>
        <v>0</v>
      </c>
      <c r="E84" s="171">
        <f t="shared" si="11"/>
        <v>28</v>
      </c>
      <c r="F84" s="171"/>
      <c r="G84" s="171">
        <f t="shared" si="12"/>
        <v>28</v>
      </c>
      <c r="H84" s="172">
        <f t="shared" si="13"/>
        <v>5.6657017437006503E-6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'[77]Sch C'!D78</f>
        <v>0</v>
      </c>
      <c r="D85" s="501">
        <f>'[77]Sch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646" t="s">
        <v>267</v>
      </c>
      <c r="C86" s="501">
        <f>'[77]Sch C'!D79</f>
        <v>-26788</v>
      </c>
      <c r="D86" s="501">
        <f>'[77]Sch C'!F79</f>
        <v>0</v>
      </c>
      <c r="E86" s="171">
        <f t="shared" si="11"/>
        <v>-26788</v>
      </c>
      <c r="F86" s="171"/>
      <c r="G86" s="171">
        <f>E86+F86</f>
        <v>-26788</v>
      </c>
      <c r="H86" s="172">
        <f t="shared" si="13"/>
        <v>-5.4204577967947509E-3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'[77]Sch C'!D80</f>
        <v>40488</v>
      </c>
      <c r="D87" s="501">
        <f>'[77]Sch C'!F80</f>
        <v>0</v>
      </c>
      <c r="E87" s="171">
        <f t="shared" si="11"/>
        <v>40488</v>
      </c>
      <c r="F87" s="171"/>
      <c r="G87" s="171">
        <f t="shared" si="12"/>
        <v>40488</v>
      </c>
      <c r="H87" s="172">
        <f t="shared" si="13"/>
        <v>8.1926047213911404E-3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'[77]Sch C'!D81</f>
        <v>7140</v>
      </c>
      <c r="D88" s="501">
        <f>'[77]Sch C'!F81</f>
        <v>0</v>
      </c>
      <c r="E88" s="171">
        <f t="shared" si="11"/>
        <v>7140</v>
      </c>
      <c r="F88" s="171"/>
      <c r="G88" s="171">
        <f t="shared" si="12"/>
        <v>7140</v>
      </c>
      <c r="H88" s="172">
        <f t="shared" si="13"/>
        <v>1.4447539446436658E-3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'[77]Sch C'!D82</f>
        <v>816</v>
      </c>
      <c r="D89" s="501">
        <f>'[77]Sch C'!F82</f>
        <v>0</v>
      </c>
      <c r="E89" s="171">
        <f t="shared" si="11"/>
        <v>816</v>
      </c>
      <c r="F89" s="171"/>
      <c r="G89" s="171">
        <f t="shared" si="12"/>
        <v>816</v>
      </c>
      <c r="H89" s="172">
        <f t="shared" si="13"/>
        <v>1.6511473653070468E-4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'[77]Sch C'!D83</f>
        <v>8005</v>
      </c>
      <c r="D90" s="501">
        <f>'[77]Sch C'!F83</f>
        <v>0</v>
      </c>
      <c r="E90" s="171">
        <f t="shared" si="11"/>
        <v>8005</v>
      </c>
      <c r="F90" s="171"/>
      <c r="G90" s="171">
        <f t="shared" si="12"/>
        <v>8005</v>
      </c>
      <c r="H90" s="172">
        <f t="shared" si="13"/>
        <v>1.6197836592258465E-3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'[77]Sch C'!D84</f>
        <v>65390</v>
      </c>
      <c r="D91" s="501">
        <f>'[77]Sch C'!F84</f>
        <v>0</v>
      </c>
      <c r="E91" s="171">
        <f t="shared" si="11"/>
        <v>65390</v>
      </c>
      <c r="F91" s="171"/>
      <c r="G91" s="171">
        <f t="shared" si="12"/>
        <v>65390</v>
      </c>
      <c r="H91" s="172">
        <f t="shared" si="13"/>
        <v>1.3231437036449483E-2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'[77]Sch C'!D85</f>
        <v>0</v>
      </c>
      <c r="D92" s="501">
        <f>'[77]Sch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125189</v>
      </c>
      <c r="D93" s="501">
        <f>SUM(D82:D92)</f>
        <v>4447</v>
      </c>
      <c r="E93" s="171">
        <f t="shared" ref="E93:F93" si="14">SUM(E82:E92)</f>
        <v>129636</v>
      </c>
      <c r="F93" s="171">
        <f t="shared" si="14"/>
        <v>0</v>
      </c>
      <c r="G93" s="171">
        <f>SUM(G82:G92)</f>
        <v>129636</v>
      </c>
      <c r="H93" s="172">
        <f t="shared" si="13"/>
        <v>2.6231389687370623E-2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'[77]Sch C'!D89</f>
        <v>227057</v>
      </c>
      <c r="D96" s="501">
        <f>'[77]Sch C'!F89</f>
        <v>0</v>
      </c>
      <c r="E96" s="171">
        <f t="shared" ref="E96:E101" si="15">C96+D96</f>
        <v>227057</v>
      </c>
      <c r="F96" s="171"/>
      <c r="G96" s="171">
        <f t="shared" ref="G96:G101" si="16">E96+F96</f>
        <v>227057</v>
      </c>
      <c r="H96" s="172">
        <f t="shared" ref="H96:H102" si="17">IF($G$208=0,0,G96/$G$208)</f>
        <v>4.5944187172122807E-2</v>
      </c>
      <c r="I96" s="473"/>
      <c r="J96" s="183">
        <v>18119</v>
      </c>
      <c r="K96" s="183">
        <v>19002</v>
      </c>
    </row>
    <row r="97" spans="1:11" s="167" customFormat="1">
      <c r="A97" s="169" t="s">
        <v>86</v>
      </c>
      <c r="B97" s="170" t="s">
        <v>45</v>
      </c>
      <c r="C97" s="501">
        <f>'[77]Sch C'!D90</f>
        <v>0</v>
      </c>
      <c r="D97" s="501">
        <f>'[77]Sch C'!F90</f>
        <v>33537</v>
      </c>
      <c r="E97" s="171">
        <f t="shared" si="15"/>
        <v>33537</v>
      </c>
      <c r="F97" s="171"/>
      <c r="G97" s="171">
        <f t="shared" si="16"/>
        <v>33537</v>
      </c>
      <c r="H97" s="172">
        <f t="shared" si="17"/>
        <v>6.7860942635174538E-3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'[77]Sch C'!D91</f>
        <v>16754</v>
      </c>
      <c r="D98" s="501">
        <f>'[77]Sch C'!F91</f>
        <v>0</v>
      </c>
      <c r="E98" s="171">
        <f t="shared" si="15"/>
        <v>16754</v>
      </c>
      <c r="F98" s="171"/>
      <c r="G98" s="171">
        <f t="shared" si="16"/>
        <v>16754</v>
      </c>
      <c r="H98" s="172">
        <f t="shared" si="17"/>
        <v>3.3901131076414532E-3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'[77]Sch C'!D92</f>
        <v>111832</v>
      </c>
      <c r="D99" s="501">
        <f>'[77]Sch C'!F92</f>
        <v>-2965</v>
      </c>
      <c r="E99" s="171">
        <f t="shared" si="15"/>
        <v>108867</v>
      </c>
      <c r="F99" s="171"/>
      <c r="G99" s="171">
        <f t="shared" si="16"/>
        <v>108867</v>
      </c>
      <c r="H99" s="172">
        <f t="shared" si="17"/>
        <v>2.2028855418980666E-2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'[77]Sch C'!D93</f>
        <v>10329</v>
      </c>
      <c r="D100" s="501">
        <f>'[77]Sch C'!F93</f>
        <v>0</v>
      </c>
      <c r="E100" s="171">
        <f t="shared" si="15"/>
        <v>10329</v>
      </c>
      <c r="F100" s="171"/>
      <c r="G100" s="171">
        <f t="shared" si="16"/>
        <v>10329</v>
      </c>
      <c r="H100" s="172">
        <f t="shared" si="17"/>
        <v>2.0900369039530005E-3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'[77]Sch C'!D94</f>
        <v>407</v>
      </c>
      <c r="D101" s="501">
        <f>'[77]Sch C'!F94</f>
        <v>0</v>
      </c>
      <c r="E101" s="171">
        <f t="shared" si="15"/>
        <v>407</v>
      </c>
      <c r="F101" s="171"/>
      <c r="G101" s="171">
        <f t="shared" si="16"/>
        <v>407</v>
      </c>
      <c r="H101" s="172">
        <f t="shared" si="17"/>
        <v>8.2355021774505884E-5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366379</v>
      </c>
      <c r="D102" s="501">
        <f>SUM(D96:D101)</f>
        <v>30572</v>
      </c>
      <c r="E102" s="171">
        <f t="shared" ref="E102:F102" si="18">SUM(E96:E101)</f>
        <v>396951</v>
      </c>
      <c r="F102" s="171">
        <f t="shared" si="18"/>
        <v>0</v>
      </c>
      <c r="G102" s="171">
        <f>SUM(G96:G101)</f>
        <v>396951</v>
      </c>
      <c r="H102" s="172">
        <f t="shared" si="17"/>
        <v>8.0321641887989889E-2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'[77]Sch C'!D98</f>
        <v>0</v>
      </c>
      <c r="D105" s="501">
        <f>'[77]Sch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'[77]Sch C'!D99</f>
        <v>0</v>
      </c>
      <c r="D106" s="501">
        <f>'[77]Sch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'[77]Sch C'!D100</f>
        <v>-5030</v>
      </c>
      <c r="D107" s="501">
        <f>'[77]Sch C'!F100</f>
        <v>0</v>
      </c>
      <c r="E107" s="171">
        <f t="shared" si="19"/>
        <v>-5030</v>
      </c>
      <c r="F107" s="171"/>
      <c r="G107" s="171">
        <f t="shared" si="20"/>
        <v>-5030</v>
      </c>
      <c r="H107" s="172">
        <f t="shared" si="21"/>
        <v>-1.0178028489576526E-3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'[77]Sch C'!D101</f>
        <v>0</v>
      </c>
      <c r="D108" s="501">
        <f>'[77]Sch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'[77]Sch C'!D102</f>
        <v>0</v>
      </c>
      <c r="D109" s="501">
        <f>'[77]Sch C'!F102</f>
        <v>0</v>
      </c>
      <c r="E109" s="171">
        <f t="shared" si="19"/>
        <v>0</v>
      </c>
      <c r="F109" s="171"/>
      <c r="G109" s="171">
        <f t="shared" si="20"/>
        <v>0</v>
      </c>
      <c r="H109" s="172">
        <f t="shared" si="21"/>
        <v>0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'[77]Sch C'!D103</f>
        <v>0</v>
      </c>
      <c r="D110" s="501">
        <f>'[77]Sch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-5030</v>
      </c>
      <c r="D111" s="501">
        <f>SUM(D105:D110)</f>
        <v>0</v>
      </c>
      <c r="E111" s="171">
        <f t="shared" ref="E111" si="22">SUM(E105:E110)</f>
        <v>-5030</v>
      </c>
      <c r="F111" s="171">
        <f>SUM(F105:F110)</f>
        <v>0</v>
      </c>
      <c r="G111" s="171">
        <f>SUM(G105:G110)</f>
        <v>-5030</v>
      </c>
      <c r="H111" s="172">
        <f t="shared" si="21"/>
        <v>-1.0178028489576526E-3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'[77]Sch C'!D115</f>
        <v>70771</v>
      </c>
      <c r="D114" s="501">
        <f>'[77]Sch C'!F115</f>
        <v>0</v>
      </c>
      <c r="E114" s="171">
        <f t="shared" ref="E114:E118" si="23">C114+D114</f>
        <v>70771</v>
      </c>
      <c r="F114" s="171"/>
      <c r="G114" s="171">
        <f>E114+F114</f>
        <v>70771</v>
      </c>
      <c r="H114" s="172">
        <f t="shared" ref="H114:H119" si="24">IF($G$208=0,0,G114/$G$208)</f>
        <v>1.4320263503694241E-2</v>
      </c>
      <c r="I114" s="473"/>
      <c r="J114" s="183">
        <v>5870</v>
      </c>
      <c r="K114" s="183">
        <v>6611</v>
      </c>
    </row>
    <row r="115" spans="1:11" s="167" customFormat="1">
      <c r="A115" s="169" t="s">
        <v>86</v>
      </c>
      <c r="B115" s="170" t="s">
        <v>151</v>
      </c>
      <c r="C115" s="501">
        <f>'[77]Sch C'!D116</f>
        <v>0</v>
      </c>
      <c r="D115" s="501">
        <f>'[77]Sch C'!F116</f>
        <v>10453</v>
      </c>
      <c r="E115" s="171">
        <f t="shared" si="23"/>
        <v>10453</v>
      </c>
      <c r="F115" s="171"/>
      <c r="G115" s="171">
        <f>E115+F115</f>
        <v>10453</v>
      </c>
      <c r="H115" s="172">
        <f t="shared" si="24"/>
        <v>2.1151278688179608E-3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'[77]Sch C'!D117</f>
        <v>13013</v>
      </c>
      <c r="D116" s="501">
        <f>'[77]Sch C'!F117</f>
        <v>0</v>
      </c>
      <c r="E116" s="171">
        <f t="shared" si="23"/>
        <v>13013</v>
      </c>
      <c r="F116" s="171"/>
      <c r="G116" s="171">
        <f>E116+F116</f>
        <v>13013</v>
      </c>
      <c r="H116" s="172">
        <f t="shared" si="24"/>
        <v>2.633134885384877E-3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'[77]Sch C'!D118</f>
        <v>0</v>
      </c>
      <c r="D117" s="501">
        <f>'[77]Sch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'[77]Sch C'!D119</f>
        <v>7846</v>
      </c>
      <c r="D118" s="501">
        <f>'[77]Sch C'!F119</f>
        <v>0</v>
      </c>
      <c r="E118" s="171">
        <f t="shared" si="23"/>
        <v>7846</v>
      </c>
      <c r="F118" s="171"/>
      <c r="G118" s="171">
        <f>E118+F118</f>
        <v>7846</v>
      </c>
      <c r="H118" s="172">
        <f t="shared" si="24"/>
        <v>1.5876105671812609E-3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91630</v>
      </c>
      <c r="D119" s="501">
        <f>SUM(D114:D118)</f>
        <v>10453</v>
      </c>
      <c r="E119" s="171">
        <f t="shared" ref="E119" si="25">SUM(E114:E118)</f>
        <v>102083</v>
      </c>
      <c r="F119" s="171">
        <f>SUM(F114:F118)</f>
        <v>0</v>
      </c>
      <c r="G119" s="171">
        <f>SUM(G114:G118)</f>
        <v>102083</v>
      </c>
      <c r="H119" s="172">
        <f t="shared" si="24"/>
        <v>2.0656136825078338E-2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'[77]Sch C'!D124</f>
        <v>0</v>
      </c>
      <c r="D123" s="501">
        <f>'[77]Sch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'[77]Sch C'!D125</f>
        <v>75225</v>
      </c>
      <c r="D124" s="501">
        <f>'[77]Sch C'!F125</f>
        <v>0</v>
      </c>
      <c r="E124" s="171">
        <f t="shared" si="26"/>
        <v>75225</v>
      </c>
      <c r="F124" s="171"/>
      <c r="G124" s="171">
        <f>E124+F124</f>
        <v>75225</v>
      </c>
      <c r="H124" s="172">
        <f>IF($G$208=0,0,G124/$G$208)</f>
        <v>1.5221514773924336E-2</v>
      </c>
      <c r="I124" s="473"/>
      <c r="J124" s="183">
        <v>2080</v>
      </c>
      <c r="K124" s="183">
        <v>2080</v>
      </c>
    </row>
    <row r="125" spans="1:11" s="167" customFormat="1">
      <c r="A125" s="163" t="s">
        <v>198</v>
      </c>
      <c r="B125" s="163" t="s">
        <v>195</v>
      </c>
      <c r="C125" s="501">
        <f>'[77]Sch C'!D126</f>
        <v>0</v>
      </c>
      <c r="D125" s="501">
        <f>'[77]Sch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'[77]Sch C'!D127</f>
        <v>0</v>
      </c>
      <c r="D126" s="501">
        <f>'[77]Sch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'[77]Sch C'!D128</f>
        <v>208370</v>
      </c>
      <c r="D127" s="501">
        <f>'[77]Sch C'!F128</f>
        <v>0</v>
      </c>
      <c r="E127" s="171">
        <f t="shared" si="26"/>
        <v>208370</v>
      </c>
      <c r="F127" s="171"/>
      <c r="G127" s="171">
        <f>E127+F127</f>
        <v>208370</v>
      </c>
      <c r="H127" s="172">
        <f>IF($G$208=0,0,G127/$G$208)</f>
        <v>4.2162938297675159E-2</v>
      </c>
      <c r="I127" s="473"/>
      <c r="J127" s="183">
        <v>6503</v>
      </c>
      <c r="K127" s="183">
        <v>7216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'[77]Sch C'!D130</f>
        <v>0</v>
      </c>
      <c r="D129" s="501">
        <f>'[77]Sch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'[77]Sch C'!D131</f>
        <v>0</v>
      </c>
      <c r="D130" s="501">
        <f>'[77]Sch C'!F131</f>
        <v>11111</v>
      </c>
      <c r="E130" s="171">
        <f t="shared" si="27"/>
        <v>11111</v>
      </c>
      <c r="F130" s="171"/>
      <c r="G130" s="171">
        <f>E130+F130</f>
        <v>11111</v>
      </c>
      <c r="H130" s="172">
        <f>IF($G$208=0,0,G130/$G$208)</f>
        <v>2.2482718597949258E-3</v>
      </c>
      <c r="I130" s="473"/>
      <c r="J130" s="204"/>
      <c r="K130" s="204"/>
    </row>
    <row r="131" spans="1:11" s="167" customFormat="1">
      <c r="B131" s="163" t="s">
        <v>195</v>
      </c>
      <c r="C131" s="501">
        <f>'[77]Sch C'!D132</f>
        <v>0</v>
      </c>
      <c r="D131" s="501">
        <f>'[77]Sch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'[77]Sch C'!D133</f>
        <v>0</v>
      </c>
      <c r="D132" s="501">
        <f>'[77]Sch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'[77]Sch C'!D134</f>
        <v>0</v>
      </c>
      <c r="D133" s="501">
        <f>'[77]Sch C'!F134</f>
        <v>30777</v>
      </c>
      <c r="E133" s="171">
        <f t="shared" si="27"/>
        <v>30777</v>
      </c>
      <c r="F133" s="171"/>
      <c r="G133" s="171">
        <f>E133+F133</f>
        <v>30777</v>
      </c>
      <c r="H133" s="172">
        <f>IF($G$208=0,0,G133/$G$208)</f>
        <v>6.2276179487812467E-3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'[77]Sch C'!D136</f>
        <v>295264</v>
      </c>
      <c r="D135" s="501">
        <f>'[77]Sch C'!F136</f>
        <v>0</v>
      </c>
      <c r="E135" s="171">
        <f t="shared" ref="E135:E138" si="28">C135+D135</f>
        <v>295264</v>
      </c>
      <c r="F135" s="171"/>
      <c r="G135" s="171">
        <f>E135+F135</f>
        <v>295264</v>
      </c>
      <c r="H135" s="172">
        <f>IF($G$208=0,0,G135/$G$208)</f>
        <v>5.9745634273286739E-2</v>
      </c>
      <c r="I135" s="473"/>
      <c r="J135" s="183">
        <v>10007</v>
      </c>
      <c r="K135" s="183">
        <v>10318</v>
      </c>
    </row>
    <row r="136" spans="1:11" s="167" customFormat="1">
      <c r="A136" s="169"/>
      <c r="B136" s="163" t="s">
        <v>195</v>
      </c>
      <c r="C136" s="501">
        <f>'[77]Sch C'!D137</f>
        <v>303470</v>
      </c>
      <c r="D136" s="501">
        <f>'[77]Sch C'!F137</f>
        <v>0</v>
      </c>
      <c r="E136" s="171">
        <f t="shared" si="28"/>
        <v>303470</v>
      </c>
      <c r="F136" s="171"/>
      <c r="G136" s="171">
        <f>E136+F136</f>
        <v>303470</v>
      </c>
      <c r="H136" s="172">
        <f>IF($G$208=0,0,G136/$G$208)</f>
        <v>6.1406089577172723E-2</v>
      </c>
      <c r="I136" s="473"/>
      <c r="J136" s="183">
        <v>11874</v>
      </c>
      <c r="K136" s="183">
        <v>12565</v>
      </c>
    </row>
    <row r="137" spans="1:11" s="167" customFormat="1">
      <c r="A137" s="169"/>
      <c r="B137" s="163" t="s">
        <v>196</v>
      </c>
      <c r="C137" s="501">
        <f>'[77]Sch C'!D138</f>
        <v>520967</v>
      </c>
      <c r="D137" s="501">
        <f>'[77]Sch C'!F138</f>
        <v>0</v>
      </c>
      <c r="E137" s="171">
        <f t="shared" si="28"/>
        <v>520967</v>
      </c>
      <c r="F137" s="171"/>
      <c r="G137" s="171">
        <f>E137+F137</f>
        <v>520967</v>
      </c>
      <c r="H137" s="172">
        <f>IF($G$208=0,0,G137/$G$208)</f>
        <v>0.10541584429680345</v>
      </c>
      <c r="I137" s="473"/>
      <c r="J137" s="183">
        <v>39153</v>
      </c>
      <c r="K137" s="183">
        <v>40676</v>
      </c>
    </row>
    <row r="138" spans="1:11" s="167" customFormat="1">
      <c r="A138" s="169"/>
      <c r="B138" s="163" t="s">
        <v>197</v>
      </c>
      <c r="C138" s="501">
        <f>'[77]Sch C'!D139</f>
        <v>0</v>
      </c>
      <c r="D138" s="501">
        <f>'[77]Sch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'[77]Sch C'!D141</f>
        <v>0</v>
      </c>
      <c r="D140" s="501">
        <f>'[77]Sch C'!F141</f>
        <v>43611</v>
      </c>
      <c r="E140" s="171">
        <f t="shared" ref="E140:E143" si="29">C140+D140</f>
        <v>43611</v>
      </c>
      <c r="F140" s="171"/>
      <c r="G140" s="171">
        <f>E140+F140</f>
        <v>43611</v>
      </c>
      <c r="H140" s="172">
        <f>IF($G$208=0,0,G140/$G$208)</f>
        <v>8.8245328123046085E-3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'[77]Sch C'!D142</f>
        <v>0</v>
      </c>
      <c r="D141" s="501">
        <f>'[77]Sch C'!F142</f>
        <v>44823</v>
      </c>
      <c r="E141" s="171">
        <f t="shared" si="29"/>
        <v>44823</v>
      </c>
      <c r="F141" s="171"/>
      <c r="G141" s="171">
        <f>E141+F141</f>
        <v>44823</v>
      </c>
      <c r="H141" s="172">
        <f>IF($G$208=0,0,G141/$G$208)</f>
        <v>9.0697767592105086E-3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'[77]Sch C'!D143</f>
        <v>0</v>
      </c>
      <c r="D142" s="501">
        <f>'[77]Sch C'!F143</f>
        <v>76948</v>
      </c>
      <c r="E142" s="171">
        <f t="shared" si="29"/>
        <v>76948</v>
      </c>
      <c r="F142" s="171"/>
      <c r="G142" s="171">
        <f>E142+F142</f>
        <v>76948</v>
      </c>
      <c r="H142" s="172">
        <f>IF($G$208=0,0,G142/$G$208)</f>
        <v>1.5570157777652773E-2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'[77]Sch C'!D144</f>
        <v>0</v>
      </c>
      <c r="D143" s="501">
        <f>'[77]Sch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'[77]Sch C'!D146</f>
        <v>56400</v>
      </c>
      <c r="D145" s="501">
        <f>'[77]Sch C'!F146</f>
        <v>0</v>
      </c>
      <c r="E145" s="171">
        <f t="shared" ref="E145:E153" si="30">C145+D145</f>
        <v>56400</v>
      </c>
      <c r="F145" s="171"/>
      <c r="G145" s="171">
        <f t="shared" ref="G145:G153" si="31">E145+F145</f>
        <v>56400</v>
      </c>
      <c r="H145" s="172">
        <f t="shared" ref="H145:H153" si="32">IF($G$208=0,0,G145/$G$208)</f>
        <v>1.1412342083739882E-2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'[77]Sch C'!D147</f>
        <v>0</v>
      </c>
      <c r="D146" s="501">
        <f>'[77]Sch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'[77]Sch C'!D148</f>
        <v>0</v>
      </c>
      <c r="D147" s="501">
        <f>'[77]Sch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'[77]Sch C'!D149</f>
        <v>0</v>
      </c>
      <c r="D148" s="501">
        <f>'[77]Sch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'[77]Sch C'!D150</f>
        <v>7950</v>
      </c>
      <c r="D149" s="501">
        <f>'[77]Sch C'!F150</f>
        <v>0</v>
      </c>
      <c r="E149" s="171">
        <f t="shared" si="30"/>
        <v>7950</v>
      </c>
      <c r="F149" s="171"/>
      <c r="G149" s="171">
        <f t="shared" si="31"/>
        <v>7950</v>
      </c>
      <c r="H149" s="172">
        <f t="shared" si="32"/>
        <v>1.6086546022292918E-3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'[77]Sch C'!D151</f>
        <v>63478</v>
      </c>
      <c r="D150" s="501">
        <f>'[77]Sch C'!F151</f>
        <v>0</v>
      </c>
      <c r="E150" s="171">
        <f t="shared" si="30"/>
        <v>63478</v>
      </c>
      <c r="F150" s="171"/>
      <c r="G150" s="171">
        <f t="shared" si="31"/>
        <v>63478</v>
      </c>
      <c r="H150" s="172">
        <f t="shared" si="32"/>
        <v>1.2844550545951067E-2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'[77]Sch C'!D152</f>
        <v>9908</v>
      </c>
      <c r="D151" s="501">
        <f>'[77]Sch C'!F152</f>
        <v>0</v>
      </c>
      <c r="E151" s="171">
        <f t="shared" si="30"/>
        <v>9908</v>
      </c>
      <c r="F151" s="171"/>
      <c r="G151" s="171">
        <f t="shared" si="31"/>
        <v>9908</v>
      </c>
      <c r="H151" s="172">
        <f t="shared" si="32"/>
        <v>2.0048490313066443E-3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'[77]Sch C'!D153</f>
        <v>0</v>
      </c>
      <c r="D152" s="501">
        <f>'[77]Sch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'[77]Sch C'!D154</f>
        <v>0</v>
      </c>
      <c r="D153" s="501">
        <f>'[77]Sch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'[77]Sch C'!D156</f>
        <v>0</v>
      </c>
      <c r="D155" s="501">
        <f>'[77]Sch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'[77]Sch C'!D157</f>
        <v>0</v>
      </c>
      <c r="D156" s="501">
        <f>'[77]Sch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'[77]Sch C'!D158</f>
        <v>0</v>
      </c>
      <c r="D157" s="501">
        <f>'[77]Sch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'[77]Sch C'!D159</f>
        <v>0</v>
      </c>
      <c r="D158" s="501">
        <f>'[77]Sch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'[77]Sch C'!D160</f>
        <v>0</v>
      </c>
      <c r="D159" s="501">
        <f>'[77]Sch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'[77]Sch C'!D161</f>
        <v>15667</v>
      </c>
      <c r="D160" s="501">
        <f>'[77]Sch C'!F161</f>
        <v>0</v>
      </c>
      <c r="E160" s="171">
        <f t="shared" si="33"/>
        <v>15667</v>
      </c>
      <c r="F160" s="171"/>
      <c r="G160" s="171">
        <f t="shared" si="34"/>
        <v>15667</v>
      </c>
      <c r="H160" s="172">
        <f t="shared" si="35"/>
        <v>3.1701624720913602E-3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1556699</v>
      </c>
      <c r="D161" s="501">
        <f>SUM(D123:D160)</f>
        <v>207270</v>
      </c>
      <c r="E161" s="171">
        <f t="shared" ref="E161:F161" si="36">SUM(E123:E160)</f>
        <v>1763969</v>
      </c>
      <c r="F161" s="171">
        <f t="shared" si="36"/>
        <v>0</v>
      </c>
      <c r="G161" s="171">
        <f>SUM(G123:G160)</f>
        <v>1763969</v>
      </c>
      <c r="H161" s="172">
        <f t="shared" si="35"/>
        <v>0.3569329371119247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'[77]Sch C'!D175</f>
        <v>0</v>
      </c>
      <c r="D164" s="501">
        <f>'[77]Sch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'[77]Sch C'!D176</f>
        <v>0</v>
      </c>
      <c r="D165" s="501">
        <f>'[77]Sch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'[77]Sch C'!D177</f>
        <v>323217</v>
      </c>
      <c r="D166" s="501">
        <f>'[77]Sch C'!F177</f>
        <v>0</v>
      </c>
      <c r="E166" s="171">
        <f t="shared" si="37"/>
        <v>323217</v>
      </c>
      <c r="F166" s="216"/>
      <c r="G166" s="171">
        <f t="shared" si="38"/>
        <v>323217</v>
      </c>
      <c r="H166" s="172">
        <f t="shared" si="39"/>
        <v>6.5401825731917607E-2</v>
      </c>
      <c r="I166" s="483"/>
      <c r="J166" s="183">
        <v>9729</v>
      </c>
      <c r="K166" s="183">
        <v>10098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'[77]Sch C'!D178</f>
        <v>0</v>
      </c>
      <c r="D167" s="501">
        <f>'[77]Sch C'!F178</f>
        <v>47740</v>
      </c>
      <c r="E167" s="171">
        <f t="shared" si="37"/>
        <v>47740</v>
      </c>
      <c r="F167" s="216"/>
      <c r="G167" s="171">
        <f t="shared" si="38"/>
        <v>47740</v>
      </c>
      <c r="H167" s="172">
        <f t="shared" si="39"/>
        <v>9.6600214730096085E-3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'[77]Sch C'!D179</f>
        <v>19742</v>
      </c>
      <c r="D168" s="501">
        <f>'[77]Sch C'!F179</f>
        <v>0</v>
      </c>
      <c r="E168" s="171">
        <f t="shared" si="37"/>
        <v>19742</v>
      </c>
      <c r="F168" s="216"/>
      <c r="G168" s="171">
        <f t="shared" si="38"/>
        <v>19742</v>
      </c>
      <c r="H168" s="172">
        <f t="shared" si="39"/>
        <v>3.9947244222906511E-3</v>
      </c>
      <c r="I168" s="483"/>
      <c r="J168" s="183">
        <v>430</v>
      </c>
      <c r="K168" s="183">
        <v>430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'[77]Sch C'!D180</f>
        <v>0</v>
      </c>
      <c r="D169" s="501">
        <f>'[77]Sch C'!F180</f>
        <v>2916</v>
      </c>
      <c r="E169" s="171">
        <f t="shared" si="37"/>
        <v>2916</v>
      </c>
      <c r="F169" s="216"/>
      <c r="G169" s="171">
        <f t="shared" si="38"/>
        <v>2916</v>
      </c>
      <c r="H169" s="172">
        <f t="shared" si="39"/>
        <v>5.9004236730825341E-4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'[77]Sch C'!D181</f>
        <v>0</v>
      </c>
      <c r="D170" s="501">
        <f>'[77]Sch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'[77]Sch C'!D182</f>
        <v>0</v>
      </c>
      <c r="D171" s="501">
        <f>'[77]Sch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'[77]Sch C'!D183</f>
        <v>237135</v>
      </c>
      <c r="D172" s="501">
        <f>'[77]Sch C'!F183</f>
        <v>0</v>
      </c>
      <c r="E172" s="171">
        <f t="shared" si="37"/>
        <v>237135</v>
      </c>
      <c r="F172" s="216"/>
      <c r="G172" s="171">
        <f t="shared" si="38"/>
        <v>237135</v>
      </c>
      <c r="H172" s="172">
        <f t="shared" si="39"/>
        <v>4.7983435106873348E-2</v>
      </c>
      <c r="I172" s="483"/>
      <c r="J172" s="183">
        <v>7571</v>
      </c>
      <c r="K172" s="183">
        <v>7761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'[77]Sch C'!D184</f>
        <v>0</v>
      </c>
      <c r="D173" s="501">
        <f>'[77]Sch C'!F184</f>
        <v>35025</v>
      </c>
      <c r="E173" s="171">
        <f t="shared" si="37"/>
        <v>35025</v>
      </c>
      <c r="F173" s="216"/>
      <c r="G173" s="171">
        <f t="shared" si="38"/>
        <v>35025</v>
      </c>
      <c r="H173" s="172">
        <f t="shared" si="39"/>
        <v>7.0871858418969742E-3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'[77]Sch C'!D185</f>
        <v>0</v>
      </c>
      <c r="D174" s="501">
        <f>'[77]Sch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'[77]Sch C'!D186</f>
        <v>0</v>
      </c>
      <c r="D175" s="501">
        <f>'[77]Sch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'[77]Sch C'!D187</f>
        <v>0</v>
      </c>
      <c r="D176" s="501">
        <f>'[77]Sch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'[77]Sch C'!D188</f>
        <v>15906</v>
      </c>
      <c r="D177" s="501">
        <f>'[77]Sch C'!F188</f>
        <v>0</v>
      </c>
      <c r="E177" s="171">
        <f t="shared" si="37"/>
        <v>15906</v>
      </c>
      <c r="F177" s="216"/>
      <c r="G177" s="171">
        <f t="shared" si="38"/>
        <v>15906</v>
      </c>
      <c r="H177" s="172">
        <f t="shared" si="39"/>
        <v>3.2185232834036621E-3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'[77]Sch C'!D189</f>
        <v>0</v>
      </c>
      <c r="D178" s="501">
        <f>'[77]Sch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'[77]Sch C'!D190</f>
        <v>0</v>
      </c>
      <c r="D179" s="501">
        <f>'[77]Sch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'[77]Sch C'!D191</f>
        <v>63</v>
      </c>
      <c r="D180" s="501">
        <f>'[77]Sch C'!F191</f>
        <v>0</v>
      </c>
      <c r="E180" s="171">
        <f t="shared" si="37"/>
        <v>63</v>
      </c>
      <c r="F180" s="216"/>
      <c r="G180" s="171">
        <f t="shared" si="38"/>
        <v>63</v>
      </c>
      <c r="H180" s="172">
        <f t="shared" si="39"/>
        <v>1.2747828923326464E-5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'[77]Sch C'!D192</f>
        <v>0</v>
      </c>
      <c r="D181" s="501">
        <f>'[77]Sch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'[77]Sch C'!D193</f>
        <v>0</v>
      </c>
      <c r="D182" s="501">
        <f>'[77]Sch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'[77]Sch C'!D194</f>
        <v>1052</v>
      </c>
      <c r="D183" s="501">
        <f>'[77]Sch C'!F194</f>
        <v>0</v>
      </c>
      <c r="E183" s="171">
        <f t="shared" si="37"/>
        <v>1052</v>
      </c>
      <c r="F183" s="216"/>
      <c r="G183" s="171">
        <f t="shared" si="38"/>
        <v>1052</v>
      </c>
      <c r="H183" s="172">
        <f t="shared" si="39"/>
        <v>2.1286850837046729E-4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'[77]Sch C'!D195</f>
        <v>0</v>
      </c>
      <c r="D184" s="501">
        <f>'[77]Sch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'[77]Sch C'!D196</f>
        <v>0</v>
      </c>
      <c r="D185" s="501">
        <f>'[77]Sch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'[77]Sch C'!D197</f>
        <v>0</v>
      </c>
      <c r="D186" s="501">
        <f>'[77]Sch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'[77]Sch C'!D198</f>
        <v>82928</v>
      </c>
      <c r="D187" s="501">
        <f>'[77]Sch C'!F198</f>
        <v>0</v>
      </c>
      <c r="E187" s="171">
        <f t="shared" si="37"/>
        <v>82928</v>
      </c>
      <c r="F187" s="216"/>
      <c r="G187" s="171">
        <f t="shared" si="38"/>
        <v>82928</v>
      </c>
      <c r="H187" s="172">
        <f t="shared" si="39"/>
        <v>1.6780189792914554E-2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'[77]Sch C'!D199</f>
        <v>0</v>
      </c>
      <c r="D188" s="501">
        <f>'[77]Sch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'[77]Sch C'!D200</f>
        <v>895</v>
      </c>
      <c r="D189" s="501">
        <f>'[77]Sch C'!F200</f>
        <v>0</v>
      </c>
      <c r="E189" s="171">
        <f t="shared" si="37"/>
        <v>895</v>
      </c>
      <c r="F189" s="216"/>
      <c r="G189" s="171">
        <f t="shared" si="38"/>
        <v>895</v>
      </c>
      <c r="H189" s="172">
        <f t="shared" si="39"/>
        <v>1.8110010930757434E-4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'[77]Sch C'!D201</f>
        <v>0</v>
      </c>
      <c r="D190" s="501">
        <f>'[77]Sch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'[77]Sch C'!D202</f>
        <v>0</v>
      </c>
      <c r="D191" s="501">
        <f>'[77]Sch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'[77]Sch C'!D203</f>
        <v>0</v>
      </c>
      <c r="D192" s="501">
        <f>'[77]Sch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'[77]Sch C'!D204</f>
        <v>0</v>
      </c>
      <c r="D193" s="501">
        <f>'[77]Sch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'[77]Sch C'!D205</f>
        <v>243761</v>
      </c>
      <c r="D194" s="501">
        <f>'[77]Sch C'!F205</f>
        <v>0</v>
      </c>
      <c r="E194" s="171">
        <f t="shared" si="37"/>
        <v>243761</v>
      </c>
      <c r="F194" s="216"/>
      <c r="G194" s="171">
        <f t="shared" si="38"/>
        <v>243761</v>
      </c>
      <c r="H194" s="172">
        <f t="shared" si="39"/>
        <v>4.9324182955221937E-2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'[77]Sch C'!D206</f>
        <v>7970</v>
      </c>
      <c r="D195" s="501">
        <f>'[77]Sch C'!F206</f>
        <v>0</v>
      </c>
      <c r="E195" s="171">
        <f t="shared" si="37"/>
        <v>7970</v>
      </c>
      <c r="F195" s="216"/>
      <c r="G195" s="171">
        <f t="shared" si="38"/>
        <v>7970</v>
      </c>
      <c r="H195" s="172">
        <f t="shared" si="39"/>
        <v>1.6127015320462207E-3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'[77]Sch C'!D207</f>
        <v>5801</v>
      </c>
      <c r="D196" s="501">
        <f>'[77]Sch C'!F207</f>
        <v>0</v>
      </c>
      <c r="E196" s="171">
        <f t="shared" si="37"/>
        <v>5801</v>
      </c>
      <c r="F196" s="216"/>
      <c r="G196" s="171">
        <f t="shared" si="38"/>
        <v>5801</v>
      </c>
      <c r="H196" s="172">
        <f t="shared" si="39"/>
        <v>1.1738119934002669E-3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938470</v>
      </c>
      <c r="D197" s="501">
        <f>SUM(D164:D196)</f>
        <v>85681</v>
      </c>
      <c r="E197" s="171">
        <f t="shared" ref="E197" si="40">SUM(E164:E196)</f>
        <v>1024151</v>
      </c>
      <c r="F197" s="171">
        <f>SUM(F164:F196)</f>
        <v>0</v>
      </c>
      <c r="G197" s="171">
        <f>SUM(G164:G196)</f>
        <v>1024151</v>
      </c>
      <c r="H197" s="172">
        <f>IF($G$208=0,0,G197/$G$208)</f>
        <v>0.20723336094688444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'[77]Sch C'!D211</f>
        <v>62649</v>
      </c>
      <c r="D200" s="501">
        <f>'[77]Sch C'!F211</f>
        <v>0</v>
      </c>
      <c r="E200" s="171">
        <f t="shared" ref="E200:E205" si="41">C200+D200</f>
        <v>62649</v>
      </c>
      <c r="F200" s="171"/>
      <c r="G200" s="171">
        <f t="shared" ref="G200:G205" si="42">E200+F200</f>
        <v>62649</v>
      </c>
      <c r="H200" s="172">
        <f t="shared" ref="H200:H206" si="43">IF($G$208=0,0,G200/$G$208)</f>
        <v>1.2676805305039358E-2</v>
      </c>
      <c r="I200" s="473"/>
      <c r="J200" s="183">
        <v>3622</v>
      </c>
      <c r="K200" s="183">
        <v>3902</v>
      </c>
    </row>
    <row r="201" spans="1:14" s="167" customFormat="1">
      <c r="A201" s="169" t="s">
        <v>86</v>
      </c>
      <c r="B201" s="170" t="s">
        <v>45</v>
      </c>
      <c r="C201" s="501">
        <f>'[77]Sch C'!D212</f>
        <v>0</v>
      </c>
      <c r="D201" s="501">
        <f>'[77]Sch C'!F212</f>
        <v>9253</v>
      </c>
      <c r="E201" s="171">
        <f t="shared" si="41"/>
        <v>9253</v>
      </c>
      <c r="F201" s="171"/>
      <c r="G201" s="171">
        <f t="shared" si="42"/>
        <v>9253</v>
      </c>
      <c r="H201" s="172">
        <f t="shared" si="43"/>
        <v>1.8723120798022185E-3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'[77]Sch C'!D213</f>
        <v>13705</v>
      </c>
      <c r="D202" s="501">
        <f>'[77]Sch C'!F213</f>
        <v>0</v>
      </c>
      <c r="E202" s="171">
        <f t="shared" si="41"/>
        <v>13705</v>
      </c>
      <c r="F202" s="171"/>
      <c r="G202" s="171">
        <f t="shared" si="42"/>
        <v>13705</v>
      </c>
      <c r="H202" s="172">
        <f t="shared" si="43"/>
        <v>2.7731586570506218E-3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'[77]Sch C'!D214</f>
        <v>0</v>
      </c>
      <c r="D203" s="501">
        <f>'[77]Sch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'[77]Sch C'!D215</f>
        <v>0</v>
      </c>
      <c r="D204" s="501">
        <f>'[77]Sch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'[77]Sch C'!D216</f>
        <v>2978</v>
      </c>
      <c r="D205" s="501">
        <f>'[77]Sch C'!F216</f>
        <v>0</v>
      </c>
      <c r="E205" s="171">
        <f t="shared" si="41"/>
        <v>2978</v>
      </c>
      <c r="F205" s="171"/>
      <c r="G205" s="171">
        <f t="shared" si="42"/>
        <v>2978</v>
      </c>
      <c r="H205" s="172">
        <f t="shared" si="43"/>
        <v>6.0258784974073342E-4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79332</v>
      </c>
      <c r="D206" s="501">
        <f>SUM(D200:D205)</f>
        <v>9253</v>
      </c>
      <c r="E206" s="171">
        <f t="shared" ref="E206:F206" si="44">SUM(E200:E205)</f>
        <v>88585</v>
      </c>
      <c r="F206" s="171">
        <f t="shared" si="44"/>
        <v>0</v>
      </c>
      <c r="G206" s="171">
        <f>SUM(G200:G205)</f>
        <v>88585</v>
      </c>
      <c r="H206" s="172">
        <f t="shared" si="43"/>
        <v>1.7924863891632933E-2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4898049</v>
      </c>
      <c r="D208" s="501">
        <f>SUM(D25:D206)/2</f>
        <v>43969</v>
      </c>
      <c r="E208" s="171">
        <f t="shared" ref="E208:F208" si="45">SUM(E25:E206)/2</f>
        <v>4942018</v>
      </c>
      <c r="F208" s="171">
        <f t="shared" si="45"/>
        <v>0</v>
      </c>
      <c r="G208" s="171">
        <f>SUM(G25:G206)/2</f>
        <v>4942018</v>
      </c>
      <c r="H208" s="172">
        <f>IF($G$208=0,0,G208/$G$208)</f>
        <v>1</v>
      </c>
      <c r="I208" s="473"/>
      <c r="J208" s="183">
        <f>SUM(J25:J200)</f>
        <v>127394</v>
      </c>
      <c r="K208" s="183">
        <f>SUM(K25:K200)</f>
        <v>134052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'[77]Sch C'!D221</f>
        <v>4898049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-12894</v>
      </c>
      <c r="D215" s="501">
        <f>D21-D208</f>
        <v>-43969</v>
      </c>
      <c r="E215" s="171">
        <f t="shared" ref="E215:F215" si="46">E21-E208</f>
        <v>-56863</v>
      </c>
      <c r="F215" s="171">
        <f t="shared" si="46"/>
        <v>0</v>
      </c>
      <c r="G215" s="171">
        <f>G21-G208</f>
        <v>-56863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'[77]Sch D'!C9</f>
        <v>3395</v>
      </c>
      <c r="D219" s="530"/>
      <c r="E219" s="234">
        <f t="shared" ref="E219:G227" si="47">C219+D219</f>
        <v>3395</v>
      </c>
      <c r="F219" s="233"/>
      <c r="G219" s="234">
        <f t="shared" si="47"/>
        <v>3395</v>
      </c>
      <c r="H219" s="172">
        <f t="shared" ref="H219:H228" si="48">IF($G$228=0,0,G219/$G$228)</f>
        <v>0.28088028460329278</v>
      </c>
      <c r="I219" s="473"/>
      <c r="J219" s="168"/>
      <c r="K219" s="168"/>
    </row>
    <row r="220" spans="1:11">
      <c r="A220" s="163"/>
      <c r="B220" s="170" t="s">
        <v>217</v>
      </c>
      <c r="C220" s="530">
        <f>'[77]Sch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'[77]Sch D'!E9</f>
        <v>6172</v>
      </c>
      <c r="D221" s="530"/>
      <c r="E221" s="234">
        <f t="shared" si="49"/>
        <v>6172</v>
      </c>
      <c r="F221" s="233"/>
      <c r="G221" s="234">
        <f t="shared" si="47"/>
        <v>6172</v>
      </c>
      <c r="H221" s="172">
        <f t="shared" si="48"/>
        <v>0.51063125672209808</v>
      </c>
      <c r="I221" s="473"/>
      <c r="J221" s="168"/>
      <c r="K221" s="168"/>
    </row>
    <row r="222" spans="1:11">
      <c r="A222" s="163"/>
      <c r="B222" s="202" t="s">
        <v>334</v>
      </c>
      <c r="C222" s="530">
        <f>'[77]Sch D'!F9</f>
        <v>1055</v>
      </c>
      <c r="D222" s="530"/>
      <c r="E222" s="234">
        <f>C222+D222</f>
        <v>1055</v>
      </c>
      <c r="F222" s="233"/>
      <c r="G222" s="234">
        <f>E222+F222</f>
        <v>1055</v>
      </c>
      <c r="H222" s="172">
        <f t="shared" si="48"/>
        <v>8.7283858691155791E-2</v>
      </c>
      <c r="I222" s="473"/>
      <c r="J222" s="168"/>
      <c r="K222" s="168"/>
    </row>
    <row r="223" spans="1:11">
      <c r="A223" s="163"/>
      <c r="B223" s="170" t="s">
        <v>73</v>
      </c>
      <c r="C223" s="530">
        <f>'[77]Sch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'[77]Sch D'!H9</f>
        <v>1465</v>
      </c>
      <c r="D224" s="530"/>
      <c r="E224" s="234">
        <f t="shared" si="49"/>
        <v>1465</v>
      </c>
      <c r="F224" s="233"/>
      <c r="G224" s="234">
        <f t="shared" si="47"/>
        <v>1465</v>
      </c>
      <c r="H224" s="172">
        <f t="shared" si="48"/>
        <v>0.1212045999834533</v>
      </c>
      <c r="I224" s="473"/>
      <c r="J224" s="168"/>
      <c r="K224" s="168"/>
    </row>
    <row r="225" spans="1:11">
      <c r="A225" s="163"/>
      <c r="B225" s="170" t="s">
        <v>236</v>
      </c>
      <c r="C225" s="530">
        <f>'[77]Sch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'[77]Sch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'[77]Sch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12087</v>
      </c>
      <c r="D228" s="530">
        <f>SUM(D219:D227)</f>
        <v>0</v>
      </c>
      <c r="E228" s="236">
        <f>SUM(E219:E227)</f>
        <v>12087</v>
      </c>
      <c r="F228" s="236">
        <f>SUM(F219:F227)</f>
        <v>0</v>
      </c>
      <c r="G228" s="236">
        <f>SUM(G219:G227)</f>
        <v>12087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'[77]Sch D'!N22</f>
        <v>30</v>
      </c>
      <c r="D231" s="502"/>
      <c r="E231" s="234">
        <f>C231+D231</f>
        <v>30</v>
      </c>
      <c r="F231" s="234">
        <v>20</v>
      </c>
      <c r="G231" s="234">
        <f>E231+F231</f>
        <v>50</v>
      </c>
      <c r="H231" s="167" t="s">
        <v>549</v>
      </c>
      <c r="I231" s="475"/>
      <c r="J231" s="168"/>
      <c r="K231" s="168"/>
    </row>
    <row r="232" spans="1:11">
      <c r="A232" s="163"/>
      <c r="B232" s="202" t="s">
        <v>290</v>
      </c>
      <c r="C232" s="531">
        <f>'[77]Sch D'!N24</f>
        <v>8</v>
      </c>
      <c r="D232" s="502"/>
      <c r="E232" s="234">
        <f>C232+D232</f>
        <v>8</v>
      </c>
      <c r="F232" s="234">
        <v>42</v>
      </c>
      <c r="G232" s="234">
        <f>E232+F232</f>
        <v>50</v>
      </c>
      <c r="H232" s="167" t="s">
        <v>527</v>
      </c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457" t="s">
        <v>602</v>
      </c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'[77]Sch D'!N28</f>
        <v>10950</v>
      </c>
      <c r="D235" s="438"/>
      <c r="E235" s="233">
        <f>E231*E233</f>
        <v>10950</v>
      </c>
      <c r="F235" s="238"/>
      <c r="G235" s="233">
        <f>G231*G233</f>
        <v>18250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'[77]Sch D'!N30</f>
        <v>1.1038356164383563</v>
      </c>
      <c r="D236" s="238"/>
      <c r="E236" s="242">
        <f>E228/E235</f>
        <v>1.1038356164383563</v>
      </c>
      <c r="F236" s="243"/>
      <c r="G236" s="242">
        <f>G228/G235</f>
        <v>0.66230136986301369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'[77]Sch D'!N32</f>
        <v>0.31004566210045664</v>
      </c>
      <c r="D237" s="238"/>
      <c r="E237" s="242">
        <f>(E219+E220)/E235</f>
        <v>0.31004566210045664</v>
      </c>
      <c r="F237" s="243"/>
      <c r="G237" s="242">
        <f>(G219+G220)/G235</f>
        <v>0.18602739726027398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'[77]Sch D'!N34</f>
        <v>0.28088028460329278</v>
      </c>
      <c r="D238" s="238"/>
      <c r="E238" s="242">
        <f>(E237/E236)</f>
        <v>0.28088028460329278</v>
      </c>
      <c r="F238" s="243"/>
      <c r="G238" s="242">
        <f>(G237/G236)</f>
        <v>0.28088028460329278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'[77]Sch B'!C85</f>
        <v>322.01165501165502</v>
      </c>
      <c r="I241" s="475"/>
    </row>
    <row r="242" spans="2:9">
      <c r="F242" s="142" t="s">
        <v>341</v>
      </c>
      <c r="G242" s="501">
        <f>'[77]Sch B'!E85</f>
        <v>308.30418250950572</v>
      </c>
      <c r="I242" s="475"/>
    </row>
    <row r="243" spans="2:9">
      <c r="B243" s="421"/>
      <c r="F243" s="142" t="s">
        <v>342</v>
      </c>
      <c r="G243" s="501">
        <f>'[77]Sch B'!G85</f>
        <v>335.69252873563221</v>
      </c>
      <c r="I243" s="475"/>
    </row>
    <row r="244" spans="2:9" ht="16.5">
      <c r="B244" s="485"/>
      <c r="F244" s="142" t="s">
        <v>343</v>
      </c>
      <c r="G244" s="501">
        <f>'[77]Sch B'!I85</f>
        <v>312.82117647058823</v>
      </c>
      <c r="I244" s="475"/>
    </row>
    <row r="245" spans="2:9" ht="16.5">
      <c r="B245" s="485"/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selection activeCell="B7" sqref="B7"/>
      <pageMargins left="0" right="0" top="0" bottom="1" header="0.5" footer="0.5"/>
      <printOptions horizontalCentered="1"/>
      <pageSetup scale="75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16" sqref="A16"/>
      <pageMargins left="0" right="0" top="0" bottom="1" header="0.5" footer="0.5"/>
      <printOptions horizontalCentered="1"/>
      <pageSetup scale="75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" bottom="1" header="0.5" footer="0.5"/>
  <pageSetup scale="70" orientation="portrait" r:id="rId3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8">
    <tabColor rgb="FFE28CAB"/>
  </sheetPr>
  <dimension ref="A1:O247"/>
  <sheetViews>
    <sheetView showGridLines="0" topLeftCell="A171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475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74"/>
    </row>
    <row r="2" spans="1:11" ht="23">
      <c r="B2" s="143" t="s">
        <v>189</v>
      </c>
      <c r="C2" s="244" t="s">
        <v>368</v>
      </c>
      <c r="D2" s="244"/>
      <c r="E2" s="144"/>
    </row>
    <row r="3" spans="1:11">
      <c r="A3" s="145"/>
      <c r="B3" s="140" t="s">
        <v>79</v>
      </c>
      <c r="C3" s="593">
        <f>'[78]Sch A Pg 1'!B39</f>
        <v>42552</v>
      </c>
      <c r="D3" s="144"/>
      <c r="E3" s="147"/>
    </row>
    <row r="4" spans="1:11">
      <c r="A4" s="145"/>
      <c r="B4" s="148" t="s">
        <v>80</v>
      </c>
      <c r="C4" s="593">
        <f>'[78]Sch A Pg 1'!G39</f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476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'[78]Sch B'!E10</f>
        <v>3731165.41</v>
      </c>
      <c r="D11" s="501">
        <f>'[78]Sch B'!G10</f>
        <v>0</v>
      </c>
      <c r="E11" s="171">
        <f>C11+D11</f>
        <v>3731165.41</v>
      </c>
      <c r="F11" s="171"/>
      <c r="G11" s="171">
        <f t="shared" ref="G11:G20" si="0">E11+F11</f>
        <v>3731165.41</v>
      </c>
      <c r="H11" s="172">
        <f t="shared" ref="H11:H21" si="1">IF($G$21=0,0,G11/$G$21)</f>
        <v>0.46134183047003663</v>
      </c>
      <c r="I11" s="473"/>
      <c r="J11" s="336" t="s">
        <v>344</v>
      </c>
      <c r="K11" s="337">
        <f>G21</f>
        <v>8087637.330000001</v>
      </c>
    </row>
    <row r="12" spans="1:11" s="167" customFormat="1">
      <c r="A12" s="169" t="s">
        <v>15</v>
      </c>
      <c r="B12" s="170" t="s">
        <v>212</v>
      </c>
      <c r="C12" s="501">
        <f>'[78]Sch B'!E15</f>
        <v>62838.119999999995</v>
      </c>
      <c r="D12" s="501">
        <f>'[78]Sch B'!G15</f>
        <v>0</v>
      </c>
      <c r="E12" s="171">
        <f t="shared" ref="E12:E20" si="2">C12+D12</f>
        <v>62838.119999999995</v>
      </c>
      <c r="F12" s="171"/>
      <c r="G12" s="171">
        <f>E12+F12</f>
        <v>62838.119999999995</v>
      </c>
      <c r="H12" s="172">
        <f t="shared" si="1"/>
        <v>7.7696510656963379E-3</v>
      </c>
      <c r="I12" s="473"/>
      <c r="J12" s="338" t="s">
        <v>345</v>
      </c>
      <c r="K12" s="339">
        <f>G208</f>
        <v>7656247.7799999993</v>
      </c>
    </row>
    <row r="13" spans="1:11" s="167" customFormat="1">
      <c r="A13" s="169" t="s">
        <v>16</v>
      </c>
      <c r="B13" s="170" t="s">
        <v>170</v>
      </c>
      <c r="C13" s="501">
        <f>'[78]Sch B'!E21</f>
        <v>2008165.35</v>
      </c>
      <c r="D13" s="501">
        <f>'[78]Sch B'!G21</f>
        <v>0</v>
      </c>
      <c r="E13" s="171">
        <f t="shared" si="2"/>
        <v>2008165.35</v>
      </c>
      <c r="F13" s="171"/>
      <c r="G13" s="171">
        <f t="shared" si="0"/>
        <v>2008165.35</v>
      </c>
      <c r="H13" s="172">
        <f t="shared" si="1"/>
        <v>0.24830061834634712</v>
      </c>
      <c r="I13" s="473"/>
      <c r="J13" s="338" t="s">
        <v>346</v>
      </c>
      <c r="K13" s="339">
        <f>G228</f>
        <v>34434</v>
      </c>
    </row>
    <row r="14" spans="1:11" s="167" customFormat="1">
      <c r="A14" s="173" t="s">
        <v>18</v>
      </c>
      <c r="B14" s="174" t="s">
        <v>306</v>
      </c>
      <c r="C14" s="501">
        <f>'[78]Sch B'!E27</f>
        <v>688557.28999999992</v>
      </c>
      <c r="D14" s="501">
        <f>'[78]Sch B'!G27</f>
        <v>0</v>
      </c>
      <c r="E14" s="171">
        <f t="shared" si="2"/>
        <v>688557.28999999992</v>
      </c>
      <c r="F14" s="175"/>
      <c r="G14" s="175">
        <f>E14+F14</f>
        <v>688557.28999999992</v>
      </c>
      <c r="H14" s="176">
        <f t="shared" si="1"/>
        <v>8.5137013679618082E-2</v>
      </c>
      <c r="I14" s="479"/>
      <c r="J14" s="338" t="s">
        <v>347</v>
      </c>
      <c r="K14" s="339">
        <f>G231</f>
        <v>172</v>
      </c>
    </row>
    <row r="15" spans="1:11" s="167" customFormat="1">
      <c r="A15" s="169" t="s">
        <v>19</v>
      </c>
      <c r="B15" s="170" t="s">
        <v>171</v>
      </c>
      <c r="C15" s="501">
        <f>'[78]Sch B'!E32</f>
        <v>0</v>
      </c>
      <c r="D15" s="501">
        <f>'[78]Sch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62780</v>
      </c>
    </row>
    <row r="16" spans="1:11" s="167" customFormat="1">
      <c r="A16" s="169" t="s">
        <v>21</v>
      </c>
      <c r="B16" s="170" t="s">
        <v>172</v>
      </c>
      <c r="C16" s="501">
        <f>'[78]Sch B'!E37</f>
        <v>1175481.53</v>
      </c>
      <c r="D16" s="501">
        <f>'[78]Sch B'!G37</f>
        <v>0</v>
      </c>
      <c r="E16" s="171">
        <f t="shared" si="2"/>
        <v>1175481.53</v>
      </c>
      <c r="F16" s="171"/>
      <c r="G16" s="171">
        <f t="shared" si="0"/>
        <v>1175481.53</v>
      </c>
      <c r="H16" s="172">
        <f t="shared" si="1"/>
        <v>0.1453430071152807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'[78]Sch B'!E42</f>
        <v>178769.38</v>
      </c>
      <c r="D17" s="501">
        <f>'[78]Sch B'!G42</f>
        <v>0</v>
      </c>
      <c r="E17" s="171">
        <f t="shared" si="2"/>
        <v>178769.38</v>
      </c>
      <c r="F17" s="171"/>
      <c r="G17" s="171">
        <f>E17+F17</f>
        <v>178769.38</v>
      </c>
      <c r="H17" s="172">
        <f t="shared" si="1"/>
        <v>2.2104030226093235E-2</v>
      </c>
      <c r="I17" s="473"/>
      <c r="J17" s="338" t="s">
        <v>156</v>
      </c>
      <c r="K17" s="339">
        <f>J208</f>
        <v>223389.34000000003</v>
      </c>
    </row>
    <row r="18" spans="1:11" s="167" customFormat="1" ht="13.5" thickBot="1">
      <c r="A18" s="169" t="s">
        <v>216</v>
      </c>
      <c r="B18" s="170" t="s">
        <v>229</v>
      </c>
      <c r="C18" s="501">
        <f>'[78]Sch B'!E47</f>
        <v>71910.8</v>
      </c>
      <c r="D18" s="501">
        <f>'[78]Sch B'!G47</f>
        <v>0</v>
      </c>
      <c r="E18" s="171">
        <f t="shared" si="2"/>
        <v>71910.8</v>
      </c>
      <c r="F18" s="171"/>
      <c r="G18" s="171">
        <f>E18+F18</f>
        <v>71910.8</v>
      </c>
      <c r="H18" s="172">
        <f t="shared" si="1"/>
        <v>8.8914471638406167E-3</v>
      </c>
      <c r="I18" s="473"/>
      <c r="J18" s="341" t="s">
        <v>252</v>
      </c>
      <c r="K18" s="342">
        <f>K208</f>
        <v>236277.40999999997</v>
      </c>
    </row>
    <row r="19" spans="1:11" s="167" customFormat="1">
      <c r="A19" s="169" t="s">
        <v>227</v>
      </c>
      <c r="B19" s="177" t="s">
        <v>173</v>
      </c>
      <c r="C19" s="501">
        <f>'[78]Sch B'!E52</f>
        <v>0</v>
      </c>
      <c r="D19" s="501">
        <f>'[78]Sch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'[78]Sch B'!E67</f>
        <v>170749.45</v>
      </c>
      <c r="D20" s="501">
        <f>'[78]Sch B'!G67</f>
        <v>0</v>
      </c>
      <c r="E20" s="171">
        <f t="shared" si="2"/>
        <v>170749.45</v>
      </c>
      <c r="F20" s="171"/>
      <c r="G20" s="171">
        <f t="shared" si="0"/>
        <v>170749.45</v>
      </c>
      <c r="H20" s="172">
        <f t="shared" si="1"/>
        <v>2.1112401933087173E-2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8087637.330000001</v>
      </c>
      <c r="D21" s="501">
        <f>SUM(D11:D20)</f>
        <v>0</v>
      </c>
      <c r="E21" s="171">
        <f>SUM(E11:E20)</f>
        <v>8087637.330000001</v>
      </c>
      <c r="F21" s="171">
        <f>SUM(F11:F20)</f>
        <v>0</v>
      </c>
      <c r="G21" s="171">
        <f>SUM(G11:G20)</f>
        <v>8087637.330000001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</row>
    <row r="24" spans="1:11">
      <c r="A24" s="181" t="s">
        <v>161</v>
      </c>
      <c r="B24" s="148" t="s">
        <v>12</v>
      </c>
    </row>
    <row r="25" spans="1:11" s="167" customFormat="1">
      <c r="A25" s="169" t="s">
        <v>83</v>
      </c>
      <c r="B25" s="170" t="s">
        <v>14</v>
      </c>
      <c r="C25" s="501">
        <f>'[78]Sch C'!D10</f>
        <v>77727.600000000006</v>
      </c>
      <c r="D25" s="501">
        <f>'[78]Sch C'!F10</f>
        <v>0</v>
      </c>
      <c r="E25" s="171">
        <f t="shared" ref="E25:E60" si="3">C25+D25</f>
        <v>77727.600000000006</v>
      </c>
      <c r="F25" s="171"/>
      <c r="G25" s="182">
        <f>E25+F25</f>
        <v>77727.600000000006</v>
      </c>
      <c r="H25" s="172">
        <f>IF($G$208=0,0,G25/$G$208)</f>
        <v>1.0152179270248227E-2</v>
      </c>
      <c r="I25" s="473"/>
      <c r="J25" s="183">
        <v>1832.08</v>
      </c>
      <c r="K25" s="183">
        <v>2080.08</v>
      </c>
    </row>
    <row r="26" spans="1:11" s="167" customFormat="1">
      <c r="A26" s="169" t="s">
        <v>84</v>
      </c>
      <c r="B26" s="170" t="s">
        <v>176</v>
      </c>
      <c r="C26" s="501">
        <f>'[78]Sch C'!D11</f>
        <v>0</v>
      </c>
      <c r="D26" s="501">
        <f>'[78]Sch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'[78]Sch C'!D12</f>
        <v>94863.69</v>
      </c>
      <c r="D27" s="501">
        <f>'[78]Sch C'!F12</f>
        <v>0</v>
      </c>
      <c r="E27" s="171">
        <f t="shared" si="3"/>
        <v>94863.69</v>
      </c>
      <c r="F27" s="171"/>
      <c r="G27" s="171">
        <f t="shared" si="4"/>
        <v>94863.69</v>
      </c>
      <c r="H27" s="172">
        <f t="shared" si="5"/>
        <v>1.2390363102903654E-2</v>
      </c>
      <c r="I27" s="473"/>
      <c r="J27" s="183">
        <v>7269.71</v>
      </c>
      <c r="K27" s="183">
        <v>7889.31</v>
      </c>
    </row>
    <row r="28" spans="1:11" s="167" customFormat="1">
      <c r="A28" s="169" t="s">
        <v>86</v>
      </c>
      <c r="B28" s="170" t="s">
        <v>45</v>
      </c>
      <c r="C28" s="501">
        <f>'[78]Sch C'!D13</f>
        <v>262103.69</v>
      </c>
      <c r="D28" s="501">
        <f>'[78]Sch C'!F13</f>
        <v>-229417.68</v>
      </c>
      <c r="E28" s="171">
        <f t="shared" si="3"/>
        <v>32686.010000000009</v>
      </c>
      <c r="F28" s="171"/>
      <c r="G28" s="171">
        <f t="shared" si="4"/>
        <v>32686.010000000009</v>
      </c>
      <c r="H28" s="172">
        <f t="shared" si="5"/>
        <v>4.2691943807492624E-3</v>
      </c>
      <c r="I28" s="472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'[78]Sch C'!D14</f>
        <v>0</v>
      </c>
      <c r="D29" s="501">
        <f>'[78]Sch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'[78]Sch C'!D15</f>
        <v>563950.18999999994</v>
      </c>
      <c r="D30" s="501">
        <f>'[78]Sch C'!F15</f>
        <v>0</v>
      </c>
      <c r="E30" s="171">
        <f t="shared" si="3"/>
        <v>563950.18999999994</v>
      </c>
      <c r="F30" s="171"/>
      <c r="G30" s="171">
        <f t="shared" si="4"/>
        <v>563950.18999999994</v>
      </c>
      <c r="H30" s="172">
        <f t="shared" si="5"/>
        <v>7.3658821684582418E-2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'[78]Sch C'!D16</f>
        <v>0</v>
      </c>
      <c r="D31" s="501">
        <f>'[78]Sch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'[78]Sch C'!D17</f>
        <v>646</v>
      </c>
      <c r="D32" s="501">
        <f>'[78]Sch C'!F17</f>
        <v>-646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'[78]Sch C'!D18</f>
        <v>3034.38</v>
      </c>
      <c r="D33" s="501">
        <f>'[78]Sch C'!F18</f>
        <v>0</v>
      </c>
      <c r="E33" s="171">
        <f t="shared" si="3"/>
        <v>3034.38</v>
      </c>
      <c r="F33" s="171"/>
      <c r="G33" s="171">
        <f t="shared" si="4"/>
        <v>3034.38</v>
      </c>
      <c r="H33" s="172">
        <f t="shared" si="5"/>
        <v>3.9632729859220942E-4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'[78]Sch C'!D19</f>
        <v>22830.37</v>
      </c>
      <c r="D34" s="501">
        <f>'[78]Sch C'!F19</f>
        <v>0</v>
      </c>
      <c r="E34" s="171">
        <f t="shared" si="3"/>
        <v>22830.37</v>
      </c>
      <c r="F34" s="171"/>
      <c r="G34" s="171">
        <f t="shared" si="4"/>
        <v>22830.37</v>
      </c>
      <c r="H34" s="172">
        <f t="shared" si="5"/>
        <v>2.9819267421880647E-3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'[78]Sch C'!D20</f>
        <v>7239.31</v>
      </c>
      <c r="D35" s="501">
        <f>'[78]Sch C'!F20</f>
        <v>0</v>
      </c>
      <c r="E35" s="171">
        <f t="shared" si="3"/>
        <v>7239.31</v>
      </c>
      <c r="F35" s="171"/>
      <c r="G35" s="171">
        <f t="shared" si="4"/>
        <v>7239.31</v>
      </c>
      <c r="H35" s="172">
        <f t="shared" si="5"/>
        <v>9.4554280478106488E-4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'[78]Sch C'!D21</f>
        <v>0</v>
      </c>
      <c r="D36" s="501">
        <f>'[78]Sch C'!F21</f>
        <v>0</v>
      </c>
      <c r="E36" s="171">
        <f t="shared" si="3"/>
        <v>0</v>
      </c>
      <c r="F36" s="171"/>
      <c r="G36" s="171">
        <f t="shared" si="4"/>
        <v>0</v>
      </c>
      <c r="H36" s="172">
        <f t="shared" si="5"/>
        <v>0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'[78]Sch C'!D22</f>
        <v>0</v>
      </c>
      <c r="D37" s="501">
        <f>'[78]Sch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'[78]Sch C'!D23</f>
        <v>16330.36</v>
      </c>
      <c r="D38" s="501">
        <f>'[78]Sch C'!F23</f>
        <v>0</v>
      </c>
      <c r="E38" s="171">
        <f t="shared" si="3"/>
        <v>16330.36</v>
      </c>
      <c r="F38" s="171"/>
      <c r="G38" s="171">
        <f t="shared" si="4"/>
        <v>16330.36</v>
      </c>
      <c r="H38" s="172">
        <f t="shared" si="5"/>
        <v>2.1329455980590014E-3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'[78]Sch C'!D24</f>
        <v>0</v>
      </c>
      <c r="D39" s="501">
        <f>'[78]Sch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'[78]Sch C'!D25</f>
        <v>0</v>
      </c>
      <c r="D40" s="501">
        <f>'[78]Sch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'[78]Sch C'!D26</f>
        <v>528007.88</v>
      </c>
      <c r="D41" s="501">
        <f>'[78]Sch C'!F26</f>
        <v>0</v>
      </c>
      <c r="E41" s="171">
        <f t="shared" si="3"/>
        <v>528007.88</v>
      </c>
      <c r="F41" s="171"/>
      <c r="G41" s="171">
        <f t="shared" si="4"/>
        <v>528007.88</v>
      </c>
      <c r="H41" s="172">
        <f t="shared" si="5"/>
        <v>6.8964314527448597E-2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'[78]Sch C'!D27</f>
        <v>119.16</v>
      </c>
      <c r="D42" s="501">
        <f>'[78]Sch C'!F27</f>
        <v>0</v>
      </c>
      <c r="E42" s="171">
        <f t="shared" si="3"/>
        <v>119.16</v>
      </c>
      <c r="F42" s="171"/>
      <c r="G42" s="171">
        <f t="shared" si="4"/>
        <v>119.16</v>
      </c>
      <c r="H42" s="172">
        <f t="shared" si="5"/>
        <v>1.5563759614895849E-5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'[78]Sch C'!D28</f>
        <v>0</v>
      </c>
      <c r="D43" s="501">
        <f>'[78]Sch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'[78]Sch C'!D29</f>
        <v>182004.98</v>
      </c>
      <c r="D44" s="501">
        <f>'[78]Sch C'!F29</f>
        <v>-182004.98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'[78]Sch C'!D30</f>
        <v>8124.5</v>
      </c>
      <c r="D45" s="501">
        <f>'[78]Sch C'!F30</f>
        <v>-8124.5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'[78]Sch C'!D31</f>
        <v>35922.35</v>
      </c>
      <c r="D46" s="501">
        <f>'[78]Sch C'!F31</f>
        <v>0</v>
      </c>
      <c r="E46" s="171">
        <f t="shared" si="3"/>
        <v>35922.35</v>
      </c>
      <c r="F46" s="171"/>
      <c r="G46" s="171">
        <f t="shared" si="4"/>
        <v>35922.35</v>
      </c>
      <c r="H46" s="172">
        <f t="shared" si="5"/>
        <v>4.6919001359697378E-3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'[78]Sch C'!D32</f>
        <v>103569.31</v>
      </c>
      <c r="D47" s="501">
        <f>'[78]Sch C'!F32</f>
        <v>0</v>
      </c>
      <c r="E47" s="171">
        <f t="shared" si="3"/>
        <v>103569.31</v>
      </c>
      <c r="F47" s="171"/>
      <c r="G47" s="171">
        <f t="shared" si="4"/>
        <v>103569.31</v>
      </c>
      <c r="H47" s="172">
        <f t="shared" si="5"/>
        <v>1.3527424004033475E-2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'[78]Sch C'!D33</f>
        <v>0</v>
      </c>
      <c r="D48" s="501">
        <f>'[78]Sch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'[78]Sch C'!D34</f>
        <v>0</v>
      </c>
      <c r="D49" s="501">
        <f>'[78]Sch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'[78]Sch C'!D35</f>
        <v>0</v>
      </c>
      <c r="D50" s="501">
        <f>'[78]Sch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'[78]Sch C'!D36</f>
        <v>56045.37</v>
      </c>
      <c r="D51" s="501">
        <f>'[78]Sch C'!F36</f>
        <v>0</v>
      </c>
      <c r="E51" s="171">
        <f t="shared" si="3"/>
        <v>56045.37</v>
      </c>
      <c r="F51" s="171"/>
      <c r="G51" s="171">
        <f t="shared" si="4"/>
        <v>56045.37</v>
      </c>
      <c r="H51" s="172">
        <f t="shared" si="5"/>
        <v>7.3202137143999289E-3</v>
      </c>
      <c r="I51" s="473"/>
      <c r="J51" s="183">
        <v>4357.05</v>
      </c>
      <c r="K51" s="183">
        <v>4840.2</v>
      </c>
    </row>
    <row r="52" spans="1:11" s="167" customFormat="1">
      <c r="A52" s="163">
        <v>290</v>
      </c>
      <c r="B52" s="170" t="s">
        <v>205</v>
      </c>
      <c r="C52" s="501">
        <f>'[78]Sch C'!D37</f>
        <v>3848.85</v>
      </c>
      <c r="D52" s="501">
        <f>'[78]Sch C'!F37</f>
        <v>4234.6499999999996</v>
      </c>
      <c r="E52" s="171">
        <f t="shared" si="3"/>
        <v>8083.5</v>
      </c>
      <c r="F52" s="171"/>
      <c r="G52" s="171">
        <f t="shared" si="4"/>
        <v>8083.5</v>
      </c>
      <c r="H52" s="172">
        <f t="shared" si="5"/>
        <v>1.0558043877728315E-3</v>
      </c>
      <c r="I52" s="472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'[78]Sch C'!D38</f>
        <v>0</v>
      </c>
      <c r="D53" s="501">
        <f>'[78]Sch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'[78]Sch C'!D39</f>
        <v>0</v>
      </c>
      <c r="D54" s="501">
        <f>'[78]Sch C'!F39</f>
        <v>0</v>
      </c>
      <c r="E54" s="171">
        <f t="shared" si="3"/>
        <v>0</v>
      </c>
      <c r="F54" s="171"/>
      <c r="G54" s="171">
        <f t="shared" si="4"/>
        <v>0</v>
      </c>
      <c r="H54" s="172">
        <f t="shared" si="5"/>
        <v>0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'[78]Sch C'!D40</f>
        <v>1383.82</v>
      </c>
      <c r="D55" s="501">
        <f>'[78]Sch C'!F40</f>
        <v>0</v>
      </c>
      <c r="E55" s="171">
        <f t="shared" si="3"/>
        <v>1383.82</v>
      </c>
      <c r="F55" s="171"/>
      <c r="G55" s="171">
        <f t="shared" si="4"/>
        <v>1383.82</v>
      </c>
      <c r="H55" s="172">
        <f t="shared" si="5"/>
        <v>1.8074388914304443E-4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'[78]Sch C'!D41</f>
        <v>59240.83</v>
      </c>
      <c r="D56" s="501">
        <f>'[78]Sch C'!F41</f>
        <v>0</v>
      </c>
      <c r="E56" s="171">
        <f t="shared" si="3"/>
        <v>59240.83</v>
      </c>
      <c r="F56" s="171"/>
      <c r="G56" s="171">
        <f t="shared" si="4"/>
        <v>59240.83</v>
      </c>
      <c r="H56" s="172">
        <f t="shared" si="5"/>
        <v>7.7375800395007603E-3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'[78]Sch C'!D42</f>
        <v>0</v>
      </c>
      <c r="D57" s="501">
        <f>'[78]Sch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'[78]Sch C'!D43</f>
        <v>29983.94</v>
      </c>
      <c r="D58" s="501">
        <f>'[78]Sch C'!F43</f>
        <v>-29983.94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'[78]Sch C'!D44</f>
        <v>40390.65</v>
      </c>
      <c r="D59" s="501">
        <f>'[78]Sch C'!F44</f>
        <v>0</v>
      </c>
      <c r="E59" s="171">
        <f t="shared" si="3"/>
        <v>40390.65</v>
      </c>
      <c r="F59" s="171">
        <v>-40391</v>
      </c>
      <c r="G59" s="171">
        <f t="shared" si="4"/>
        <v>-0.34999999999854481</v>
      </c>
      <c r="H59" s="172">
        <f t="shared" si="5"/>
        <v>-4.5714298969376464E-8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'[78]Sch C'!D45</f>
        <v>0</v>
      </c>
      <c r="D60" s="501">
        <f>'[78]Sch C'!F45</f>
        <v>0</v>
      </c>
      <c r="E60" s="171">
        <f t="shared" si="3"/>
        <v>0</v>
      </c>
      <c r="F60" s="171"/>
      <c r="G60" s="171">
        <f t="shared" si="4"/>
        <v>0</v>
      </c>
      <c r="H60" s="172">
        <f t="shared" si="5"/>
        <v>0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2097367.2300000004</v>
      </c>
      <c r="D61" s="501">
        <f>SUM(D25:D60)</f>
        <v>-445942.45</v>
      </c>
      <c r="E61" s="171">
        <f t="shared" ref="E61:F61" si="6">SUM(E25:E60)</f>
        <v>1651424.7800000003</v>
      </c>
      <c r="F61" s="171">
        <f t="shared" si="6"/>
        <v>-40391</v>
      </c>
      <c r="G61" s="171">
        <f>SUM(G25:G60)</f>
        <v>1611033.7800000003</v>
      </c>
      <c r="H61" s="186">
        <f t="shared" si="5"/>
        <v>0.21042079962568824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'[78]Sch C'!D57</f>
        <v>0</v>
      </c>
      <c r="D64" s="501">
        <f>'[78]Sch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'[78]Sch C'!D58</f>
        <v>478333.02</v>
      </c>
      <c r="D65" s="501">
        <f>'[78]Sch C'!F58</f>
        <v>0</v>
      </c>
      <c r="E65" s="171">
        <f t="shared" si="7"/>
        <v>478333.02</v>
      </c>
      <c r="F65" s="171"/>
      <c r="G65" s="171">
        <f t="shared" si="8"/>
        <v>478333.02</v>
      </c>
      <c r="H65" s="172">
        <f t="shared" si="9"/>
        <v>6.2476167666558995E-2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'[78]Sch C'!D59</f>
        <v>0</v>
      </c>
      <c r="D66" s="501">
        <f>'[78]Sch C'!F59</f>
        <v>0</v>
      </c>
      <c r="E66" s="171">
        <f t="shared" si="7"/>
        <v>0</v>
      </c>
      <c r="F66" s="171">
        <v>171152</v>
      </c>
      <c r="G66" s="171">
        <f t="shared" si="8"/>
        <v>171152</v>
      </c>
      <c r="H66" s="172">
        <f t="shared" si="9"/>
        <v>2.2354553420683574E-2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'[78]Sch C'!D60</f>
        <v>0</v>
      </c>
      <c r="D67" s="501">
        <f>'[78]Sch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'[78]Sch C'!D61</f>
        <v>0</v>
      </c>
      <c r="D68" s="501">
        <f>'[78]Sch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'[78]Sch C'!D62</f>
        <v>0</v>
      </c>
      <c r="D69" s="501">
        <f>'[78]Sch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'[78]Sch C'!D63</f>
        <v>0</v>
      </c>
      <c r="D70" s="501">
        <f>'[78]Sch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'[78]Sch C'!D64</f>
        <v>0</v>
      </c>
      <c r="D71" s="501">
        <f>'[78]Sch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'[78]Sch C'!D65</f>
        <v>0</v>
      </c>
      <c r="D72" s="501">
        <f>'[78]Sch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'[78]Sch C'!D66</f>
        <v>613.62</v>
      </c>
      <c r="D73" s="501">
        <f>'[78]Sch C'!F66</f>
        <v>0</v>
      </c>
      <c r="E73" s="171">
        <f t="shared" si="7"/>
        <v>613.62</v>
      </c>
      <c r="F73" s="171"/>
      <c r="G73" s="171">
        <f t="shared" si="8"/>
        <v>613.62</v>
      </c>
      <c r="H73" s="172">
        <f t="shared" si="9"/>
        <v>8.0146308953444047E-5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'[78]Sch C'!D67</f>
        <v>45804.05</v>
      </c>
      <c r="D74" s="501">
        <f>'[78]Sch C'!F67</f>
        <v>0</v>
      </c>
      <c r="E74" s="171">
        <f t="shared" si="7"/>
        <v>45804.05</v>
      </c>
      <c r="F74" s="171"/>
      <c r="G74" s="171">
        <f t="shared" si="8"/>
        <v>45804.05</v>
      </c>
      <c r="H74" s="172">
        <f t="shared" si="9"/>
        <v>5.9825715306199255E-3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'[78]Sch C'!D68</f>
        <v>171151.71</v>
      </c>
      <c r="D75" s="501">
        <f>'[78]Sch C'!F68</f>
        <v>0</v>
      </c>
      <c r="E75" s="171">
        <f t="shared" si="7"/>
        <v>171151.71</v>
      </c>
      <c r="F75" s="171">
        <v>-171152</v>
      </c>
      <c r="G75" s="171">
        <f t="shared" si="8"/>
        <v>-0.29000000000814907</v>
      </c>
      <c r="H75" s="172">
        <f t="shared" si="9"/>
        <v>-3.7877562004419496E-8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'[78]Sch C'!D69</f>
        <v>0</v>
      </c>
      <c r="D76" s="501">
        <f>'[78]Sch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'[78]Sch C'!D70</f>
        <v>0</v>
      </c>
      <c r="D77" s="501">
        <f>'[78]Sch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'[78]Sch C'!D71</f>
        <v>0</v>
      </c>
      <c r="D78" s="501">
        <f>'[78]Sch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695902.4</v>
      </c>
      <c r="D79" s="501">
        <f>SUM(D64:D78)</f>
        <v>0</v>
      </c>
      <c r="E79" s="171">
        <f t="shared" ref="E79:F79" si="10">SUM(E64:E78)</f>
        <v>695902.4</v>
      </c>
      <c r="F79" s="171">
        <f t="shared" si="10"/>
        <v>0</v>
      </c>
      <c r="G79" s="171">
        <f>SUM(G64:G78)</f>
        <v>695902.4</v>
      </c>
      <c r="H79" s="172">
        <f t="shared" si="9"/>
        <v>9.0893401049253933E-2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'[78]Sch C'!D75</f>
        <v>79944.600000000006</v>
      </c>
      <c r="D82" s="501">
        <f>'[78]Sch C'!F75</f>
        <v>0</v>
      </c>
      <c r="E82" s="171">
        <f t="shared" ref="E82:E92" si="11">C82+D82</f>
        <v>79944.600000000006</v>
      </c>
      <c r="F82" s="171"/>
      <c r="G82" s="171">
        <f t="shared" ref="G82:G92" si="12">E82+F82</f>
        <v>79944.600000000006</v>
      </c>
      <c r="H82" s="172">
        <f t="shared" ref="H82:H93" si="13">IF($G$208=0,0,G82/$G$208)</f>
        <v>1.0441746701149739E-2</v>
      </c>
      <c r="I82" s="473"/>
      <c r="J82" s="183">
        <v>4359</v>
      </c>
      <c r="K82" s="183">
        <v>4658</v>
      </c>
    </row>
    <row r="83" spans="1:11" s="167" customFormat="1">
      <c r="A83" s="169" t="s">
        <v>86</v>
      </c>
      <c r="B83" s="199" t="s">
        <v>45</v>
      </c>
      <c r="C83" s="501">
        <f>'[78]Sch C'!D76</f>
        <v>9280.1299999999992</v>
      </c>
      <c r="D83" s="501">
        <f>'[78]Sch C'!F76</f>
        <v>6040.42</v>
      </c>
      <c r="E83" s="171">
        <f t="shared" si="11"/>
        <v>15320.55</v>
      </c>
      <c r="F83" s="171"/>
      <c r="G83" s="171">
        <f t="shared" si="12"/>
        <v>15320.55</v>
      </c>
      <c r="H83" s="172">
        <f t="shared" si="13"/>
        <v>2.0010520087948356E-3</v>
      </c>
      <c r="I83" s="472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'[78]Sch C'!D77</f>
        <v>3618.91</v>
      </c>
      <c r="D84" s="501">
        <f>'[78]Sch C'!F77</f>
        <v>0</v>
      </c>
      <c r="E84" s="171">
        <f t="shared" si="11"/>
        <v>3618.91</v>
      </c>
      <c r="F84" s="171"/>
      <c r="G84" s="171">
        <f t="shared" si="12"/>
        <v>3618.91</v>
      </c>
      <c r="H84" s="172">
        <f t="shared" si="13"/>
        <v>4.7267409623986858E-4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'[78]Sch C'!D78</f>
        <v>0</v>
      </c>
      <c r="D85" s="501">
        <f>'[78]Sch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'[78]Sch C'!D79</f>
        <v>102.74</v>
      </c>
      <c r="D86" s="501">
        <f>'[78]Sch C'!F79</f>
        <v>0</v>
      </c>
      <c r="E86" s="171">
        <f t="shared" si="11"/>
        <v>102.74</v>
      </c>
      <c r="F86" s="171"/>
      <c r="G86" s="171">
        <f>E86+F86</f>
        <v>102.74</v>
      </c>
      <c r="H86" s="172">
        <f t="shared" si="13"/>
        <v>1.3419105931809329E-5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'[78]Sch C'!D80</f>
        <v>23899.119999999999</v>
      </c>
      <c r="D87" s="501">
        <f>'[78]Sch C'!F80</f>
        <v>0</v>
      </c>
      <c r="E87" s="171">
        <f t="shared" si="11"/>
        <v>23899.119999999999</v>
      </c>
      <c r="F87" s="171"/>
      <c r="G87" s="171">
        <f t="shared" si="12"/>
        <v>23899.119999999999</v>
      </c>
      <c r="H87" s="172">
        <f t="shared" si="13"/>
        <v>3.1215186193987053E-3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'[78]Sch C'!D81</f>
        <v>75530.02</v>
      </c>
      <c r="D88" s="501">
        <f>'[78]Sch C'!F81</f>
        <v>0</v>
      </c>
      <c r="E88" s="171">
        <f t="shared" si="11"/>
        <v>75530.02</v>
      </c>
      <c r="F88" s="171"/>
      <c r="G88" s="171">
        <f t="shared" si="12"/>
        <v>75530.02</v>
      </c>
      <c r="H88" s="172">
        <f t="shared" si="13"/>
        <v>9.8651483298781133E-3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'[78]Sch C'!D82</f>
        <v>1944</v>
      </c>
      <c r="D89" s="501">
        <f>'[78]Sch C'!F82</f>
        <v>0</v>
      </c>
      <c r="E89" s="171">
        <f t="shared" si="11"/>
        <v>1944</v>
      </c>
      <c r="F89" s="171"/>
      <c r="G89" s="171">
        <f t="shared" si="12"/>
        <v>1944</v>
      </c>
      <c r="H89" s="172">
        <f t="shared" si="13"/>
        <v>2.5391027770524952E-4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'[78]Sch C'!D83</f>
        <v>15897.69</v>
      </c>
      <c r="D90" s="501">
        <f>'[78]Sch C'!F83</f>
        <v>0</v>
      </c>
      <c r="E90" s="171">
        <f t="shared" si="11"/>
        <v>15897.69</v>
      </c>
      <c r="F90" s="171"/>
      <c r="G90" s="171">
        <f t="shared" si="12"/>
        <v>15897.69</v>
      </c>
      <c r="H90" s="172">
        <f t="shared" si="13"/>
        <v>2.0764335816728231E-3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'[78]Sch C'!D84</f>
        <v>145343.89000000001</v>
      </c>
      <c r="D91" s="501">
        <f>'[78]Sch C'!F84</f>
        <v>0</v>
      </c>
      <c r="E91" s="171">
        <f t="shared" si="11"/>
        <v>145343.89000000001</v>
      </c>
      <c r="F91" s="171"/>
      <c r="G91" s="171">
        <f t="shared" si="12"/>
        <v>145343.89000000001</v>
      </c>
      <c r="H91" s="172">
        <f t="shared" si="13"/>
        <v>1.8983697259599405E-2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'[78]Sch C'!D85</f>
        <v>170</v>
      </c>
      <c r="D92" s="501">
        <f>'[78]Sch C'!F85</f>
        <v>0</v>
      </c>
      <c r="E92" s="171">
        <f t="shared" si="11"/>
        <v>170</v>
      </c>
      <c r="F92" s="171"/>
      <c r="G92" s="171">
        <f t="shared" si="12"/>
        <v>170</v>
      </c>
      <c r="H92" s="172">
        <f t="shared" si="13"/>
        <v>2.2204088070932315E-5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355731.10000000003</v>
      </c>
      <c r="D93" s="501">
        <f>SUM(D82:D92)</f>
        <v>6040.42</v>
      </c>
      <c r="E93" s="171">
        <f t="shared" ref="E93:F93" si="14">SUM(E82:E92)</f>
        <v>361771.52000000002</v>
      </c>
      <c r="F93" s="171">
        <f t="shared" si="14"/>
        <v>0</v>
      </c>
      <c r="G93" s="171">
        <f>SUM(G82:G92)</f>
        <v>361771.52000000002</v>
      </c>
      <c r="H93" s="172">
        <f t="shared" si="13"/>
        <v>4.7251804068441483E-2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'[78]Sch C'!D89</f>
        <v>244872.42</v>
      </c>
      <c r="D96" s="501">
        <f>'[78]Sch C'!F89</f>
        <v>0</v>
      </c>
      <c r="E96" s="171">
        <f t="shared" ref="E96:E101" si="15">C96+D96</f>
        <v>244872.42</v>
      </c>
      <c r="F96" s="171"/>
      <c r="G96" s="171">
        <f t="shared" ref="G96:G101" si="16">E96+F96</f>
        <v>244872.42</v>
      </c>
      <c r="H96" s="172">
        <f t="shared" ref="H96:H102" si="17">IF($G$208=0,0,G96/$G$208)</f>
        <v>3.1983345763660749E-2</v>
      </c>
      <c r="I96" s="473"/>
      <c r="J96" s="183">
        <v>23739.48</v>
      </c>
      <c r="K96" s="183">
        <v>24556.25</v>
      </c>
    </row>
    <row r="97" spans="1:11" s="167" customFormat="1">
      <c r="A97" s="169" t="s">
        <v>86</v>
      </c>
      <c r="B97" s="170" t="s">
        <v>45</v>
      </c>
      <c r="C97" s="501">
        <f>'[78]Sch C'!D90</f>
        <v>23383.56</v>
      </c>
      <c r="D97" s="501">
        <f>'[78]Sch C'!F90</f>
        <v>18501.98</v>
      </c>
      <c r="E97" s="171">
        <f t="shared" si="15"/>
        <v>41885.54</v>
      </c>
      <c r="F97" s="171"/>
      <c r="G97" s="171">
        <f t="shared" si="16"/>
        <v>41885.54</v>
      </c>
      <c r="H97" s="172">
        <f t="shared" si="17"/>
        <v>5.470765994462108E-3</v>
      </c>
      <c r="I97" s="472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'[78]Sch C'!D91</f>
        <v>41425</v>
      </c>
      <c r="D98" s="501">
        <f>'[78]Sch C'!F91</f>
        <v>0</v>
      </c>
      <c r="E98" s="171">
        <f t="shared" si="15"/>
        <v>41425</v>
      </c>
      <c r="F98" s="171"/>
      <c r="G98" s="171">
        <f t="shared" si="16"/>
        <v>41425</v>
      </c>
      <c r="H98" s="172">
        <f t="shared" si="17"/>
        <v>5.4106138137551239E-3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'[78]Sch C'!D92</f>
        <v>250881.55</v>
      </c>
      <c r="D99" s="501">
        <f>'[78]Sch C'!F92</f>
        <v>0</v>
      </c>
      <c r="E99" s="171">
        <f t="shared" si="15"/>
        <v>250881.55</v>
      </c>
      <c r="F99" s="171"/>
      <c r="G99" s="171">
        <f t="shared" si="16"/>
        <v>250881.55</v>
      </c>
      <c r="H99" s="172">
        <f t="shared" si="17"/>
        <v>3.2768211950423579E-2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'[78]Sch C'!D93</f>
        <v>49098.93</v>
      </c>
      <c r="D100" s="501">
        <f>'[78]Sch C'!F93</f>
        <v>0</v>
      </c>
      <c r="E100" s="171">
        <f t="shared" si="15"/>
        <v>49098.93</v>
      </c>
      <c r="F100" s="171">
        <v>312</v>
      </c>
      <c r="G100" s="171">
        <f t="shared" si="16"/>
        <v>49410.93</v>
      </c>
      <c r="H100" s="172">
        <f t="shared" si="17"/>
        <v>6.4536743610980685E-3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'[78]Sch C'!D94</f>
        <v>2996.21</v>
      </c>
      <c r="D101" s="501">
        <f>'[78]Sch C'!F94</f>
        <v>0</v>
      </c>
      <c r="E101" s="171">
        <f t="shared" si="15"/>
        <v>2996.21</v>
      </c>
      <c r="F101" s="171"/>
      <c r="G101" s="171">
        <f t="shared" si="16"/>
        <v>2996.21</v>
      </c>
      <c r="H101" s="172">
        <f t="shared" si="17"/>
        <v>3.9134182775887123E-4</v>
      </c>
      <c r="I101" s="472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612657.67000000004</v>
      </c>
      <c r="D102" s="501">
        <f>SUM(D96:D101)</f>
        <v>18501.98</v>
      </c>
      <c r="E102" s="171">
        <f t="shared" ref="E102:F102" si="18">SUM(E96:E101)</f>
        <v>631159.65</v>
      </c>
      <c r="F102" s="171">
        <f t="shared" si="18"/>
        <v>312</v>
      </c>
      <c r="G102" s="171">
        <f>SUM(G96:G101)</f>
        <v>631471.65</v>
      </c>
      <c r="H102" s="172">
        <f t="shared" si="17"/>
        <v>8.24779537111585E-2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'[78]Sch C'!D98</f>
        <v>34332.449999999997</v>
      </c>
      <c r="D105" s="501">
        <f>'[78]Sch C'!F98</f>
        <v>0</v>
      </c>
      <c r="E105" s="171">
        <f t="shared" ref="E105:E110" si="19">C105+D105</f>
        <v>34332.449999999997</v>
      </c>
      <c r="F105" s="171"/>
      <c r="G105" s="171">
        <f t="shared" ref="G105:G110" si="20">E105+F105</f>
        <v>34332.449999999997</v>
      </c>
      <c r="H105" s="172">
        <f t="shared" ref="H105:H111" si="21">IF($G$208=0,0,G105/$G$208)</f>
        <v>4.4842396675934121E-3</v>
      </c>
      <c r="I105" s="473"/>
      <c r="J105" s="183">
        <v>3762.64</v>
      </c>
      <c r="K105" s="183">
        <v>4087.18</v>
      </c>
    </row>
    <row r="106" spans="1:11" s="167" customFormat="1">
      <c r="A106" s="169" t="s">
        <v>86</v>
      </c>
      <c r="B106" s="170" t="s">
        <v>45</v>
      </c>
      <c r="C106" s="501">
        <f>'[78]Sch C'!D99</f>
        <v>2180.33</v>
      </c>
      <c r="D106" s="501">
        <f>'[78]Sch C'!F99</f>
        <v>2594.08</v>
      </c>
      <c r="E106" s="171">
        <f t="shared" si="19"/>
        <v>4774.41</v>
      </c>
      <c r="F106" s="171"/>
      <c r="G106" s="171">
        <f t="shared" si="20"/>
        <v>4774.41</v>
      </c>
      <c r="H106" s="172">
        <f t="shared" si="21"/>
        <v>6.2359658898082323E-4</v>
      </c>
      <c r="I106" s="472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'[78]Sch C'!D100</f>
        <v>7067.43</v>
      </c>
      <c r="D107" s="501">
        <f>'[78]Sch C'!F100</f>
        <v>0</v>
      </c>
      <c r="E107" s="171">
        <f t="shared" si="19"/>
        <v>7067.43</v>
      </c>
      <c r="F107" s="171"/>
      <c r="G107" s="171">
        <f t="shared" si="20"/>
        <v>7067.43</v>
      </c>
      <c r="H107" s="172">
        <f t="shared" si="21"/>
        <v>9.2309316561852458E-4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'[78]Sch C'!D101</f>
        <v>0</v>
      </c>
      <c r="D108" s="501">
        <f>'[78]Sch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'[78]Sch C'!D102</f>
        <v>0</v>
      </c>
      <c r="D109" s="501">
        <f>'[78]Sch C'!F102</f>
        <v>0</v>
      </c>
      <c r="E109" s="171">
        <f t="shared" si="19"/>
        <v>0</v>
      </c>
      <c r="F109" s="171"/>
      <c r="G109" s="171">
        <f t="shared" si="20"/>
        <v>0</v>
      </c>
      <c r="H109" s="172">
        <f t="shared" si="21"/>
        <v>0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'[78]Sch C'!D103</f>
        <v>0</v>
      </c>
      <c r="D110" s="501">
        <f>'[78]Sch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43580.21</v>
      </c>
      <c r="D111" s="501">
        <f>SUM(D105:D110)</f>
        <v>2594.08</v>
      </c>
      <c r="E111" s="171">
        <f t="shared" ref="E111:F111" si="22">SUM(E105:E110)</f>
        <v>46174.29</v>
      </c>
      <c r="F111" s="171">
        <f t="shared" si="22"/>
        <v>0</v>
      </c>
      <c r="G111" s="171">
        <f>SUM(G105:G110)</f>
        <v>46174.29</v>
      </c>
      <c r="H111" s="172">
        <f t="shared" si="21"/>
        <v>6.0309294221927608E-3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'[78]Sch C'!D115</f>
        <v>168034</v>
      </c>
      <c r="D114" s="501">
        <f>'[78]Sch C'!F115</f>
        <v>0</v>
      </c>
      <c r="E114" s="171">
        <f t="shared" ref="E114:E118" si="23">C114+D114</f>
        <v>168034</v>
      </c>
      <c r="F114" s="171"/>
      <c r="G114" s="171">
        <f>E114+F114</f>
        <v>168034</v>
      </c>
      <c r="H114" s="172">
        <f t="shared" ref="H114:H119" si="24">IF($G$208=0,0,G114/$G$208)</f>
        <v>2.1947304323006119E-2</v>
      </c>
      <c r="I114" s="473"/>
      <c r="J114" s="183">
        <v>13001.73</v>
      </c>
      <c r="K114" s="183">
        <v>14251.56</v>
      </c>
    </row>
    <row r="115" spans="1:11" s="167" customFormat="1">
      <c r="A115" s="169" t="s">
        <v>86</v>
      </c>
      <c r="B115" s="170" t="s">
        <v>151</v>
      </c>
      <c r="C115" s="501">
        <f>'[78]Sch C'!D116</f>
        <v>15889.28</v>
      </c>
      <c r="D115" s="501">
        <f>'[78]Sch C'!F116</f>
        <v>12696.25</v>
      </c>
      <c r="E115" s="171">
        <f t="shared" si="23"/>
        <v>28585.53</v>
      </c>
      <c r="F115" s="171"/>
      <c r="G115" s="171">
        <f>E115+F115</f>
        <v>28585.53</v>
      </c>
      <c r="H115" s="172">
        <f t="shared" si="24"/>
        <v>3.7336213274957518E-3</v>
      </c>
      <c r="I115" s="472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'[78]Sch C'!D117</f>
        <v>15156.29</v>
      </c>
      <c r="D116" s="501">
        <f>'[78]Sch C'!F117</f>
        <v>0</v>
      </c>
      <c r="E116" s="171">
        <f t="shared" si="23"/>
        <v>15156.29</v>
      </c>
      <c r="F116" s="171"/>
      <c r="G116" s="171">
        <f>E116+F116</f>
        <v>15156.29</v>
      </c>
      <c r="H116" s="172">
        <f t="shared" si="24"/>
        <v>1.9795976352270043E-3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'[78]Sch C'!D118</f>
        <v>0</v>
      </c>
      <c r="D117" s="501">
        <f>'[78]Sch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'[78]Sch C'!D119</f>
        <v>481.23</v>
      </c>
      <c r="D118" s="501">
        <f>'[78]Sch C'!F119</f>
        <v>0</v>
      </c>
      <c r="E118" s="171">
        <f t="shared" si="23"/>
        <v>481.23</v>
      </c>
      <c r="F118" s="171"/>
      <c r="G118" s="171">
        <f>E118+F118</f>
        <v>481.23</v>
      </c>
      <c r="H118" s="172">
        <f t="shared" si="24"/>
        <v>6.2854548837498579E-5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199560.80000000002</v>
      </c>
      <c r="D119" s="501">
        <f>SUM(D114:D118)</f>
        <v>12696.25</v>
      </c>
      <c r="E119" s="171">
        <f t="shared" ref="E119:F119" si="25">SUM(E114:E118)</f>
        <v>212257.05000000002</v>
      </c>
      <c r="F119" s="171">
        <f t="shared" si="25"/>
        <v>0</v>
      </c>
      <c r="G119" s="171">
        <f>SUM(G114:G118)</f>
        <v>212257.05000000002</v>
      </c>
      <c r="H119" s="172">
        <f t="shared" si="24"/>
        <v>2.7723377834566378E-2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'[78]Sch C'!D124</f>
        <v>0</v>
      </c>
      <c r="D123" s="501">
        <f>'[78]Sch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2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'[78]Sch C'!D125</f>
        <v>181002.97</v>
      </c>
      <c r="D124" s="501">
        <f>'[78]Sch C'!F125</f>
        <v>28089.91</v>
      </c>
      <c r="E124" s="171">
        <f t="shared" si="26"/>
        <v>209092.88</v>
      </c>
      <c r="F124" s="171"/>
      <c r="G124" s="171">
        <f>E124+F124</f>
        <v>209092.88</v>
      </c>
      <c r="H124" s="172">
        <f>IF($G$208=0,0,G124/$G$208)</f>
        <v>2.7310098367793422E-2</v>
      </c>
      <c r="I124" s="473"/>
      <c r="J124" s="183">
        <v>6679.54</v>
      </c>
      <c r="K124" s="183">
        <v>7240.91</v>
      </c>
    </row>
    <row r="125" spans="1:11" s="167" customFormat="1">
      <c r="A125" s="163" t="s">
        <v>198</v>
      </c>
      <c r="B125" s="163" t="s">
        <v>195</v>
      </c>
      <c r="C125" s="501">
        <f>'[78]Sch C'!D126</f>
        <v>0</v>
      </c>
      <c r="D125" s="501">
        <f>'[78]Sch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'[78]Sch C'!D127</f>
        <v>29966.799999999999</v>
      </c>
      <c r="D126" s="501">
        <f>'[78]Sch C'!F127</f>
        <v>0</v>
      </c>
      <c r="E126" s="171">
        <f t="shared" si="26"/>
        <v>29966.799999999999</v>
      </c>
      <c r="F126" s="171"/>
      <c r="G126" s="171">
        <f>E126+F126</f>
        <v>29966.799999999999</v>
      </c>
      <c r="H126" s="172">
        <f>IF($G$208=0,0,G126/$G$208)</f>
        <v>3.9140321553177322E-3</v>
      </c>
      <c r="I126" s="473"/>
      <c r="J126" s="183">
        <v>1694.82</v>
      </c>
      <c r="K126" s="183">
        <v>1922.4</v>
      </c>
    </row>
    <row r="127" spans="1:11" s="167" customFormat="1">
      <c r="A127" s="169"/>
      <c r="B127" s="163" t="s">
        <v>197</v>
      </c>
      <c r="C127" s="501">
        <f>'[78]Sch C'!D128</f>
        <v>58459.25</v>
      </c>
      <c r="D127" s="501">
        <f>'[78]Sch C'!F128</f>
        <v>-28089.91</v>
      </c>
      <c r="E127" s="171">
        <f t="shared" si="26"/>
        <v>30369.34</v>
      </c>
      <c r="F127" s="171"/>
      <c r="G127" s="171">
        <f>E127+F127</f>
        <v>30369.34</v>
      </c>
      <c r="H127" s="172">
        <f>IF($G$208=0,0,G127/$G$208)</f>
        <v>3.9666088236240448E-3</v>
      </c>
      <c r="I127" s="473"/>
      <c r="J127" s="183">
        <v>1981.78</v>
      </c>
      <c r="K127" s="183">
        <v>2082.25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'[78]Sch C'!D130</f>
        <v>0</v>
      </c>
      <c r="D129" s="501">
        <f>'[78]Sch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'[78]Sch C'!D131</f>
        <v>27520.17</v>
      </c>
      <c r="D130" s="501">
        <f>'[78]Sch C'!F131</f>
        <v>9635.67</v>
      </c>
      <c r="E130" s="171">
        <f t="shared" si="27"/>
        <v>37155.839999999997</v>
      </c>
      <c r="F130" s="171"/>
      <c r="G130" s="171">
        <f>E130+F130</f>
        <v>37155.839999999997</v>
      </c>
      <c r="H130" s="172">
        <f>IF($G$208=0,0,G130/$G$208)</f>
        <v>4.8530090806439387E-3</v>
      </c>
      <c r="I130" s="472"/>
      <c r="J130" s="204"/>
      <c r="K130" s="204"/>
    </row>
    <row r="131" spans="1:11" s="167" customFormat="1">
      <c r="B131" s="163" t="s">
        <v>195</v>
      </c>
      <c r="C131" s="501">
        <f>'[78]Sch C'!D132</f>
        <v>0</v>
      </c>
      <c r="D131" s="501">
        <f>'[78]Sch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'[78]Sch C'!D133</f>
        <v>0</v>
      </c>
      <c r="D132" s="501">
        <f>'[78]Sch C'!F133</f>
        <v>5325.11</v>
      </c>
      <c r="E132" s="171">
        <f t="shared" si="27"/>
        <v>5325.11</v>
      </c>
      <c r="F132" s="171"/>
      <c r="G132" s="171">
        <f>E132+F132</f>
        <v>5325.11</v>
      </c>
      <c r="H132" s="172">
        <f>IF($G$208=0,0,G132/$G$208)</f>
        <v>6.9552477310236684E-4</v>
      </c>
      <c r="I132" s="473"/>
      <c r="J132" s="168"/>
      <c r="K132" s="168"/>
    </row>
    <row r="133" spans="1:11" s="167" customFormat="1">
      <c r="B133" s="163" t="s">
        <v>197</v>
      </c>
      <c r="C133" s="501">
        <f>'[78]Sch C'!D134</f>
        <v>0</v>
      </c>
      <c r="D133" s="501">
        <f>'[78]Sch C'!F134</f>
        <v>5396.64</v>
      </c>
      <c r="E133" s="171">
        <f t="shared" si="27"/>
        <v>5396.64</v>
      </c>
      <c r="F133" s="171"/>
      <c r="G133" s="171">
        <f>E133+F133</f>
        <v>5396.64</v>
      </c>
      <c r="H133" s="172">
        <f>IF($G$208=0,0,G133/$G$208)</f>
        <v>7.048674696889187E-4</v>
      </c>
      <c r="I133" s="472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'[78]Sch C'!D136</f>
        <v>522795.58</v>
      </c>
      <c r="D135" s="501">
        <f>'[78]Sch C'!F136</f>
        <v>0</v>
      </c>
      <c r="E135" s="171">
        <f t="shared" ref="E135:E138" si="28">C135+D135</f>
        <v>522795.58</v>
      </c>
      <c r="F135" s="171"/>
      <c r="G135" s="171">
        <f>E135+F135</f>
        <v>522795.58</v>
      </c>
      <c r="H135" s="172">
        <f>IF($G$208=0,0,G135/$G$208)</f>
        <v>6.8283524125965528E-2</v>
      </c>
      <c r="I135" s="472"/>
      <c r="J135" s="183">
        <v>24055.22</v>
      </c>
      <c r="K135" s="183">
        <v>25901.93</v>
      </c>
    </row>
    <row r="136" spans="1:11" s="167" customFormat="1">
      <c r="A136" s="169"/>
      <c r="B136" s="163" t="s">
        <v>195</v>
      </c>
      <c r="C136" s="501">
        <f>'[78]Sch C'!D137</f>
        <v>467328.1</v>
      </c>
      <c r="D136" s="501">
        <f>'[78]Sch C'!F137</f>
        <v>0</v>
      </c>
      <c r="E136" s="171">
        <f t="shared" si="28"/>
        <v>467328.1</v>
      </c>
      <c r="F136" s="171"/>
      <c r="G136" s="171">
        <f>E136+F136</f>
        <v>467328.1</v>
      </c>
      <c r="H136" s="172">
        <f>IF($G$208=0,0,G136/$G$208)</f>
        <v>6.1038789943655664E-2</v>
      </c>
      <c r="I136" s="472"/>
      <c r="J136" s="183">
        <v>22629.69</v>
      </c>
      <c r="K136" s="183">
        <v>24314.51</v>
      </c>
    </row>
    <row r="137" spans="1:11" s="167" customFormat="1">
      <c r="A137" s="169"/>
      <c r="B137" s="163" t="s">
        <v>196</v>
      </c>
      <c r="C137" s="501">
        <f>'[78]Sch C'!D138</f>
        <v>1044982.35</v>
      </c>
      <c r="D137" s="501">
        <f>'[78]Sch C'!F138</f>
        <v>0</v>
      </c>
      <c r="E137" s="171">
        <f t="shared" si="28"/>
        <v>1044982.35</v>
      </c>
      <c r="F137" s="171"/>
      <c r="G137" s="171">
        <f>E137+F137</f>
        <v>1044982.35</v>
      </c>
      <c r="H137" s="172">
        <f>IF($G$208=0,0,G137/$G$208)</f>
        <v>0.13648753018805773</v>
      </c>
      <c r="I137" s="472"/>
      <c r="J137" s="183">
        <v>95358.66</v>
      </c>
      <c r="K137" s="183">
        <v>98709.14</v>
      </c>
    </row>
    <row r="138" spans="1:11" s="167" customFormat="1">
      <c r="A138" s="169"/>
      <c r="B138" s="163" t="s">
        <v>197</v>
      </c>
      <c r="C138" s="501">
        <f>'[78]Sch C'!D139</f>
        <v>0</v>
      </c>
      <c r="D138" s="501">
        <f>'[78]Sch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2"/>
      <c r="J139" s="372"/>
      <c r="K139" s="372"/>
    </row>
    <row r="140" spans="1:11" s="167" customFormat="1">
      <c r="A140" s="169"/>
      <c r="B140" s="163" t="s">
        <v>194</v>
      </c>
      <c r="C140" s="501">
        <f>'[78]Sch C'!D141</f>
        <v>179864.71</v>
      </c>
      <c r="D140" s="501">
        <f>'[78]Sch C'!F141</f>
        <v>-94158.32</v>
      </c>
      <c r="E140" s="171">
        <f t="shared" ref="E140:E143" si="29">C140+D140</f>
        <v>85706.389999999985</v>
      </c>
      <c r="F140" s="171"/>
      <c r="G140" s="171">
        <f>E140+F140</f>
        <v>85706.389999999985</v>
      </c>
      <c r="H140" s="172">
        <f>IF($G$208=0,0,G140/$G$208)</f>
        <v>1.1194307245892189E-2</v>
      </c>
      <c r="I140" s="472"/>
      <c r="J140" s="168"/>
      <c r="K140" s="168"/>
    </row>
    <row r="141" spans="1:11" s="167" customFormat="1">
      <c r="A141" s="169"/>
      <c r="B141" s="163" t="s">
        <v>195</v>
      </c>
      <c r="C141" s="501">
        <f>'[78]Sch C'!D142</f>
        <v>0</v>
      </c>
      <c r="D141" s="501">
        <f>'[78]Sch C'!F142</f>
        <v>76613.13</v>
      </c>
      <c r="E141" s="171">
        <f t="shared" si="29"/>
        <v>76613.13</v>
      </c>
      <c r="F141" s="171"/>
      <c r="G141" s="171">
        <f>E141+F141</f>
        <v>76613.13</v>
      </c>
      <c r="H141" s="172">
        <f>IF($G$208=0,0,G141/$G$208)</f>
        <v>1.0006615799469334E-2</v>
      </c>
      <c r="I141" s="472"/>
      <c r="J141" s="168"/>
      <c r="K141" s="168"/>
    </row>
    <row r="142" spans="1:11" s="167" customFormat="1">
      <c r="A142" s="169"/>
      <c r="B142" s="163" t="s">
        <v>196</v>
      </c>
      <c r="C142" s="501">
        <f>'[78]Sch C'!D143</f>
        <v>0</v>
      </c>
      <c r="D142" s="501">
        <f>'[78]Sch C'!F143</f>
        <v>171312.97</v>
      </c>
      <c r="E142" s="171">
        <f t="shared" si="29"/>
        <v>171312.97</v>
      </c>
      <c r="F142" s="171"/>
      <c r="G142" s="171">
        <f>E142+F142</f>
        <v>171312.97</v>
      </c>
      <c r="H142" s="172">
        <f>IF($G$208=0,0,G142/$G$208)</f>
        <v>2.2375578079841092E-2</v>
      </c>
      <c r="I142" s="472"/>
      <c r="J142" s="168"/>
      <c r="K142" s="168"/>
    </row>
    <row r="143" spans="1:11" s="167" customFormat="1">
      <c r="A143" s="169"/>
      <c r="B143" s="163" t="s">
        <v>197</v>
      </c>
      <c r="C143" s="501">
        <f>'[78]Sch C'!D144</f>
        <v>0</v>
      </c>
      <c r="D143" s="501">
        <f>'[78]Sch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'[78]Sch C'!D146</f>
        <v>45500</v>
      </c>
      <c r="D145" s="501">
        <f>'[78]Sch C'!F146</f>
        <v>0</v>
      </c>
      <c r="E145" s="171">
        <f t="shared" ref="E145:E153" si="30">C145+D145</f>
        <v>45500</v>
      </c>
      <c r="F145" s="171"/>
      <c r="G145" s="171">
        <f t="shared" ref="G145:G153" si="31">E145+F145</f>
        <v>45500</v>
      </c>
      <c r="H145" s="172">
        <f t="shared" ref="H145:H153" si="32">IF($G$208=0,0,G145/$G$208)</f>
        <v>5.9428588660436488E-3</v>
      </c>
      <c r="I145" s="472"/>
      <c r="J145" s="183">
        <v>260</v>
      </c>
      <c r="K145" s="183">
        <v>260</v>
      </c>
    </row>
    <row r="146" spans="1:11" s="167" customFormat="1">
      <c r="A146" s="169"/>
      <c r="B146" s="163" t="s">
        <v>194</v>
      </c>
      <c r="C146" s="501">
        <f>'[78]Sch C'!D147</f>
        <v>0</v>
      </c>
      <c r="D146" s="501">
        <f>'[78]Sch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'[78]Sch C'!D148</f>
        <v>0</v>
      </c>
      <c r="D147" s="501">
        <f>'[78]Sch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'[78]Sch C'!D149</f>
        <v>0</v>
      </c>
      <c r="D148" s="501">
        <f>'[78]Sch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'[78]Sch C'!D150</f>
        <v>0</v>
      </c>
      <c r="D149" s="501">
        <f>'[78]Sch C'!F150</f>
        <v>0</v>
      </c>
      <c r="E149" s="171">
        <f t="shared" si="30"/>
        <v>0</v>
      </c>
      <c r="F149" s="171"/>
      <c r="G149" s="171">
        <f t="shared" si="31"/>
        <v>0</v>
      </c>
      <c r="H149" s="172">
        <f t="shared" si="32"/>
        <v>0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'[78]Sch C'!D151</f>
        <v>120982.53</v>
      </c>
      <c r="D150" s="501">
        <f>'[78]Sch C'!F151</f>
        <v>0</v>
      </c>
      <c r="E150" s="171">
        <f t="shared" si="30"/>
        <v>120982.53</v>
      </c>
      <c r="F150" s="171">
        <v>-312</v>
      </c>
      <c r="G150" s="171">
        <f t="shared" si="31"/>
        <v>120670.53</v>
      </c>
      <c r="H150" s="172">
        <f t="shared" si="32"/>
        <v>1.5761053386388706E-2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'[78]Sch C'!D152</f>
        <v>158.36000000000001</v>
      </c>
      <c r="D151" s="501">
        <f>'[78]Sch C'!F152</f>
        <v>0</v>
      </c>
      <c r="E151" s="171">
        <f t="shared" si="30"/>
        <v>158.36000000000001</v>
      </c>
      <c r="F151" s="171"/>
      <c r="G151" s="171">
        <f t="shared" si="31"/>
        <v>158.36000000000001</v>
      </c>
      <c r="H151" s="172">
        <f t="shared" si="32"/>
        <v>2.0683761099487303E-5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'[78]Sch C'!D153</f>
        <v>3257.85</v>
      </c>
      <c r="D152" s="501">
        <f>'[78]Sch C'!F153</f>
        <v>0</v>
      </c>
      <c r="E152" s="171">
        <f t="shared" si="30"/>
        <v>3257.85</v>
      </c>
      <c r="F152" s="171"/>
      <c r="G152" s="171">
        <f t="shared" si="31"/>
        <v>3257.85</v>
      </c>
      <c r="H152" s="172">
        <f t="shared" si="32"/>
        <v>4.2551522542286376E-4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'[78]Sch C'!D154</f>
        <v>0</v>
      </c>
      <c r="D153" s="501">
        <f>'[78]Sch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'[78]Sch C'!D156</f>
        <v>32</v>
      </c>
      <c r="D155" s="501">
        <f>'[78]Sch C'!F156</f>
        <v>0</v>
      </c>
      <c r="E155" s="171">
        <f t="shared" ref="E155:E160" si="33">C155+D155</f>
        <v>32</v>
      </c>
      <c r="F155" s="171"/>
      <c r="G155" s="171">
        <f t="shared" ref="G155:G160" si="34">E155+F155</f>
        <v>32</v>
      </c>
      <c r="H155" s="172">
        <f t="shared" ref="H155:H161" si="35">IF($G$208=0,0,G155/$G$208)</f>
        <v>4.1795930486460828E-6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'[78]Sch C'!D157</f>
        <v>0</v>
      </c>
      <c r="D156" s="501">
        <f>'[78]Sch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'[78]Sch C'!D158</f>
        <v>0</v>
      </c>
      <c r="D157" s="501">
        <f>'[78]Sch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'[78]Sch C'!D159</f>
        <v>0</v>
      </c>
      <c r="D158" s="501">
        <f>'[78]Sch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'[78]Sch C'!D160</f>
        <v>0</v>
      </c>
      <c r="D159" s="501">
        <f>'[78]Sch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'[78]Sch C'!D161</f>
        <v>56.01</v>
      </c>
      <c r="D160" s="501">
        <f>'[78]Sch C'!F161</f>
        <v>0</v>
      </c>
      <c r="E160" s="171">
        <f t="shared" si="33"/>
        <v>56.01</v>
      </c>
      <c r="F160" s="171"/>
      <c r="G160" s="171">
        <f t="shared" si="34"/>
        <v>56.01</v>
      </c>
      <c r="H160" s="172">
        <f t="shared" si="35"/>
        <v>7.3155939579583465E-6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2681906.6799999997</v>
      </c>
      <c r="D161" s="501">
        <f>SUM(D123:D160)</f>
        <v>174125.2</v>
      </c>
      <c r="E161" s="171">
        <f t="shared" ref="E161:F161" si="36">SUM(E123:E160)</f>
        <v>2856031.88</v>
      </c>
      <c r="F161" s="171">
        <f t="shared" si="36"/>
        <v>-312</v>
      </c>
      <c r="G161" s="171">
        <f>SUM(G123:G160)</f>
        <v>2855719.88</v>
      </c>
      <c r="H161" s="172">
        <f t="shared" si="35"/>
        <v>0.37299209247901327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'[78]Sch C'!D175</f>
        <v>0</v>
      </c>
      <c r="D164" s="501">
        <f>'[78]Sch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'[78]Sch C'!D176</f>
        <v>0</v>
      </c>
      <c r="D165" s="501">
        <f>'[78]Sch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450"/>
      <c r="K165" s="450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'[78]Sch C'!D177</f>
        <v>0</v>
      </c>
      <c r="D166" s="501">
        <f>'[78]Sch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'[78]Sch C'!D178</f>
        <v>0</v>
      </c>
      <c r="D167" s="501">
        <f>'[78]Sch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450"/>
      <c r="K167" s="450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'[78]Sch C'!D179</f>
        <v>0</v>
      </c>
      <c r="D168" s="501">
        <f>'[78]Sch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'[78]Sch C'!D180</f>
        <v>0</v>
      </c>
      <c r="D169" s="501">
        <f>'[78]Sch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450"/>
      <c r="K169" s="450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'[78]Sch C'!D181</f>
        <v>0</v>
      </c>
      <c r="D170" s="501">
        <f>'[78]Sch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'[78]Sch C'!D182</f>
        <v>0</v>
      </c>
      <c r="D171" s="501">
        <f>'[78]Sch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450"/>
      <c r="K171" s="450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'[78]Sch C'!D183</f>
        <v>0</v>
      </c>
      <c r="D172" s="501">
        <f>'[78]Sch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'[78]Sch C'!D184</f>
        <v>0</v>
      </c>
      <c r="D173" s="501">
        <f>'[78]Sch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450"/>
      <c r="K173" s="450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'[78]Sch C'!D185</f>
        <v>0</v>
      </c>
      <c r="D174" s="501">
        <f>'[78]Sch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'[78]Sch C'!D186</f>
        <v>0</v>
      </c>
      <c r="D175" s="501">
        <f>'[78]Sch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'[78]Sch C'!D187</f>
        <v>0</v>
      </c>
      <c r="D176" s="501">
        <f>'[78]Sch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'[78]Sch C'!D188</f>
        <v>0</v>
      </c>
      <c r="D177" s="501">
        <f>'[78]Sch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'[78]Sch C'!D189</f>
        <v>0</v>
      </c>
      <c r="D178" s="501">
        <f>'[78]Sch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'[78]Sch C'!D190</f>
        <v>0</v>
      </c>
      <c r="D179" s="501">
        <f>'[78]Sch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'[78]Sch C'!D191</f>
        <v>0</v>
      </c>
      <c r="D180" s="501">
        <f>'[78]Sch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'[78]Sch C'!D192</f>
        <v>0</v>
      </c>
      <c r="D181" s="501">
        <f>'[78]Sch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'[78]Sch C'!D193</f>
        <v>0</v>
      </c>
      <c r="D182" s="501">
        <f>'[78]Sch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'[78]Sch C'!D194</f>
        <v>674341.13</v>
      </c>
      <c r="D183" s="501">
        <f>'[78]Sch C'!F194</f>
        <v>0</v>
      </c>
      <c r="E183" s="171">
        <f t="shared" si="37"/>
        <v>674341.13</v>
      </c>
      <c r="F183" s="216"/>
      <c r="G183" s="171">
        <f t="shared" si="38"/>
        <v>674341.13</v>
      </c>
      <c r="H183" s="172">
        <f t="shared" si="39"/>
        <v>8.8077234355129513E-2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'[78]Sch C'!D195</f>
        <v>0</v>
      </c>
      <c r="D184" s="501">
        <f>'[78]Sch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'[78]Sch C'!D196</f>
        <v>0</v>
      </c>
      <c r="D185" s="501">
        <f>'[78]Sch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'[78]Sch C'!D197</f>
        <v>0</v>
      </c>
      <c r="D186" s="501">
        <f>'[78]Sch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'[78]Sch C'!D198</f>
        <v>15767.53</v>
      </c>
      <c r="D187" s="501">
        <f>'[78]Sch C'!F198</f>
        <v>0</v>
      </c>
      <c r="E187" s="171">
        <f t="shared" si="37"/>
        <v>15767.53</v>
      </c>
      <c r="F187" s="216"/>
      <c r="G187" s="171">
        <f t="shared" si="38"/>
        <v>15767.53</v>
      </c>
      <c r="H187" s="172">
        <f t="shared" si="39"/>
        <v>2.0594330869474551E-3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'[78]Sch C'!D199</f>
        <v>0</v>
      </c>
      <c r="D188" s="501">
        <f>'[78]Sch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'[78]Sch C'!D200</f>
        <v>0</v>
      </c>
      <c r="D189" s="501">
        <f>'[78]Sch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'[78]Sch C'!D201</f>
        <v>0</v>
      </c>
      <c r="D190" s="501">
        <f>'[78]Sch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'[78]Sch C'!D202</f>
        <v>0</v>
      </c>
      <c r="D191" s="501">
        <f>'[78]Sch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'[78]Sch C'!D203</f>
        <v>17463</v>
      </c>
      <c r="D192" s="501">
        <f>'[78]Sch C'!F203</f>
        <v>0</v>
      </c>
      <c r="E192" s="171">
        <f t="shared" si="37"/>
        <v>17463</v>
      </c>
      <c r="F192" s="216"/>
      <c r="G192" s="171">
        <f t="shared" si="38"/>
        <v>17463</v>
      </c>
      <c r="H192" s="172">
        <f t="shared" si="39"/>
        <v>2.2808822940158296E-3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'[78]Sch C'!D204</f>
        <v>0</v>
      </c>
      <c r="D193" s="501">
        <f>'[78]Sch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'[78]Sch C'!D205</f>
        <v>292205.19</v>
      </c>
      <c r="D194" s="501">
        <f>'[78]Sch C'!F205</f>
        <v>0</v>
      </c>
      <c r="E194" s="171">
        <f t="shared" si="37"/>
        <v>292205.19</v>
      </c>
      <c r="F194" s="216"/>
      <c r="G194" s="171">
        <f t="shared" si="38"/>
        <v>292205.19</v>
      </c>
      <c r="H194" s="172">
        <f t="shared" si="39"/>
        <v>3.8165586903197123E-2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'[78]Sch C'!D206</f>
        <v>20230.88</v>
      </c>
      <c r="D195" s="501">
        <f>'[78]Sch C'!F206</f>
        <v>0</v>
      </c>
      <c r="E195" s="171">
        <f t="shared" si="37"/>
        <v>20230.88</v>
      </c>
      <c r="F195" s="216"/>
      <c r="G195" s="171">
        <f t="shared" si="38"/>
        <v>20230.88</v>
      </c>
      <c r="H195" s="172">
        <f t="shared" si="39"/>
        <v>2.6424014192497833E-3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'[78]Sch C'!D207</f>
        <v>973.12</v>
      </c>
      <c r="D196" s="501">
        <f>'[78]Sch C'!F207</f>
        <v>0</v>
      </c>
      <c r="E196" s="171">
        <f t="shared" si="37"/>
        <v>973.12</v>
      </c>
      <c r="F196" s="216"/>
      <c r="G196" s="171">
        <f t="shared" si="38"/>
        <v>973.12</v>
      </c>
      <c r="H196" s="172">
        <f t="shared" si="39"/>
        <v>1.2710142460932737E-4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1020980.8500000001</v>
      </c>
      <c r="D197" s="501">
        <f>SUM(D164:D196)</f>
        <v>0</v>
      </c>
      <c r="E197" s="171">
        <f t="shared" ref="E197:F197" si="40">SUM(E164:E196)</f>
        <v>1020980.8500000001</v>
      </c>
      <c r="F197" s="171">
        <f t="shared" si="40"/>
        <v>0</v>
      </c>
      <c r="G197" s="171">
        <f>SUM(G164:G196)</f>
        <v>1020980.8500000001</v>
      </c>
      <c r="H197" s="172">
        <f>IF($G$208=0,0,G197/$G$208)</f>
        <v>0.13335263948314904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'[78]Sch C'!D211</f>
        <v>148563.57</v>
      </c>
      <c r="D200" s="501">
        <f>'[78]Sch C'!F211</f>
        <v>0</v>
      </c>
      <c r="E200" s="171">
        <f t="shared" ref="E200:E205" si="41">C200+D200</f>
        <v>148563.57</v>
      </c>
      <c r="F200" s="171">
        <v>40391</v>
      </c>
      <c r="G200" s="171">
        <f t="shared" ref="G200:G205" si="42">E200+F200</f>
        <v>188954.57</v>
      </c>
      <c r="H200" s="172">
        <f t="shared" ref="H200:H206" si="43">IF($G$208=0,0,G200/$G$208)</f>
        <v>2.4679787727559677E-2</v>
      </c>
      <c r="I200" s="473"/>
      <c r="J200" s="183">
        <v>12407.94</v>
      </c>
      <c r="K200" s="183">
        <v>13483.69</v>
      </c>
    </row>
    <row r="201" spans="1:14" s="167" customFormat="1">
      <c r="A201" s="169" t="s">
        <v>86</v>
      </c>
      <c r="B201" s="170" t="s">
        <v>45</v>
      </c>
      <c r="C201" s="501">
        <f>'[78]Sch C'!D212</f>
        <v>15138.09</v>
      </c>
      <c r="D201" s="501">
        <f>'[78]Sch C'!F212</f>
        <v>11225.11</v>
      </c>
      <c r="E201" s="171">
        <f t="shared" si="41"/>
        <v>26363.200000000001</v>
      </c>
      <c r="F201" s="171"/>
      <c r="G201" s="171">
        <f t="shared" si="42"/>
        <v>26363.200000000001</v>
      </c>
      <c r="H201" s="172">
        <f t="shared" si="43"/>
        <v>3.4433577331270753E-3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'[78]Sch C'!D213</f>
        <v>4630.2</v>
      </c>
      <c r="D202" s="501">
        <f>'[78]Sch C'!F213</f>
        <v>0</v>
      </c>
      <c r="E202" s="171">
        <f t="shared" si="41"/>
        <v>4630.2</v>
      </c>
      <c r="F202" s="171"/>
      <c r="G202" s="171">
        <f t="shared" si="42"/>
        <v>4630.2</v>
      </c>
      <c r="H202" s="172">
        <f t="shared" si="43"/>
        <v>6.0476099168253414E-4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'[78]Sch C'!D214</f>
        <v>0</v>
      </c>
      <c r="D203" s="501">
        <f>'[78]Sch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'[78]Sch C'!D215</f>
        <v>0</v>
      </c>
      <c r="D204" s="501">
        <f>'[78]Sch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'[78]Sch C'!D216</f>
        <v>988.39</v>
      </c>
      <c r="D205" s="501">
        <f>'[78]Sch C'!F216</f>
        <v>0</v>
      </c>
      <c r="E205" s="171">
        <f t="shared" si="41"/>
        <v>988.39</v>
      </c>
      <c r="F205" s="171"/>
      <c r="G205" s="171">
        <f t="shared" si="42"/>
        <v>988.39</v>
      </c>
      <c r="H205" s="172">
        <f t="shared" si="43"/>
        <v>1.2909587416722818E-4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169320.25000000003</v>
      </c>
      <c r="D206" s="501">
        <f>SUM(D200:D205)</f>
        <v>11225.11</v>
      </c>
      <c r="E206" s="171">
        <f t="shared" ref="E206:F206" si="44">SUM(E200:E205)</f>
        <v>180545.36000000004</v>
      </c>
      <c r="F206" s="171">
        <f t="shared" si="44"/>
        <v>40391</v>
      </c>
      <c r="G206" s="171">
        <f>SUM(G200:G205)</f>
        <v>220936.36000000004</v>
      </c>
      <c r="H206" s="172">
        <f t="shared" si="43"/>
        <v>2.885700232653652E-2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7877007.1899999976</v>
      </c>
      <c r="D208" s="501">
        <f>SUM(D25:D206)/2</f>
        <v>-220759.41000000006</v>
      </c>
      <c r="E208" s="171">
        <f t="shared" ref="E208:F208" si="45">SUM(E25:E206)/2</f>
        <v>7656247.7799999993</v>
      </c>
      <c r="F208" s="171">
        <f t="shared" si="45"/>
        <v>0</v>
      </c>
      <c r="G208" s="171">
        <f>SUM(G25:G206)/2</f>
        <v>7656247.7799999993</v>
      </c>
      <c r="H208" s="172">
        <f>IF($G$208=0,0,G208/$G$208)</f>
        <v>1</v>
      </c>
      <c r="I208" s="473"/>
      <c r="J208" s="183">
        <f>SUM(J25:J200)</f>
        <v>223389.34000000003</v>
      </c>
      <c r="K208" s="183">
        <f>SUM(K25:K200)</f>
        <v>236277.40999999997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'[78]Sch C'!D221</f>
        <v>7877007.1900000004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210630.14000000339</v>
      </c>
      <c r="D215" s="501">
        <f>D21-D208</f>
        <v>220759.41000000006</v>
      </c>
      <c r="E215" s="171">
        <f t="shared" ref="E215:F215" si="46">E21-E208</f>
        <v>431389.55000000168</v>
      </c>
      <c r="F215" s="171">
        <f t="shared" si="46"/>
        <v>0</v>
      </c>
      <c r="G215" s="171">
        <f>G21-G208</f>
        <v>431389.55000000168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'[78]Sch D'!C9</f>
        <v>19763</v>
      </c>
      <c r="D219" s="530"/>
      <c r="E219" s="234">
        <f t="shared" ref="E219:G227" si="47">C219+D219</f>
        <v>19763</v>
      </c>
      <c r="F219" s="233"/>
      <c r="G219" s="234">
        <f t="shared" si="47"/>
        <v>19763</v>
      </c>
      <c r="H219" s="172">
        <f t="shared" ref="H219:H228" si="48">IF($G$228=0,0,G219/$G$228)</f>
        <v>0.57393854910843933</v>
      </c>
      <c r="I219" s="473"/>
      <c r="J219" s="168"/>
      <c r="K219" s="168"/>
    </row>
    <row r="220" spans="1:11">
      <c r="A220" s="163"/>
      <c r="B220" s="170" t="s">
        <v>217</v>
      </c>
      <c r="C220" s="530">
        <f>'[78]Sch D'!D9</f>
        <v>359</v>
      </c>
      <c r="D220" s="530"/>
      <c r="E220" s="234">
        <f t="shared" ref="E220:E227" si="49">C220+D220</f>
        <v>359</v>
      </c>
      <c r="F220" s="233"/>
      <c r="G220" s="234">
        <f t="shared" si="47"/>
        <v>359</v>
      </c>
      <c r="H220" s="172">
        <f t="shared" si="48"/>
        <v>1.042574199918685E-2</v>
      </c>
      <c r="I220" s="473"/>
      <c r="J220" s="168"/>
      <c r="K220" s="168"/>
    </row>
    <row r="221" spans="1:11">
      <c r="A221" s="163"/>
      <c r="B221" s="170" t="s">
        <v>72</v>
      </c>
      <c r="C221" s="530">
        <f>'[78]Sch D'!E9</f>
        <v>3984</v>
      </c>
      <c r="D221" s="530"/>
      <c r="E221" s="234">
        <f t="shared" si="49"/>
        <v>3984</v>
      </c>
      <c r="F221" s="233"/>
      <c r="G221" s="234">
        <f t="shared" si="47"/>
        <v>3984</v>
      </c>
      <c r="H221" s="172">
        <f t="shared" si="48"/>
        <v>0.11569959923331591</v>
      </c>
      <c r="I221" s="473"/>
      <c r="J221" s="168"/>
      <c r="K221" s="168"/>
    </row>
    <row r="222" spans="1:11">
      <c r="A222" s="163"/>
      <c r="B222" s="202" t="s">
        <v>334</v>
      </c>
      <c r="C222" s="530">
        <f>'[78]Sch D'!F9</f>
        <v>2610</v>
      </c>
      <c r="D222" s="530"/>
      <c r="E222" s="234">
        <f>C222+D222</f>
        <v>2610</v>
      </c>
      <c r="F222" s="233"/>
      <c r="G222" s="234">
        <f>E222+F222</f>
        <v>2610</v>
      </c>
      <c r="H222" s="172">
        <f t="shared" si="48"/>
        <v>7.5797177208572916E-2</v>
      </c>
      <c r="I222" s="473"/>
      <c r="J222" s="168"/>
      <c r="K222" s="168"/>
    </row>
    <row r="223" spans="1:11">
      <c r="A223" s="163"/>
      <c r="B223" s="170" t="s">
        <v>73</v>
      </c>
      <c r="C223" s="530">
        <f>'[78]Sch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'[78]Sch D'!H9</f>
        <v>6447</v>
      </c>
      <c r="D224" s="530"/>
      <c r="E224" s="234">
        <f t="shared" si="49"/>
        <v>6447</v>
      </c>
      <c r="F224" s="233"/>
      <c r="G224" s="234">
        <f t="shared" si="47"/>
        <v>6447</v>
      </c>
      <c r="H224" s="172">
        <f t="shared" si="48"/>
        <v>0.18722774002439449</v>
      </c>
      <c r="I224" s="473"/>
      <c r="J224" s="168"/>
      <c r="K224" s="168"/>
    </row>
    <row r="225" spans="1:11">
      <c r="A225" s="163"/>
      <c r="B225" s="170" t="s">
        <v>236</v>
      </c>
      <c r="C225" s="530">
        <f>'[78]Sch D'!I9</f>
        <v>859</v>
      </c>
      <c r="D225" s="530"/>
      <c r="E225" s="234">
        <f t="shared" si="49"/>
        <v>859</v>
      </c>
      <c r="F225" s="233"/>
      <c r="G225" s="234">
        <f t="shared" si="47"/>
        <v>859</v>
      </c>
      <c r="H225" s="172">
        <f t="shared" si="48"/>
        <v>2.4946274031480514E-2</v>
      </c>
      <c r="I225" s="473"/>
      <c r="J225" s="168"/>
      <c r="K225" s="168"/>
    </row>
    <row r="226" spans="1:11">
      <c r="A226" s="163"/>
      <c r="B226" s="170" t="s">
        <v>235</v>
      </c>
      <c r="C226" s="530">
        <f>'[78]Sch D'!J9</f>
        <v>412</v>
      </c>
      <c r="D226" s="530"/>
      <c r="E226" s="234">
        <f>C226+D226</f>
        <v>412</v>
      </c>
      <c r="F226" s="233"/>
      <c r="G226" s="234">
        <f>E226+F226</f>
        <v>412</v>
      </c>
      <c r="H226" s="172">
        <f t="shared" si="48"/>
        <v>1.1964918394609978E-2</v>
      </c>
      <c r="I226" s="473"/>
      <c r="J226" s="168"/>
      <c r="K226" s="168"/>
    </row>
    <row r="227" spans="1:11">
      <c r="A227" s="163"/>
      <c r="B227" s="170" t="s">
        <v>179</v>
      </c>
      <c r="C227" s="530">
        <f>'[78]Sch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34434</v>
      </c>
      <c r="D228" s="530">
        <f>SUM(D219:D227)</f>
        <v>0</v>
      </c>
      <c r="E228" s="236">
        <f>SUM(E219:E227)</f>
        <v>34434</v>
      </c>
      <c r="F228" s="236">
        <f>SUM(F219:F227)</f>
        <v>0</v>
      </c>
      <c r="G228" s="236">
        <f>SUM(G219:G227)</f>
        <v>34434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J230" s="168"/>
      <c r="K230" s="168"/>
    </row>
    <row r="231" spans="1:11">
      <c r="A231" s="163"/>
      <c r="B231" s="202" t="s">
        <v>219</v>
      </c>
      <c r="C231" s="531">
        <f>'[78]Sch D'!N22</f>
        <v>172</v>
      </c>
      <c r="D231" s="502"/>
      <c r="E231" s="234">
        <f>C231+D231</f>
        <v>172</v>
      </c>
      <c r="F231" s="234"/>
      <c r="G231" s="234">
        <f>E231+F231</f>
        <v>172</v>
      </c>
      <c r="H231" s="167"/>
      <c r="J231" s="168"/>
      <c r="K231" s="168"/>
    </row>
    <row r="232" spans="1:11">
      <c r="A232" s="163"/>
      <c r="B232" s="202" t="s">
        <v>290</v>
      </c>
      <c r="C232" s="531">
        <f>'[78]Sch D'!N24</f>
        <v>172</v>
      </c>
      <c r="D232" s="502"/>
      <c r="E232" s="234">
        <f>C232+D232</f>
        <v>172</v>
      </c>
      <c r="F232" s="234"/>
      <c r="G232" s="234">
        <f>E232+F232</f>
        <v>172</v>
      </c>
      <c r="H232" s="167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J234" s="168"/>
      <c r="K234" s="168"/>
    </row>
    <row r="235" spans="1:11" ht="26">
      <c r="A235" s="163"/>
      <c r="B235" s="241" t="s">
        <v>335</v>
      </c>
      <c r="C235" s="531">
        <f>'[78]Sch D'!N28</f>
        <v>62780</v>
      </c>
      <c r="D235" s="438"/>
      <c r="E235" s="233">
        <f>E231*E233</f>
        <v>62780</v>
      </c>
      <c r="F235" s="238"/>
      <c r="G235" s="233">
        <f>G231*G233</f>
        <v>62780</v>
      </c>
      <c r="H235" s="167"/>
      <c r="J235" s="168"/>
      <c r="K235" s="168"/>
    </row>
    <row r="236" spans="1:11" ht="26">
      <c r="A236" s="163"/>
      <c r="B236" s="241" t="s">
        <v>336</v>
      </c>
      <c r="C236" s="532">
        <f>'[78]Sch D'!N30</f>
        <v>0.54848677922905387</v>
      </c>
      <c r="D236" s="238"/>
      <c r="E236" s="242">
        <f>E228/E235</f>
        <v>0.54848677922905387</v>
      </c>
      <c r="F236" s="243"/>
      <c r="G236" s="242">
        <f>G228/G235</f>
        <v>0.54848677922905387</v>
      </c>
      <c r="H236" s="167"/>
      <c r="J236" s="168"/>
      <c r="K236" s="168"/>
    </row>
    <row r="237" spans="1:11" ht="26">
      <c r="A237" s="163"/>
      <c r="B237" s="241" t="s">
        <v>337</v>
      </c>
      <c r="C237" s="532">
        <f>'[78]Sch D'!N32</f>
        <v>0.3205160879260911</v>
      </c>
      <c r="D237" s="238"/>
      <c r="E237" s="242">
        <f>(E219+E220)/E235</f>
        <v>0.3205160879260911</v>
      </c>
      <c r="F237" s="243"/>
      <c r="G237" s="242">
        <f>(G219+G220)/G235</f>
        <v>0.3205160879260911</v>
      </c>
      <c r="H237" s="167"/>
      <c r="J237" s="168"/>
      <c r="K237" s="168"/>
    </row>
    <row r="238" spans="1:11" ht="26">
      <c r="A238" s="163"/>
      <c r="B238" s="241" t="s">
        <v>338</v>
      </c>
      <c r="C238" s="532">
        <f>'[78]Sch D'!N34</f>
        <v>0.58436429110762611</v>
      </c>
      <c r="D238" s="238"/>
      <c r="E238" s="242">
        <f>(E237/E236)</f>
        <v>0.58436429110762611</v>
      </c>
      <c r="F238" s="243"/>
      <c r="G238" s="242">
        <f>(G237/G236)</f>
        <v>0.58436429110762611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01">
        <f>'[78]Sch B'!C85</f>
        <v>195.96054254007399</v>
      </c>
    </row>
    <row r="242" spans="2:7">
      <c r="B242" s="471"/>
      <c r="F242" s="142" t="s">
        <v>341</v>
      </c>
      <c r="G242" s="501">
        <f>'[78]Sch B'!E85</f>
        <v>154.94808743169398</v>
      </c>
    </row>
    <row r="243" spans="2:7">
      <c r="B243" s="574"/>
      <c r="F243" s="142" t="s">
        <v>342</v>
      </c>
      <c r="G243" s="501">
        <f>'[78]Sch B'!G85</f>
        <v>171.69308176100628</v>
      </c>
    </row>
    <row r="244" spans="2:7">
      <c r="B244" s="421"/>
      <c r="F244" s="142" t="s">
        <v>343</v>
      </c>
      <c r="G244" s="501">
        <f>'[78]Sch B'!I85</f>
        <v>214.2967971530249</v>
      </c>
    </row>
    <row r="245" spans="2:7">
      <c r="B245" s="457"/>
      <c r="F245" s="142"/>
    </row>
    <row r="246" spans="2:7">
      <c r="B246" s="421"/>
    </row>
    <row r="247" spans="2:7">
      <c r="B247" s="421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28CAB"/>
  </sheetPr>
  <dimension ref="A1:O246"/>
  <sheetViews>
    <sheetView showGridLines="0" topLeftCell="A182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515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'[8]Sch B'!E10</f>
        <v>11627</v>
      </c>
      <c r="D11" s="501">
        <f>'[8]Sch B'!G10</f>
        <v>0</v>
      </c>
      <c r="E11" s="171">
        <f>C11+D11</f>
        <v>11627</v>
      </c>
      <c r="F11" s="171"/>
      <c r="G11" s="171">
        <f t="shared" ref="G11:G20" si="0">E11+F11</f>
        <v>11627</v>
      </c>
      <c r="H11" s="172">
        <f t="shared" ref="H11:H21" si="1">IF($G$21=0,0,G11/$G$21)</f>
        <v>2.4085429009404647E-3</v>
      </c>
      <c r="I11" s="473"/>
      <c r="J11" s="336" t="s">
        <v>344</v>
      </c>
      <c r="K11" s="337">
        <f>G21</f>
        <v>4827400</v>
      </c>
    </row>
    <row r="12" spans="1:11" s="167" customFormat="1">
      <c r="A12" s="169" t="s">
        <v>15</v>
      </c>
      <c r="B12" s="170" t="s">
        <v>212</v>
      </c>
      <c r="C12" s="501">
        <f>'[8]Sch B'!E15</f>
        <v>0</v>
      </c>
      <c r="D12" s="501">
        <f>'[8]Sch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4455582</v>
      </c>
    </row>
    <row r="13" spans="1:11" s="167" customFormat="1">
      <c r="A13" s="169" t="s">
        <v>16</v>
      </c>
      <c r="B13" s="170" t="s">
        <v>170</v>
      </c>
      <c r="C13" s="501">
        <f>'[8]Sch B'!E21</f>
        <v>2480037</v>
      </c>
      <c r="D13" s="501">
        <f>'[8]Sch B'!G21</f>
        <v>0</v>
      </c>
      <c r="E13" s="171">
        <f t="shared" si="2"/>
        <v>2480037</v>
      </c>
      <c r="F13" s="171"/>
      <c r="G13" s="171">
        <f t="shared" si="0"/>
        <v>2480037</v>
      </c>
      <c r="H13" s="172">
        <f t="shared" si="1"/>
        <v>0.51374176575382191</v>
      </c>
      <c r="I13" s="473"/>
      <c r="J13" s="338" t="s">
        <v>346</v>
      </c>
      <c r="K13" s="339">
        <f>G228</f>
        <v>13809</v>
      </c>
    </row>
    <row r="14" spans="1:11" s="167" customFormat="1">
      <c r="A14" s="173" t="s">
        <v>18</v>
      </c>
      <c r="B14" s="174" t="s">
        <v>306</v>
      </c>
      <c r="C14" s="501">
        <f>'[8]Sch B'!E27</f>
        <v>574502</v>
      </c>
      <c r="D14" s="501">
        <f>'[8]Sch B'!G27</f>
        <v>0</v>
      </c>
      <c r="E14" s="171">
        <f t="shared" si="2"/>
        <v>574502</v>
      </c>
      <c r="F14" s="175"/>
      <c r="G14" s="175">
        <f>E14+F14</f>
        <v>574502</v>
      </c>
      <c r="H14" s="176">
        <f t="shared" si="1"/>
        <v>0.11900857604507603</v>
      </c>
      <c r="I14" s="479"/>
      <c r="J14" s="338" t="s">
        <v>347</v>
      </c>
      <c r="K14" s="339">
        <f>G231</f>
        <v>45</v>
      </c>
    </row>
    <row r="15" spans="1:11" s="167" customFormat="1">
      <c r="A15" s="169" t="s">
        <v>19</v>
      </c>
      <c r="B15" s="170" t="s">
        <v>171</v>
      </c>
      <c r="C15" s="501">
        <f>'[8]Sch B'!E32</f>
        <v>0</v>
      </c>
      <c r="D15" s="501">
        <f>'[8]Sch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16425</v>
      </c>
    </row>
    <row r="16" spans="1:11" s="167" customFormat="1">
      <c r="A16" s="169" t="s">
        <v>21</v>
      </c>
      <c r="B16" s="170" t="s">
        <v>172</v>
      </c>
      <c r="C16" s="501">
        <f>'[8]Sch B'!E37</f>
        <v>1753786</v>
      </c>
      <c r="D16" s="501">
        <f>'[8]Sch B'!G37</f>
        <v>0</v>
      </c>
      <c r="E16" s="171">
        <f t="shared" si="2"/>
        <v>1753786</v>
      </c>
      <c r="F16" s="171"/>
      <c r="G16" s="171">
        <f t="shared" si="0"/>
        <v>1753786</v>
      </c>
      <c r="H16" s="172">
        <f t="shared" si="1"/>
        <v>0.36329825578986619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'[8]Sch B'!E42</f>
        <v>0</v>
      </c>
      <c r="D17" s="501">
        <f>'[8]Sch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82035</v>
      </c>
    </row>
    <row r="18" spans="1:11" s="167" customFormat="1" ht="13.5" thickBot="1">
      <c r="A18" s="169" t="s">
        <v>216</v>
      </c>
      <c r="B18" s="170" t="s">
        <v>229</v>
      </c>
      <c r="C18" s="501">
        <f>'[8]Sch B'!E47</f>
        <v>7448</v>
      </c>
      <c r="D18" s="501">
        <f>'[8]Sch B'!G47</f>
        <v>0</v>
      </c>
      <c r="E18" s="171">
        <f t="shared" si="2"/>
        <v>7448</v>
      </c>
      <c r="F18" s="171"/>
      <c r="G18" s="171">
        <f>E18+F18</f>
        <v>7448</v>
      </c>
      <c r="H18" s="172">
        <f t="shared" si="1"/>
        <v>1.542859510295397E-3</v>
      </c>
      <c r="I18" s="473"/>
      <c r="J18" s="341" t="s">
        <v>252</v>
      </c>
      <c r="K18" s="342">
        <f>K208</f>
        <v>87116</v>
      </c>
    </row>
    <row r="19" spans="1:11" s="167" customFormat="1">
      <c r="A19" s="169" t="s">
        <v>227</v>
      </c>
      <c r="B19" s="177" t="s">
        <v>173</v>
      </c>
      <c r="C19" s="501">
        <f>'[8]Sch B'!E52</f>
        <v>0</v>
      </c>
      <c r="D19" s="501">
        <f>'[8]Sch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'[8]Sch B'!E67</f>
        <v>15767</v>
      </c>
      <c r="D20" s="501">
        <f>'[8]Sch B'!G67</f>
        <v>-15767</v>
      </c>
      <c r="E20" s="171">
        <f t="shared" si="2"/>
        <v>0</v>
      </c>
      <c r="F20" s="171"/>
      <c r="G20" s="171">
        <f t="shared" si="0"/>
        <v>0</v>
      </c>
      <c r="H20" s="172">
        <f t="shared" si="1"/>
        <v>0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4843167</v>
      </c>
      <c r="D21" s="501">
        <f>SUM(D11:D20)</f>
        <v>-15767</v>
      </c>
      <c r="E21" s="171">
        <f>SUM(E11:E20)</f>
        <v>4827400</v>
      </c>
      <c r="F21" s="171">
        <f>SUM(F11:F20)</f>
        <v>0</v>
      </c>
      <c r="G21" s="171">
        <f>SUM(G11:G20)</f>
        <v>4827400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'[8]Sch C'!D10</f>
        <v>39038</v>
      </c>
      <c r="D25" s="501">
        <f>'[8]Sch C'!F10</f>
        <v>0</v>
      </c>
      <c r="E25" s="171">
        <f t="shared" ref="E25:E60" si="3">C25+D25</f>
        <v>39038</v>
      </c>
      <c r="F25" s="171"/>
      <c r="G25" s="182">
        <f>E25+F25</f>
        <v>39038</v>
      </c>
      <c r="H25" s="172">
        <f>IF($G$208=0,0,G25/$G$208)</f>
        <v>8.7615938838068747E-3</v>
      </c>
      <c r="I25" s="473"/>
      <c r="J25" s="183">
        <v>561</v>
      </c>
      <c r="K25" s="183">
        <v>610</v>
      </c>
    </row>
    <row r="26" spans="1:11" s="167" customFormat="1">
      <c r="A26" s="169" t="s">
        <v>84</v>
      </c>
      <c r="B26" s="170" t="s">
        <v>176</v>
      </c>
      <c r="C26" s="501">
        <f>'[8]Sch C'!D11</f>
        <v>0</v>
      </c>
      <c r="D26" s="501">
        <f>'[8]Sch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'[8]Sch C'!D12</f>
        <v>61653</v>
      </c>
      <c r="D27" s="501">
        <f>'[8]Sch C'!F12</f>
        <v>0</v>
      </c>
      <c r="E27" s="171">
        <f t="shared" si="3"/>
        <v>61653</v>
      </c>
      <c r="F27" s="171"/>
      <c r="G27" s="171">
        <f t="shared" si="4"/>
        <v>61653</v>
      </c>
      <c r="H27" s="172">
        <f t="shared" si="5"/>
        <v>1.383724954450395E-2</v>
      </c>
      <c r="I27" s="473"/>
      <c r="J27" s="183">
        <v>2855</v>
      </c>
      <c r="K27" s="183">
        <v>3039</v>
      </c>
    </row>
    <row r="28" spans="1:11" s="167" customFormat="1">
      <c r="A28" s="169" t="s">
        <v>86</v>
      </c>
      <c r="B28" s="170" t="s">
        <v>45</v>
      </c>
      <c r="C28" s="501">
        <f>'[8]Sch C'!D13</f>
        <v>15355</v>
      </c>
      <c r="D28" s="501">
        <f>'[8]Sch C'!F13</f>
        <v>0</v>
      </c>
      <c r="E28" s="171">
        <f t="shared" si="3"/>
        <v>15355</v>
      </c>
      <c r="F28" s="171"/>
      <c r="G28" s="171">
        <f t="shared" si="4"/>
        <v>15355</v>
      </c>
      <c r="H28" s="172">
        <f t="shared" si="5"/>
        <v>3.4462388976344727E-3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'[8]Sch C'!D14</f>
        <v>0</v>
      </c>
      <c r="D29" s="501">
        <f>'[8]Sch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'[8]Sch C'!D15</f>
        <v>0</v>
      </c>
      <c r="D30" s="501">
        <f>'[8]Sch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'[8]Sch C'!D16</f>
        <v>148714</v>
      </c>
      <c r="D31" s="501">
        <f>'[8]Sch C'!F16</f>
        <v>11906</v>
      </c>
      <c r="E31" s="171">
        <f t="shared" si="3"/>
        <v>160620</v>
      </c>
      <c r="F31" s="171"/>
      <c r="G31" s="171">
        <f t="shared" si="4"/>
        <v>160620</v>
      </c>
      <c r="H31" s="172">
        <f t="shared" si="5"/>
        <v>3.6049162600980074E-2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'[8]Sch C'!D17</f>
        <v>1986</v>
      </c>
      <c r="D32" s="501">
        <f>'[8]Sch C'!F17</f>
        <v>0</v>
      </c>
      <c r="E32" s="171">
        <f t="shared" si="3"/>
        <v>1986</v>
      </c>
      <c r="F32" s="171"/>
      <c r="G32" s="171">
        <f t="shared" si="4"/>
        <v>1986</v>
      </c>
      <c r="H32" s="172">
        <f t="shared" si="5"/>
        <v>4.4573301535018322E-4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'[8]Sch C'!D18</f>
        <v>8520</v>
      </c>
      <c r="D33" s="501">
        <f>'[8]Sch C'!F18</f>
        <v>0</v>
      </c>
      <c r="E33" s="171">
        <f t="shared" si="3"/>
        <v>8520</v>
      </c>
      <c r="F33" s="171"/>
      <c r="G33" s="171">
        <f t="shared" si="4"/>
        <v>8520</v>
      </c>
      <c r="H33" s="172">
        <f t="shared" si="5"/>
        <v>1.9122081021065262E-3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'[8]Sch C'!D19</f>
        <v>5515</v>
      </c>
      <c r="D34" s="501">
        <f>'[8]Sch C'!F19</f>
        <v>0</v>
      </c>
      <c r="E34" s="171">
        <f t="shared" si="3"/>
        <v>5515</v>
      </c>
      <c r="F34" s="171"/>
      <c r="G34" s="171">
        <f t="shared" si="4"/>
        <v>5515</v>
      </c>
      <c r="H34" s="172">
        <f t="shared" si="5"/>
        <v>1.2377732022438371E-3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'[8]Sch C'!D20</f>
        <v>1533</v>
      </c>
      <c r="D35" s="501">
        <f>'[8]Sch C'!F20</f>
        <v>0</v>
      </c>
      <c r="E35" s="171">
        <f t="shared" si="3"/>
        <v>1533</v>
      </c>
      <c r="F35" s="171"/>
      <c r="G35" s="171">
        <f t="shared" si="4"/>
        <v>1533</v>
      </c>
      <c r="H35" s="172">
        <f t="shared" si="5"/>
        <v>3.4406279583677285E-4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'[8]Sch C'!D21</f>
        <v>24956</v>
      </c>
      <c r="D36" s="501">
        <f>'[8]Sch C'!F21</f>
        <v>0</v>
      </c>
      <c r="E36" s="171">
        <f t="shared" si="3"/>
        <v>24956</v>
      </c>
      <c r="F36" s="171">
        <f>-1058-23853</f>
        <v>-24911</v>
      </c>
      <c r="G36" s="171">
        <f t="shared" si="4"/>
        <v>45</v>
      </c>
      <c r="H36" s="172">
        <f t="shared" si="5"/>
        <v>1.0099690680140103E-5</v>
      </c>
      <c r="I36" s="473" t="s">
        <v>693</v>
      </c>
      <c r="J36" s="168"/>
      <c r="K36" s="168"/>
    </row>
    <row r="37" spans="1:11" s="167" customFormat="1">
      <c r="A37" s="163">
        <v>130</v>
      </c>
      <c r="B37" s="170" t="s">
        <v>28</v>
      </c>
      <c r="C37" s="501">
        <f>'[8]Sch C'!D22</f>
        <v>0</v>
      </c>
      <c r="D37" s="501">
        <f>'[8]Sch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'[8]Sch C'!D23</f>
        <v>26632</v>
      </c>
      <c r="D38" s="501">
        <f>'[8]Sch C'!F23</f>
        <v>0</v>
      </c>
      <c r="E38" s="171">
        <f t="shared" si="3"/>
        <v>26632</v>
      </c>
      <c r="F38" s="171"/>
      <c r="G38" s="171">
        <f t="shared" si="4"/>
        <v>26632</v>
      </c>
      <c r="H38" s="172">
        <f t="shared" si="5"/>
        <v>5.9772213820775827E-3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'[8]Sch C'!D24</f>
        <v>0</v>
      </c>
      <c r="D39" s="501">
        <f>'[8]Sch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'[8]Sch C'!D25</f>
        <v>0</v>
      </c>
      <c r="D40" s="501">
        <f>'[8]Sch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'[8]Sch C'!D26</f>
        <v>131042</v>
      </c>
      <c r="D41" s="501">
        <f>'[8]Sch C'!F26</f>
        <v>0</v>
      </c>
      <c r="E41" s="171">
        <f t="shared" si="3"/>
        <v>131042</v>
      </c>
      <c r="F41" s="171">
        <v>23853</v>
      </c>
      <c r="G41" s="171">
        <f t="shared" si="4"/>
        <v>154895</v>
      </c>
      <c r="H41" s="172">
        <f t="shared" si="5"/>
        <v>3.4764257508895585E-2</v>
      </c>
      <c r="I41" s="473" t="s">
        <v>693</v>
      </c>
      <c r="J41" s="168"/>
      <c r="K41" s="168"/>
    </row>
    <row r="42" spans="1:11" s="167" customFormat="1">
      <c r="A42" s="163">
        <v>180</v>
      </c>
      <c r="B42" s="170" t="s">
        <v>32</v>
      </c>
      <c r="C42" s="501">
        <f>'[8]Sch C'!D27</f>
        <v>0</v>
      </c>
      <c r="D42" s="501">
        <f>'[8]Sch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'[8]Sch C'!D28</f>
        <v>0</v>
      </c>
      <c r="D43" s="501">
        <f>'[8]Sch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'[8]Sch C'!D29</f>
        <v>23995</v>
      </c>
      <c r="D44" s="501">
        <f>'[8]Sch C'!F29</f>
        <v>-23995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'[8]Sch C'!D30</f>
        <v>0</v>
      </c>
      <c r="D45" s="501">
        <f>'[8]Sch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'[8]Sch C'!D31</f>
        <v>25587</v>
      </c>
      <c r="D46" s="501">
        <f>'[8]Sch C'!F31</f>
        <v>0</v>
      </c>
      <c r="E46" s="171">
        <f t="shared" si="3"/>
        <v>25587</v>
      </c>
      <c r="F46" s="171"/>
      <c r="G46" s="171">
        <f t="shared" si="4"/>
        <v>25587</v>
      </c>
      <c r="H46" s="172">
        <f t="shared" si="5"/>
        <v>5.7426841207276627E-3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'[8]Sch C'!D32</f>
        <v>17283</v>
      </c>
      <c r="D47" s="501">
        <f>'[8]Sch C'!F32</f>
        <v>0</v>
      </c>
      <c r="E47" s="171">
        <f t="shared" si="3"/>
        <v>17283</v>
      </c>
      <c r="F47" s="171"/>
      <c r="G47" s="171">
        <f t="shared" si="4"/>
        <v>17283</v>
      </c>
      <c r="H47" s="172">
        <f t="shared" si="5"/>
        <v>3.8789545338858088E-3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'[8]Sch C'!D33</f>
        <v>0</v>
      </c>
      <c r="D48" s="501">
        <f>'[8]Sch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'[8]Sch C'!D34</f>
        <v>0</v>
      </c>
      <c r="D49" s="501">
        <f>'[8]Sch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'[8]Sch C'!D35</f>
        <v>0</v>
      </c>
      <c r="D50" s="501">
        <f>'[8]Sch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'[8]Sch C'!D36</f>
        <v>0</v>
      </c>
      <c r="D51" s="501">
        <f>'[8]Sch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'[8]Sch C'!D37</f>
        <v>0</v>
      </c>
      <c r="D52" s="501">
        <f>'[8]Sch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'[8]Sch C'!D38</f>
        <v>0</v>
      </c>
      <c r="D53" s="501">
        <f>'[8]Sch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'[8]Sch C'!D39</f>
        <v>0</v>
      </c>
      <c r="D54" s="501">
        <f>'[8]Sch C'!F39</f>
        <v>0</v>
      </c>
      <c r="E54" s="171">
        <f t="shared" si="3"/>
        <v>0</v>
      </c>
      <c r="F54" s="171"/>
      <c r="G54" s="171">
        <f t="shared" si="4"/>
        <v>0</v>
      </c>
      <c r="H54" s="172">
        <f t="shared" si="5"/>
        <v>0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'[8]Sch C'!D40</f>
        <v>0</v>
      </c>
      <c r="D55" s="501">
        <f>'[8]Sch C'!F40</f>
        <v>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'[8]Sch C'!D41</f>
        <v>26826</v>
      </c>
      <c r="D56" s="501">
        <f>'[8]Sch C'!F41</f>
        <v>0</v>
      </c>
      <c r="E56" s="171">
        <f t="shared" si="3"/>
        <v>26826</v>
      </c>
      <c r="F56" s="171">
        <v>1058</v>
      </c>
      <c r="G56" s="171">
        <f t="shared" si="4"/>
        <v>27884</v>
      </c>
      <c r="H56" s="172">
        <f t="shared" si="5"/>
        <v>6.2582172205561471E-3</v>
      </c>
      <c r="I56" s="473" t="s">
        <v>693</v>
      </c>
      <c r="J56" s="168"/>
      <c r="K56" s="168"/>
    </row>
    <row r="57" spans="1:11" s="167" customFormat="1">
      <c r="A57" s="163">
        <v>340</v>
      </c>
      <c r="B57" s="170" t="s">
        <v>209</v>
      </c>
      <c r="C57" s="501">
        <f>'[8]Sch C'!D42</f>
        <v>0</v>
      </c>
      <c r="D57" s="501">
        <f>'[8]Sch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'[8]Sch C'!D43</f>
        <v>6077</v>
      </c>
      <c r="D58" s="501">
        <f>'[8]Sch C'!F43</f>
        <v>0</v>
      </c>
      <c r="E58" s="171">
        <f t="shared" si="3"/>
        <v>6077</v>
      </c>
      <c r="F58" s="171"/>
      <c r="G58" s="171">
        <f t="shared" si="4"/>
        <v>6077</v>
      </c>
      <c r="H58" s="172">
        <f t="shared" si="5"/>
        <v>1.3639071169602535E-3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'[8]Sch C'!D44</f>
        <v>0</v>
      </c>
      <c r="D59" s="501">
        <f>'[8]Sch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'[8]Sch C'!D45</f>
        <v>0</v>
      </c>
      <c r="D60" s="501">
        <f>'[8]Sch C'!F45</f>
        <v>0</v>
      </c>
      <c r="E60" s="171">
        <f t="shared" si="3"/>
        <v>0</v>
      </c>
      <c r="F60" s="171"/>
      <c r="G60" s="171">
        <f t="shared" si="4"/>
        <v>0</v>
      </c>
      <c r="H60" s="172">
        <f t="shared" si="5"/>
        <v>0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564712</v>
      </c>
      <c r="D61" s="501">
        <f>SUM(D25:D60)</f>
        <v>-12089</v>
      </c>
      <c r="E61" s="171">
        <f t="shared" ref="E61:F61" si="6">SUM(E25:E60)</f>
        <v>552623</v>
      </c>
      <c r="F61" s="171">
        <f t="shared" si="6"/>
        <v>0</v>
      </c>
      <c r="G61" s="171">
        <f>SUM(G25:G60)</f>
        <v>552623</v>
      </c>
      <c r="H61" s="186">
        <f t="shared" si="5"/>
        <v>0.12402936361624586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'[8]Sch C'!D57</f>
        <v>262597</v>
      </c>
      <c r="D64" s="501">
        <f>'[8]Sch C'!F57</f>
        <v>0</v>
      </c>
      <c r="E64" s="171">
        <f t="shared" ref="E64:E78" si="7">C64+D64</f>
        <v>262597</v>
      </c>
      <c r="F64" s="171">
        <v>-262597</v>
      </c>
      <c r="G64" s="171">
        <f t="shared" ref="G64:G78" si="8">E64+F64</f>
        <v>0</v>
      </c>
      <c r="H64" s="172">
        <f t="shared" ref="H64:H79" si="9">IF($G$208=0,0,G64/$G$208)</f>
        <v>0</v>
      </c>
      <c r="I64" s="473" t="s">
        <v>693</v>
      </c>
      <c r="J64" s="190"/>
      <c r="K64" s="168"/>
    </row>
    <row r="65" spans="1:11" s="167" customFormat="1">
      <c r="A65" s="191">
        <v>240</v>
      </c>
      <c r="B65" s="189" t="s">
        <v>254</v>
      </c>
      <c r="C65" s="501">
        <f>'[8]Sch C'!D58</f>
        <v>12643</v>
      </c>
      <c r="D65" s="501">
        <f>'[8]Sch C'!F58</f>
        <v>0</v>
      </c>
      <c r="E65" s="171">
        <f t="shared" si="7"/>
        <v>12643</v>
      </c>
      <c r="F65" s="171">
        <v>140903</v>
      </c>
      <c r="G65" s="171">
        <f t="shared" si="8"/>
        <v>153546</v>
      </c>
      <c r="H65" s="172">
        <f t="shared" si="9"/>
        <v>3.4461491226062048E-2</v>
      </c>
      <c r="I65" s="473" t="s">
        <v>693</v>
      </c>
      <c r="J65" s="190"/>
      <c r="K65" s="168"/>
    </row>
    <row r="66" spans="1:11" s="167" customFormat="1">
      <c r="A66" s="142">
        <v>250</v>
      </c>
      <c r="B66" s="189" t="s">
        <v>307</v>
      </c>
      <c r="C66" s="501">
        <f>'[8]Sch C'!D59</f>
        <v>0</v>
      </c>
      <c r="D66" s="501">
        <f>'[8]Sch C'!F59</f>
        <v>0</v>
      </c>
      <c r="E66" s="171">
        <f t="shared" si="7"/>
        <v>0</v>
      </c>
      <c r="F66" s="171">
        <v>205711</v>
      </c>
      <c r="G66" s="171">
        <f t="shared" si="8"/>
        <v>205711</v>
      </c>
      <c r="H66" s="172">
        <f t="shared" si="9"/>
        <v>4.6169277100051129E-2</v>
      </c>
      <c r="I66" s="473" t="s">
        <v>693</v>
      </c>
      <c r="J66" s="190"/>
      <c r="K66" s="168"/>
    </row>
    <row r="67" spans="1:11" s="167" customFormat="1">
      <c r="A67" s="142">
        <v>260</v>
      </c>
      <c r="B67" s="192" t="s">
        <v>308</v>
      </c>
      <c r="C67" s="501">
        <f>'[8]Sch C'!D60</f>
        <v>13449</v>
      </c>
      <c r="D67" s="501">
        <f>'[8]Sch C'!F60</f>
        <v>0</v>
      </c>
      <c r="E67" s="171">
        <f t="shared" si="7"/>
        <v>13449</v>
      </c>
      <c r="F67" s="171"/>
      <c r="G67" s="171">
        <f t="shared" si="8"/>
        <v>13449</v>
      </c>
      <c r="H67" s="172">
        <f t="shared" si="9"/>
        <v>3.0184608879378723E-3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'[8]Sch C'!D61</f>
        <v>8607</v>
      </c>
      <c r="D68" s="501">
        <f>'[8]Sch C'!F61</f>
        <v>0</v>
      </c>
      <c r="E68" s="171">
        <f t="shared" si="7"/>
        <v>8607</v>
      </c>
      <c r="F68" s="171"/>
      <c r="G68" s="171">
        <f t="shared" si="8"/>
        <v>8607</v>
      </c>
      <c r="H68" s="172">
        <f t="shared" si="9"/>
        <v>1.9317341707547971E-3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'[8]Sch C'!D62</f>
        <v>0</v>
      </c>
      <c r="D69" s="501">
        <f>'[8]Sch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'[8]Sch C'!D63</f>
        <v>0</v>
      </c>
      <c r="D70" s="501">
        <f>'[8]Sch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'[8]Sch C'!D64</f>
        <v>0</v>
      </c>
      <c r="D71" s="501">
        <f>'[8]Sch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'[8]Sch C'!D65</f>
        <v>385</v>
      </c>
      <c r="D72" s="501">
        <f>'[8]Sch C'!F65</f>
        <v>0</v>
      </c>
      <c r="E72" s="171">
        <f t="shared" si="7"/>
        <v>385</v>
      </c>
      <c r="F72" s="171"/>
      <c r="G72" s="171">
        <f t="shared" si="8"/>
        <v>385</v>
      </c>
      <c r="H72" s="172">
        <f t="shared" si="9"/>
        <v>8.6408464707865318E-5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'[8]Sch C'!D66</f>
        <v>0</v>
      </c>
      <c r="D73" s="501">
        <f>'[8]Sch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'[8]Sch C'!D67</f>
        <v>9481</v>
      </c>
      <c r="D74" s="501">
        <f>'[8]Sch C'!F67</f>
        <v>0</v>
      </c>
      <c r="E74" s="171">
        <f t="shared" si="7"/>
        <v>9481</v>
      </c>
      <c r="F74" s="171"/>
      <c r="G74" s="171">
        <f t="shared" si="8"/>
        <v>9481</v>
      </c>
      <c r="H74" s="172">
        <f t="shared" si="9"/>
        <v>2.1278926075201849E-3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'[8]Sch C'!D68</f>
        <v>0</v>
      </c>
      <c r="D75" s="501">
        <f>'[8]Sch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'[8]Sch C'!D69</f>
        <v>1172</v>
      </c>
      <c r="D76" s="501">
        <f>'[8]Sch C'!F69</f>
        <v>0</v>
      </c>
      <c r="E76" s="171">
        <f t="shared" si="7"/>
        <v>1172</v>
      </c>
      <c r="F76" s="171"/>
      <c r="G76" s="171">
        <f t="shared" si="8"/>
        <v>1172</v>
      </c>
      <c r="H76" s="172">
        <f t="shared" si="9"/>
        <v>2.6304083282498224E-4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'[8]Sch C'!D70</f>
        <v>-81524</v>
      </c>
      <c r="D77" s="501">
        <f>'[8]Sch C'!F70</f>
        <v>0</v>
      </c>
      <c r="E77" s="171">
        <f t="shared" si="7"/>
        <v>-81524</v>
      </c>
      <c r="F77" s="171"/>
      <c r="G77" s="171">
        <f t="shared" si="8"/>
        <v>-81524</v>
      </c>
      <c r="H77" s="172">
        <f t="shared" si="9"/>
        <v>-1.8297048511283151E-2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'[8]Sch C'!D71</f>
        <v>0</v>
      </c>
      <c r="D78" s="501">
        <f>'[8]Sch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226810</v>
      </c>
      <c r="D79" s="501">
        <f>SUM(D64:D78)</f>
        <v>0</v>
      </c>
      <c r="E79" s="171">
        <f t="shared" ref="E79:F79" si="10">SUM(E64:E78)</f>
        <v>226810</v>
      </c>
      <c r="F79" s="171">
        <f t="shared" si="10"/>
        <v>84017</v>
      </c>
      <c r="G79" s="171">
        <f>SUM(G64:G78)</f>
        <v>310827</v>
      </c>
      <c r="H79" s="172">
        <f t="shared" si="9"/>
        <v>6.9761256778575725E-2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'[8]Sch C'!D75</f>
        <v>14196</v>
      </c>
      <c r="D82" s="501">
        <f>'[8]Sch C'!F75</f>
        <v>0</v>
      </c>
      <c r="E82" s="171">
        <f t="shared" ref="E82:E92" si="11">C82+D82</f>
        <v>14196</v>
      </c>
      <c r="F82" s="171"/>
      <c r="G82" s="171">
        <f t="shared" ref="G82:G92" si="12">E82+F82</f>
        <v>14196</v>
      </c>
      <c r="H82" s="172">
        <f t="shared" ref="H82:H93" si="13">IF($G$208=0,0,G82/$G$208)</f>
        <v>3.1861157532281979E-3</v>
      </c>
      <c r="I82" s="473"/>
      <c r="J82" s="183">
        <v>624</v>
      </c>
      <c r="K82" s="183">
        <v>673</v>
      </c>
    </row>
    <row r="83" spans="1:11" s="167" customFormat="1">
      <c r="A83" s="169" t="s">
        <v>86</v>
      </c>
      <c r="B83" s="199" t="s">
        <v>45</v>
      </c>
      <c r="C83" s="501">
        <f>'[8]Sch C'!D76</f>
        <v>2165</v>
      </c>
      <c r="D83" s="501">
        <f>'[8]Sch C'!F76</f>
        <v>0</v>
      </c>
      <c r="E83" s="171">
        <f t="shared" si="11"/>
        <v>2165</v>
      </c>
      <c r="F83" s="171"/>
      <c r="G83" s="171">
        <f t="shared" si="12"/>
        <v>2165</v>
      </c>
      <c r="H83" s="172">
        <f t="shared" si="13"/>
        <v>4.8590734050007382E-4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'[8]Sch C'!D77</f>
        <v>12401</v>
      </c>
      <c r="D84" s="501">
        <f>'[8]Sch C'!F77</f>
        <v>0</v>
      </c>
      <c r="E84" s="171">
        <f t="shared" si="11"/>
        <v>12401</v>
      </c>
      <c r="F84" s="171"/>
      <c r="G84" s="171">
        <f t="shared" si="12"/>
        <v>12401</v>
      </c>
      <c r="H84" s="172">
        <f t="shared" si="13"/>
        <v>2.7832503138759427E-3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'[8]Sch C'!D78</f>
        <v>7821</v>
      </c>
      <c r="D85" s="501">
        <f>'[8]Sch C'!F78</f>
        <v>0</v>
      </c>
      <c r="E85" s="171">
        <f t="shared" si="11"/>
        <v>7821</v>
      </c>
      <c r="F85" s="171"/>
      <c r="G85" s="171">
        <f t="shared" si="12"/>
        <v>7821</v>
      </c>
      <c r="H85" s="172">
        <f t="shared" si="13"/>
        <v>1.7553262402083499E-3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'[8]Sch C'!D79</f>
        <v>0</v>
      </c>
      <c r="D86" s="501">
        <f>'[8]Sch C'!F79</f>
        <v>0</v>
      </c>
      <c r="E86" s="171">
        <f t="shared" si="11"/>
        <v>0</v>
      </c>
      <c r="F86" s="171"/>
      <c r="G86" s="171">
        <f>E86+F86</f>
        <v>0</v>
      </c>
      <c r="H86" s="172">
        <f t="shared" si="13"/>
        <v>0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'[8]Sch C'!D80</f>
        <v>15857</v>
      </c>
      <c r="D87" s="501">
        <f>'[8]Sch C'!F80</f>
        <v>0</v>
      </c>
      <c r="E87" s="171">
        <f t="shared" si="11"/>
        <v>15857</v>
      </c>
      <c r="F87" s="171"/>
      <c r="G87" s="171">
        <f t="shared" si="12"/>
        <v>15857</v>
      </c>
      <c r="H87" s="172">
        <f t="shared" si="13"/>
        <v>3.5589065581107023E-3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'[8]Sch C'!D81</f>
        <v>0</v>
      </c>
      <c r="D88" s="501">
        <f>'[8]Sch C'!F81</f>
        <v>0</v>
      </c>
      <c r="E88" s="171">
        <f t="shared" si="11"/>
        <v>0</v>
      </c>
      <c r="F88" s="171"/>
      <c r="G88" s="171">
        <f t="shared" si="12"/>
        <v>0</v>
      </c>
      <c r="H88" s="172">
        <f t="shared" si="13"/>
        <v>0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'[8]Sch C'!D82</f>
        <v>4786</v>
      </c>
      <c r="D89" s="501">
        <f>'[8]Sch C'!F82</f>
        <v>0</v>
      </c>
      <c r="E89" s="171">
        <f t="shared" si="11"/>
        <v>4786</v>
      </c>
      <c r="F89" s="171"/>
      <c r="G89" s="171">
        <f t="shared" si="12"/>
        <v>4786</v>
      </c>
      <c r="H89" s="172">
        <f t="shared" si="13"/>
        <v>1.0741582132255674E-3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'[8]Sch C'!D83</f>
        <v>1060</v>
      </c>
      <c r="D90" s="501">
        <f>'[8]Sch C'!F83</f>
        <v>0</v>
      </c>
      <c r="E90" s="171">
        <f t="shared" si="11"/>
        <v>1060</v>
      </c>
      <c r="F90" s="171"/>
      <c r="G90" s="171">
        <f t="shared" si="12"/>
        <v>1060</v>
      </c>
      <c r="H90" s="172">
        <f t="shared" si="13"/>
        <v>2.3790382490996686E-4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'[8]Sch C'!D84</f>
        <v>30275</v>
      </c>
      <c r="D91" s="501">
        <f>'[8]Sch C'!F84</f>
        <v>0</v>
      </c>
      <c r="E91" s="171">
        <f t="shared" si="11"/>
        <v>30275</v>
      </c>
      <c r="F91" s="171"/>
      <c r="G91" s="171">
        <f t="shared" si="12"/>
        <v>30275</v>
      </c>
      <c r="H91" s="172">
        <f t="shared" si="13"/>
        <v>6.7948474520275913E-3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'[8]Sch C'!D85</f>
        <v>0</v>
      </c>
      <c r="D92" s="501">
        <f>'[8]Sch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88561</v>
      </c>
      <c r="D93" s="501">
        <f>SUM(D82:D92)</f>
        <v>0</v>
      </c>
      <c r="E93" s="171">
        <f t="shared" ref="E93:F93" si="14">SUM(E82:E92)</f>
        <v>88561</v>
      </c>
      <c r="F93" s="171">
        <f t="shared" si="14"/>
        <v>0</v>
      </c>
      <c r="G93" s="171">
        <f>SUM(G82:G92)</f>
        <v>88561</v>
      </c>
      <c r="H93" s="172">
        <f t="shared" si="13"/>
        <v>1.9876415696086391E-2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'[8]Sch C'!D89</f>
        <v>147833</v>
      </c>
      <c r="D96" s="501">
        <f>'[8]Sch C'!F89</f>
        <v>0</v>
      </c>
      <c r="E96" s="171">
        <f t="shared" ref="E96:E101" si="15">C96+D96</f>
        <v>147833</v>
      </c>
      <c r="F96" s="171"/>
      <c r="G96" s="171">
        <f t="shared" ref="G96:G101" si="16">E96+F96</f>
        <v>147833</v>
      </c>
      <c r="H96" s="172">
        <f t="shared" ref="H96:H102" si="17">IF($G$208=0,0,G96/$G$208)</f>
        <v>3.3179279384825594E-2</v>
      </c>
      <c r="I96" s="473"/>
      <c r="J96" s="183">
        <v>10159</v>
      </c>
      <c r="K96" s="183">
        <v>10765</v>
      </c>
    </row>
    <row r="97" spans="1:11" s="167" customFormat="1">
      <c r="A97" s="169" t="s">
        <v>86</v>
      </c>
      <c r="B97" s="170" t="s">
        <v>45</v>
      </c>
      <c r="C97" s="501">
        <f>'[8]Sch C'!D90</f>
        <v>22545</v>
      </c>
      <c r="D97" s="501">
        <f>'[8]Sch C'!F90</f>
        <v>0</v>
      </c>
      <c r="E97" s="171">
        <f t="shared" si="15"/>
        <v>22545</v>
      </c>
      <c r="F97" s="171"/>
      <c r="G97" s="171">
        <f t="shared" si="16"/>
        <v>22545</v>
      </c>
      <c r="H97" s="172">
        <f t="shared" si="17"/>
        <v>5.0599450307501912E-3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'[8]Sch C'!D91</f>
        <v>9676</v>
      </c>
      <c r="D98" s="501">
        <f>'[8]Sch C'!F91</f>
        <v>0</v>
      </c>
      <c r="E98" s="171">
        <f t="shared" si="15"/>
        <v>9676</v>
      </c>
      <c r="F98" s="171"/>
      <c r="G98" s="171">
        <f t="shared" si="16"/>
        <v>9676</v>
      </c>
      <c r="H98" s="172">
        <f t="shared" si="17"/>
        <v>2.1716579338007919E-3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'[8]Sch C'!D92</f>
        <v>96046</v>
      </c>
      <c r="D99" s="501">
        <f>'[8]Sch C'!F92</f>
        <v>0</v>
      </c>
      <c r="E99" s="171">
        <f t="shared" si="15"/>
        <v>96046</v>
      </c>
      <c r="F99" s="171"/>
      <c r="G99" s="171">
        <f t="shared" si="16"/>
        <v>96046</v>
      </c>
      <c r="H99" s="172">
        <f t="shared" si="17"/>
        <v>2.1556330912549698E-2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'[8]Sch C'!D93</f>
        <v>7197</v>
      </c>
      <c r="D100" s="501">
        <f>'[8]Sch C'!F93</f>
        <v>0</v>
      </c>
      <c r="E100" s="171">
        <f t="shared" si="15"/>
        <v>7197</v>
      </c>
      <c r="F100" s="171"/>
      <c r="G100" s="171">
        <f t="shared" si="16"/>
        <v>7197</v>
      </c>
      <c r="H100" s="172">
        <f t="shared" si="17"/>
        <v>1.615277196110407E-3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'[8]Sch C'!D94</f>
        <v>0</v>
      </c>
      <c r="D101" s="501">
        <f>'[8]Sch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283297</v>
      </c>
      <c r="D102" s="501">
        <f>SUM(D96:D101)</f>
        <v>0</v>
      </c>
      <c r="E102" s="171">
        <f t="shared" ref="E102:F102" si="18">SUM(E96:E101)</f>
        <v>283297</v>
      </c>
      <c r="F102" s="171">
        <f t="shared" si="18"/>
        <v>0</v>
      </c>
      <c r="G102" s="171">
        <f>SUM(G96:G101)</f>
        <v>283297</v>
      </c>
      <c r="H102" s="172">
        <f t="shared" si="17"/>
        <v>6.3582490458036683E-2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'[8]Sch C'!D98</f>
        <v>9072</v>
      </c>
      <c r="D105" s="501">
        <f>'[8]Sch C'!F98</f>
        <v>0</v>
      </c>
      <c r="E105" s="171">
        <f t="shared" ref="E105:E110" si="19">C105+D105</f>
        <v>9072</v>
      </c>
      <c r="F105" s="171"/>
      <c r="G105" s="171">
        <f t="shared" ref="G105:G110" si="20">E105+F105</f>
        <v>9072</v>
      </c>
      <c r="H105" s="172">
        <f t="shared" ref="H105:H111" si="21">IF($G$208=0,0,G105/$G$208)</f>
        <v>2.0360976411162449E-3</v>
      </c>
      <c r="I105" s="473"/>
      <c r="J105" s="183">
        <v>803</v>
      </c>
      <c r="K105" s="183">
        <v>831</v>
      </c>
    </row>
    <row r="106" spans="1:11" s="167" customFormat="1">
      <c r="A106" s="169" t="s">
        <v>86</v>
      </c>
      <c r="B106" s="170" t="s">
        <v>45</v>
      </c>
      <c r="C106" s="501">
        <f>'[8]Sch C'!D99</f>
        <v>1384</v>
      </c>
      <c r="D106" s="501">
        <f>'[8]Sch C'!F99</f>
        <v>0</v>
      </c>
      <c r="E106" s="171">
        <f t="shared" si="19"/>
        <v>1384</v>
      </c>
      <c r="F106" s="171"/>
      <c r="G106" s="171">
        <f t="shared" si="20"/>
        <v>1384</v>
      </c>
      <c r="H106" s="172">
        <f t="shared" si="21"/>
        <v>3.106215978069756E-4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'[8]Sch C'!D100</f>
        <v>6449</v>
      </c>
      <c r="D107" s="501">
        <f>'[8]Sch C'!F100</f>
        <v>0</v>
      </c>
      <c r="E107" s="171">
        <f t="shared" si="19"/>
        <v>6449</v>
      </c>
      <c r="F107" s="171"/>
      <c r="G107" s="171">
        <f t="shared" si="20"/>
        <v>6449</v>
      </c>
      <c r="H107" s="172">
        <f t="shared" si="21"/>
        <v>1.4473978932494117E-3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'[8]Sch C'!D101</f>
        <v>68</v>
      </c>
      <c r="D108" s="501">
        <f>'[8]Sch C'!F101</f>
        <v>0</v>
      </c>
      <c r="E108" s="171">
        <f t="shared" si="19"/>
        <v>68</v>
      </c>
      <c r="F108" s="171"/>
      <c r="G108" s="171">
        <f t="shared" si="20"/>
        <v>68</v>
      </c>
      <c r="H108" s="172">
        <f t="shared" si="21"/>
        <v>1.5261754805545044E-5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'[8]Sch C'!D102</f>
        <v>0</v>
      </c>
      <c r="D109" s="501">
        <f>'[8]Sch C'!F102</f>
        <v>0</v>
      </c>
      <c r="E109" s="171">
        <f t="shared" si="19"/>
        <v>0</v>
      </c>
      <c r="F109" s="171"/>
      <c r="G109" s="171">
        <f t="shared" si="20"/>
        <v>0</v>
      </c>
      <c r="H109" s="172">
        <f t="shared" si="21"/>
        <v>0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'[8]Sch C'!D103</f>
        <v>0</v>
      </c>
      <c r="D110" s="501">
        <f>'[8]Sch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16973</v>
      </c>
      <c r="D111" s="501">
        <f>SUM(D105:D110)</f>
        <v>0</v>
      </c>
      <c r="E111" s="171">
        <f t="shared" ref="E111:F111" si="22">SUM(E105:E110)</f>
        <v>16973</v>
      </c>
      <c r="F111" s="171">
        <f t="shared" si="22"/>
        <v>0</v>
      </c>
      <c r="G111" s="171">
        <f>SUM(G105:G110)</f>
        <v>16973</v>
      </c>
      <c r="H111" s="172">
        <f t="shared" si="21"/>
        <v>3.8093788869781771E-3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'[8]Sch C'!D115</f>
        <v>21215</v>
      </c>
      <c r="D114" s="501">
        <f>'[8]Sch C'!F115</f>
        <v>0</v>
      </c>
      <c r="E114" s="171">
        <f t="shared" ref="E114:E118" si="23">C114+D114</f>
        <v>21215</v>
      </c>
      <c r="F114" s="171"/>
      <c r="G114" s="171">
        <f>E114+F114</f>
        <v>21215</v>
      </c>
      <c r="H114" s="172">
        <f t="shared" ref="H114:H119" si="24">IF($G$208=0,0,G114/$G$208)</f>
        <v>4.7614430617593838E-3</v>
      </c>
      <c r="I114" s="473"/>
      <c r="J114" s="183">
        <v>1728</v>
      </c>
      <c r="K114" s="183">
        <v>1926</v>
      </c>
    </row>
    <row r="115" spans="1:11" s="167" customFormat="1">
      <c r="A115" s="169" t="s">
        <v>86</v>
      </c>
      <c r="B115" s="170" t="s">
        <v>151</v>
      </c>
      <c r="C115" s="501">
        <f>'[8]Sch C'!D116</f>
        <v>3235</v>
      </c>
      <c r="D115" s="501">
        <f>'[8]Sch C'!F116</f>
        <v>0</v>
      </c>
      <c r="E115" s="171">
        <f t="shared" si="23"/>
        <v>3235</v>
      </c>
      <c r="F115" s="171"/>
      <c r="G115" s="171">
        <f>E115+F115</f>
        <v>3235</v>
      </c>
      <c r="H115" s="172">
        <f t="shared" si="24"/>
        <v>7.2605554111673852E-4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'[8]Sch C'!D117</f>
        <v>3489</v>
      </c>
      <c r="D116" s="501">
        <f>'[8]Sch C'!F117</f>
        <v>0</v>
      </c>
      <c r="E116" s="171">
        <f t="shared" si="23"/>
        <v>3489</v>
      </c>
      <c r="F116" s="171"/>
      <c r="G116" s="171">
        <f>E116+F116</f>
        <v>3489</v>
      </c>
      <c r="H116" s="172">
        <f t="shared" si="24"/>
        <v>7.8306268406686268E-4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'[8]Sch C'!D118</f>
        <v>0</v>
      </c>
      <c r="D117" s="501">
        <f>'[8]Sch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'[8]Sch C'!D119</f>
        <v>0</v>
      </c>
      <c r="D118" s="501">
        <f>'[8]Sch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27939</v>
      </c>
      <c r="D119" s="501">
        <f>SUM(D114:D118)</f>
        <v>0</v>
      </c>
      <c r="E119" s="171">
        <f t="shared" ref="E119:F119" si="25">SUM(E114:E118)</f>
        <v>27939</v>
      </c>
      <c r="F119" s="171">
        <f t="shared" si="25"/>
        <v>0</v>
      </c>
      <c r="G119" s="171">
        <f>SUM(G114:G118)</f>
        <v>27939</v>
      </c>
      <c r="H119" s="172">
        <f t="shared" si="24"/>
        <v>6.270561286942985E-3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'[8]Sch C'!D124</f>
        <v>0</v>
      </c>
      <c r="D123" s="501">
        <f>'[8]Sch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'[8]Sch C'!D125</f>
        <v>244965</v>
      </c>
      <c r="D124" s="501">
        <f>'[8]Sch C'!F125</f>
        <v>0</v>
      </c>
      <c r="E124" s="171">
        <f t="shared" si="26"/>
        <v>244965</v>
      </c>
      <c r="F124" s="171"/>
      <c r="G124" s="171">
        <f>E124+F124</f>
        <v>244965</v>
      </c>
      <c r="H124" s="172">
        <f>IF($G$208=0,0,G124/$G$208)</f>
        <v>5.4979349499122671E-2</v>
      </c>
      <c r="I124" s="473"/>
      <c r="J124" s="183">
        <v>5563</v>
      </c>
      <c r="K124" s="183">
        <v>6035</v>
      </c>
    </row>
    <row r="125" spans="1:11" s="167" customFormat="1">
      <c r="A125" s="163" t="s">
        <v>198</v>
      </c>
      <c r="B125" s="163" t="s">
        <v>195</v>
      </c>
      <c r="C125" s="501">
        <f>'[8]Sch C'!D126</f>
        <v>0</v>
      </c>
      <c r="D125" s="501">
        <f>'[8]Sch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'[8]Sch C'!D127</f>
        <v>0</v>
      </c>
      <c r="D126" s="501">
        <f>'[8]Sch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'[8]Sch C'!D128</f>
        <v>44190</v>
      </c>
      <c r="D127" s="501">
        <f>'[8]Sch C'!F128</f>
        <v>0</v>
      </c>
      <c r="E127" s="171">
        <f t="shared" si="26"/>
        <v>44190</v>
      </c>
      <c r="F127" s="171"/>
      <c r="G127" s="171">
        <f>E127+F127</f>
        <v>44190</v>
      </c>
      <c r="H127" s="172">
        <f>IF($G$208=0,0,G127/$G$208)</f>
        <v>9.9178962478975816E-3</v>
      </c>
      <c r="I127" s="473"/>
      <c r="J127" s="183">
        <v>2006</v>
      </c>
      <c r="K127" s="183">
        <v>2202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'[8]Sch C'!D130</f>
        <v>0</v>
      </c>
      <c r="D129" s="501">
        <f>'[8]Sch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'[8]Sch C'!D131</f>
        <v>37358</v>
      </c>
      <c r="D130" s="501">
        <f>'[8]Sch C'!F131</f>
        <v>0</v>
      </c>
      <c r="E130" s="171">
        <f t="shared" si="27"/>
        <v>37358</v>
      </c>
      <c r="F130" s="171"/>
      <c r="G130" s="171">
        <f>E130+F130</f>
        <v>37358</v>
      </c>
      <c r="H130" s="172">
        <f>IF($G$208=0,0,G130/$G$208)</f>
        <v>8.3845387650816443E-3</v>
      </c>
      <c r="I130" s="473"/>
      <c r="J130" s="204"/>
      <c r="K130" s="204"/>
    </row>
    <row r="131" spans="1:11" s="167" customFormat="1">
      <c r="B131" s="163" t="s">
        <v>195</v>
      </c>
      <c r="C131" s="501">
        <f>'[8]Sch C'!D132</f>
        <v>0</v>
      </c>
      <c r="D131" s="501">
        <f>'[8]Sch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'[8]Sch C'!D133</f>
        <v>0</v>
      </c>
      <c r="D132" s="501">
        <f>'[8]Sch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'[8]Sch C'!D134</f>
        <v>6739</v>
      </c>
      <c r="D133" s="501">
        <f>'[8]Sch C'!F134</f>
        <v>0</v>
      </c>
      <c r="E133" s="171">
        <f t="shared" si="27"/>
        <v>6739</v>
      </c>
      <c r="F133" s="171"/>
      <c r="G133" s="171">
        <f>E133+F133</f>
        <v>6739</v>
      </c>
      <c r="H133" s="172">
        <f>IF($G$208=0,0,G133/$G$208)</f>
        <v>1.5124847887436478E-3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'[8]Sch C'!D136</f>
        <v>335554</v>
      </c>
      <c r="D135" s="501">
        <f>'[8]Sch C'!F136</f>
        <v>0</v>
      </c>
      <c r="E135" s="171">
        <f t="shared" ref="E135:E138" si="28">C135+D135</f>
        <v>335554</v>
      </c>
      <c r="F135" s="171"/>
      <c r="G135" s="171">
        <f>E135+F135</f>
        <v>335554</v>
      </c>
      <c r="H135" s="172">
        <f>IF($G$208=0,0,G135/$G$208)</f>
        <v>7.5310924588527381E-2</v>
      </c>
      <c r="I135" s="473"/>
      <c r="J135" s="183">
        <v>9594</v>
      </c>
      <c r="K135" s="183">
        <v>10241</v>
      </c>
    </row>
    <row r="136" spans="1:11" s="167" customFormat="1">
      <c r="A136" s="169"/>
      <c r="B136" s="163" t="s">
        <v>195</v>
      </c>
      <c r="C136" s="501">
        <f>'[8]Sch C'!D137</f>
        <v>260460</v>
      </c>
      <c r="D136" s="501">
        <f>'[8]Sch C'!F137</f>
        <v>0</v>
      </c>
      <c r="E136" s="171">
        <f t="shared" si="28"/>
        <v>260460</v>
      </c>
      <c r="F136" s="171"/>
      <c r="G136" s="171">
        <f>E136+F136</f>
        <v>260460</v>
      </c>
      <c r="H136" s="172">
        <f>IF($G$208=0,0,G136/$G$208)</f>
        <v>5.8457009656650918E-2</v>
      </c>
      <c r="I136" s="473"/>
      <c r="J136" s="183">
        <v>8801</v>
      </c>
      <c r="K136" s="183">
        <v>9563</v>
      </c>
    </row>
    <row r="137" spans="1:11" s="167" customFormat="1">
      <c r="A137" s="169"/>
      <c r="B137" s="163" t="s">
        <v>196</v>
      </c>
      <c r="C137" s="501">
        <f>'[8]Sch C'!D138</f>
        <v>434118</v>
      </c>
      <c r="D137" s="501">
        <f>'[8]Sch C'!F138</f>
        <v>0</v>
      </c>
      <c r="E137" s="171">
        <f t="shared" si="28"/>
        <v>434118</v>
      </c>
      <c r="F137" s="171"/>
      <c r="G137" s="171">
        <f>E137+F137</f>
        <v>434118</v>
      </c>
      <c r="H137" s="172">
        <f>IF($G$208=0,0,G137/$G$208)</f>
        <v>9.7432389304023578E-2</v>
      </c>
      <c r="I137" s="473"/>
      <c r="J137" s="183">
        <v>28012</v>
      </c>
      <c r="K137" s="183">
        <v>29604</v>
      </c>
    </row>
    <row r="138" spans="1:11" s="167" customFormat="1">
      <c r="A138" s="169"/>
      <c r="B138" s="163" t="s">
        <v>197</v>
      </c>
      <c r="C138" s="501">
        <f>'[8]Sch C'!D139</f>
        <v>0</v>
      </c>
      <c r="D138" s="501">
        <f>'[8]Sch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'[8]Sch C'!D141</f>
        <v>51173</v>
      </c>
      <c r="D140" s="501">
        <f>'[8]Sch C'!F141</f>
        <v>0</v>
      </c>
      <c r="E140" s="171">
        <f t="shared" ref="E140:E143" si="29">C140+D140</f>
        <v>51173</v>
      </c>
      <c r="F140" s="171"/>
      <c r="G140" s="171">
        <f>E140+F140</f>
        <v>51173</v>
      </c>
      <c r="H140" s="172">
        <f>IF($G$208=0,0,G140/$G$208)</f>
        <v>1.1485143803884655E-2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'[8]Sch C'!D142</f>
        <v>39721</v>
      </c>
      <c r="D141" s="501">
        <f>'[8]Sch C'!F142</f>
        <v>0</v>
      </c>
      <c r="E141" s="171">
        <f t="shared" si="29"/>
        <v>39721</v>
      </c>
      <c r="F141" s="171"/>
      <c r="G141" s="171">
        <f>E141+F141</f>
        <v>39721</v>
      </c>
      <c r="H141" s="172">
        <f>IF($G$208=0,0,G141/$G$208)</f>
        <v>8.9148847445743341E-3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'[8]Sch C'!D143</f>
        <v>66204</v>
      </c>
      <c r="D142" s="501">
        <f>'[8]Sch C'!F143</f>
        <v>0</v>
      </c>
      <c r="E142" s="171">
        <f t="shared" si="29"/>
        <v>66204</v>
      </c>
      <c r="F142" s="171"/>
      <c r="G142" s="171">
        <f>E142+F142</f>
        <v>66204</v>
      </c>
      <c r="H142" s="172">
        <f>IF($G$208=0,0,G142/$G$208)</f>
        <v>1.4858664928622119E-2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'[8]Sch C'!D144</f>
        <v>0</v>
      </c>
      <c r="D143" s="501">
        <f>'[8]Sch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'[8]Sch C'!D146</f>
        <v>60037</v>
      </c>
      <c r="D145" s="501">
        <f>'[8]Sch C'!F146</f>
        <v>0</v>
      </c>
      <c r="E145" s="171">
        <f t="shared" ref="E145:E153" si="30">C145+D145</f>
        <v>60037</v>
      </c>
      <c r="F145" s="171"/>
      <c r="G145" s="171">
        <f t="shared" ref="G145:G153" si="31">E145+F145</f>
        <v>60037</v>
      </c>
      <c r="H145" s="172">
        <f t="shared" ref="H145:H153" si="32">IF($G$208=0,0,G145/$G$208)</f>
        <v>1.3474558430301585E-2</v>
      </c>
      <c r="I145" s="473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'[8]Sch C'!D147</f>
        <v>126668</v>
      </c>
      <c r="D146" s="501">
        <f>'[8]Sch C'!F147</f>
        <v>0</v>
      </c>
      <c r="E146" s="171">
        <f t="shared" si="30"/>
        <v>126668</v>
      </c>
      <c r="F146" s="171"/>
      <c r="G146" s="171">
        <f t="shared" si="31"/>
        <v>126668</v>
      </c>
      <c r="H146" s="172">
        <f t="shared" si="32"/>
        <v>2.8429058201599702E-2</v>
      </c>
      <c r="I146" s="473"/>
      <c r="J146" s="183">
        <v>2422</v>
      </c>
      <c r="K146" s="183">
        <v>2422</v>
      </c>
    </row>
    <row r="147" spans="1:11" s="167" customFormat="1">
      <c r="A147" s="169"/>
      <c r="B147" s="163" t="s">
        <v>195</v>
      </c>
      <c r="C147" s="501">
        <f>'[8]Sch C'!D148</f>
        <v>21795</v>
      </c>
      <c r="D147" s="501">
        <f>'[8]Sch C'!F148</f>
        <v>0</v>
      </c>
      <c r="E147" s="171">
        <f t="shared" si="30"/>
        <v>21795</v>
      </c>
      <c r="F147" s="171"/>
      <c r="G147" s="171">
        <f t="shared" si="31"/>
        <v>21795</v>
      </c>
      <c r="H147" s="172">
        <f t="shared" si="32"/>
        <v>4.8916168527478564E-3</v>
      </c>
      <c r="I147" s="473"/>
      <c r="J147" s="183">
        <v>506</v>
      </c>
      <c r="K147" s="183">
        <v>506</v>
      </c>
    </row>
    <row r="148" spans="1:11" s="167" customFormat="1">
      <c r="A148" s="169"/>
      <c r="B148" s="163" t="s">
        <v>196</v>
      </c>
      <c r="C148" s="501">
        <f>'[8]Sch C'!D149</f>
        <v>112488</v>
      </c>
      <c r="D148" s="501">
        <f>'[8]Sch C'!F149</f>
        <v>0</v>
      </c>
      <c r="E148" s="171">
        <f t="shared" si="30"/>
        <v>112488</v>
      </c>
      <c r="F148" s="171"/>
      <c r="G148" s="171">
        <f t="shared" si="31"/>
        <v>112488</v>
      </c>
      <c r="H148" s="172">
        <f t="shared" si="32"/>
        <v>2.5246533449502218E-2</v>
      </c>
      <c r="I148" s="473"/>
      <c r="J148" s="183">
        <v>4979</v>
      </c>
      <c r="K148" s="183">
        <v>4979</v>
      </c>
    </row>
    <row r="149" spans="1:11" s="167" customFormat="1">
      <c r="A149" s="169"/>
      <c r="B149" s="163" t="s">
        <v>197</v>
      </c>
      <c r="C149" s="501">
        <f>'[8]Sch C'!D150</f>
        <v>0</v>
      </c>
      <c r="D149" s="501">
        <f>'[8]Sch C'!F150</f>
        <v>0</v>
      </c>
      <c r="E149" s="171">
        <f t="shared" si="30"/>
        <v>0</v>
      </c>
      <c r="F149" s="171"/>
      <c r="G149" s="171">
        <f t="shared" si="31"/>
        <v>0</v>
      </c>
      <c r="H149" s="172">
        <f t="shared" si="32"/>
        <v>0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'[8]Sch C'!D151</f>
        <v>59513</v>
      </c>
      <c r="D150" s="501">
        <f>'[8]Sch C'!F151</f>
        <v>0</v>
      </c>
      <c r="E150" s="171">
        <f t="shared" si="30"/>
        <v>59513</v>
      </c>
      <c r="F150" s="171"/>
      <c r="G150" s="171">
        <f t="shared" si="31"/>
        <v>59513</v>
      </c>
      <c r="H150" s="172">
        <f t="shared" si="32"/>
        <v>1.3356953143270621E-2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'[8]Sch C'!D152</f>
        <v>57876</v>
      </c>
      <c r="D151" s="501">
        <f>'[8]Sch C'!F152</f>
        <v>0</v>
      </c>
      <c r="E151" s="171">
        <f t="shared" si="30"/>
        <v>57876</v>
      </c>
      <c r="F151" s="171"/>
      <c r="G151" s="171">
        <f t="shared" si="31"/>
        <v>57876</v>
      </c>
      <c r="H151" s="172">
        <f t="shared" si="32"/>
        <v>1.2989548840084192E-2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'[8]Sch C'!D153</f>
        <v>0</v>
      </c>
      <c r="D152" s="501">
        <f>'[8]Sch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'[8]Sch C'!D154</f>
        <v>0</v>
      </c>
      <c r="D153" s="501">
        <f>'[8]Sch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'[8]Sch C'!D156</f>
        <v>0</v>
      </c>
      <c r="D155" s="501">
        <f>'[8]Sch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'[8]Sch C'!D157</f>
        <v>0</v>
      </c>
      <c r="D156" s="501">
        <f>'[8]Sch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'[8]Sch C'!D158</f>
        <v>0</v>
      </c>
      <c r="D157" s="501">
        <f>'[8]Sch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'[8]Sch C'!D159</f>
        <v>0</v>
      </c>
      <c r="D158" s="501">
        <f>'[8]Sch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'[8]Sch C'!D160</f>
        <v>0</v>
      </c>
      <c r="D159" s="501">
        <f>'[8]Sch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'[8]Sch C'!D161</f>
        <v>0</v>
      </c>
      <c r="D160" s="501">
        <f>'[8]Sch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1958859</v>
      </c>
      <c r="D161" s="501">
        <f>SUM(D123:D160)</f>
        <v>0</v>
      </c>
      <c r="E161" s="171">
        <f t="shared" ref="E161:F161" si="36">SUM(E123:E160)</f>
        <v>1958859</v>
      </c>
      <c r="F161" s="171">
        <f t="shared" si="36"/>
        <v>0</v>
      </c>
      <c r="G161" s="171">
        <f>SUM(G123:G160)</f>
        <v>1958859</v>
      </c>
      <c r="H161" s="172">
        <f t="shared" si="35"/>
        <v>0.43964155524463472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'[8]Sch C'!D175</f>
        <v>0</v>
      </c>
      <c r="D164" s="501">
        <f>'[8]Sch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'[8]Sch C'!D176</f>
        <v>0</v>
      </c>
      <c r="D165" s="501">
        <f>'[8]Sch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'[8]Sch C'!D177</f>
        <v>0</v>
      </c>
      <c r="D166" s="501">
        <f>'[8]Sch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'[8]Sch C'!D178</f>
        <v>0</v>
      </c>
      <c r="D167" s="501">
        <f>'[8]Sch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'[8]Sch C'!D179</f>
        <v>0</v>
      </c>
      <c r="D168" s="501">
        <f>'[8]Sch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'[8]Sch C'!D180</f>
        <v>0</v>
      </c>
      <c r="D169" s="501">
        <f>'[8]Sch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'[8]Sch C'!D181</f>
        <v>0</v>
      </c>
      <c r="D170" s="501">
        <f>'[8]Sch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'[8]Sch C'!D182</f>
        <v>0</v>
      </c>
      <c r="D171" s="501">
        <f>'[8]Sch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'[8]Sch C'!D183</f>
        <v>0</v>
      </c>
      <c r="D172" s="501">
        <f>'[8]Sch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'[8]Sch C'!D184</f>
        <v>0</v>
      </c>
      <c r="D173" s="501">
        <f>'[8]Sch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'[8]Sch C'!D185</f>
        <v>0</v>
      </c>
      <c r="D174" s="501">
        <f>'[8]Sch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'[8]Sch C'!D186</f>
        <v>0</v>
      </c>
      <c r="D175" s="501">
        <f>'[8]Sch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'[8]Sch C'!D187</f>
        <v>0</v>
      </c>
      <c r="D176" s="501">
        <f>'[8]Sch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'[8]Sch C'!D188</f>
        <v>0</v>
      </c>
      <c r="D177" s="501">
        <f>'[8]Sch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'[8]Sch C'!D189</f>
        <v>0</v>
      </c>
      <c r="D178" s="501">
        <f>'[8]Sch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'[8]Sch C'!D190</f>
        <v>0</v>
      </c>
      <c r="D179" s="501">
        <f>'[8]Sch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'[8]Sch C'!D191</f>
        <v>0</v>
      </c>
      <c r="D180" s="501">
        <f>'[8]Sch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'[8]Sch C'!D192</f>
        <v>40915</v>
      </c>
      <c r="D181" s="501">
        <f>'[8]Sch C'!F192</f>
        <v>0</v>
      </c>
      <c r="E181" s="171">
        <f t="shared" si="37"/>
        <v>40915</v>
      </c>
      <c r="F181" s="216"/>
      <c r="G181" s="171">
        <f t="shared" si="38"/>
        <v>40915</v>
      </c>
      <c r="H181" s="172">
        <f t="shared" si="39"/>
        <v>9.182863203954051E-3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'[8]Sch C'!D193</f>
        <v>0</v>
      </c>
      <c r="D182" s="501">
        <f>'[8]Sch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'[8]Sch C'!D194</f>
        <v>353425</v>
      </c>
      <c r="D183" s="501">
        <f>'[8]Sch C'!F194</f>
        <v>0</v>
      </c>
      <c r="E183" s="171">
        <f t="shared" si="37"/>
        <v>353425</v>
      </c>
      <c r="F183" s="216"/>
      <c r="G183" s="171">
        <f t="shared" si="38"/>
        <v>353425</v>
      </c>
      <c r="H183" s="172">
        <f t="shared" si="39"/>
        <v>7.9321848413967014E-2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'[8]Sch C'!D195</f>
        <v>68535</v>
      </c>
      <c r="D184" s="501">
        <f>'[8]Sch C'!F195</f>
        <v>0</v>
      </c>
      <c r="E184" s="171">
        <f t="shared" si="37"/>
        <v>68535</v>
      </c>
      <c r="F184" s="216"/>
      <c r="G184" s="171">
        <f t="shared" si="38"/>
        <v>68535</v>
      </c>
      <c r="H184" s="172">
        <f t="shared" si="39"/>
        <v>1.5381828905853377E-2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'[8]Sch C'!D196</f>
        <v>0</v>
      </c>
      <c r="D185" s="501">
        <f>'[8]Sch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'[8]Sch C'!D197</f>
        <v>321158</v>
      </c>
      <c r="D186" s="501">
        <f>'[8]Sch C'!F197</f>
        <v>0</v>
      </c>
      <c r="E186" s="171">
        <f t="shared" si="37"/>
        <v>321158</v>
      </c>
      <c r="F186" s="216"/>
      <c r="G186" s="171">
        <f t="shared" si="38"/>
        <v>321158</v>
      </c>
      <c r="H186" s="172">
        <f t="shared" si="39"/>
        <v>7.2079921321165225E-2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'[8]Sch C'!D198</f>
        <v>9744</v>
      </c>
      <c r="D187" s="501">
        <f>'[8]Sch C'!F198</f>
        <v>0</v>
      </c>
      <c r="E187" s="171">
        <f t="shared" si="37"/>
        <v>9744</v>
      </c>
      <c r="F187" s="216"/>
      <c r="G187" s="171">
        <f t="shared" si="38"/>
        <v>9744</v>
      </c>
      <c r="H187" s="172">
        <f t="shared" si="39"/>
        <v>2.1869196886063372E-3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'[8]Sch C'!D199</f>
        <v>0</v>
      </c>
      <c r="D188" s="501">
        <f>'[8]Sch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'[8]Sch C'!D200</f>
        <v>0</v>
      </c>
      <c r="D189" s="501">
        <f>'[8]Sch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'[8]Sch C'!D201</f>
        <v>18054</v>
      </c>
      <c r="D190" s="501">
        <f>'[8]Sch C'!F201</f>
        <v>0</v>
      </c>
      <c r="E190" s="171">
        <f t="shared" si="37"/>
        <v>18054</v>
      </c>
      <c r="F190" s="216"/>
      <c r="G190" s="171">
        <f t="shared" si="38"/>
        <v>18054</v>
      </c>
      <c r="H190" s="172">
        <f t="shared" si="39"/>
        <v>4.0519959008722094E-3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'[8]Sch C'!D202</f>
        <v>0</v>
      </c>
      <c r="D191" s="501">
        <f>'[8]Sch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'[8]Sch C'!D203</f>
        <v>0</v>
      </c>
      <c r="D192" s="501">
        <f>'[8]Sch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'[8]Sch C'!D204</f>
        <v>870</v>
      </c>
      <c r="D193" s="501">
        <f>'[8]Sch C'!F204</f>
        <v>0</v>
      </c>
      <c r="E193" s="171">
        <f t="shared" si="37"/>
        <v>870</v>
      </c>
      <c r="F193" s="216"/>
      <c r="G193" s="171">
        <f t="shared" si="38"/>
        <v>870</v>
      </c>
      <c r="H193" s="172">
        <f t="shared" si="39"/>
        <v>1.9526068648270865E-4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'[8]Sch C'!D205</f>
        <v>266620</v>
      </c>
      <c r="D194" s="501">
        <f>'[8]Sch C'!F205</f>
        <v>0</v>
      </c>
      <c r="E194" s="171">
        <f t="shared" si="37"/>
        <v>266620</v>
      </c>
      <c r="F194" s="216"/>
      <c r="G194" s="171">
        <f t="shared" si="38"/>
        <v>266620</v>
      </c>
      <c r="H194" s="172">
        <f t="shared" si="39"/>
        <v>5.983954509197676E-2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'[8]Sch C'!D206</f>
        <v>29635</v>
      </c>
      <c r="D195" s="501">
        <f>'[8]Sch C'!F206</f>
        <v>0</v>
      </c>
      <c r="E195" s="171">
        <f t="shared" si="37"/>
        <v>29635</v>
      </c>
      <c r="F195" s="216"/>
      <c r="G195" s="171">
        <f t="shared" si="38"/>
        <v>29635</v>
      </c>
      <c r="H195" s="172">
        <f t="shared" si="39"/>
        <v>6.6512074067989323E-3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'[8]Sch C'!D207</f>
        <v>0</v>
      </c>
      <c r="D196" s="501">
        <f>'[8]Sch C'!F207</f>
        <v>0</v>
      </c>
      <c r="E196" s="171">
        <f t="shared" si="37"/>
        <v>0</v>
      </c>
      <c r="F196" s="568"/>
      <c r="G196" s="171">
        <f t="shared" si="38"/>
        <v>0</v>
      </c>
      <c r="H196" s="172">
        <f t="shared" si="39"/>
        <v>0</v>
      </c>
      <c r="I196" s="473" t="s">
        <v>474</v>
      </c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1108956</v>
      </c>
      <c r="D197" s="501">
        <f>SUM(D164:D196)</f>
        <v>0</v>
      </c>
      <c r="E197" s="171">
        <f t="shared" ref="E197:F197" si="40">SUM(E164:E196)</f>
        <v>1108956</v>
      </c>
      <c r="F197" s="171">
        <f t="shared" si="40"/>
        <v>0</v>
      </c>
      <c r="G197" s="171">
        <f>SUM(G164:G196)</f>
        <v>1108956</v>
      </c>
      <c r="H197" s="172">
        <f>IF($G$208=0,0,G197/$G$208)</f>
        <v>0.24889139061967663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'[8]Sch C'!D211</f>
        <v>76558</v>
      </c>
      <c r="D200" s="501">
        <f>'[8]Sch C'!F211</f>
        <v>0</v>
      </c>
      <c r="E200" s="171">
        <f t="shared" ref="E200:E205" si="41">C200+D200</f>
        <v>76558</v>
      </c>
      <c r="F200" s="171"/>
      <c r="G200" s="171">
        <f t="shared" ref="G200:G205" si="42">E200+F200</f>
        <v>76558</v>
      </c>
      <c r="H200" s="172">
        <f t="shared" ref="H200:H206" si="43">IF($G$208=0,0,G200/$G$208)</f>
        <v>1.7182491535337022E-2</v>
      </c>
      <c r="I200" s="473"/>
      <c r="J200" s="183">
        <v>3422</v>
      </c>
      <c r="K200" s="183">
        <v>3720</v>
      </c>
    </row>
    <row r="201" spans="1:14" s="167" customFormat="1">
      <c r="A201" s="169" t="s">
        <v>86</v>
      </c>
      <c r="B201" s="170" t="s">
        <v>45</v>
      </c>
      <c r="C201" s="501">
        <f>'[8]Sch C'!D212</f>
        <v>11675</v>
      </c>
      <c r="D201" s="501">
        <f>'[8]Sch C'!F212</f>
        <v>0</v>
      </c>
      <c r="E201" s="171">
        <f t="shared" si="41"/>
        <v>11675</v>
      </c>
      <c r="F201" s="171"/>
      <c r="G201" s="171">
        <f t="shared" si="42"/>
        <v>11675</v>
      </c>
      <c r="H201" s="172">
        <f t="shared" si="43"/>
        <v>2.6203086375696824E-3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'[8]Sch C'!D213</f>
        <v>14159</v>
      </c>
      <c r="D202" s="501">
        <f>'[8]Sch C'!F213</f>
        <v>0</v>
      </c>
      <c r="E202" s="171">
        <f t="shared" si="41"/>
        <v>14159</v>
      </c>
      <c r="F202" s="171"/>
      <c r="G202" s="171">
        <f t="shared" si="42"/>
        <v>14159</v>
      </c>
      <c r="H202" s="172">
        <f t="shared" si="43"/>
        <v>3.1778115631134161E-3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'[8]Sch C'!D214</f>
        <v>5155</v>
      </c>
      <c r="D203" s="501">
        <f>'[8]Sch C'!F214</f>
        <v>0</v>
      </c>
      <c r="E203" s="171">
        <f t="shared" si="41"/>
        <v>5155</v>
      </c>
      <c r="F203" s="171"/>
      <c r="G203" s="171">
        <f t="shared" si="42"/>
        <v>5155</v>
      </c>
      <c r="H203" s="172">
        <f t="shared" si="43"/>
        <v>1.1569756768027163E-3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'[8]Sch C'!D215</f>
        <v>0</v>
      </c>
      <c r="D204" s="501">
        <f>'[8]Sch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'[8]Sch C'!D216</f>
        <v>0</v>
      </c>
      <c r="D205" s="501">
        <f>'[8]Sch C'!F216</f>
        <v>0</v>
      </c>
      <c r="E205" s="171">
        <f t="shared" si="41"/>
        <v>0</v>
      </c>
      <c r="F205" s="171"/>
      <c r="G205" s="171">
        <f t="shared" si="42"/>
        <v>0</v>
      </c>
      <c r="H205" s="172">
        <f t="shared" si="43"/>
        <v>0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107547</v>
      </c>
      <c r="D206" s="501">
        <f>SUM(D200:D205)</f>
        <v>0</v>
      </c>
      <c r="E206" s="171">
        <f t="shared" ref="E206:F206" si="44">SUM(E200:E205)</f>
        <v>107547</v>
      </c>
      <c r="F206" s="171">
        <f t="shared" si="44"/>
        <v>0</v>
      </c>
      <c r="G206" s="171">
        <f>SUM(G200:G205)</f>
        <v>107547</v>
      </c>
      <c r="H206" s="172">
        <f t="shared" si="43"/>
        <v>2.4137587412822837E-2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4383654</v>
      </c>
      <c r="D208" s="501">
        <f>SUM(D25:D206)/2</f>
        <v>-12089</v>
      </c>
      <c r="E208" s="171">
        <f t="shared" ref="E208:F208" si="45">SUM(E25:E206)/2</f>
        <v>4371565</v>
      </c>
      <c r="F208" s="171">
        <f t="shared" si="45"/>
        <v>84017</v>
      </c>
      <c r="G208" s="171">
        <f>SUM(G25:G206)/2</f>
        <v>4455582</v>
      </c>
      <c r="H208" s="172">
        <f>IF($G$208=0,0,G208/$G$208)</f>
        <v>1</v>
      </c>
      <c r="I208" s="473"/>
      <c r="J208" s="183">
        <f>SUM(J25:J200)</f>
        <v>82035</v>
      </c>
      <c r="K208" s="183">
        <f>SUM(K25:K200)</f>
        <v>87116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'[8]Sch C'!D221</f>
        <v>4383654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459513</v>
      </c>
      <c r="D215" s="501">
        <f>D21-D208</f>
        <v>-3678</v>
      </c>
      <c r="E215" s="171">
        <f t="shared" ref="E215:F215" si="46">E21-E208</f>
        <v>455835</v>
      </c>
      <c r="F215" s="171">
        <f t="shared" si="46"/>
        <v>-84017</v>
      </c>
      <c r="G215" s="171">
        <f>G21-G208</f>
        <v>371818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'[8]Sch D'!C9</f>
        <v>62</v>
      </c>
      <c r="D219" s="530"/>
      <c r="E219" s="234">
        <f t="shared" ref="E219:G227" si="47">C219+D219</f>
        <v>62</v>
      </c>
      <c r="F219" s="233"/>
      <c r="G219" s="234">
        <f t="shared" si="47"/>
        <v>62</v>
      </c>
      <c r="H219" s="172">
        <f t="shared" ref="H219:H228" si="48">IF($G$228=0,0,G219/$G$228)</f>
        <v>4.4898254761387502E-3</v>
      </c>
      <c r="I219" s="473"/>
      <c r="J219" s="168"/>
      <c r="K219" s="168"/>
    </row>
    <row r="220" spans="1:11">
      <c r="A220" s="163"/>
      <c r="B220" s="170" t="s">
        <v>217</v>
      </c>
      <c r="C220" s="530">
        <f>'[8]Sch D'!D9</f>
        <v>0</v>
      </c>
      <c r="D220" s="530"/>
      <c r="E220" s="234">
        <f t="shared" si="47"/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'[8]Sch D'!E9</f>
        <v>5358</v>
      </c>
      <c r="D221" s="530"/>
      <c r="E221" s="234">
        <f t="shared" si="47"/>
        <v>5358</v>
      </c>
      <c r="F221" s="233"/>
      <c r="G221" s="234">
        <f t="shared" si="47"/>
        <v>5358</v>
      </c>
      <c r="H221" s="172">
        <f t="shared" si="48"/>
        <v>0.38800782098631326</v>
      </c>
      <c r="I221" s="473"/>
      <c r="J221" s="168"/>
      <c r="K221" s="168"/>
    </row>
    <row r="222" spans="1:11">
      <c r="A222" s="163"/>
      <c r="B222" s="202" t="s">
        <v>334</v>
      </c>
      <c r="C222" s="530">
        <f>'[8]Sch D'!F9</f>
        <v>1512</v>
      </c>
      <c r="D222" s="530"/>
      <c r="E222" s="234">
        <f>C222+D222</f>
        <v>1512</v>
      </c>
      <c r="F222" s="233"/>
      <c r="G222" s="234">
        <f>E222+F222</f>
        <v>1512</v>
      </c>
      <c r="H222" s="172">
        <f t="shared" si="48"/>
        <v>0.10949380838583532</v>
      </c>
      <c r="I222" s="473"/>
      <c r="J222" s="168"/>
      <c r="K222" s="168"/>
    </row>
    <row r="223" spans="1:11">
      <c r="A223" s="163"/>
      <c r="B223" s="170" t="s">
        <v>73</v>
      </c>
      <c r="C223" s="530">
        <f>'[8]Sch D'!G9</f>
        <v>0</v>
      </c>
      <c r="D223" s="530"/>
      <c r="E223" s="234">
        <f t="shared" si="47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'[8]Sch D'!H9</f>
        <v>6849</v>
      </c>
      <c r="D224" s="530"/>
      <c r="E224" s="234">
        <f t="shared" si="47"/>
        <v>6849</v>
      </c>
      <c r="F224" s="233"/>
      <c r="G224" s="234">
        <f t="shared" si="47"/>
        <v>6849</v>
      </c>
      <c r="H224" s="172">
        <f t="shared" si="48"/>
        <v>0.49598088203345642</v>
      </c>
      <c r="I224" s="473"/>
      <c r="J224" s="168"/>
      <c r="K224" s="168"/>
    </row>
    <row r="225" spans="1:11">
      <c r="A225" s="163"/>
      <c r="B225" s="170" t="s">
        <v>236</v>
      </c>
      <c r="C225" s="530">
        <f>'[8]Sch D'!I9</f>
        <v>0</v>
      </c>
      <c r="D225" s="530"/>
      <c r="E225" s="234">
        <f t="shared" si="47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'[8]Sch D'!J9</f>
        <v>28</v>
      </c>
      <c r="D226" s="530"/>
      <c r="E226" s="234">
        <f>C226+D226</f>
        <v>28</v>
      </c>
      <c r="F226" s="233"/>
      <c r="G226" s="234">
        <f>E226+F226</f>
        <v>28</v>
      </c>
      <c r="H226" s="172">
        <f t="shared" si="48"/>
        <v>2.0276631182562098E-3</v>
      </c>
      <c r="I226" s="473"/>
      <c r="J226" s="168"/>
      <c r="K226" s="168"/>
    </row>
    <row r="227" spans="1:11">
      <c r="A227" s="163"/>
      <c r="B227" s="170" t="s">
        <v>179</v>
      </c>
      <c r="C227" s="530">
        <f>'[8]Sch D'!K9</f>
        <v>0</v>
      </c>
      <c r="D227" s="530"/>
      <c r="E227" s="234">
        <f t="shared" si="47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13809</v>
      </c>
      <c r="D228" s="530">
        <f>SUM(D219:D227)</f>
        <v>0</v>
      </c>
      <c r="E228" s="236">
        <f>SUM(E219:E227)</f>
        <v>13809</v>
      </c>
      <c r="F228" s="236">
        <f>SUM(F219:F227)</f>
        <v>0</v>
      </c>
      <c r="G228" s="236">
        <f>SUM(G219:G227)</f>
        <v>13809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'[8]Sch D'!N22</f>
        <v>45</v>
      </c>
      <c r="D231" s="502"/>
      <c r="E231" s="234">
        <f>C231+D231</f>
        <v>45</v>
      </c>
      <c r="F231" s="234"/>
      <c r="G231" s="234">
        <f>E231+F231</f>
        <v>45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'[8]Sch D'!N24</f>
        <v>5</v>
      </c>
      <c r="D232" s="502"/>
      <c r="E232" s="234">
        <f>C232+D232</f>
        <v>5</v>
      </c>
      <c r="F232" s="234"/>
      <c r="G232" s="234">
        <f>E232+F232</f>
        <v>5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'[8]Sch D'!N28</f>
        <v>16425</v>
      </c>
      <c r="D235" s="438"/>
      <c r="E235" s="233">
        <f>E231*E233</f>
        <v>16425</v>
      </c>
      <c r="F235" s="238"/>
      <c r="G235" s="233">
        <f>G231*G233</f>
        <v>16425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'[8]Sch D'!N30</f>
        <v>0.84073059360730595</v>
      </c>
      <c r="D236" s="238"/>
      <c r="E236" s="242">
        <f>E228/E235</f>
        <v>0.84073059360730595</v>
      </c>
      <c r="F236" s="243"/>
      <c r="G236" s="242">
        <f>G228/G235</f>
        <v>0.84073059360730595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'[8]Sch D'!N32</f>
        <v>3.7747336377473364E-3</v>
      </c>
      <c r="D237" s="238"/>
      <c r="E237" s="242">
        <f>(E219+E220)/E235</f>
        <v>3.7747336377473364E-3</v>
      </c>
      <c r="F237" s="243"/>
      <c r="G237" s="242">
        <f>(G219+G220)/G235</f>
        <v>3.7747336377473364E-3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'[8]Sch D'!N34</f>
        <v>4.4898254761387502E-3</v>
      </c>
      <c r="D238" s="238"/>
      <c r="E238" s="242">
        <f>(E237/E236)</f>
        <v>4.4898254761387502E-3</v>
      </c>
      <c r="F238" s="243"/>
      <c r="G238" s="242">
        <f>(G237/G236)</f>
        <v>4.4898254761387502E-3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'[8]Sch B'!C85</f>
        <v>254.68600867678958</v>
      </c>
      <c r="I241" s="475"/>
    </row>
    <row r="242" spans="2:9">
      <c r="F242" s="142" t="s">
        <v>341</v>
      </c>
      <c r="G242" s="501">
        <f>'[8]Sch B'!E85</f>
        <v>258.36174985978687</v>
      </c>
      <c r="I242" s="475"/>
    </row>
    <row r="243" spans="2:9">
      <c r="F243" s="142" t="s">
        <v>342</v>
      </c>
      <c r="G243" s="501">
        <f>'[8]Sch B'!G85</f>
        <v>255.24689899586534</v>
      </c>
      <c r="I243" s="475"/>
    </row>
    <row r="244" spans="2:9">
      <c r="F244" s="142" t="s">
        <v>343</v>
      </c>
      <c r="G244" s="501">
        <f>'[8]Sch B'!I85</f>
        <v>255.95356442119032</v>
      </c>
      <c r="I244" s="475"/>
    </row>
    <row r="245" spans="2:9">
      <c r="F245" s="142"/>
      <c r="I245" s="475"/>
    </row>
    <row r="246" spans="2:9">
      <c r="I246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">
    <tabColor rgb="FFE28CAB"/>
  </sheetPr>
  <dimension ref="A1:O246"/>
  <sheetViews>
    <sheetView showGridLines="0" topLeftCell="A177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7" width="14.164062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369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 ht="15.5">
      <c r="A4" s="145"/>
      <c r="B4" s="148" t="s">
        <v>80</v>
      </c>
      <c r="C4" s="441">
        <v>42916</v>
      </c>
      <c r="D4"/>
      <c r="E4" s="149"/>
      <c r="G4" s="150"/>
    </row>
    <row r="5" spans="1:11" ht="15.5">
      <c r="A5" s="145"/>
      <c r="B5" s="148"/>
      <c r="C5" s="151"/>
      <c r="D5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6" thickBot="1">
      <c r="A10" s="163" t="s">
        <v>245</v>
      </c>
      <c r="B10" s="164" t="s">
        <v>246</v>
      </c>
      <c r="C10" s="165"/>
      <c r="D10"/>
      <c r="E10"/>
      <c r="F10"/>
      <c r="G10"/>
      <c r="H10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'[79]Sch B'!E10</f>
        <v>3293216</v>
      </c>
      <c r="D11" s="501">
        <f>'[79]Sch B'!G10</f>
        <v>0</v>
      </c>
      <c r="E11" s="171">
        <f>C11+D11</f>
        <v>3293216</v>
      </c>
      <c r="F11" s="660">
        <v>-1000027</v>
      </c>
      <c r="G11" s="171">
        <f t="shared" ref="G11:G20" si="0">E11+F11</f>
        <v>2293189</v>
      </c>
      <c r="H11" s="172">
        <f t="shared" ref="H11:H21" si="1">IF($G$21=0,0,G11/$G$21)</f>
        <v>0.497544269220213</v>
      </c>
      <c r="I11" s="473"/>
      <c r="J11" s="336" t="s">
        <v>344</v>
      </c>
      <c r="K11" s="337">
        <f>G21</f>
        <v>4609015</v>
      </c>
    </row>
    <row r="12" spans="1:11" s="167" customFormat="1">
      <c r="A12" s="169" t="s">
        <v>15</v>
      </c>
      <c r="B12" s="170" t="s">
        <v>212</v>
      </c>
      <c r="C12" s="501">
        <f>'[79]Sch B'!E15</f>
        <v>0</v>
      </c>
      <c r="D12" s="501">
        <f>'[79]Sch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5763541.9299999997</v>
      </c>
    </row>
    <row r="13" spans="1:11" s="167" customFormat="1">
      <c r="A13" s="169" t="s">
        <v>16</v>
      </c>
      <c r="B13" s="170" t="s">
        <v>170</v>
      </c>
      <c r="C13" s="501">
        <f>'[79]Sch B'!E21</f>
        <v>1288744</v>
      </c>
      <c r="D13" s="501">
        <f>'[79]Sch B'!G21</f>
        <v>0</v>
      </c>
      <c r="E13" s="171">
        <f t="shared" si="2"/>
        <v>1288744</v>
      </c>
      <c r="F13" s="171"/>
      <c r="G13" s="171">
        <f t="shared" si="0"/>
        <v>1288744</v>
      </c>
      <c r="H13" s="172">
        <f t="shared" si="1"/>
        <v>0.27961375695240742</v>
      </c>
      <c r="I13" s="473"/>
      <c r="J13" s="338" t="s">
        <v>346</v>
      </c>
      <c r="K13" s="339">
        <f>G228</f>
        <v>21171</v>
      </c>
    </row>
    <row r="14" spans="1:11" s="167" customFormat="1">
      <c r="A14" s="173" t="s">
        <v>18</v>
      </c>
      <c r="B14" s="174" t="s">
        <v>306</v>
      </c>
      <c r="C14" s="501">
        <f>'[79]Sch B'!E27</f>
        <v>224316</v>
      </c>
      <c r="D14" s="501">
        <f>'[79]Sch B'!G27</f>
        <v>0</v>
      </c>
      <c r="E14" s="171">
        <f t="shared" si="2"/>
        <v>224316</v>
      </c>
      <c r="F14" s="175"/>
      <c r="G14" s="175">
        <f>E14+F14</f>
        <v>224316</v>
      </c>
      <c r="H14" s="176">
        <f t="shared" si="1"/>
        <v>4.8668967230525391E-2</v>
      </c>
      <c r="I14" s="479"/>
      <c r="J14" s="338" t="s">
        <v>347</v>
      </c>
      <c r="K14" s="339">
        <f>G231</f>
        <v>90</v>
      </c>
    </row>
    <row r="15" spans="1:11" s="167" customFormat="1">
      <c r="A15" s="169" t="s">
        <v>19</v>
      </c>
      <c r="B15" s="170" t="s">
        <v>171</v>
      </c>
      <c r="C15" s="501">
        <f>'[79]Sch B'!E32</f>
        <v>0</v>
      </c>
      <c r="D15" s="501">
        <f>'[79]Sch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32850</v>
      </c>
    </row>
    <row r="16" spans="1:11" s="167" customFormat="1">
      <c r="A16" s="169" t="s">
        <v>21</v>
      </c>
      <c r="B16" s="170" t="s">
        <v>172</v>
      </c>
      <c r="C16" s="501">
        <f>'[79]Sch B'!E37</f>
        <v>739615</v>
      </c>
      <c r="D16" s="501">
        <f>'[79]Sch B'!G37</f>
        <v>0</v>
      </c>
      <c r="E16" s="171">
        <f t="shared" si="2"/>
        <v>739615</v>
      </c>
      <c r="F16" s="171"/>
      <c r="G16" s="171">
        <f t="shared" si="0"/>
        <v>739615</v>
      </c>
      <c r="H16" s="172">
        <f t="shared" si="1"/>
        <v>0.16047138054443302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'[79]Sch B'!E42</f>
        <v>0</v>
      </c>
      <c r="D17" s="501">
        <f>'[79]Sch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149347</v>
      </c>
    </row>
    <row r="18" spans="1:11" s="167" customFormat="1" ht="13.5" thickBot="1">
      <c r="A18" s="169" t="s">
        <v>216</v>
      </c>
      <c r="B18" s="170" t="s">
        <v>229</v>
      </c>
      <c r="C18" s="501">
        <f>'[79]Sch B'!E47</f>
        <v>0</v>
      </c>
      <c r="D18" s="501">
        <f>'[79]Sch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155136</v>
      </c>
    </row>
    <row r="19" spans="1:11" s="167" customFormat="1">
      <c r="A19" s="169" t="s">
        <v>227</v>
      </c>
      <c r="B19" s="177" t="s">
        <v>173</v>
      </c>
      <c r="C19" s="501">
        <f>'[79]Sch B'!E52</f>
        <v>0</v>
      </c>
      <c r="D19" s="501">
        <f>'[79]Sch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'[79]Sch B'!E67</f>
        <v>63151</v>
      </c>
      <c r="D20" s="501">
        <f>'[79]Sch B'!G67</f>
        <v>0</v>
      </c>
      <c r="E20" s="171">
        <f t="shared" si="2"/>
        <v>63151</v>
      </c>
      <c r="F20" s="171"/>
      <c r="G20" s="171">
        <f t="shared" si="0"/>
        <v>63151</v>
      </c>
      <c r="H20" s="172">
        <f t="shared" si="1"/>
        <v>1.3701626052421178E-2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5609042</v>
      </c>
      <c r="D21" s="501">
        <f>SUM(D11:D20)</f>
        <v>0</v>
      </c>
      <c r="E21" s="171">
        <f>SUM(E11:E20)</f>
        <v>5609042</v>
      </c>
      <c r="F21" s="171">
        <f>SUM(F11:F20)</f>
        <v>-1000027</v>
      </c>
      <c r="G21" s="171">
        <f>SUM(G11:G20)</f>
        <v>4609015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'[79]Sch C'!D10</f>
        <v>103285.8</v>
      </c>
      <c r="D25" s="501">
        <f>'[79]Sch C'!F10</f>
        <v>0</v>
      </c>
      <c r="E25" s="171">
        <f t="shared" ref="E25:E60" si="3">C25+D25</f>
        <v>103285.8</v>
      </c>
      <c r="F25" s="171"/>
      <c r="G25" s="182">
        <f>E25+F25</f>
        <v>103285.8</v>
      </c>
      <c r="H25" s="172">
        <f>IF($G$208=0,0,G25/$G$208)</f>
        <v>1.7920542828427033E-2</v>
      </c>
      <c r="I25" s="473"/>
      <c r="J25" s="183">
        <v>1972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'[79]Sch C'!D11</f>
        <v>0</v>
      </c>
      <c r="D26" s="501">
        <f>'[79]Sch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1904</v>
      </c>
      <c r="K26" s="183">
        <v>2058</v>
      </c>
    </row>
    <row r="27" spans="1:11" s="167" customFormat="1">
      <c r="A27" s="169" t="s">
        <v>85</v>
      </c>
      <c r="B27" s="170" t="s">
        <v>17</v>
      </c>
      <c r="C27" s="501">
        <f>'[79]Sch C'!D12</f>
        <v>96357.66</v>
      </c>
      <c r="D27" s="501">
        <f>'[79]Sch C'!F12</f>
        <v>0</v>
      </c>
      <c r="E27" s="171">
        <f t="shared" si="3"/>
        <v>96357.66</v>
      </c>
      <c r="F27" s="171"/>
      <c r="G27" s="171">
        <f t="shared" si="4"/>
        <v>96357.66</v>
      </c>
      <c r="H27" s="172">
        <f t="shared" si="5"/>
        <v>1.6718479915700035E-2</v>
      </c>
      <c r="I27" s="473"/>
      <c r="J27" s="183">
        <v>1960</v>
      </c>
      <c r="K27" s="183">
        <v>2080</v>
      </c>
    </row>
    <row r="28" spans="1:11" s="167" customFormat="1">
      <c r="A28" s="169" t="s">
        <v>86</v>
      </c>
      <c r="B28" s="170" t="s">
        <v>45</v>
      </c>
      <c r="C28" s="501">
        <f>'[79]Sch C'!D13</f>
        <v>69518.710000000006</v>
      </c>
      <c r="D28" s="501">
        <f>'[79]Sch C'!F13</f>
        <v>0</v>
      </c>
      <c r="E28" s="171">
        <f t="shared" si="3"/>
        <v>69518.710000000006</v>
      </c>
      <c r="F28" s="171"/>
      <c r="G28" s="171">
        <f t="shared" si="4"/>
        <v>69518.710000000006</v>
      </c>
      <c r="H28" s="172">
        <f t="shared" si="5"/>
        <v>1.2061803461192138E-2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'[79]Sch C'!D14</f>
        <v>0</v>
      </c>
      <c r="D29" s="501">
        <f>'[79]Sch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'[79]Sch C'!D15</f>
        <v>230909.15</v>
      </c>
      <c r="D30" s="501">
        <f>'[79]Sch C'!F15</f>
        <v>0</v>
      </c>
      <c r="E30" s="171">
        <f t="shared" si="3"/>
        <v>230909.15</v>
      </c>
      <c r="F30" s="171"/>
      <c r="G30" s="171">
        <f t="shared" si="4"/>
        <v>230909.15</v>
      </c>
      <c r="H30" s="172">
        <f t="shared" si="5"/>
        <v>4.0063758155048243E-2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'[79]Sch C'!D16</f>
        <v>0</v>
      </c>
      <c r="D31" s="501">
        <f>'[79]Sch C'!F16</f>
        <v>0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'[79]Sch C'!D17</f>
        <v>1256.72</v>
      </c>
      <c r="D32" s="501">
        <f>'[79]Sch C'!F17</f>
        <v>-1257</v>
      </c>
      <c r="E32" s="171">
        <f t="shared" si="3"/>
        <v>-0.27999999999997272</v>
      </c>
      <c r="F32" s="171"/>
      <c r="G32" s="171">
        <f t="shared" si="4"/>
        <v>-0.27999999999997272</v>
      </c>
      <c r="H32" s="172">
        <f t="shared" si="5"/>
        <v>-4.8581237614067768E-8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'[79]Sch C'!D18</f>
        <v>14785.12</v>
      </c>
      <c r="D33" s="501">
        <f>'[79]Sch C'!F18</f>
        <v>0</v>
      </c>
      <c r="E33" s="171">
        <f t="shared" si="3"/>
        <v>14785.12</v>
      </c>
      <c r="F33" s="660"/>
      <c r="G33" s="171">
        <f t="shared" si="4"/>
        <v>14785.12</v>
      </c>
      <c r="H33" s="172">
        <f t="shared" si="5"/>
        <v>2.5652836709734845E-3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'[79]Sch C'!D19</f>
        <v>28718.14</v>
      </c>
      <c r="D34" s="501">
        <f>'[79]Sch C'!F19</f>
        <v>0</v>
      </c>
      <c r="E34" s="171">
        <f t="shared" si="3"/>
        <v>28718.14</v>
      </c>
      <c r="F34" s="660"/>
      <c r="G34" s="171">
        <f t="shared" si="4"/>
        <v>28718.14</v>
      </c>
      <c r="H34" s="172">
        <f t="shared" si="5"/>
        <v>4.9827242256221425E-3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'[79]Sch C'!D20</f>
        <v>74368.08</v>
      </c>
      <c r="D35" s="501">
        <f>'[79]Sch C'!F20</f>
        <v>0</v>
      </c>
      <c r="E35" s="171">
        <f t="shared" si="3"/>
        <v>74368.08</v>
      </c>
      <c r="F35" s="660">
        <f>-1142-605-1526-1998-2416-13208-17568-4697</f>
        <v>-43160</v>
      </c>
      <c r="G35" s="171">
        <f t="shared" si="4"/>
        <v>31208.080000000002</v>
      </c>
      <c r="H35" s="172">
        <f t="shared" si="5"/>
        <v>5.4147398212820849E-3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'[79]Sch C'!D21</f>
        <v>0</v>
      </c>
      <c r="D36" s="501">
        <f>'[79]Sch C'!F21</f>
        <v>0</v>
      </c>
      <c r="E36" s="171">
        <f t="shared" si="3"/>
        <v>0</v>
      </c>
      <c r="F36" s="660"/>
      <c r="G36" s="171">
        <f t="shared" si="4"/>
        <v>0</v>
      </c>
      <c r="H36" s="172">
        <f t="shared" si="5"/>
        <v>0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'[79]Sch C'!D22</f>
        <v>0</v>
      </c>
      <c r="D37" s="501">
        <f>'[79]Sch C'!F22</f>
        <v>0</v>
      </c>
      <c r="E37" s="171">
        <f t="shared" si="3"/>
        <v>0</v>
      </c>
      <c r="F37" s="660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'[79]Sch C'!D23</f>
        <v>7507.46</v>
      </c>
      <c r="D38" s="501">
        <f>'[79]Sch C'!F23</f>
        <v>0</v>
      </c>
      <c r="E38" s="171">
        <f t="shared" si="3"/>
        <v>7507.46</v>
      </c>
      <c r="F38" s="660">
        <f>-300+1759</f>
        <v>1459</v>
      </c>
      <c r="G38" s="171">
        <f t="shared" si="4"/>
        <v>8966.4599999999991</v>
      </c>
      <c r="H38" s="172">
        <f t="shared" si="5"/>
        <v>1.5557204422038445E-3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'[79]Sch C'!D24</f>
        <v>0</v>
      </c>
      <c r="D39" s="501">
        <f>'[79]Sch C'!F24</f>
        <v>0</v>
      </c>
      <c r="E39" s="171">
        <f t="shared" si="3"/>
        <v>0</v>
      </c>
      <c r="F39" s="660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'[79]Sch C'!D25</f>
        <v>0</v>
      </c>
      <c r="D40" s="501">
        <f>'[79]Sch C'!F25</f>
        <v>0</v>
      </c>
      <c r="E40" s="171">
        <f t="shared" si="3"/>
        <v>0</v>
      </c>
      <c r="F40" s="660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'[79]Sch C'!D26</f>
        <v>350456.64</v>
      </c>
      <c r="D41" s="501">
        <f>'[79]Sch C'!F26</f>
        <v>0</v>
      </c>
      <c r="E41" s="171">
        <f t="shared" si="3"/>
        <v>350456.64</v>
      </c>
      <c r="F41" s="660"/>
      <c r="G41" s="171">
        <f t="shared" si="4"/>
        <v>350456.64</v>
      </c>
      <c r="H41" s="172">
        <f t="shared" si="5"/>
        <v>6.0805776075962381E-2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'[79]Sch C'!D27</f>
        <v>0</v>
      </c>
      <c r="D42" s="501">
        <f>'[79]Sch C'!F27</f>
        <v>0</v>
      </c>
      <c r="E42" s="171">
        <f t="shared" si="3"/>
        <v>0</v>
      </c>
      <c r="F42" s="660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'[79]Sch C'!D28</f>
        <v>0</v>
      </c>
      <c r="D43" s="501">
        <f>'[79]Sch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'[79]Sch C'!D29</f>
        <v>8239.9</v>
      </c>
      <c r="D44" s="501">
        <f>'[79]Sch C'!F29</f>
        <v>-8239.9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'[79]Sch C'!D30</f>
        <v>0</v>
      </c>
      <c r="D45" s="501">
        <f>'[79]Sch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'[79]Sch C'!D31</f>
        <v>0</v>
      </c>
      <c r="D46" s="501">
        <f>'[79]Sch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'[79]Sch C'!D32</f>
        <v>39076.160000000003</v>
      </c>
      <c r="D47" s="501">
        <f>'[79]Sch C'!F32</f>
        <v>0</v>
      </c>
      <c r="E47" s="171">
        <f t="shared" si="3"/>
        <v>39076.160000000003</v>
      </c>
      <c r="F47" s="171"/>
      <c r="G47" s="171">
        <f t="shared" si="4"/>
        <v>39076.160000000003</v>
      </c>
      <c r="H47" s="172">
        <f t="shared" si="5"/>
        <v>6.7798864785911265E-3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'[79]Sch C'!D33</f>
        <v>0</v>
      </c>
      <c r="D48" s="501">
        <f>'[79]Sch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'[79]Sch C'!D34</f>
        <v>0</v>
      </c>
      <c r="D49" s="501">
        <f>'[79]Sch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'[79]Sch C'!D35</f>
        <v>0</v>
      </c>
      <c r="D50" s="501">
        <f>'[79]Sch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'[79]Sch C'!D36</f>
        <v>12628.01</v>
      </c>
      <c r="D51" s="501">
        <f>'[79]Sch C'!F36</f>
        <v>0</v>
      </c>
      <c r="E51" s="171">
        <f t="shared" si="3"/>
        <v>12628.01</v>
      </c>
      <c r="F51" s="171"/>
      <c r="G51" s="171">
        <f t="shared" si="4"/>
        <v>12628.01</v>
      </c>
      <c r="H51" s="172">
        <f t="shared" si="5"/>
        <v>2.1910155514388704E-3</v>
      </c>
      <c r="I51" s="473"/>
      <c r="J51" s="183">
        <v>841</v>
      </c>
      <c r="K51" s="183">
        <v>873</v>
      </c>
    </row>
    <row r="52" spans="1:11" s="167" customFormat="1">
      <c r="A52" s="163">
        <v>290</v>
      </c>
      <c r="B52" s="170" t="s">
        <v>205</v>
      </c>
      <c r="C52" s="501">
        <f>'[79]Sch C'!D37</f>
        <v>0</v>
      </c>
      <c r="D52" s="501">
        <f>'[79]Sch C'!F37</f>
        <v>3512</v>
      </c>
      <c r="E52" s="171">
        <f t="shared" si="3"/>
        <v>3512</v>
      </c>
      <c r="F52" s="171"/>
      <c r="G52" s="171">
        <f t="shared" si="4"/>
        <v>3512</v>
      </c>
      <c r="H52" s="172">
        <f t="shared" si="5"/>
        <v>6.0934752321650939E-4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'[79]Sch C'!D38</f>
        <v>0</v>
      </c>
      <c r="D53" s="501">
        <f>'[79]Sch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'[79]Sch C'!D39</f>
        <v>0</v>
      </c>
      <c r="D54" s="501">
        <f>'[79]Sch C'!F39</f>
        <v>0</v>
      </c>
      <c r="E54" s="171">
        <f t="shared" si="3"/>
        <v>0</v>
      </c>
      <c r="F54" s="171"/>
      <c r="G54" s="171">
        <f t="shared" si="4"/>
        <v>0</v>
      </c>
      <c r="H54" s="172">
        <f t="shared" si="5"/>
        <v>0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'[79]Sch C'!D40</f>
        <v>0</v>
      </c>
      <c r="D55" s="501">
        <f>'[79]Sch C'!F40</f>
        <v>0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'[79]Sch C'!D41</f>
        <v>34194</v>
      </c>
      <c r="D56" s="501">
        <f>'[79]Sch C'!F41</f>
        <v>0</v>
      </c>
      <c r="E56" s="171">
        <f t="shared" si="3"/>
        <v>34194</v>
      </c>
      <c r="F56" s="171"/>
      <c r="G56" s="171">
        <f t="shared" si="4"/>
        <v>34194</v>
      </c>
      <c r="H56" s="172">
        <f t="shared" si="5"/>
        <v>5.9328101391985539E-3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'[79]Sch C'!D42</f>
        <v>1016</v>
      </c>
      <c r="D57" s="501">
        <f>'[79]Sch C'!F42</f>
        <v>0</v>
      </c>
      <c r="E57" s="171">
        <f t="shared" si="3"/>
        <v>1016</v>
      </c>
      <c r="F57" s="171"/>
      <c r="G57" s="171">
        <f t="shared" si="4"/>
        <v>1016</v>
      </c>
      <c r="H57" s="172">
        <f t="shared" si="5"/>
        <v>1.7628049077106307E-4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'[79]Sch C'!D43</f>
        <v>10196.14</v>
      </c>
      <c r="D58" s="501">
        <f>'[79]Sch C'!F43</f>
        <v>-10196</v>
      </c>
      <c r="E58" s="171">
        <f t="shared" si="3"/>
        <v>0.13999999999941792</v>
      </c>
      <c r="F58" s="171"/>
      <c r="G58" s="171">
        <f t="shared" si="4"/>
        <v>0.13999999999941792</v>
      </c>
      <c r="H58" s="172">
        <f t="shared" si="5"/>
        <v>2.4290618806935257E-8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'[79]Sch C'!D44</f>
        <v>0</v>
      </c>
      <c r="D59" s="501">
        <f>'[79]Sch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'[79]Sch C'!D45</f>
        <v>0</v>
      </c>
      <c r="D60" s="501">
        <f>'[79]Sch C'!F45</f>
        <v>0</v>
      </c>
      <c r="E60" s="171">
        <f t="shared" si="3"/>
        <v>0</v>
      </c>
      <c r="F60" s="171"/>
      <c r="G60" s="171">
        <f t="shared" si="4"/>
        <v>0</v>
      </c>
      <c r="H60" s="172">
        <f t="shared" si="5"/>
        <v>0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1082513.69</v>
      </c>
      <c r="D61" s="501">
        <f>SUM(D25:D60)</f>
        <v>-16180.9</v>
      </c>
      <c r="E61" s="171">
        <f t="shared" ref="E61:F61" si="6">SUM(E25:E60)</f>
        <v>1066332.7899999998</v>
      </c>
      <c r="F61" s="171">
        <f t="shared" si="6"/>
        <v>-41701</v>
      </c>
      <c r="G61" s="171">
        <f>SUM(G25:G60)</f>
        <v>1024631.79</v>
      </c>
      <c r="H61" s="186">
        <f t="shared" si="5"/>
        <v>0.17777814448900869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'[79]Sch C'!D57</f>
        <v>492750</v>
      </c>
      <c r="D64" s="501">
        <f>'[79]Sch C'!F57</f>
        <v>0</v>
      </c>
      <c r="E64" s="171">
        <f t="shared" ref="E64:E78" si="7">C64+D64</f>
        <v>492750</v>
      </c>
      <c r="F64" s="171"/>
      <c r="G64" s="171">
        <f t="shared" ref="G64:G78" si="8">E64+F64</f>
        <v>492750</v>
      </c>
      <c r="H64" s="172">
        <f t="shared" ref="H64:H79" si="9">IF($G$208=0,0,G64/$G$208)</f>
        <v>8.5494302979765083E-2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'[79]Sch C'!D58</f>
        <v>0</v>
      </c>
      <c r="D65" s="501">
        <f>'[79]Sch C'!F58</f>
        <v>0</v>
      </c>
      <c r="E65" s="171">
        <f t="shared" si="7"/>
        <v>0</v>
      </c>
      <c r="F65" s="171"/>
      <c r="G65" s="171">
        <f t="shared" si="8"/>
        <v>0</v>
      </c>
      <c r="H65" s="172">
        <f t="shared" si="9"/>
        <v>0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'[79]Sch C'!D59</f>
        <v>0</v>
      </c>
      <c r="D66" s="501">
        <f>'[79]Sch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'[79]Sch C'!D60</f>
        <v>0</v>
      </c>
      <c r="D67" s="501">
        <f>'[79]Sch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'[79]Sch C'!D61</f>
        <v>0</v>
      </c>
      <c r="D68" s="501">
        <f>'[79]Sch C'!F61</f>
        <v>0</v>
      </c>
      <c r="E68" s="171">
        <f t="shared" si="7"/>
        <v>0</v>
      </c>
      <c r="F68" s="171"/>
      <c r="G68" s="171">
        <f t="shared" si="8"/>
        <v>0</v>
      </c>
      <c r="H68" s="172">
        <f t="shared" si="9"/>
        <v>0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'[79]Sch C'!D62</f>
        <v>0</v>
      </c>
      <c r="D69" s="501">
        <f>'[79]Sch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'[79]Sch C'!D63</f>
        <v>0</v>
      </c>
      <c r="D70" s="501">
        <f>'[79]Sch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'[79]Sch C'!D64</f>
        <v>0</v>
      </c>
      <c r="D71" s="501">
        <f>'[79]Sch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'[79]Sch C'!D65</f>
        <v>0</v>
      </c>
      <c r="D72" s="501">
        <f>'[79]Sch C'!F65</f>
        <v>0</v>
      </c>
      <c r="E72" s="171">
        <f t="shared" si="7"/>
        <v>0</v>
      </c>
      <c r="F72" s="660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'[79]Sch C'!D66</f>
        <v>0</v>
      </c>
      <c r="D73" s="501">
        <f>'[79]Sch C'!F66</f>
        <v>0</v>
      </c>
      <c r="E73" s="171">
        <f t="shared" si="7"/>
        <v>0</v>
      </c>
      <c r="F73" s="660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'[79]Sch C'!D67</f>
        <v>0</v>
      </c>
      <c r="D74" s="501">
        <f>'[79]Sch C'!F67</f>
        <v>0</v>
      </c>
      <c r="E74" s="171">
        <f t="shared" si="7"/>
        <v>0</v>
      </c>
      <c r="F74" s="660">
        <f>342+147+586+65</f>
        <v>1140</v>
      </c>
      <c r="G74" s="171">
        <f t="shared" si="8"/>
        <v>1140</v>
      </c>
      <c r="H74" s="172">
        <f t="shared" si="9"/>
        <v>1.9779503885729519E-4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'[79]Sch C'!D68</f>
        <v>0</v>
      </c>
      <c r="D75" s="501">
        <f>'[79]Sch C'!F68</f>
        <v>0</v>
      </c>
      <c r="E75" s="171">
        <f t="shared" si="7"/>
        <v>0</v>
      </c>
      <c r="F75" s="660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'[79]Sch C'!D69</f>
        <v>0</v>
      </c>
      <c r="D76" s="501">
        <f>'[79]Sch C'!F69</f>
        <v>0</v>
      </c>
      <c r="E76" s="171">
        <f t="shared" si="7"/>
        <v>0</v>
      </c>
      <c r="F76" s="660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'[79]Sch C'!D70</f>
        <v>0</v>
      </c>
      <c r="D77" s="501">
        <f>'[79]Sch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'[79]Sch C'!D71</f>
        <v>0</v>
      </c>
      <c r="D78" s="501">
        <f>'[79]Sch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492750</v>
      </c>
      <c r="D79" s="501">
        <f>SUM(D64:D78)</f>
        <v>0</v>
      </c>
      <c r="E79" s="171">
        <f t="shared" ref="E79:F79" si="10">SUM(E64:E78)</f>
        <v>492750</v>
      </c>
      <c r="F79" s="171">
        <f t="shared" si="10"/>
        <v>1140</v>
      </c>
      <c r="G79" s="171">
        <f>SUM(G64:G78)</f>
        <v>493890</v>
      </c>
      <c r="H79" s="172">
        <f t="shared" si="9"/>
        <v>8.569209801862239E-2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'[79]Sch C'!D75</f>
        <v>32821.19</v>
      </c>
      <c r="D82" s="501">
        <f>'[79]Sch C'!F75</f>
        <v>0</v>
      </c>
      <c r="E82" s="171">
        <f t="shared" ref="E82:E92" si="11">C82+D82</f>
        <v>32821.19</v>
      </c>
      <c r="F82" s="171"/>
      <c r="G82" s="171">
        <f t="shared" ref="G82:G92" si="12">E82+F82</f>
        <v>32821.19</v>
      </c>
      <c r="H82" s="172">
        <f t="shared" ref="H82:H93" si="13">IF($G$208=0,0,G82/$G$208)</f>
        <v>5.6946215363093584E-3</v>
      </c>
      <c r="I82" s="473"/>
      <c r="J82" s="183">
        <v>1868</v>
      </c>
      <c r="K82" s="183">
        <v>1990</v>
      </c>
    </row>
    <row r="83" spans="1:11" s="167" customFormat="1">
      <c r="A83" s="169" t="s">
        <v>86</v>
      </c>
      <c r="B83" s="199" t="s">
        <v>45</v>
      </c>
      <c r="C83" s="501">
        <f>'[79]Sch C'!D76</f>
        <v>19183.77</v>
      </c>
      <c r="D83" s="501">
        <f>'[79]Sch C'!F76</f>
        <v>0</v>
      </c>
      <c r="E83" s="171">
        <f t="shared" si="11"/>
        <v>19183.77</v>
      </c>
      <c r="F83" s="660"/>
      <c r="G83" s="171">
        <f t="shared" si="12"/>
        <v>19183.77</v>
      </c>
      <c r="H83" s="172">
        <f t="shared" si="13"/>
        <v>3.328468888227556E-3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'[79]Sch C'!D77</f>
        <v>12725.2</v>
      </c>
      <c r="D84" s="501">
        <f>'[79]Sch C'!F77</f>
        <v>0</v>
      </c>
      <c r="E84" s="171">
        <f t="shared" si="11"/>
        <v>12725.2</v>
      </c>
      <c r="F84" s="660">
        <v>2416</v>
      </c>
      <c r="G84" s="171">
        <f t="shared" si="12"/>
        <v>15141.2</v>
      </c>
      <c r="H84" s="172">
        <f t="shared" si="13"/>
        <v>2.6270651248649808E-3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'[79]Sch C'!D78</f>
        <v>0</v>
      </c>
      <c r="D85" s="501">
        <f>'[79]Sch C'!F78</f>
        <v>0</v>
      </c>
      <c r="E85" s="171">
        <f t="shared" si="11"/>
        <v>0</v>
      </c>
      <c r="F85" s="660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'[79]Sch C'!D79</f>
        <v>3839.64</v>
      </c>
      <c r="D86" s="501">
        <f>'[79]Sch C'!F79</f>
        <v>0</v>
      </c>
      <c r="E86" s="171">
        <f t="shared" si="11"/>
        <v>3839.64</v>
      </c>
      <c r="F86" s="660">
        <f>1142+1998+195</f>
        <v>3335</v>
      </c>
      <c r="G86" s="171">
        <f>E86+F86</f>
        <v>7174.6399999999994</v>
      </c>
      <c r="H86" s="172">
        <f t="shared" si="13"/>
        <v>1.2448317522693896E-3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'[79]Sch C'!D80</f>
        <v>12737.82</v>
      </c>
      <c r="D87" s="501">
        <f>'[79]Sch C'!F80</f>
        <v>0</v>
      </c>
      <c r="E87" s="171">
        <f t="shared" si="11"/>
        <v>12737.82</v>
      </c>
      <c r="F87" s="660"/>
      <c r="G87" s="171">
        <f t="shared" si="12"/>
        <v>12737.82</v>
      </c>
      <c r="H87" s="172">
        <f t="shared" si="13"/>
        <v>2.2100680718045891E-3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'[79]Sch C'!D81</f>
        <v>20107.37</v>
      </c>
      <c r="D88" s="501">
        <f>'[79]Sch C'!F81</f>
        <v>0</v>
      </c>
      <c r="E88" s="171">
        <f t="shared" si="11"/>
        <v>20107.37</v>
      </c>
      <c r="F88" s="660">
        <v>-6162</v>
      </c>
      <c r="G88" s="171">
        <f t="shared" si="12"/>
        <v>13945.369999999999</v>
      </c>
      <c r="H88" s="172">
        <f t="shared" si="13"/>
        <v>2.4195833342362792E-3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'[79]Sch C'!D82</f>
        <v>0</v>
      </c>
      <c r="D89" s="501">
        <f>'[79]Sch C'!F82</f>
        <v>0</v>
      </c>
      <c r="E89" s="171">
        <f t="shared" si="11"/>
        <v>0</v>
      </c>
      <c r="F89" s="660">
        <f>1526</f>
        <v>1526</v>
      </c>
      <c r="G89" s="171">
        <f t="shared" si="12"/>
        <v>1526</v>
      </c>
      <c r="H89" s="172">
        <f t="shared" si="13"/>
        <v>2.6476774499669515E-4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'[79]Sch C'!D83</f>
        <v>12559.96</v>
      </c>
      <c r="D90" s="501">
        <f>'[79]Sch C'!F83</f>
        <v>0</v>
      </c>
      <c r="E90" s="171">
        <f t="shared" si="11"/>
        <v>12559.96</v>
      </c>
      <c r="F90" s="660">
        <f>-1759</f>
        <v>-1759</v>
      </c>
      <c r="G90" s="171">
        <f t="shared" si="12"/>
        <v>10800.96</v>
      </c>
      <c r="H90" s="172">
        <f t="shared" si="13"/>
        <v>1.8740143007860445E-3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'[79]Sch C'!D84</f>
        <v>116157.97</v>
      </c>
      <c r="D91" s="501">
        <f>'[79]Sch C'!F84</f>
        <v>0</v>
      </c>
      <c r="E91" s="171">
        <f t="shared" si="11"/>
        <v>116157.97</v>
      </c>
      <c r="F91" s="171"/>
      <c r="G91" s="171">
        <f t="shared" si="12"/>
        <v>116157.97</v>
      </c>
      <c r="H91" s="172">
        <f t="shared" si="13"/>
        <v>2.0153921219065375E-2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'[79]Sch C'!D85</f>
        <v>0</v>
      </c>
      <c r="D92" s="501">
        <f>'[79]Sch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230132.91999999998</v>
      </c>
      <c r="D93" s="501">
        <f>SUM(D82:D92)</f>
        <v>0</v>
      </c>
      <c r="E93" s="171">
        <f t="shared" ref="E93:F93" si="14">SUM(E82:E92)</f>
        <v>230132.91999999998</v>
      </c>
      <c r="F93" s="171">
        <f t="shared" si="14"/>
        <v>-644</v>
      </c>
      <c r="G93" s="171">
        <f>SUM(G82:G92)</f>
        <v>229488.91999999998</v>
      </c>
      <c r="H93" s="172">
        <f t="shared" si="13"/>
        <v>3.9817341972560268E-2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'[79]Sch C'!D89</f>
        <v>220894.84</v>
      </c>
      <c r="D96" s="501">
        <f>'[79]Sch C'!F89</f>
        <v>0</v>
      </c>
      <c r="E96" s="171">
        <f t="shared" ref="E96:E101" si="15">C96+D96</f>
        <v>220894.84</v>
      </c>
      <c r="F96" s="171"/>
      <c r="G96" s="171">
        <f t="shared" ref="G96:G101" si="16">E96+F96</f>
        <v>220894.84</v>
      </c>
      <c r="H96" s="172">
        <f t="shared" ref="H96:H102" si="17">IF($G$208=0,0,G96/$G$208)</f>
        <v>3.8326231106294739E-2</v>
      </c>
      <c r="I96" s="473"/>
      <c r="J96" s="183">
        <v>18159</v>
      </c>
      <c r="K96" s="183">
        <v>18490</v>
      </c>
    </row>
    <row r="97" spans="1:11" s="167" customFormat="1">
      <c r="A97" s="169" t="s">
        <v>86</v>
      </c>
      <c r="B97" s="170" t="s">
        <v>45</v>
      </c>
      <c r="C97" s="501">
        <f>'[79]Sch C'!D90</f>
        <v>56643.27</v>
      </c>
      <c r="D97" s="501">
        <f>'[79]Sch C'!F90</f>
        <v>0</v>
      </c>
      <c r="E97" s="171">
        <f t="shared" si="15"/>
        <v>56643.27</v>
      </c>
      <c r="F97" s="171"/>
      <c r="G97" s="171">
        <f t="shared" si="16"/>
        <v>56643.27</v>
      </c>
      <c r="H97" s="172">
        <f t="shared" si="17"/>
        <v>9.8278577111002297E-3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'[79]Sch C'!D91</f>
        <v>10503.92</v>
      </c>
      <c r="D98" s="501">
        <f>'[79]Sch C'!F91</f>
        <v>0</v>
      </c>
      <c r="E98" s="171">
        <f t="shared" si="15"/>
        <v>10503.92</v>
      </c>
      <c r="F98" s="171"/>
      <c r="G98" s="171">
        <f t="shared" si="16"/>
        <v>10503.92</v>
      </c>
      <c r="H98" s="172">
        <f t="shared" si="17"/>
        <v>1.8224765478543157E-3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'[79]Sch C'!D92</f>
        <v>153520.10999999999</v>
      </c>
      <c r="D99" s="501">
        <f>'[79]Sch C'!F92</f>
        <v>0</v>
      </c>
      <c r="E99" s="171">
        <f t="shared" si="15"/>
        <v>153520.10999999999</v>
      </c>
      <c r="F99" s="171"/>
      <c r="G99" s="171">
        <f t="shared" si="16"/>
        <v>153520.10999999999</v>
      </c>
      <c r="H99" s="172">
        <f t="shared" si="17"/>
        <v>2.6636417651601955E-2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'[79]Sch C'!D93</f>
        <v>21858</v>
      </c>
      <c r="D100" s="501">
        <f>'[79]Sch C'!F93</f>
        <v>0</v>
      </c>
      <c r="E100" s="171">
        <f t="shared" si="15"/>
        <v>21858</v>
      </c>
      <c r="F100" s="171"/>
      <c r="G100" s="171">
        <f t="shared" si="16"/>
        <v>21858</v>
      </c>
      <c r="H100" s="172">
        <f t="shared" si="17"/>
        <v>3.7924596134585598E-3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'[79]Sch C'!D94</f>
        <v>0</v>
      </c>
      <c r="D101" s="501">
        <f>'[79]Sch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463420.13999999996</v>
      </c>
      <c r="D102" s="501">
        <f>SUM(D96:D101)</f>
        <v>0</v>
      </c>
      <c r="E102" s="171">
        <f t="shared" ref="E102:F102" si="18">SUM(E96:E101)</f>
        <v>463420.13999999996</v>
      </c>
      <c r="F102" s="171">
        <f t="shared" si="18"/>
        <v>0</v>
      </c>
      <c r="G102" s="171">
        <f>SUM(G96:G101)</f>
        <v>463420.13999999996</v>
      </c>
      <c r="H102" s="172">
        <f t="shared" si="17"/>
        <v>8.0405442630309798E-2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'[79]Sch C'!D98</f>
        <v>63141.120000000003</v>
      </c>
      <c r="D105" s="501">
        <f>'[79]Sch C'!F98</f>
        <v>0</v>
      </c>
      <c r="E105" s="171">
        <f t="shared" ref="E105:E110" si="19">C105+D105</f>
        <v>63141.120000000003</v>
      </c>
      <c r="F105" s="171"/>
      <c r="G105" s="171">
        <f t="shared" ref="G105:G110" si="20">E105+F105</f>
        <v>63141.120000000003</v>
      </c>
      <c r="H105" s="172">
        <f t="shared" ref="H105:H111" si="21">IF($G$208=0,0,G105/$G$208)</f>
        <v>1.0955263406923805E-2</v>
      </c>
      <c r="I105" s="473"/>
      <c r="J105" s="183">
        <v>4636</v>
      </c>
      <c r="K105" s="183">
        <v>4912</v>
      </c>
    </row>
    <row r="106" spans="1:11" s="167" customFormat="1">
      <c r="A106" s="169" t="s">
        <v>86</v>
      </c>
      <c r="B106" s="170" t="s">
        <v>45</v>
      </c>
      <c r="C106" s="501">
        <f>'[79]Sch C'!D99</f>
        <v>20083.810000000001</v>
      </c>
      <c r="D106" s="501">
        <f>'[79]Sch C'!F99</f>
        <v>0</v>
      </c>
      <c r="E106" s="171">
        <f t="shared" si="19"/>
        <v>20083.810000000001</v>
      </c>
      <c r="F106" s="171"/>
      <c r="G106" s="171">
        <f t="shared" si="20"/>
        <v>20083.810000000001</v>
      </c>
      <c r="H106" s="172">
        <f t="shared" si="21"/>
        <v>3.4846298064495911E-3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'[79]Sch C'!D100</f>
        <v>10358.040000000001</v>
      </c>
      <c r="D107" s="501">
        <f>'[79]Sch C'!F100</f>
        <v>0</v>
      </c>
      <c r="E107" s="171">
        <f t="shared" si="19"/>
        <v>10358.040000000001</v>
      </c>
      <c r="F107" s="171"/>
      <c r="G107" s="171">
        <f t="shared" si="20"/>
        <v>10358.040000000001</v>
      </c>
      <c r="H107" s="172">
        <f t="shared" si="21"/>
        <v>1.7971657230573842E-3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'[79]Sch C'!D101</f>
        <v>0</v>
      </c>
      <c r="D108" s="501">
        <f>'[79]Sch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'[79]Sch C'!D102</f>
        <v>7372.95</v>
      </c>
      <c r="D109" s="501">
        <f>'[79]Sch C'!F102</f>
        <v>0</v>
      </c>
      <c r="E109" s="171">
        <f t="shared" si="19"/>
        <v>7372.95</v>
      </c>
      <c r="F109" s="171"/>
      <c r="G109" s="171">
        <f t="shared" si="20"/>
        <v>7372.95</v>
      </c>
      <c r="H109" s="172">
        <f t="shared" si="21"/>
        <v>1.2792394138095564E-3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'[79]Sch C'!D103</f>
        <v>0</v>
      </c>
      <c r="D110" s="501">
        <f>'[79]Sch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100955.92</v>
      </c>
      <c r="D111" s="501">
        <f>SUM(D105:D110)</f>
        <v>0</v>
      </c>
      <c r="E111" s="171">
        <f t="shared" ref="E111:F111" si="22">SUM(E105:E110)</f>
        <v>100955.92</v>
      </c>
      <c r="F111" s="171">
        <f t="shared" si="22"/>
        <v>0</v>
      </c>
      <c r="G111" s="171">
        <f>SUM(G105:G110)</f>
        <v>100955.92</v>
      </c>
      <c r="H111" s="172">
        <f t="shared" si="21"/>
        <v>1.7516298350240336E-2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'[79]Sch C'!D115</f>
        <v>146534.06</v>
      </c>
      <c r="D114" s="501">
        <f>'[79]Sch C'!F115</f>
        <v>0</v>
      </c>
      <c r="E114" s="171">
        <f t="shared" ref="E114:E118" si="23">C114+D114</f>
        <v>146534.06</v>
      </c>
      <c r="F114" s="171"/>
      <c r="G114" s="171">
        <f>E114+F114</f>
        <v>146534.06</v>
      </c>
      <c r="H114" s="172">
        <f t="shared" ref="H114:H119" si="24">IF($G$208=0,0,G114/$G$208)</f>
        <v>2.5424307097909844E-2</v>
      </c>
      <c r="I114" s="473"/>
      <c r="J114" s="183">
        <v>11387</v>
      </c>
      <c r="K114" s="183">
        <v>11954</v>
      </c>
    </row>
    <row r="115" spans="1:11" s="167" customFormat="1">
      <c r="A115" s="169" t="s">
        <v>86</v>
      </c>
      <c r="B115" s="170" t="s">
        <v>151</v>
      </c>
      <c r="C115" s="501">
        <f>'[79]Sch C'!D116</f>
        <v>64203.21</v>
      </c>
      <c r="D115" s="501">
        <f>'[79]Sch C'!F116</f>
        <v>0</v>
      </c>
      <c r="E115" s="171">
        <f t="shared" si="23"/>
        <v>64203.21</v>
      </c>
      <c r="F115" s="171"/>
      <c r="G115" s="171">
        <f>E115+F115</f>
        <v>64203.21</v>
      </c>
      <c r="H115" s="172">
        <f t="shared" si="24"/>
        <v>1.1139540716414984E-2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'[79]Sch C'!D117</f>
        <v>20333.27</v>
      </c>
      <c r="D116" s="501">
        <f>'[79]Sch C'!F117</f>
        <v>0</v>
      </c>
      <c r="E116" s="171">
        <f t="shared" si="23"/>
        <v>20333.27</v>
      </c>
      <c r="F116" s="171"/>
      <c r="G116" s="171">
        <f>E116+F116</f>
        <v>20333.27</v>
      </c>
      <c r="H116" s="172">
        <f t="shared" si="24"/>
        <v>3.5279122190753284E-3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'[79]Sch C'!D118</f>
        <v>0</v>
      </c>
      <c r="D117" s="501">
        <f>'[79]Sch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'[79]Sch C'!D119</f>
        <v>0</v>
      </c>
      <c r="D118" s="501">
        <f>'[79]Sch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231070.53999999998</v>
      </c>
      <c r="D119" s="501">
        <f>SUM(D114:D118)</f>
        <v>0</v>
      </c>
      <c r="E119" s="171">
        <f t="shared" ref="E119:F119" si="25">SUM(E114:E118)</f>
        <v>231070.53999999998</v>
      </c>
      <c r="F119" s="171">
        <f t="shared" si="25"/>
        <v>0</v>
      </c>
      <c r="G119" s="171">
        <f>SUM(G114:G118)</f>
        <v>231070.53999999998</v>
      </c>
      <c r="H119" s="172">
        <f t="shared" si="24"/>
        <v>4.0091760033400155E-2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'[79]Sch C'!D124</f>
        <v>0</v>
      </c>
      <c r="D123" s="501">
        <f>'[79]Sch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'[79]Sch C'!D125</f>
        <v>273144.71000000002</v>
      </c>
      <c r="D124" s="501">
        <f>'[79]Sch C'!F125</f>
        <v>-29436.7</v>
      </c>
      <c r="E124" s="171">
        <f t="shared" si="26"/>
        <v>243708.01</v>
      </c>
      <c r="F124" s="171"/>
      <c r="G124" s="171">
        <f>E124+F124</f>
        <v>243708.01</v>
      </c>
      <c r="H124" s="172">
        <f>IF($G$208=0,0,G124/$G$208)</f>
        <v>4.2284416936652705E-2</v>
      </c>
      <c r="I124" s="473"/>
      <c r="J124" s="183">
        <v>6164</v>
      </c>
      <c r="K124" s="183">
        <v>6462</v>
      </c>
    </row>
    <row r="125" spans="1:11" s="167" customFormat="1">
      <c r="A125" s="163" t="s">
        <v>198</v>
      </c>
      <c r="B125" s="163" t="s">
        <v>195</v>
      </c>
      <c r="C125" s="501">
        <f>'[79]Sch C'!D126</f>
        <v>0</v>
      </c>
      <c r="D125" s="501">
        <f>'[79]Sch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'[79]Sch C'!D127</f>
        <v>0</v>
      </c>
      <c r="D126" s="501">
        <f>'[79]Sch C'!F127</f>
        <v>29436.7</v>
      </c>
      <c r="E126" s="171">
        <f t="shared" si="26"/>
        <v>29436.7</v>
      </c>
      <c r="F126" s="171"/>
      <c r="G126" s="171">
        <f>E126+F126</f>
        <v>29436.7</v>
      </c>
      <c r="H126" s="172">
        <f>IF($G$208=0,0,G126/$G$208)</f>
        <v>5.107397561693457E-3</v>
      </c>
      <c r="I126" s="473"/>
      <c r="J126" s="183">
        <v>1965</v>
      </c>
      <c r="K126" s="183">
        <v>2117</v>
      </c>
    </row>
    <row r="127" spans="1:11" s="167" customFormat="1">
      <c r="A127" s="169"/>
      <c r="B127" s="163" t="s">
        <v>197</v>
      </c>
      <c r="C127" s="501">
        <f>'[79]Sch C'!D128</f>
        <v>33989.15</v>
      </c>
      <c r="D127" s="501">
        <f>'[79]Sch C'!F128</f>
        <v>0</v>
      </c>
      <c r="E127" s="171">
        <f t="shared" si="26"/>
        <v>33989.15</v>
      </c>
      <c r="F127" s="171"/>
      <c r="G127" s="171">
        <f>E127+F127</f>
        <v>33989.15</v>
      </c>
      <c r="H127" s="172">
        <f>IF($G$208=0,0,G127/$G$208)</f>
        <v>5.8972677587512583E-3</v>
      </c>
      <c r="I127" s="473"/>
      <c r="J127" s="183">
        <v>1920</v>
      </c>
      <c r="K127" s="183">
        <v>2074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'[79]Sch C'!D130</f>
        <v>0</v>
      </c>
      <c r="D129" s="501">
        <f>'[79]Sch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'[79]Sch C'!D131</f>
        <v>498317</v>
      </c>
      <c r="D130" s="501">
        <f>'[79]Sch C'!F131</f>
        <v>-430542</v>
      </c>
      <c r="E130" s="171">
        <f t="shared" si="27"/>
        <v>67775</v>
      </c>
      <c r="F130" s="171"/>
      <c r="G130" s="171">
        <f>E130+F130</f>
        <v>67775</v>
      </c>
      <c r="H130" s="172">
        <f>IF($G$208=0,0,G130/$G$208)</f>
        <v>1.1759262068906299E-2</v>
      </c>
      <c r="I130" s="613" t="s">
        <v>479</v>
      </c>
      <c r="J130" s="204"/>
      <c r="K130" s="204"/>
    </row>
    <row r="131" spans="1:11" s="167" customFormat="1">
      <c r="B131" s="163" t="s">
        <v>195</v>
      </c>
      <c r="C131" s="501">
        <f>'[79]Sch C'!D132</f>
        <v>0</v>
      </c>
      <c r="D131" s="501">
        <f>'[79]Sch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'[79]Sch C'!D133</f>
        <v>0</v>
      </c>
      <c r="D132" s="501">
        <f>'[79]Sch C'!F133</f>
        <v>8186</v>
      </c>
      <c r="E132" s="171">
        <f t="shared" si="27"/>
        <v>8186</v>
      </c>
      <c r="F132" s="171"/>
      <c r="G132" s="171">
        <f>E132+F132</f>
        <v>8186</v>
      </c>
      <c r="H132" s="172">
        <f>IF($G$208=0,0,G132/$G$208)</f>
        <v>1.4203071825314197E-3</v>
      </c>
      <c r="I132" s="473"/>
      <c r="J132" s="168"/>
      <c r="K132" s="168"/>
    </row>
    <row r="133" spans="1:11" s="167" customFormat="1">
      <c r="B133" s="163" t="s">
        <v>197</v>
      </c>
      <c r="C133" s="501">
        <f>'[79]Sch C'!D134</f>
        <v>14637.37</v>
      </c>
      <c r="D133" s="501">
        <f>'[79]Sch C'!F134</f>
        <v>9452</v>
      </c>
      <c r="E133" s="171">
        <f t="shared" si="27"/>
        <v>24089.370000000003</v>
      </c>
      <c r="F133" s="171"/>
      <c r="G133" s="171">
        <f>E133+F133</f>
        <v>24089.370000000003</v>
      </c>
      <c r="H133" s="172">
        <f>IF($G$208=0,0,G133/$G$208)</f>
        <v>4.1796121712261063E-3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'[79]Sch C'!D136</f>
        <v>363789.31</v>
      </c>
      <c r="D135" s="501">
        <f>'[79]Sch C'!F136</f>
        <v>0</v>
      </c>
      <c r="E135" s="171">
        <f t="shared" ref="E135:E138" si="28">C135+D135</f>
        <v>363789.31</v>
      </c>
      <c r="F135" s="171"/>
      <c r="G135" s="171">
        <f>E135+F135</f>
        <v>363789.31</v>
      </c>
      <c r="H135" s="172">
        <f>IF($G$208=0,0,G135/$G$208)</f>
        <v>6.311905325203386E-2</v>
      </c>
      <c r="I135" s="473"/>
      <c r="J135" s="183">
        <v>12188</v>
      </c>
      <c r="K135" s="183">
        <v>12494</v>
      </c>
    </row>
    <row r="136" spans="1:11" s="167" customFormat="1">
      <c r="A136" s="169"/>
      <c r="B136" s="163" t="s">
        <v>195</v>
      </c>
      <c r="C136" s="501">
        <f>'[79]Sch C'!D137</f>
        <v>332253.68</v>
      </c>
      <c r="D136" s="501">
        <f>'[79]Sch C'!F137</f>
        <v>0</v>
      </c>
      <c r="E136" s="171">
        <f t="shared" si="28"/>
        <v>332253.68</v>
      </c>
      <c r="F136" s="171"/>
      <c r="G136" s="171">
        <f>E136+F136</f>
        <v>332253.68</v>
      </c>
      <c r="H136" s="172">
        <f>IF($G$208=0,0,G136/$G$208)</f>
        <v>5.7647482057964314E-2</v>
      </c>
      <c r="I136" s="473"/>
      <c r="J136" s="183">
        <v>15954</v>
      </c>
      <c r="K136" s="183">
        <v>16451</v>
      </c>
    </row>
    <row r="137" spans="1:11" s="167" customFormat="1">
      <c r="A137" s="169"/>
      <c r="B137" s="163" t="s">
        <v>196</v>
      </c>
      <c r="C137" s="501">
        <f>'[79]Sch C'!D138</f>
        <v>772983.8</v>
      </c>
      <c r="D137" s="501">
        <f>'[79]Sch C'!F138</f>
        <v>0</v>
      </c>
      <c r="E137" s="171">
        <f t="shared" si="28"/>
        <v>772983.8</v>
      </c>
      <c r="F137" s="171"/>
      <c r="G137" s="171">
        <f>E137+F137</f>
        <v>772983.8</v>
      </c>
      <c r="H137" s="172">
        <f>IF($G$208=0,0,G137/$G$208)</f>
        <v>0.13411610592724535</v>
      </c>
      <c r="I137" s="473"/>
      <c r="J137" s="183">
        <v>54000</v>
      </c>
      <c r="K137" s="183">
        <v>56055</v>
      </c>
    </row>
    <row r="138" spans="1:11" s="167" customFormat="1">
      <c r="A138" s="169"/>
      <c r="B138" s="163" t="s">
        <v>197</v>
      </c>
      <c r="C138" s="501">
        <f>'[79]Sch C'!D139</f>
        <v>3078.77</v>
      </c>
      <c r="D138" s="501">
        <f>'[79]Sch C'!F139</f>
        <v>0</v>
      </c>
      <c r="E138" s="171">
        <f t="shared" si="28"/>
        <v>3078.77</v>
      </c>
      <c r="F138" s="171"/>
      <c r="G138" s="171">
        <f>E138+F138</f>
        <v>3078.77</v>
      </c>
      <c r="H138" s="172">
        <f>IF($G$208=0,0,G138/$G$208)</f>
        <v>5.3418020331813564E-4</v>
      </c>
      <c r="I138" s="473"/>
      <c r="J138" s="183">
        <v>949</v>
      </c>
      <c r="K138" s="183">
        <v>949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'[79]Sch C'!D141</f>
        <v>0</v>
      </c>
      <c r="D140" s="501">
        <f>'[79]Sch C'!F141</f>
        <v>101169</v>
      </c>
      <c r="E140" s="171">
        <f t="shared" ref="E140:E143" si="29">C140+D140</f>
        <v>101169</v>
      </c>
      <c r="F140" s="171"/>
      <c r="G140" s="171">
        <f>E140+F140</f>
        <v>101169</v>
      </c>
      <c r="H140" s="172">
        <f>IF($G$208=0,0,G140/$G$208)</f>
        <v>1.7553268672064647E-2</v>
      </c>
      <c r="I140" s="613" t="s">
        <v>479</v>
      </c>
      <c r="J140" s="461"/>
      <c r="K140" s="168"/>
    </row>
    <row r="141" spans="1:11" s="167" customFormat="1">
      <c r="A141" s="169"/>
      <c r="B141" s="163" t="s">
        <v>195</v>
      </c>
      <c r="C141" s="501">
        <f>'[79]Sch C'!D142</f>
        <v>0</v>
      </c>
      <c r="D141" s="501">
        <f>'[79]Sch C'!F142</f>
        <v>92400</v>
      </c>
      <c r="E141" s="171">
        <f t="shared" si="29"/>
        <v>92400</v>
      </c>
      <c r="F141" s="171"/>
      <c r="G141" s="171">
        <f>E141+F141</f>
        <v>92400</v>
      </c>
      <c r="H141" s="172">
        <f>IF($G$208=0,0,G141/$G$208)</f>
        <v>1.6031808412643924E-2</v>
      </c>
      <c r="I141" s="613" t="s">
        <v>479</v>
      </c>
      <c r="J141" s="168"/>
      <c r="K141" s="168"/>
    </row>
    <row r="142" spans="1:11" s="167" customFormat="1">
      <c r="A142" s="169"/>
      <c r="B142" s="163" t="s">
        <v>196</v>
      </c>
      <c r="C142" s="501">
        <f>'[79]Sch C'!D143</f>
        <v>0</v>
      </c>
      <c r="D142" s="501">
        <f>'[79]Sch C'!F143</f>
        <v>214966</v>
      </c>
      <c r="E142" s="171">
        <f t="shared" si="29"/>
        <v>214966</v>
      </c>
      <c r="F142" s="171"/>
      <c r="G142" s="171">
        <f>E142+F142</f>
        <v>214966</v>
      </c>
      <c r="H142" s="172">
        <f>IF($G$208=0,0,G142/$G$208)</f>
        <v>3.729755116052396E-2</v>
      </c>
      <c r="I142" s="613" t="s">
        <v>479</v>
      </c>
      <c r="J142" s="168"/>
      <c r="K142" s="168"/>
    </row>
    <row r="143" spans="1:11" s="167" customFormat="1">
      <c r="A143" s="169"/>
      <c r="B143" s="163" t="s">
        <v>197</v>
      </c>
      <c r="C143" s="501">
        <f>'[79]Sch C'!D144</f>
        <v>0</v>
      </c>
      <c r="D143" s="501">
        <f>'[79]Sch C'!F144</f>
        <v>856</v>
      </c>
      <c r="E143" s="171">
        <f t="shared" si="29"/>
        <v>856</v>
      </c>
      <c r="F143" s="171"/>
      <c r="G143" s="171">
        <f>E143+F143</f>
        <v>856</v>
      </c>
      <c r="H143" s="172">
        <f>IF($G$208=0,0,G143/$G$208)</f>
        <v>1.4851978356302166E-4</v>
      </c>
      <c r="I143" s="613" t="s">
        <v>479</v>
      </c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'[79]Sch C'!D146</f>
        <v>24000</v>
      </c>
      <c r="D145" s="501">
        <f>'[79]Sch C'!F146</f>
        <v>0</v>
      </c>
      <c r="E145" s="171">
        <f t="shared" ref="E145:E153" si="30">C145+D145</f>
        <v>24000</v>
      </c>
      <c r="F145" s="171"/>
      <c r="G145" s="171">
        <f t="shared" ref="G145:G153" si="31">E145+F145</f>
        <v>24000</v>
      </c>
      <c r="H145" s="172">
        <f t="shared" ref="H145:H153" si="32">IF($G$208=0,0,G145/$G$208)</f>
        <v>4.1641060812062144E-3</v>
      </c>
      <c r="I145" s="473"/>
      <c r="J145" s="183">
        <v>160</v>
      </c>
      <c r="K145" s="183">
        <v>160</v>
      </c>
    </row>
    <row r="146" spans="1:11" s="167" customFormat="1">
      <c r="A146" s="169"/>
      <c r="B146" s="163" t="s">
        <v>194</v>
      </c>
      <c r="C146" s="501">
        <f>'[79]Sch C'!D147</f>
        <v>0</v>
      </c>
      <c r="D146" s="501">
        <f>'[79]Sch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'[79]Sch C'!D148</f>
        <v>0</v>
      </c>
      <c r="D147" s="501">
        <f>'[79]Sch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'[79]Sch C'!D149</f>
        <v>0</v>
      </c>
      <c r="D148" s="501">
        <f>'[79]Sch C'!F149</f>
        <v>0</v>
      </c>
      <c r="E148" s="171">
        <f t="shared" si="30"/>
        <v>0</v>
      </c>
      <c r="F148" s="660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'[79]Sch C'!D150</f>
        <v>59432</v>
      </c>
      <c r="D149" s="501">
        <f>'[79]Sch C'!F150</f>
        <v>0</v>
      </c>
      <c r="E149" s="171">
        <f t="shared" si="30"/>
        <v>59432</v>
      </c>
      <c r="F149" s="660"/>
      <c r="G149" s="171">
        <f t="shared" si="31"/>
        <v>59432</v>
      </c>
      <c r="H149" s="172">
        <f t="shared" si="32"/>
        <v>1.0311714692426989E-2</v>
      </c>
      <c r="I149" s="473"/>
      <c r="J149" s="183">
        <v>1210</v>
      </c>
      <c r="K149" s="183">
        <v>1210</v>
      </c>
    </row>
    <row r="150" spans="1:11" s="167" customFormat="1">
      <c r="A150" s="169">
        <v>110</v>
      </c>
      <c r="B150" s="167" t="s">
        <v>65</v>
      </c>
      <c r="C150" s="501">
        <f>'[79]Sch C'!D151</f>
        <v>132031.67000000001</v>
      </c>
      <c r="D150" s="501">
        <f>'[79]Sch C'!F151</f>
        <v>0</v>
      </c>
      <c r="E150" s="171">
        <f t="shared" si="30"/>
        <v>132031.67000000001</v>
      </c>
      <c r="F150" s="660">
        <f>605-3257</f>
        <v>-2652</v>
      </c>
      <c r="G150" s="171">
        <f t="shared" si="31"/>
        <v>129379.67000000001</v>
      </c>
      <c r="H150" s="172">
        <f t="shared" si="32"/>
        <v>2.2447944609643885E-2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'[79]Sch C'!D152</f>
        <v>4594</v>
      </c>
      <c r="D151" s="501">
        <f>'[79]Sch C'!F152</f>
        <v>0</v>
      </c>
      <c r="E151" s="171">
        <f t="shared" si="30"/>
        <v>4594</v>
      </c>
      <c r="F151" s="660">
        <v>-195</v>
      </c>
      <c r="G151" s="171">
        <f t="shared" si="31"/>
        <v>4399</v>
      </c>
      <c r="H151" s="172">
        <f t="shared" si="32"/>
        <v>7.63245943801089E-4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'[79]Sch C'!D153</f>
        <v>0</v>
      </c>
      <c r="D152" s="501">
        <f>'[79]Sch C'!F153</f>
        <v>0</v>
      </c>
      <c r="E152" s="171">
        <f t="shared" si="30"/>
        <v>0</v>
      </c>
      <c r="F152" s="660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'[79]Sch C'!D154</f>
        <v>0</v>
      </c>
      <c r="D153" s="501">
        <f>'[79]Sch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'[79]Sch C'!D156</f>
        <v>0</v>
      </c>
      <c r="D155" s="501">
        <f>'[79]Sch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'[79]Sch C'!D157</f>
        <v>0</v>
      </c>
      <c r="D156" s="501">
        <f>'[79]Sch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'[79]Sch C'!D158</f>
        <v>0</v>
      </c>
      <c r="D157" s="501">
        <f>'[79]Sch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'[79]Sch C'!D159</f>
        <v>0</v>
      </c>
      <c r="D158" s="501">
        <f>'[79]Sch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'[79]Sch C'!D160</f>
        <v>156</v>
      </c>
      <c r="D159" s="501">
        <f>'[79]Sch C'!F160</f>
        <v>0</v>
      </c>
      <c r="E159" s="171">
        <f t="shared" si="33"/>
        <v>156</v>
      </c>
      <c r="F159" s="171"/>
      <c r="G159" s="171">
        <f t="shared" si="34"/>
        <v>156</v>
      </c>
      <c r="H159" s="172">
        <f>IF($G$208=0,0,G159/$G$208)</f>
        <v>2.7066689527840392E-5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'[79]Sch C'!D161</f>
        <v>0</v>
      </c>
      <c r="D160" s="501">
        <f>'[79]Sch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2512407.46</v>
      </c>
      <c r="D161" s="501">
        <f>SUM(D123:D160)</f>
        <v>-3513</v>
      </c>
      <c r="E161" s="171">
        <f t="shared" ref="E161:F161" si="36">SUM(E123:E160)</f>
        <v>2508894.46</v>
      </c>
      <c r="F161" s="171">
        <f t="shared" si="36"/>
        <v>-2847</v>
      </c>
      <c r="G161" s="171">
        <f>SUM(G123:G160)</f>
        <v>2506047.46</v>
      </c>
      <c r="H161" s="172">
        <f t="shared" si="35"/>
        <v>0.43481031116572444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'[79]Sch C'!D175</f>
        <v>33687.129999999997</v>
      </c>
      <c r="D164" s="501">
        <f>'[79]Sch C'!F175</f>
        <v>0</v>
      </c>
      <c r="E164" s="171">
        <f t="shared" ref="E164:E196" si="37">C164+D164</f>
        <v>33687.129999999997</v>
      </c>
      <c r="F164" s="216"/>
      <c r="G164" s="171">
        <f t="shared" ref="G164:G196" si="38">E164+F164</f>
        <v>33687.129999999997</v>
      </c>
      <c r="H164" s="172">
        <f t="shared" ref="H164:H196" si="39">IF($G$208=0,0,G164/$G$208)</f>
        <v>5.844865953807679E-3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'[79]Sch C'!D176</f>
        <v>0</v>
      </c>
      <c r="D165" s="501">
        <f>'[79]Sch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'[79]Sch C'!D177</f>
        <v>202000.69</v>
      </c>
      <c r="D166" s="501">
        <f>'[79]Sch C'!F177</f>
        <v>-72237</v>
      </c>
      <c r="E166" s="171">
        <f t="shared" si="37"/>
        <v>129763.69</v>
      </c>
      <c r="F166" s="216"/>
      <c r="G166" s="171">
        <f t="shared" si="38"/>
        <v>129763.69</v>
      </c>
      <c r="H166" s="172">
        <f t="shared" si="39"/>
        <v>2.2514573777031584E-2</v>
      </c>
      <c r="I166" s="483"/>
      <c r="J166" s="183">
        <v>4311</v>
      </c>
      <c r="K166" s="183">
        <v>4311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'[79]Sch C'!D178</f>
        <v>63905</v>
      </c>
      <c r="D167" s="501">
        <f>'[79]Sch C'!F178</f>
        <v>-22844</v>
      </c>
      <c r="E167" s="171">
        <f t="shared" si="37"/>
        <v>41061</v>
      </c>
      <c r="F167" s="216"/>
      <c r="G167" s="171">
        <f t="shared" si="38"/>
        <v>41061</v>
      </c>
      <c r="H167" s="172">
        <f t="shared" si="39"/>
        <v>7.1242649916836822E-3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'[79]Sch C'!D179</f>
        <v>0</v>
      </c>
      <c r="D168" s="501">
        <f>'[79]Sch C'!F179</f>
        <v>878</v>
      </c>
      <c r="E168" s="171">
        <f t="shared" si="37"/>
        <v>878</v>
      </c>
      <c r="F168" s="216"/>
      <c r="G168" s="171">
        <f t="shared" si="38"/>
        <v>878</v>
      </c>
      <c r="H168" s="172">
        <f t="shared" si="39"/>
        <v>1.5233688080412735E-4</v>
      </c>
      <c r="I168" s="483"/>
      <c r="J168" s="183">
        <v>29</v>
      </c>
      <c r="K168" s="183">
        <v>29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'[79]Sch C'!D180</f>
        <v>0</v>
      </c>
      <c r="D169" s="501">
        <f>'[79]Sch C'!F180</f>
        <v>277.81</v>
      </c>
      <c r="E169" s="171">
        <f t="shared" si="37"/>
        <v>277.81</v>
      </c>
      <c r="F169" s="216"/>
      <c r="G169" s="171">
        <f t="shared" si="38"/>
        <v>277.81</v>
      </c>
      <c r="H169" s="172">
        <f t="shared" si="39"/>
        <v>4.8201262934162434E-5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'[79]Sch C'!D181</f>
        <v>0</v>
      </c>
      <c r="D170" s="501">
        <f>'[79]Sch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'[79]Sch C'!D182</f>
        <v>0</v>
      </c>
      <c r="D171" s="501">
        <f>'[79]Sch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'[79]Sch C'!D183</f>
        <v>0</v>
      </c>
      <c r="D172" s="501">
        <f>'[79]Sch C'!F183</f>
        <v>71359</v>
      </c>
      <c r="E172" s="171">
        <f t="shared" si="37"/>
        <v>71359</v>
      </c>
      <c r="F172" s="216"/>
      <c r="G172" s="171">
        <f t="shared" si="38"/>
        <v>71359</v>
      </c>
      <c r="H172" s="172">
        <f t="shared" si="39"/>
        <v>1.2381101910366427E-2</v>
      </c>
      <c r="I172" s="483"/>
      <c r="J172" s="183">
        <v>2019</v>
      </c>
      <c r="K172" s="183">
        <v>2139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'[79]Sch C'!D184</f>
        <v>0</v>
      </c>
      <c r="D173" s="501">
        <f>'[79]Sch C'!F184</f>
        <v>22566</v>
      </c>
      <c r="E173" s="171">
        <f t="shared" si="37"/>
        <v>22566</v>
      </c>
      <c r="F173" s="216"/>
      <c r="G173" s="171">
        <f t="shared" si="38"/>
        <v>22566</v>
      </c>
      <c r="H173" s="172">
        <f t="shared" si="39"/>
        <v>3.9153007428541428E-3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'[79]Sch C'!D185</f>
        <v>0</v>
      </c>
      <c r="D174" s="501">
        <f>'[79]Sch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'[79]Sch C'!D186</f>
        <v>0</v>
      </c>
      <c r="D175" s="501">
        <f>'[79]Sch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'[79]Sch C'!D187</f>
        <v>0</v>
      </c>
      <c r="D176" s="501">
        <f>'[79]Sch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'[79]Sch C'!D188</f>
        <v>0</v>
      </c>
      <c r="D177" s="501">
        <f>'[79]Sch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'[79]Sch C'!D189</f>
        <v>0</v>
      </c>
      <c r="D178" s="501">
        <f>'[79]Sch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'[79]Sch C'!D190</f>
        <v>0</v>
      </c>
      <c r="D179" s="501">
        <f>'[79]Sch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'[79]Sch C'!D191</f>
        <v>0</v>
      </c>
      <c r="D180" s="501">
        <f>'[79]Sch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'[79]Sch C'!D192</f>
        <v>0</v>
      </c>
      <c r="D181" s="501">
        <f>'[79]Sch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'[79]Sch C'!D193</f>
        <v>0</v>
      </c>
      <c r="D182" s="501">
        <f>'[79]Sch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'[79]Sch C'!D194</f>
        <v>0</v>
      </c>
      <c r="D183" s="501">
        <f>'[79]Sch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'[79]Sch C'!D195</f>
        <v>0</v>
      </c>
      <c r="D184" s="501">
        <f>'[79]Sch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'[79]Sch C'!D196</f>
        <v>0</v>
      </c>
      <c r="D185" s="501">
        <f>'[79]Sch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'[79]Sch C'!D197</f>
        <v>0</v>
      </c>
      <c r="D186" s="501">
        <f>'[79]Sch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'[79]Sch C'!D198</f>
        <v>59384.63</v>
      </c>
      <c r="D187" s="501">
        <f>'[79]Sch C'!F198</f>
        <v>0</v>
      </c>
      <c r="E187" s="171">
        <f t="shared" si="37"/>
        <v>59384.63</v>
      </c>
      <c r="F187" s="216"/>
      <c r="G187" s="171">
        <f t="shared" si="38"/>
        <v>59384.63</v>
      </c>
      <c r="H187" s="172">
        <f t="shared" si="39"/>
        <v>1.0303495788049207E-2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'[79]Sch C'!D199</f>
        <v>0</v>
      </c>
      <c r="D188" s="501">
        <f>'[79]Sch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'[79]Sch C'!D200</f>
        <v>0</v>
      </c>
      <c r="D189" s="501">
        <f>'[79]Sch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'[79]Sch C'!D201</f>
        <v>0</v>
      </c>
      <c r="D190" s="501">
        <f>'[79]Sch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'[79]Sch C'!D202</f>
        <v>0</v>
      </c>
      <c r="D191" s="501">
        <f>'[79]Sch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'[79]Sch C'!D203</f>
        <v>0</v>
      </c>
      <c r="D192" s="501">
        <f>'[79]Sch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'[79]Sch C'!D204</f>
        <v>0</v>
      </c>
      <c r="D193" s="501">
        <f>'[79]Sch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'[79]Sch C'!D205</f>
        <v>150172.76</v>
      </c>
      <c r="D194" s="501">
        <f>'[79]Sch C'!F205</f>
        <v>0</v>
      </c>
      <c r="E194" s="171">
        <f t="shared" si="37"/>
        <v>150172.76</v>
      </c>
      <c r="F194" s="216"/>
      <c r="G194" s="171">
        <f t="shared" si="38"/>
        <v>150172.76</v>
      </c>
      <c r="H194" s="172">
        <f t="shared" si="39"/>
        <v>2.6055637631146725E-2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'[79]Sch C'!D206</f>
        <v>17105.66</v>
      </c>
      <c r="D195" s="501">
        <f>'[79]Sch C'!F206</f>
        <v>0</v>
      </c>
      <c r="E195" s="171">
        <f t="shared" si="37"/>
        <v>17105.66</v>
      </c>
      <c r="F195" s="216"/>
      <c r="G195" s="171">
        <f t="shared" si="38"/>
        <v>17105.66</v>
      </c>
      <c r="H195" s="172">
        <f t="shared" si="39"/>
        <v>2.9679076178769121E-3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'[79]Sch C'!D207</f>
        <v>0</v>
      </c>
      <c r="D196" s="501">
        <f>'[79]Sch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526255.87</v>
      </c>
      <c r="D197" s="501">
        <f>SUM(D164:D196)</f>
        <v>-0.19000000000232831</v>
      </c>
      <c r="E197" s="171">
        <f t="shared" ref="E197:F197" si="40">SUM(E164:E196)</f>
        <v>526255.68000000005</v>
      </c>
      <c r="F197" s="171">
        <f t="shared" si="40"/>
        <v>0</v>
      </c>
      <c r="G197" s="171">
        <f>SUM(G164:G196)</f>
        <v>526255.68000000005</v>
      </c>
      <c r="H197" s="172">
        <f>IF($G$208=0,0,G197/$G$208)</f>
        <v>9.1307686556554662E-2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'[79]Sch C'!D211</f>
        <v>115474.68</v>
      </c>
      <c r="D200" s="501">
        <f>'[79]Sch C'!F211</f>
        <v>0</v>
      </c>
      <c r="E200" s="171">
        <f t="shared" ref="E200:E205" si="41">C200+D200</f>
        <v>115474.68</v>
      </c>
      <c r="F200" s="171"/>
      <c r="G200" s="171">
        <f t="shared" ref="G200:G205" si="42">E200+F200</f>
        <v>115474.68</v>
      </c>
      <c r="H200" s="172">
        <f t="shared" ref="H200:H206" si="43">IF($G$208=0,0,G200/$G$208)</f>
        <v>2.0035367383889231E-2</v>
      </c>
      <c r="I200" s="473"/>
      <c r="J200" s="183">
        <v>5751</v>
      </c>
      <c r="K200" s="183">
        <v>6248</v>
      </c>
    </row>
    <row r="201" spans="1:14" s="167" customFormat="1">
      <c r="A201" s="169" t="s">
        <v>86</v>
      </c>
      <c r="B201" s="170" t="s">
        <v>45</v>
      </c>
      <c r="C201" s="501">
        <f>'[79]Sch C'!D212</f>
        <v>51458.87</v>
      </c>
      <c r="D201" s="501">
        <f>'[79]Sch C'!F212</f>
        <v>0</v>
      </c>
      <c r="E201" s="171">
        <f t="shared" si="41"/>
        <v>51458.87</v>
      </c>
      <c r="F201" s="171"/>
      <c r="G201" s="171">
        <f t="shared" si="42"/>
        <v>51458.87</v>
      </c>
      <c r="H201" s="172">
        <f t="shared" si="43"/>
        <v>8.9283413957916679E-3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'[79]Sch C'!D213</f>
        <v>10846.89</v>
      </c>
      <c r="D202" s="501">
        <f>'[79]Sch C'!F213</f>
        <v>0</v>
      </c>
      <c r="E202" s="171">
        <f t="shared" si="41"/>
        <v>10846.89</v>
      </c>
      <c r="F202" s="171"/>
      <c r="G202" s="171">
        <f t="shared" si="42"/>
        <v>10846.89</v>
      </c>
      <c r="H202" s="172">
        <f t="shared" si="43"/>
        <v>1.8819833587989531E-3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'[79]Sch C'!D214</f>
        <v>0</v>
      </c>
      <c r="D203" s="501">
        <f>'[79]Sch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'[79]Sch C'!D215</f>
        <v>0</v>
      </c>
      <c r="D204" s="501">
        <f>'[79]Sch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'[79]Sch C'!D216</f>
        <v>10001.040000000001</v>
      </c>
      <c r="D205" s="501">
        <f>'[79]Sch C'!F216</f>
        <v>0</v>
      </c>
      <c r="E205" s="171">
        <f t="shared" si="41"/>
        <v>10001.040000000001</v>
      </c>
      <c r="F205" s="171"/>
      <c r="G205" s="171">
        <f t="shared" si="42"/>
        <v>10001.040000000001</v>
      </c>
      <c r="H205" s="172">
        <f t="shared" si="43"/>
        <v>1.7352246450994418E-3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187781.48</v>
      </c>
      <c r="D206" s="501">
        <f>SUM(D200:D205)</f>
        <v>0</v>
      </c>
      <c r="E206" s="171">
        <f t="shared" ref="E206:F206" si="44">SUM(E200:E205)</f>
        <v>187781.48</v>
      </c>
      <c r="F206" s="171">
        <f t="shared" si="44"/>
        <v>0</v>
      </c>
      <c r="G206" s="171">
        <f>SUM(G200:G205)</f>
        <v>187781.48</v>
      </c>
      <c r="H206" s="172">
        <f t="shared" si="43"/>
        <v>3.25809167835793E-2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5827288.0199999986</v>
      </c>
      <c r="D208" s="501">
        <f>SUM(D25:D206)/2</f>
        <v>-19694.089999999997</v>
      </c>
      <c r="E208" s="171">
        <f t="shared" ref="E208:F208" si="45">SUM(E25:E206)/2</f>
        <v>5807593.9299999988</v>
      </c>
      <c r="F208" s="171">
        <f t="shared" si="45"/>
        <v>-44052</v>
      </c>
      <c r="G208" s="171">
        <f>SUM(G25:G206)/2</f>
        <v>5763541.9299999997</v>
      </c>
      <c r="H208" s="172">
        <f>IF($G$208=0,0,G208/$G$208)</f>
        <v>1</v>
      </c>
      <c r="I208" s="473"/>
      <c r="J208" s="183">
        <f>SUM(J25:J200)</f>
        <v>149347</v>
      </c>
      <c r="K208" s="183">
        <f>SUM(K25:K200)</f>
        <v>155136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'[79]Sch C'!D221</f>
        <v>5827288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1.999999862164259E-2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-218246.01999999862</v>
      </c>
      <c r="D215" s="501">
        <f>D21-D208</f>
        <v>19694.089999999997</v>
      </c>
      <c r="E215" s="171">
        <f t="shared" ref="E215:F215" si="46">E21-E208</f>
        <v>-198551.92999999877</v>
      </c>
      <c r="F215" s="171">
        <f t="shared" si="46"/>
        <v>-955975</v>
      </c>
      <c r="G215" s="171">
        <f>G21-G208</f>
        <v>-1154526.9299999997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'[79]Sch D'!C9</f>
        <v>14374</v>
      </c>
      <c r="D219" s="530"/>
      <c r="E219" s="234">
        <f t="shared" ref="E219:G227" si="47">C219+D219</f>
        <v>14374</v>
      </c>
      <c r="F219" s="233"/>
      <c r="G219" s="234">
        <f t="shared" si="47"/>
        <v>14374</v>
      </c>
      <c r="H219" s="172">
        <f t="shared" ref="H219:H228" si="48">IF($G$228=0,0,G219/$G$228)</f>
        <v>0.67894761702328654</v>
      </c>
      <c r="I219" s="473"/>
      <c r="J219" s="168"/>
      <c r="K219" s="168"/>
    </row>
    <row r="220" spans="1:11">
      <c r="A220" s="163"/>
      <c r="B220" s="170" t="s">
        <v>217</v>
      </c>
      <c r="C220" s="530">
        <f>'[79]Sch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'[79]Sch D'!E9</f>
        <v>1782</v>
      </c>
      <c r="D221" s="530"/>
      <c r="E221" s="234">
        <f t="shared" si="49"/>
        <v>1782</v>
      </c>
      <c r="F221" s="233"/>
      <c r="G221" s="234">
        <f t="shared" si="47"/>
        <v>1782</v>
      </c>
      <c r="H221" s="172">
        <f t="shared" si="48"/>
        <v>8.4171744367294882E-2</v>
      </c>
      <c r="I221" s="473"/>
      <c r="J221" s="168"/>
      <c r="K221" s="168"/>
    </row>
    <row r="222" spans="1:11">
      <c r="A222" s="163"/>
      <c r="B222" s="202" t="s">
        <v>334</v>
      </c>
      <c r="C222" s="530">
        <f>'[79]Sch D'!F9</f>
        <v>1256</v>
      </c>
      <c r="D222" s="530"/>
      <c r="E222" s="234">
        <f>C222+D222</f>
        <v>1256</v>
      </c>
      <c r="F222" s="233"/>
      <c r="G222" s="234">
        <f>E222+F222</f>
        <v>1256</v>
      </c>
      <c r="H222" s="172">
        <f t="shared" si="48"/>
        <v>5.932643710736385E-2</v>
      </c>
      <c r="I222" s="473"/>
      <c r="J222" s="168"/>
      <c r="K222" s="168"/>
    </row>
    <row r="223" spans="1:11">
      <c r="A223" s="163"/>
      <c r="B223" s="170" t="s">
        <v>73</v>
      </c>
      <c r="C223" s="530">
        <f>'[79]Sch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'[79]Sch D'!H9</f>
        <v>3759</v>
      </c>
      <c r="D224" s="530"/>
      <c r="E224" s="234">
        <f t="shared" si="49"/>
        <v>3759</v>
      </c>
      <c r="F224" s="233"/>
      <c r="G224" s="234">
        <f t="shared" si="47"/>
        <v>3759</v>
      </c>
      <c r="H224" s="172">
        <f t="shared" si="48"/>
        <v>0.1775542015020547</v>
      </c>
      <c r="I224" s="473"/>
      <c r="J224" s="168"/>
      <c r="K224" s="168"/>
    </row>
    <row r="225" spans="1:11">
      <c r="A225" s="163"/>
      <c r="B225" s="170" t="s">
        <v>236</v>
      </c>
      <c r="C225" s="530">
        <f>'[79]Sch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'[79]Sch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'[79]Sch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21171</v>
      </c>
      <c r="D228" s="530">
        <f>SUM(D219:D227)</f>
        <v>0</v>
      </c>
      <c r="E228" s="236">
        <f>SUM(E219:E227)</f>
        <v>21171</v>
      </c>
      <c r="F228" s="236">
        <f>SUM(F219:F227)</f>
        <v>0</v>
      </c>
      <c r="G228" s="236">
        <f>SUM(G219:G227)</f>
        <v>21171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'[79]Sch D'!N22</f>
        <v>90</v>
      </c>
      <c r="D231" s="502"/>
      <c r="E231" s="234">
        <f>C231+D231</f>
        <v>90</v>
      </c>
      <c r="F231" s="234"/>
      <c r="G231" s="234">
        <f>E231+F231</f>
        <v>90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'[79]Sch D'!N24</f>
        <v>90</v>
      </c>
      <c r="D232" s="502"/>
      <c r="E232" s="234">
        <f>C232+D232</f>
        <v>90</v>
      </c>
      <c r="F232" s="234"/>
      <c r="G232" s="234">
        <f>E232+F232</f>
        <v>90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'[79]Sch D'!N28</f>
        <v>32850</v>
      </c>
      <c r="D235" s="438"/>
      <c r="E235" s="233">
        <f>E231*E233</f>
        <v>32850</v>
      </c>
      <c r="F235" s="238"/>
      <c r="G235" s="233">
        <f>G231*G233</f>
        <v>32850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'[79]Sch D'!N30</f>
        <v>0.64447488584474888</v>
      </c>
      <c r="D236" s="238"/>
      <c r="E236" s="242">
        <f>E228/E235</f>
        <v>0.64447488584474888</v>
      </c>
      <c r="F236" s="243"/>
      <c r="G236" s="242">
        <f>G228/G235</f>
        <v>0.64447488584474888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'[79]Sch D'!N32</f>
        <v>0.4375646879756469</v>
      </c>
      <c r="D237" s="238"/>
      <c r="E237" s="242">
        <f>(E219+E220)/E235</f>
        <v>0.4375646879756469</v>
      </c>
      <c r="F237" s="243"/>
      <c r="G237" s="242">
        <f>(G219+G220)/G235</f>
        <v>0.4375646879756469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'[79]Sch D'!N34</f>
        <v>0.67894761702328654</v>
      </c>
      <c r="D238" s="238"/>
      <c r="E238" s="242">
        <f>(E237/E236)</f>
        <v>0.67894761702328654</v>
      </c>
      <c r="F238" s="243"/>
      <c r="G238" s="242">
        <f>(G237/G236)</f>
        <v>0.67894761702328654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'[79]Sch B'!C85</f>
        <v>197.77523809523811</v>
      </c>
      <c r="I241" s="475"/>
    </row>
    <row r="242" spans="2:9">
      <c r="F242" s="142" t="s">
        <v>341</v>
      </c>
      <c r="G242" s="501">
        <f>'[79]Sch B'!E85</f>
        <v>199.36918869644484</v>
      </c>
      <c r="I242" s="475"/>
    </row>
    <row r="243" spans="2:9">
      <c r="F243" s="142" t="s">
        <v>342</v>
      </c>
      <c r="G243" s="501">
        <f>'[79]Sch B'!G85</f>
        <v>193.86741573033709</v>
      </c>
      <c r="I243" s="475"/>
    </row>
    <row r="244" spans="2:9">
      <c r="F244" s="142" t="s">
        <v>343</v>
      </c>
      <c r="G244" s="501">
        <f>'[79]Sch B'!I85</f>
        <v>194.87673130193906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A127">
      <selection activeCell="F131" sqref="F131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0">
    <tabColor rgb="FFE28CAB"/>
  </sheetPr>
  <dimension ref="A1:O246"/>
  <sheetViews>
    <sheetView showGridLines="0" topLeftCell="A182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8203125" style="140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</row>
    <row r="2" spans="1:11" ht="23">
      <c r="B2" s="143" t="s">
        <v>189</v>
      </c>
      <c r="C2" s="244" t="s">
        <v>358</v>
      </c>
      <c r="D2" s="244"/>
      <c r="E2" s="144"/>
    </row>
    <row r="3" spans="1:11">
      <c r="A3" s="145"/>
      <c r="B3" s="140" t="s">
        <v>79</v>
      </c>
      <c r="C3" s="593">
        <f>'[80]Sch A Pg 1'!B39</f>
        <v>42552</v>
      </c>
      <c r="D3" s="144"/>
      <c r="E3" s="147"/>
    </row>
    <row r="4" spans="1:11">
      <c r="A4" s="145"/>
      <c r="B4" s="148" t="s">
        <v>80</v>
      </c>
      <c r="C4" s="593">
        <f>'[80]Sch A Pg 1'!G39</f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546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546"/>
      <c r="J8" s="162"/>
      <c r="K8" s="162"/>
    </row>
    <row r="9" spans="1:11">
      <c r="A9" s="145"/>
      <c r="C9" s="151"/>
      <c r="D9" s="144"/>
      <c r="F9" s="144"/>
      <c r="G9" s="144"/>
      <c r="I9" s="546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 t="s">
        <v>706</v>
      </c>
      <c r="G10" s="165"/>
      <c r="H10" s="166"/>
      <c r="I10" s="547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'[80]Sch B'!E10</f>
        <v>2544075.83</v>
      </c>
      <c r="D11" s="501">
        <f>'[80]Sch B'!G10</f>
        <v>851994.99</v>
      </c>
      <c r="E11" s="171">
        <f>C11+D11</f>
        <v>3396070.8200000003</v>
      </c>
      <c r="F11" s="506">
        <v>662548</v>
      </c>
      <c r="G11" s="171">
        <f t="shared" ref="G11:G20" si="0">E11+F11</f>
        <v>4058618.8200000003</v>
      </c>
      <c r="H11" s="172">
        <f t="shared" ref="H11:H21" si="1">IF($G$21=0,0,G11/$G$21)</f>
        <v>0.60204691947677291</v>
      </c>
      <c r="I11" s="547" t="s">
        <v>697</v>
      </c>
      <c r="J11" s="336" t="s">
        <v>344</v>
      </c>
      <c r="K11" s="337">
        <f>G21</f>
        <v>6741366.3100000005</v>
      </c>
    </row>
    <row r="12" spans="1:11" s="167" customFormat="1">
      <c r="A12" s="169" t="s">
        <v>15</v>
      </c>
      <c r="B12" s="170" t="s">
        <v>212</v>
      </c>
      <c r="C12" s="501">
        <f>'[80]Sch B'!E15</f>
        <v>0</v>
      </c>
      <c r="D12" s="501">
        <f>'[80]Sch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47"/>
      <c r="J12" s="338" t="s">
        <v>345</v>
      </c>
      <c r="K12" s="339">
        <f>G208</f>
        <v>7193606.3800000018</v>
      </c>
    </row>
    <row r="13" spans="1:11" s="167" customFormat="1">
      <c r="A13" s="169" t="s">
        <v>16</v>
      </c>
      <c r="B13" s="170" t="s">
        <v>170</v>
      </c>
      <c r="C13" s="501">
        <f>'[80]Sch B'!E21</f>
        <v>964003.33999999985</v>
      </c>
      <c r="D13" s="501">
        <f>'[80]Sch B'!G21</f>
        <v>0</v>
      </c>
      <c r="E13" s="171">
        <f t="shared" si="2"/>
        <v>964003.33999999985</v>
      </c>
      <c r="F13" s="171"/>
      <c r="G13" s="171">
        <f t="shared" si="0"/>
        <v>964003.33999999985</v>
      </c>
      <c r="H13" s="172">
        <f t="shared" si="1"/>
        <v>0.1429982136662738</v>
      </c>
      <c r="I13" s="547"/>
      <c r="J13" s="338" t="s">
        <v>346</v>
      </c>
      <c r="K13" s="339">
        <f>G228</f>
        <v>22235</v>
      </c>
    </row>
    <row r="14" spans="1:11" s="167" customFormat="1">
      <c r="A14" s="173" t="s">
        <v>18</v>
      </c>
      <c r="B14" s="174" t="s">
        <v>306</v>
      </c>
      <c r="C14" s="501">
        <f>'[80]Sch B'!E27</f>
        <v>-4583.03</v>
      </c>
      <c r="D14" s="501">
        <f>'[80]Sch B'!G27</f>
        <v>0</v>
      </c>
      <c r="E14" s="171">
        <f t="shared" si="2"/>
        <v>-4583.03</v>
      </c>
      <c r="F14" s="175"/>
      <c r="G14" s="175">
        <f>E14+F14</f>
        <v>-4583.03</v>
      </c>
      <c r="H14" s="176">
        <f t="shared" si="1"/>
        <v>-6.798369631986367E-4</v>
      </c>
      <c r="I14" s="547"/>
      <c r="J14" s="338" t="s">
        <v>347</v>
      </c>
      <c r="K14" s="339">
        <f>G231</f>
        <v>110</v>
      </c>
    </row>
    <row r="15" spans="1:11" s="167" customFormat="1">
      <c r="A15" s="169" t="s">
        <v>19</v>
      </c>
      <c r="B15" s="170" t="s">
        <v>171</v>
      </c>
      <c r="C15" s="501">
        <f>'[80]Sch B'!E32</f>
        <v>0</v>
      </c>
      <c r="D15" s="501">
        <f>'[80]Sch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47"/>
      <c r="J15" s="338" t="s">
        <v>348</v>
      </c>
      <c r="K15" s="339">
        <f>G235</f>
        <v>40150</v>
      </c>
    </row>
    <row r="16" spans="1:11" s="167" customFormat="1">
      <c r="A16" s="169" t="s">
        <v>21</v>
      </c>
      <c r="B16" s="170" t="s">
        <v>172</v>
      </c>
      <c r="C16" s="501">
        <f>'[80]Sch B'!E37</f>
        <v>1121323.69</v>
      </c>
      <c r="D16" s="501">
        <f>'[80]Sch B'!G37</f>
        <v>0</v>
      </c>
      <c r="E16" s="171">
        <f t="shared" si="2"/>
        <v>1121323.69</v>
      </c>
      <c r="F16" s="171"/>
      <c r="G16" s="171">
        <f t="shared" si="0"/>
        <v>1121323.69</v>
      </c>
      <c r="H16" s="172">
        <f t="shared" si="1"/>
        <v>0.16633478117583553</v>
      </c>
      <c r="I16" s="547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'[80]Sch B'!E42</f>
        <v>0</v>
      </c>
      <c r="D17" s="501">
        <f>'[80]Sch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613"/>
      <c r="J17" s="338" t="s">
        <v>156</v>
      </c>
      <c r="K17" s="339">
        <f>J208</f>
        <v>172083.09</v>
      </c>
    </row>
    <row r="18" spans="1:11" s="167" customFormat="1" ht="13.5" thickBot="1">
      <c r="A18" s="169" t="s">
        <v>216</v>
      </c>
      <c r="B18" s="170" t="s">
        <v>229</v>
      </c>
      <c r="C18" s="501">
        <f>'[80]Sch B'!E47</f>
        <v>0</v>
      </c>
      <c r="D18" s="501">
        <f>'[80]Sch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613"/>
      <c r="J18" s="341" t="s">
        <v>252</v>
      </c>
      <c r="K18" s="342">
        <f>K208</f>
        <v>196620.43</v>
      </c>
    </row>
    <row r="19" spans="1:11" s="167" customFormat="1">
      <c r="A19" s="169" t="s">
        <v>227</v>
      </c>
      <c r="B19" s="177" t="s">
        <v>173</v>
      </c>
      <c r="C19" s="501">
        <f>'[80]Sch B'!E52</f>
        <v>0</v>
      </c>
      <c r="D19" s="501">
        <f>'[80]Sch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547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'[80]Sch B'!E67</f>
        <v>1982573.25</v>
      </c>
      <c r="D20" s="501">
        <f>'[80]Sch B'!G67</f>
        <v>-1380569.76</v>
      </c>
      <c r="E20" s="171">
        <f t="shared" si="2"/>
        <v>602003.49</v>
      </c>
      <c r="F20" s="171"/>
      <c r="G20" s="171">
        <f t="shared" si="0"/>
        <v>602003.49</v>
      </c>
      <c r="H20" s="172">
        <f t="shared" si="1"/>
        <v>8.9299922644316285E-2</v>
      </c>
      <c r="I20" s="547"/>
      <c r="J20" s="168"/>
      <c r="K20" s="168"/>
    </row>
    <row r="21" spans="1:11" s="167" customFormat="1">
      <c r="A21" s="169"/>
      <c r="B21" s="178" t="s">
        <v>77</v>
      </c>
      <c r="C21" s="501">
        <f>SUM(C11:C20)</f>
        <v>6607393.0800000001</v>
      </c>
      <c r="D21" s="501">
        <f>SUM(D11:D20)</f>
        <v>-528574.77</v>
      </c>
      <c r="E21" s="171">
        <f>SUM(E11:E20)</f>
        <v>6078818.3100000005</v>
      </c>
      <c r="F21" s="171">
        <f>SUM(F11:F20)</f>
        <v>662548</v>
      </c>
      <c r="G21" s="171">
        <f>SUM(G11:G20)</f>
        <v>6741366.3100000005</v>
      </c>
      <c r="H21" s="172">
        <f t="shared" si="1"/>
        <v>1</v>
      </c>
      <c r="I21" s="547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546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546"/>
    </row>
    <row r="24" spans="1:11">
      <c r="A24" s="181" t="s">
        <v>161</v>
      </c>
      <c r="B24" s="148" t="s">
        <v>12</v>
      </c>
      <c r="I24" s="546"/>
    </row>
    <row r="25" spans="1:11" s="167" customFormat="1">
      <c r="A25" s="169" t="s">
        <v>83</v>
      </c>
      <c r="B25" s="170" t="s">
        <v>14</v>
      </c>
      <c r="C25" s="501">
        <f>'[80]Sch C'!D10</f>
        <v>101984.98</v>
      </c>
      <c r="D25" s="501">
        <f>'[80]Sch C'!F10</f>
        <v>0</v>
      </c>
      <c r="E25" s="171">
        <f t="shared" ref="E25:E60" si="3">C25+D25</f>
        <v>101984.98</v>
      </c>
      <c r="F25" s="171"/>
      <c r="G25" s="182">
        <f>E25+F25</f>
        <v>101984.98</v>
      </c>
      <c r="H25" s="172">
        <f>IF($G$208=0,0,G25/$G$208)</f>
        <v>1.4177169921827161E-2</v>
      </c>
      <c r="I25" s="547"/>
      <c r="J25" s="183">
        <v>1910.83</v>
      </c>
      <c r="K25" s="183">
        <v>2080.08</v>
      </c>
    </row>
    <row r="26" spans="1:11" s="167" customFormat="1">
      <c r="A26" s="169" t="s">
        <v>84</v>
      </c>
      <c r="B26" s="170" t="s">
        <v>176</v>
      </c>
      <c r="C26" s="501">
        <f>'[80]Sch C'!D11</f>
        <v>0</v>
      </c>
      <c r="D26" s="501">
        <f>'[80]Sch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547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'[80]Sch C'!D12</f>
        <v>124801.73</v>
      </c>
      <c r="D27" s="501">
        <f>'[80]Sch C'!F12</f>
        <v>0</v>
      </c>
      <c r="E27" s="171">
        <f t="shared" si="3"/>
        <v>124801.73</v>
      </c>
      <c r="F27" s="171"/>
      <c r="G27" s="171">
        <f t="shared" si="4"/>
        <v>124801.73</v>
      </c>
      <c r="H27" s="172">
        <f t="shared" si="5"/>
        <v>1.7348979553145908E-2</v>
      </c>
      <c r="I27" s="547"/>
      <c r="J27" s="183">
        <v>5250.54</v>
      </c>
      <c r="K27" s="183">
        <v>5832.72</v>
      </c>
    </row>
    <row r="28" spans="1:11" s="167" customFormat="1">
      <c r="A28" s="169" t="s">
        <v>86</v>
      </c>
      <c r="B28" s="170" t="s">
        <v>45</v>
      </c>
      <c r="C28" s="501">
        <f>'[80]Sch C'!D13</f>
        <v>1770774.29</v>
      </c>
      <c r="D28" s="501">
        <f>'[80]Sch C'!F13</f>
        <v>-1655748</v>
      </c>
      <c r="E28" s="171">
        <f t="shared" si="3"/>
        <v>115026.29000000004</v>
      </c>
      <c r="F28" s="171"/>
      <c r="G28" s="171">
        <f t="shared" si="4"/>
        <v>115026.29000000004</v>
      </c>
      <c r="H28" s="172">
        <f t="shared" si="5"/>
        <v>1.5990072840210087E-2</v>
      </c>
      <c r="I28" s="547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'[80]Sch C'!D14</f>
        <v>0</v>
      </c>
      <c r="D29" s="501">
        <f>'[80]Sch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547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'[80]Sch C'!D15</f>
        <v>126462.11</v>
      </c>
      <c r="D30" s="501">
        <f>'[80]Sch C'!F15</f>
        <v>-126462</v>
      </c>
      <c r="E30" s="171">
        <f t="shared" si="3"/>
        <v>0.11000000000058208</v>
      </c>
      <c r="F30" s="171"/>
      <c r="G30" s="171">
        <f t="shared" si="4"/>
        <v>0.11000000000058208</v>
      </c>
      <c r="H30" s="172">
        <f t="shared" si="5"/>
        <v>1.529135654494652E-8</v>
      </c>
      <c r="I30" s="547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'[80]Sch C'!D16</f>
        <v>0</v>
      </c>
      <c r="D31" s="501">
        <f>'[80]Sch C'!F16</f>
        <v>214193</v>
      </c>
      <c r="E31" s="171">
        <f t="shared" si="3"/>
        <v>214193</v>
      </c>
      <c r="F31" s="171"/>
      <c r="G31" s="171">
        <f t="shared" si="4"/>
        <v>214193</v>
      </c>
      <c r="H31" s="172">
        <f t="shared" si="5"/>
        <v>2.9775468476494531E-2</v>
      </c>
      <c r="I31" s="547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'[80]Sch C'!D17</f>
        <v>748.7</v>
      </c>
      <c r="D32" s="501">
        <f>'[80]Sch C'!F17</f>
        <v>0</v>
      </c>
      <c r="E32" s="171">
        <f t="shared" si="3"/>
        <v>748.7</v>
      </c>
      <c r="F32" s="171"/>
      <c r="G32" s="171">
        <f t="shared" si="4"/>
        <v>748.7</v>
      </c>
      <c r="H32" s="172">
        <f t="shared" si="5"/>
        <v>1.0407853313764436E-4</v>
      </c>
      <c r="I32" s="547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'[80]Sch C'!D18</f>
        <v>27794.09</v>
      </c>
      <c r="D33" s="501">
        <f>'[80]Sch C'!F18</f>
        <v>0</v>
      </c>
      <c r="E33" s="171">
        <f t="shared" si="3"/>
        <v>27794.09</v>
      </c>
      <c r="F33" s="171"/>
      <c r="G33" s="171">
        <f t="shared" si="4"/>
        <v>27794.09</v>
      </c>
      <c r="H33" s="172">
        <f t="shared" si="5"/>
        <v>3.8637212730007605E-3</v>
      </c>
      <c r="I33" s="547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'[80]Sch C'!D19</f>
        <v>13339.18</v>
      </c>
      <c r="D34" s="501">
        <f>'[80]Sch C'!F19</f>
        <v>0</v>
      </c>
      <c r="E34" s="171">
        <f t="shared" si="3"/>
        <v>13339.18</v>
      </c>
      <c r="F34" s="171"/>
      <c r="G34" s="171">
        <f t="shared" si="4"/>
        <v>13339.18</v>
      </c>
      <c r="H34" s="172">
        <f t="shared" si="5"/>
        <v>1.8543105217830945E-3</v>
      </c>
      <c r="I34" s="547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'[80]Sch C'!D20</f>
        <v>8335.52</v>
      </c>
      <c r="D35" s="501">
        <f>'[80]Sch C'!F20</f>
        <v>0</v>
      </c>
      <c r="E35" s="171">
        <f t="shared" si="3"/>
        <v>8335.52</v>
      </c>
      <c r="F35" s="171"/>
      <c r="G35" s="171">
        <f t="shared" si="4"/>
        <v>8335.52</v>
      </c>
      <c r="H35" s="172">
        <f t="shared" si="5"/>
        <v>1.1587400755168923E-3</v>
      </c>
      <c r="I35" s="547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'[80]Sch C'!D21</f>
        <v>1364</v>
      </c>
      <c r="D36" s="501">
        <f>'[80]Sch C'!F21</f>
        <v>0</v>
      </c>
      <c r="E36" s="171">
        <f t="shared" si="3"/>
        <v>1364</v>
      </c>
      <c r="F36" s="171"/>
      <c r="G36" s="171">
        <f t="shared" si="4"/>
        <v>1364</v>
      </c>
      <c r="H36" s="172">
        <f t="shared" si="5"/>
        <v>1.896128211563335E-4</v>
      </c>
      <c r="I36" s="547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'[80]Sch C'!D22</f>
        <v>0</v>
      </c>
      <c r="D37" s="501">
        <f>'[80]Sch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547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'[80]Sch C'!D23</f>
        <v>18909.36</v>
      </c>
      <c r="D38" s="501">
        <f>'[80]Sch C'!F23</f>
        <v>0</v>
      </c>
      <c r="E38" s="171">
        <f t="shared" si="3"/>
        <v>18909.36</v>
      </c>
      <c r="F38" s="506">
        <f>-270-671</f>
        <v>-941</v>
      </c>
      <c r="G38" s="171">
        <f t="shared" si="4"/>
        <v>17968.36</v>
      </c>
      <c r="H38" s="172">
        <f t="shared" si="5"/>
        <v>2.497823629877285E-3</v>
      </c>
      <c r="I38" s="547" t="s">
        <v>693</v>
      </c>
      <c r="J38" s="168"/>
      <c r="K38" s="168"/>
    </row>
    <row r="39" spans="1:11" s="167" customFormat="1">
      <c r="A39" s="163">
        <v>150</v>
      </c>
      <c r="B39" s="170" t="s">
        <v>29</v>
      </c>
      <c r="C39" s="501">
        <f>'[80]Sch C'!D24</f>
        <v>64803.43</v>
      </c>
      <c r="D39" s="501">
        <f>'[80]Sch C'!F24</f>
        <v>0</v>
      </c>
      <c r="E39" s="171">
        <f t="shared" si="3"/>
        <v>64803.43</v>
      </c>
      <c r="F39" s="506">
        <v>270</v>
      </c>
      <c r="G39" s="171">
        <f t="shared" si="4"/>
        <v>65073.43</v>
      </c>
      <c r="H39" s="172">
        <f t="shared" si="5"/>
        <v>9.0460092702486714E-3</v>
      </c>
      <c r="I39" s="547" t="s">
        <v>693</v>
      </c>
      <c r="J39" s="168"/>
      <c r="K39" s="168"/>
    </row>
    <row r="40" spans="1:11" s="167" customFormat="1">
      <c r="A40" s="163">
        <v>160</v>
      </c>
      <c r="B40" s="170" t="s">
        <v>30</v>
      </c>
      <c r="C40" s="501">
        <f>'[80]Sch C'!D25</f>
        <v>0</v>
      </c>
      <c r="D40" s="501">
        <f>'[80]Sch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547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'[80]Sch C'!D26</f>
        <v>372926</v>
      </c>
      <c r="D41" s="501">
        <f>'[80]Sch C'!F26</f>
        <v>0</v>
      </c>
      <c r="E41" s="171">
        <f t="shared" si="3"/>
        <v>372926</v>
      </c>
      <c r="F41" s="171"/>
      <c r="G41" s="171">
        <f t="shared" si="4"/>
        <v>372926</v>
      </c>
      <c r="H41" s="172">
        <f t="shared" si="5"/>
        <v>5.184131300773228E-2</v>
      </c>
      <c r="I41" s="547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'[80]Sch C'!D27</f>
        <v>100.62</v>
      </c>
      <c r="D42" s="501">
        <f>'[80]Sch C'!F27</f>
        <v>0</v>
      </c>
      <c r="E42" s="171">
        <f t="shared" si="3"/>
        <v>100.62</v>
      </c>
      <c r="F42" s="171"/>
      <c r="G42" s="171">
        <f t="shared" si="4"/>
        <v>100.62</v>
      </c>
      <c r="H42" s="172">
        <f t="shared" si="5"/>
        <v>1.3987420868585247E-5</v>
      </c>
      <c r="I42" s="547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'[80]Sch C'!D28</f>
        <v>0</v>
      </c>
      <c r="D43" s="501">
        <f>'[80]Sch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547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'[80]Sch C'!D29</f>
        <v>24204.89</v>
      </c>
      <c r="D44" s="501">
        <f>'[80]Sch C'!F29</f>
        <v>-24204.89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547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'[80]Sch C'!D30</f>
        <v>0</v>
      </c>
      <c r="D45" s="501">
        <f>'[80]Sch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547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'[80]Sch C'!D31</f>
        <v>107880.63</v>
      </c>
      <c r="D46" s="501">
        <f>'[80]Sch C'!F31</f>
        <v>0</v>
      </c>
      <c r="E46" s="171">
        <f t="shared" si="3"/>
        <v>107880.63</v>
      </c>
      <c r="F46" s="171"/>
      <c r="G46" s="171">
        <f t="shared" si="4"/>
        <v>107880.63</v>
      </c>
      <c r="H46" s="172">
        <f t="shared" si="5"/>
        <v>1.499673797831568E-2</v>
      </c>
      <c r="I46" s="547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'[80]Sch C'!D32</f>
        <v>2532</v>
      </c>
      <c r="D47" s="501">
        <f>'[80]Sch C'!F32</f>
        <v>0</v>
      </c>
      <c r="E47" s="171">
        <f t="shared" si="3"/>
        <v>2532</v>
      </c>
      <c r="F47" s="171"/>
      <c r="G47" s="171">
        <f t="shared" si="4"/>
        <v>2532</v>
      </c>
      <c r="H47" s="172">
        <f t="shared" si="5"/>
        <v>3.51979225196361E-4</v>
      </c>
      <c r="I47" s="547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'[80]Sch C'!D33</f>
        <v>0</v>
      </c>
      <c r="D48" s="501">
        <f>'[80]Sch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547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'[80]Sch C'!D34</f>
        <v>0</v>
      </c>
      <c r="D49" s="501">
        <f>'[80]Sch C'!F34</f>
        <v>0</v>
      </c>
      <c r="E49" s="171">
        <f t="shared" si="3"/>
        <v>0</v>
      </c>
      <c r="F49" s="171"/>
      <c r="G49" s="171">
        <f t="shared" si="4"/>
        <v>0</v>
      </c>
      <c r="H49" s="172">
        <f t="shared" si="5"/>
        <v>0</v>
      </c>
      <c r="I49" s="547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'[80]Sch C'!D35</f>
        <v>0</v>
      </c>
      <c r="D50" s="501">
        <f>'[80]Sch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547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'[80]Sch C'!D36</f>
        <v>0</v>
      </c>
      <c r="D51" s="501">
        <f>'[80]Sch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547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'[80]Sch C'!D37</f>
        <v>0</v>
      </c>
      <c r="D52" s="501">
        <f>'[80]Sch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547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'[80]Sch C'!D38</f>
        <v>0</v>
      </c>
      <c r="D53" s="501">
        <f>'[80]Sch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547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'[80]Sch C'!D39</f>
        <v>7876.96</v>
      </c>
      <c r="D54" s="501">
        <f>'[80]Sch C'!F39</f>
        <v>0</v>
      </c>
      <c r="E54" s="171">
        <f t="shared" si="3"/>
        <v>7876.96</v>
      </c>
      <c r="F54" s="171"/>
      <c r="G54" s="171">
        <f t="shared" si="4"/>
        <v>7876.96</v>
      </c>
      <c r="H54" s="172">
        <f t="shared" si="5"/>
        <v>1.0949945804513144E-3</v>
      </c>
      <c r="I54" s="547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'[80]Sch C'!D40</f>
        <v>12520.31</v>
      </c>
      <c r="D55" s="501">
        <f>'[80]Sch C'!F40</f>
        <v>-12520</v>
      </c>
      <c r="E55" s="171">
        <f t="shared" si="3"/>
        <v>0.30999999999949068</v>
      </c>
      <c r="F55" s="171"/>
      <c r="G55" s="171">
        <f t="shared" si="4"/>
        <v>0.30999999999949068</v>
      </c>
      <c r="H55" s="172">
        <f t="shared" si="5"/>
        <v>4.3093822990004993E-8</v>
      </c>
      <c r="I55" s="547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'[80]Sch C'!D41</f>
        <v>0</v>
      </c>
      <c r="D56" s="501">
        <f>'[80]Sch C'!F41</f>
        <v>0</v>
      </c>
      <c r="E56" s="171">
        <f t="shared" si="3"/>
        <v>0</v>
      </c>
      <c r="F56" s="171"/>
      <c r="G56" s="171">
        <f t="shared" si="4"/>
        <v>0</v>
      </c>
      <c r="H56" s="172">
        <f t="shared" si="5"/>
        <v>0</v>
      </c>
      <c r="I56" s="547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'[80]Sch C'!D42</f>
        <v>0</v>
      </c>
      <c r="D57" s="501">
        <f>'[80]Sch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547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'[80]Sch C'!D43</f>
        <v>8515.56</v>
      </c>
      <c r="D58" s="501">
        <f>'[80]Sch C'!F43</f>
        <v>0</v>
      </c>
      <c r="E58" s="171">
        <f t="shared" si="3"/>
        <v>8515.56</v>
      </c>
      <c r="F58" s="171"/>
      <c r="G58" s="171">
        <f t="shared" si="4"/>
        <v>8515.56</v>
      </c>
      <c r="H58" s="172">
        <f t="shared" si="5"/>
        <v>1.1837678558108704E-3</v>
      </c>
      <c r="I58" s="614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'[80]Sch C'!D44</f>
        <v>0</v>
      </c>
      <c r="D59" s="501">
        <f>'[80]Sch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547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'[80]Sch C'!D45</f>
        <v>530374.93999999994</v>
      </c>
      <c r="D60" s="501">
        <f>'[80]Sch C'!F45</f>
        <v>-528575</v>
      </c>
      <c r="E60" s="171">
        <f t="shared" si="3"/>
        <v>1799.9399999999441</v>
      </c>
      <c r="F60" s="171"/>
      <c r="G60" s="171">
        <f t="shared" si="4"/>
        <v>1799.9399999999441</v>
      </c>
      <c r="H60" s="172">
        <f t="shared" si="5"/>
        <v>2.502138572669504E-4</v>
      </c>
      <c r="I60" s="547"/>
      <c r="J60" s="168"/>
      <c r="K60" s="168"/>
    </row>
    <row r="61" spans="1:11" s="167" customFormat="1">
      <c r="A61" s="163"/>
      <c r="B61" s="170" t="s">
        <v>177</v>
      </c>
      <c r="C61" s="501">
        <f>SUM(C25:C60)</f>
        <v>3326249.3000000003</v>
      </c>
      <c r="D61" s="501">
        <f>SUM(D25:D60)</f>
        <v>-2133316.8899999997</v>
      </c>
      <c r="E61" s="171">
        <f t="shared" ref="E61:F61" si="6">SUM(E25:E60)</f>
        <v>1192932.4100000001</v>
      </c>
      <c r="F61" s="171">
        <f t="shared" si="6"/>
        <v>-671</v>
      </c>
      <c r="G61" s="171">
        <f>SUM(G25:G60)</f>
        <v>1192261.4100000001</v>
      </c>
      <c r="H61" s="186">
        <f t="shared" si="5"/>
        <v>0.16573903922721997</v>
      </c>
      <c r="I61" s="547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547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47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'[80]Sch C'!D57</f>
        <v>0</v>
      </c>
      <c r="D64" s="501">
        <f>'[80]Sch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547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'[80]Sch C'!D58</f>
        <v>198451.92</v>
      </c>
      <c r="D65" s="501">
        <f>'[80]Sch C'!F58</f>
        <v>0</v>
      </c>
      <c r="E65" s="171">
        <f t="shared" si="7"/>
        <v>198451.92</v>
      </c>
      <c r="F65" s="171"/>
      <c r="G65" s="171">
        <f t="shared" si="8"/>
        <v>198451.92</v>
      </c>
      <c r="H65" s="172">
        <f t="shared" si="9"/>
        <v>2.7587264233937689E-2</v>
      </c>
      <c r="I65" s="547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'[80]Sch C'!D59</f>
        <v>0</v>
      </c>
      <c r="D66" s="501">
        <f>'[80]Sch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547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'[80]Sch C'!D60</f>
        <v>0</v>
      </c>
      <c r="D67" s="501">
        <f>'[80]Sch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547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'[80]Sch C'!D61</f>
        <v>11725.58</v>
      </c>
      <c r="D68" s="501">
        <f>'[80]Sch C'!F61</f>
        <v>0</v>
      </c>
      <c r="E68" s="171">
        <f t="shared" si="7"/>
        <v>11725.58</v>
      </c>
      <c r="F68" s="171"/>
      <c r="G68" s="171">
        <f t="shared" si="8"/>
        <v>11725.58</v>
      </c>
      <c r="H68" s="172">
        <f t="shared" si="9"/>
        <v>1.6300002225031385E-3</v>
      </c>
      <c r="I68" s="547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'[80]Sch C'!D62</f>
        <v>999.96</v>
      </c>
      <c r="D69" s="501">
        <f>'[80]Sch C'!F62</f>
        <v>0</v>
      </c>
      <c r="E69" s="171">
        <f t="shared" si="7"/>
        <v>999.96</v>
      </c>
      <c r="F69" s="171"/>
      <c r="G69" s="171">
        <f t="shared" si="8"/>
        <v>999.96</v>
      </c>
      <c r="H69" s="172">
        <f t="shared" si="9"/>
        <v>1.3900677173276193E-4</v>
      </c>
      <c r="I69" s="547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'[80]Sch C'!D63</f>
        <v>0</v>
      </c>
      <c r="D70" s="501">
        <f>'[80]Sch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547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'[80]Sch C'!D64</f>
        <v>0</v>
      </c>
      <c r="D71" s="501">
        <f>'[80]Sch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547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'[80]Sch C'!D65</f>
        <v>1940.06</v>
      </c>
      <c r="D72" s="501">
        <f>'[80]Sch C'!F65</f>
        <v>0</v>
      </c>
      <c r="E72" s="171">
        <f t="shared" si="7"/>
        <v>1940.06</v>
      </c>
      <c r="F72" s="171"/>
      <c r="G72" s="171">
        <f t="shared" si="8"/>
        <v>1940.06</v>
      </c>
      <c r="H72" s="172">
        <f t="shared" si="9"/>
        <v>2.6969226525847239E-4</v>
      </c>
      <c r="I72" s="547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'[80]Sch C'!D66</f>
        <v>0</v>
      </c>
      <c r="D73" s="501">
        <f>'[80]Sch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547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'[80]Sch C'!D67</f>
        <v>14492.4</v>
      </c>
      <c r="D74" s="501">
        <f>'[80]Sch C'!F67</f>
        <v>0</v>
      </c>
      <c r="E74" s="171">
        <f t="shared" si="7"/>
        <v>14492.4</v>
      </c>
      <c r="F74" s="506">
        <f>208+100</f>
        <v>308</v>
      </c>
      <c r="G74" s="171">
        <f t="shared" si="8"/>
        <v>14800.4</v>
      </c>
      <c r="H74" s="172">
        <f t="shared" si="9"/>
        <v>2.0574381218784444E-3</v>
      </c>
      <c r="I74" s="547" t="s">
        <v>693</v>
      </c>
      <c r="J74" s="195"/>
      <c r="K74" s="168"/>
    </row>
    <row r="75" spans="1:11" s="167" customFormat="1">
      <c r="A75" s="142">
        <v>340</v>
      </c>
      <c r="B75" s="194" t="s">
        <v>264</v>
      </c>
      <c r="C75" s="501">
        <f>'[80]Sch C'!D68</f>
        <v>0</v>
      </c>
      <c r="D75" s="501">
        <f>'[80]Sch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547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'[80]Sch C'!D69</f>
        <v>0</v>
      </c>
      <c r="D76" s="501">
        <f>'[80]Sch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547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'[80]Sch C'!D70</f>
        <v>0</v>
      </c>
      <c r="D77" s="501">
        <f>'[80]Sch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547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'[80]Sch C'!D71</f>
        <v>0</v>
      </c>
      <c r="D78" s="501">
        <f>'[80]Sch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547"/>
      <c r="J78" s="195"/>
      <c r="K78" s="168"/>
    </row>
    <row r="79" spans="1:11" s="167" customFormat="1">
      <c r="A79" s="163"/>
      <c r="B79" s="170" t="s">
        <v>150</v>
      </c>
      <c r="C79" s="501">
        <f>SUM(C64:C78)</f>
        <v>227609.91999999998</v>
      </c>
      <c r="D79" s="501">
        <f>SUM(D64:D78)</f>
        <v>0</v>
      </c>
      <c r="E79" s="171">
        <f t="shared" ref="E79:F79" si="10">SUM(E64:E78)</f>
        <v>227609.91999999998</v>
      </c>
      <c r="F79" s="171">
        <f t="shared" si="10"/>
        <v>308</v>
      </c>
      <c r="G79" s="171">
        <f>SUM(G64:G78)</f>
        <v>227917.91999999998</v>
      </c>
      <c r="H79" s="172">
        <f t="shared" si="9"/>
        <v>3.1683401615310504E-2</v>
      </c>
      <c r="I79" s="547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547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47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'[80]Sch C'!D75</f>
        <v>143115.04999999999</v>
      </c>
      <c r="D82" s="501">
        <f>'[80]Sch C'!F75</f>
        <v>0</v>
      </c>
      <c r="E82" s="171">
        <f t="shared" ref="E82:E92" si="11">C82+D82</f>
        <v>143115.04999999999</v>
      </c>
      <c r="F82" s="171"/>
      <c r="G82" s="171">
        <f t="shared" ref="G82:G92" si="12">E82+F82</f>
        <v>143115.04999999999</v>
      </c>
      <c r="H82" s="172">
        <f t="shared" ref="H82:H93" si="13">IF($G$208=0,0,G82/$G$208)</f>
        <v>1.9894756877147892E-2</v>
      </c>
      <c r="I82" s="547"/>
      <c r="J82" s="183">
        <v>5801.58</v>
      </c>
      <c r="K82" s="183">
        <v>6440.91</v>
      </c>
    </row>
    <row r="83" spans="1:11" s="167" customFormat="1">
      <c r="A83" s="169" t="s">
        <v>86</v>
      </c>
      <c r="B83" s="199" t="s">
        <v>45</v>
      </c>
      <c r="C83" s="501">
        <f>'[80]Sch C'!D76</f>
        <v>0</v>
      </c>
      <c r="D83" s="501">
        <f>'[80]Sch C'!F76</f>
        <v>72588</v>
      </c>
      <c r="E83" s="171">
        <f t="shared" si="11"/>
        <v>72588</v>
      </c>
      <c r="F83" s="171"/>
      <c r="G83" s="171">
        <f t="shared" si="12"/>
        <v>72588</v>
      </c>
      <c r="H83" s="172">
        <f t="shared" si="13"/>
        <v>1.0090627171624587E-2</v>
      </c>
      <c r="I83" s="547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'[80]Sch C'!D77</f>
        <v>3940.22</v>
      </c>
      <c r="D84" s="501">
        <f>'[80]Sch C'!F77</f>
        <v>0</v>
      </c>
      <c r="E84" s="171">
        <f t="shared" si="11"/>
        <v>3940.22</v>
      </c>
      <c r="F84" s="171"/>
      <c r="G84" s="171">
        <f t="shared" si="12"/>
        <v>3940.22</v>
      </c>
      <c r="H84" s="172">
        <f t="shared" si="13"/>
        <v>5.4773917168373049E-4</v>
      </c>
      <c r="I84" s="547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'[80]Sch C'!D78</f>
        <v>949.89</v>
      </c>
      <c r="D85" s="501">
        <f>'[80]Sch C'!F78</f>
        <v>0</v>
      </c>
      <c r="E85" s="171">
        <f t="shared" si="11"/>
        <v>949.89</v>
      </c>
      <c r="F85" s="171"/>
      <c r="G85" s="171">
        <f t="shared" si="12"/>
        <v>949.89</v>
      </c>
      <c r="H85" s="172">
        <f t="shared" si="13"/>
        <v>1.3204642425820355E-4</v>
      </c>
      <c r="I85" s="547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'[80]Sch C'!D79</f>
        <v>18784.759999999998</v>
      </c>
      <c r="D86" s="501">
        <f>'[80]Sch C'!F79</f>
        <v>0</v>
      </c>
      <c r="E86" s="171">
        <f t="shared" si="11"/>
        <v>18784.759999999998</v>
      </c>
      <c r="F86" s="506">
        <v>-12502</v>
      </c>
      <c r="G86" s="171">
        <f>E86+F86</f>
        <v>6282.7599999999984</v>
      </c>
      <c r="H86" s="172">
        <f t="shared" si="13"/>
        <v>8.7338112041654371E-4</v>
      </c>
      <c r="I86" s="547" t="s">
        <v>693</v>
      </c>
      <c r="J86" s="168"/>
      <c r="K86" s="168"/>
    </row>
    <row r="87" spans="1:11" s="167" customFormat="1">
      <c r="A87" s="169">
        <v>310</v>
      </c>
      <c r="B87" s="199" t="s">
        <v>54</v>
      </c>
      <c r="C87" s="501">
        <f>'[80]Sch C'!D80</f>
        <v>33068.32</v>
      </c>
      <c r="D87" s="501">
        <f>'[80]Sch C'!F80</f>
        <v>0</v>
      </c>
      <c r="E87" s="171">
        <f t="shared" si="11"/>
        <v>33068.32</v>
      </c>
      <c r="F87" s="171"/>
      <c r="G87" s="171">
        <f t="shared" si="12"/>
        <v>33068.32</v>
      </c>
      <c r="H87" s="172">
        <f t="shared" si="13"/>
        <v>4.5969042859973653E-3</v>
      </c>
      <c r="I87" s="547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'[80]Sch C'!D81</f>
        <v>18773.43</v>
      </c>
      <c r="D88" s="501">
        <f>'[80]Sch C'!F81</f>
        <v>0</v>
      </c>
      <c r="E88" s="171">
        <f t="shared" si="11"/>
        <v>18773.43</v>
      </c>
      <c r="F88" s="171"/>
      <c r="G88" s="171">
        <f t="shared" si="12"/>
        <v>18773.43</v>
      </c>
      <c r="H88" s="172">
        <f t="shared" si="13"/>
        <v>2.609738288182512E-3</v>
      </c>
      <c r="I88" s="547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'[80]Sch C'!D82</f>
        <v>22589.29</v>
      </c>
      <c r="D89" s="501">
        <f>'[80]Sch C'!F82</f>
        <v>0</v>
      </c>
      <c r="E89" s="171">
        <f t="shared" si="11"/>
        <v>22589.29</v>
      </c>
      <c r="F89" s="506">
        <v>-867</v>
      </c>
      <c r="G89" s="171">
        <f t="shared" si="12"/>
        <v>21722.29</v>
      </c>
      <c r="H89" s="172">
        <f t="shared" si="13"/>
        <v>3.0196661941906244E-3</v>
      </c>
      <c r="I89" s="547" t="s">
        <v>693</v>
      </c>
      <c r="J89" s="168"/>
      <c r="K89" s="168"/>
    </row>
    <row r="90" spans="1:11" s="167" customFormat="1">
      <c r="A90" s="163">
        <v>340</v>
      </c>
      <c r="B90" s="201" t="s">
        <v>300</v>
      </c>
      <c r="C90" s="501">
        <f>'[80]Sch C'!D83</f>
        <v>3856.63</v>
      </c>
      <c r="D90" s="501">
        <f>'[80]Sch C'!F83</f>
        <v>0</v>
      </c>
      <c r="E90" s="171">
        <f t="shared" si="11"/>
        <v>3856.63</v>
      </c>
      <c r="F90" s="171"/>
      <c r="G90" s="171">
        <f t="shared" si="12"/>
        <v>3856.63</v>
      </c>
      <c r="H90" s="172">
        <f t="shared" si="13"/>
        <v>5.3611913083295487E-4</v>
      </c>
      <c r="I90" s="547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'[80]Sch C'!D84</f>
        <v>163705.18</v>
      </c>
      <c r="D91" s="501">
        <f>'[80]Sch C'!F84</f>
        <v>0</v>
      </c>
      <c r="E91" s="171">
        <f t="shared" si="11"/>
        <v>163705.18</v>
      </c>
      <c r="F91" s="171"/>
      <c r="G91" s="171">
        <f t="shared" si="12"/>
        <v>163705.18</v>
      </c>
      <c r="H91" s="172">
        <f t="shared" si="13"/>
        <v>2.275703886928547E-2</v>
      </c>
      <c r="I91" s="547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'[80]Sch C'!D85</f>
        <v>0</v>
      </c>
      <c r="D92" s="501">
        <f>'[80]Sch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547"/>
      <c r="J92" s="168"/>
      <c r="K92" s="168"/>
    </row>
    <row r="93" spans="1:11" s="167" customFormat="1">
      <c r="A93" s="163"/>
      <c r="B93" s="170" t="s">
        <v>50</v>
      </c>
      <c r="C93" s="501">
        <f>SUM(C82:C92)</f>
        <v>408782.77</v>
      </c>
      <c r="D93" s="501">
        <f>SUM(D82:D92)</f>
        <v>72588</v>
      </c>
      <c r="E93" s="171">
        <f t="shared" ref="E93:F93" si="14">SUM(E82:E92)</f>
        <v>481370.76999999996</v>
      </c>
      <c r="F93" s="171">
        <f t="shared" si="14"/>
        <v>-13369</v>
      </c>
      <c r="G93" s="171">
        <f>SUM(G82:G92)</f>
        <v>468001.77</v>
      </c>
      <c r="H93" s="172">
        <f t="shared" si="13"/>
        <v>6.5058017533619894E-2</v>
      </c>
      <c r="I93" s="547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547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47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'[80]Sch C'!D89</f>
        <v>229301.43</v>
      </c>
      <c r="D96" s="501">
        <f>'[80]Sch C'!F89</f>
        <v>0</v>
      </c>
      <c r="E96" s="171">
        <f t="shared" ref="E96:E101" si="15">C96+D96</f>
        <v>229301.43</v>
      </c>
      <c r="F96" s="171"/>
      <c r="G96" s="171">
        <f t="shared" ref="G96:G101" si="16">E96+F96</f>
        <v>229301.43</v>
      </c>
      <c r="H96" s="172">
        <f t="shared" ref="H96:H102" si="17">IF($G$208=0,0,G96/$G$208)</f>
        <v>3.1875726567068566E-2</v>
      </c>
      <c r="I96" s="547"/>
      <c r="J96" s="183">
        <v>17713.89</v>
      </c>
      <c r="K96" s="183">
        <v>18382.54</v>
      </c>
    </row>
    <row r="97" spans="1:11" s="167" customFormat="1">
      <c r="A97" s="169" t="s">
        <v>86</v>
      </c>
      <c r="B97" s="170" t="s">
        <v>45</v>
      </c>
      <c r="C97" s="501">
        <f>'[80]Sch C'!D90</f>
        <v>0</v>
      </c>
      <c r="D97" s="501">
        <f>'[80]Sch C'!F90</f>
        <v>116302</v>
      </c>
      <c r="E97" s="171">
        <f t="shared" si="15"/>
        <v>116302</v>
      </c>
      <c r="F97" s="171"/>
      <c r="G97" s="171">
        <f t="shared" si="16"/>
        <v>116302</v>
      </c>
      <c r="H97" s="172">
        <f t="shared" si="17"/>
        <v>1.6167412262554179E-2</v>
      </c>
      <c r="I97" s="547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'[80]Sch C'!D91</f>
        <v>5744</v>
      </c>
      <c r="D98" s="501">
        <f>'[80]Sch C'!F91</f>
        <v>0</v>
      </c>
      <c r="E98" s="171">
        <f t="shared" si="15"/>
        <v>5744</v>
      </c>
      <c r="F98" s="171"/>
      <c r="G98" s="171">
        <f t="shared" si="16"/>
        <v>5744</v>
      </c>
      <c r="H98" s="172">
        <f t="shared" si="17"/>
        <v>7.984868363064367E-4</v>
      </c>
      <c r="I98" s="547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'[80]Sch C'!D92</f>
        <v>198051.12</v>
      </c>
      <c r="D99" s="501">
        <f>'[80]Sch C'!F92</f>
        <v>0</v>
      </c>
      <c r="E99" s="171">
        <f t="shared" si="15"/>
        <v>198051.12</v>
      </c>
      <c r="F99" s="171"/>
      <c r="G99" s="171">
        <f t="shared" si="16"/>
        <v>198051.12</v>
      </c>
      <c r="H99" s="172">
        <f t="shared" si="17"/>
        <v>2.7531548091181485E-2</v>
      </c>
      <c r="I99" s="547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'[80]Sch C'!D93</f>
        <v>25875.38</v>
      </c>
      <c r="D100" s="501">
        <f>'[80]Sch C'!F93</f>
        <v>0</v>
      </c>
      <c r="E100" s="171">
        <f t="shared" si="15"/>
        <v>25875.38</v>
      </c>
      <c r="F100" s="171"/>
      <c r="G100" s="171">
        <f t="shared" si="16"/>
        <v>25875.38</v>
      </c>
      <c r="H100" s="172">
        <f t="shared" si="17"/>
        <v>3.5969969210353147E-3</v>
      </c>
      <c r="I100" s="547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'[80]Sch C'!D94</f>
        <v>0</v>
      </c>
      <c r="D101" s="501">
        <f>'[80]Sch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547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458971.93</v>
      </c>
      <c r="D102" s="501">
        <f>SUM(D96:D101)</f>
        <v>116302</v>
      </c>
      <c r="E102" s="171">
        <f t="shared" ref="E102:F102" si="18">SUM(E96:E101)</f>
        <v>575273.93000000005</v>
      </c>
      <c r="F102" s="171">
        <f t="shared" si="18"/>
        <v>0</v>
      </c>
      <c r="G102" s="171">
        <f>SUM(G96:G101)</f>
        <v>575273.93000000005</v>
      </c>
      <c r="H102" s="172">
        <f t="shared" si="17"/>
        <v>7.9970170678145991E-2</v>
      </c>
      <c r="I102" s="547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547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47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'[80]Sch C'!D98</f>
        <v>24423.99</v>
      </c>
      <c r="D105" s="501">
        <f>'[80]Sch C'!F98</f>
        <v>0</v>
      </c>
      <c r="E105" s="171">
        <f t="shared" ref="E105:E110" si="19">C105+D105</f>
        <v>24423.99</v>
      </c>
      <c r="F105" s="171"/>
      <c r="G105" s="171">
        <f t="shared" ref="G105:G110" si="20">E105+F105</f>
        <v>24423.99</v>
      </c>
      <c r="H105" s="172">
        <f t="shared" ref="H105:H111" si="21">IF($G$208=0,0,G105/$G$208)</f>
        <v>3.3952358121657465E-3</v>
      </c>
      <c r="I105" s="547"/>
      <c r="J105" s="183">
        <v>1794.71</v>
      </c>
      <c r="K105" s="183">
        <v>2038.32</v>
      </c>
    </row>
    <row r="106" spans="1:11" s="167" customFormat="1">
      <c r="A106" s="169" t="s">
        <v>86</v>
      </c>
      <c r="B106" s="170" t="s">
        <v>45</v>
      </c>
      <c r="C106" s="501">
        <f>'[80]Sch C'!D99</f>
        <v>0</v>
      </c>
      <c r="D106" s="501">
        <f>'[80]Sch C'!F99</f>
        <v>12388</v>
      </c>
      <c r="E106" s="171">
        <f t="shared" si="19"/>
        <v>12388</v>
      </c>
      <c r="F106" s="171"/>
      <c r="G106" s="171">
        <f t="shared" si="20"/>
        <v>12388</v>
      </c>
      <c r="H106" s="172">
        <f t="shared" si="21"/>
        <v>1.7220847716163193E-3</v>
      </c>
      <c r="I106" s="547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'[80]Sch C'!D100</f>
        <v>418.43</v>
      </c>
      <c r="D107" s="501">
        <f>'[80]Sch C'!F100</f>
        <v>0</v>
      </c>
      <c r="E107" s="171">
        <f t="shared" si="19"/>
        <v>418.43</v>
      </c>
      <c r="F107" s="171"/>
      <c r="G107" s="171">
        <f t="shared" si="20"/>
        <v>418.43</v>
      </c>
      <c r="H107" s="172">
        <f t="shared" si="21"/>
        <v>5.8166930173346501E-5</v>
      </c>
      <c r="I107" s="547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'[80]Sch C'!D101</f>
        <v>0</v>
      </c>
      <c r="D108" s="501">
        <f>'[80]Sch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547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'[80]Sch C'!D102</f>
        <v>988.57</v>
      </c>
      <c r="D109" s="501">
        <f>'[80]Sch C'!F102</f>
        <v>0</v>
      </c>
      <c r="E109" s="171">
        <f t="shared" si="19"/>
        <v>988.57</v>
      </c>
      <c r="F109" s="171"/>
      <c r="G109" s="171">
        <f t="shared" si="20"/>
        <v>988.57</v>
      </c>
      <c r="H109" s="172">
        <f t="shared" si="21"/>
        <v>1.3742342126870719E-4</v>
      </c>
      <c r="I109" s="547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'[80]Sch C'!D103</f>
        <v>0</v>
      </c>
      <c r="D110" s="501">
        <f>'[80]Sch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547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25830.99</v>
      </c>
      <c r="D111" s="501">
        <f>SUM(D105:D110)</f>
        <v>12388</v>
      </c>
      <c r="E111" s="171">
        <f t="shared" ref="E111:F111" si="22">SUM(E105:E110)</f>
        <v>38218.990000000005</v>
      </c>
      <c r="F111" s="171">
        <f t="shared" si="22"/>
        <v>0</v>
      </c>
      <c r="G111" s="171">
        <f>SUM(G105:G110)</f>
        <v>38218.990000000005</v>
      </c>
      <c r="H111" s="172">
        <f t="shared" si="21"/>
        <v>5.3129109352241201E-3</v>
      </c>
      <c r="I111" s="547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547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47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'[80]Sch C'!D115</f>
        <v>191561.27</v>
      </c>
      <c r="D114" s="501">
        <f>'[80]Sch C'!F115</f>
        <v>0</v>
      </c>
      <c r="E114" s="171">
        <f t="shared" ref="E114:E118" si="23">C114+D114</f>
        <v>191561.27</v>
      </c>
      <c r="F114" s="171"/>
      <c r="G114" s="171">
        <f>E114+F114</f>
        <v>191561.27</v>
      </c>
      <c r="H114" s="172">
        <f t="shared" ref="H114:H119" si="24">IF($G$208=0,0,G114/$G$208)</f>
        <v>2.6629378906884247E-2</v>
      </c>
      <c r="I114" s="547"/>
      <c r="J114" s="183">
        <v>14273.01</v>
      </c>
      <c r="K114" s="183">
        <v>15435.28</v>
      </c>
    </row>
    <row r="115" spans="1:11" s="167" customFormat="1">
      <c r="A115" s="169" t="s">
        <v>86</v>
      </c>
      <c r="B115" s="170" t="s">
        <v>151</v>
      </c>
      <c r="C115" s="501">
        <f>'[80]Sch C'!D116</f>
        <v>0</v>
      </c>
      <c r="D115" s="501">
        <f>'[80]Sch C'!F116</f>
        <v>97160</v>
      </c>
      <c r="E115" s="171">
        <f t="shared" si="23"/>
        <v>97160</v>
      </c>
      <c r="F115" s="171"/>
      <c r="G115" s="171">
        <f>E115+F115</f>
        <v>97160</v>
      </c>
      <c r="H115" s="172">
        <f t="shared" si="24"/>
        <v>1.350643819908311E-2</v>
      </c>
      <c r="I115" s="547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'[80]Sch C'!D117</f>
        <v>48777.919999999998</v>
      </c>
      <c r="D116" s="501">
        <f>'[80]Sch C'!F117</f>
        <v>0</v>
      </c>
      <c r="E116" s="171">
        <f t="shared" si="23"/>
        <v>48777.919999999998</v>
      </c>
      <c r="F116" s="171"/>
      <c r="G116" s="171">
        <f>E116+F116</f>
        <v>48777.919999999998</v>
      </c>
      <c r="H116" s="172">
        <f t="shared" si="24"/>
        <v>6.7807324203357352E-3</v>
      </c>
      <c r="I116" s="547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'[80]Sch C'!D118</f>
        <v>0</v>
      </c>
      <c r="D117" s="501">
        <f>'[80]Sch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547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'[80]Sch C'!D119</f>
        <v>0</v>
      </c>
      <c r="D118" s="501">
        <f>'[80]Sch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547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240339.19</v>
      </c>
      <c r="D119" s="501">
        <f>SUM(D114:D118)</f>
        <v>97160</v>
      </c>
      <c r="E119" s="171">
        <f t="shared" ref="E119:F119" si="25">SUM(E114:E118)</f>
        <v>337499.19</v>
      </c>
      <c r="F119" s="171">
        <f t="shared" si="25"/>
        <v>0</v>
      </c>
      <c r="G119" s="171">
        <f>SUM(G114:G118)</f>
        <v>337499.19</v>
      </c>
      <c r="H119" s="172">
        <f t="shared" si="24"/>
        <v>4.6916549526303093E-2</v>
      </c>
      <c r="I119" s="547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547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47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47"/>
      <c r="J122" s="204"/>
      <c r="K122" s="204"/>
    </row>
    <row r="123" spans="1:11" s="167" customFormat="1">
      <c r="B123" s="163" t="s">
        <v>232</v>
      </c>
      <c r="C123" s="501">
        <f>'[80]Sch C'!D124</f>
        <v>0</v>
      </c>
      <c r="D123" s="501">
        <f>'[80]Sch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547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'[80]Sch C'!D125</f>
        <v>85429.36</v>
      </c>
      <c r="D124" s="501">
        <f>'[80]Sch C'!F125</f>
        <v>0</v>
      </c>
      <c r="E124" s="171">
        <f t="shared" si="26"/>
        <v>85429.36</v>
      </c>
      <c r="F124" s="171"/>
      <c r="G124" s="171">
        <f>E124+F124</f>
        <v>85429.36</v>
      </c>
      <c r="H124" s="172">
        <f>IF($G$208=0,0,G124/$G$208)</f>
        <v>1.1875734574178908E-2</v>
      </c>
      <c r="I124" s="547"/>
      <c r="J124" s="183">
        <v>1868.08</v>
      </c>
      <c r="K124" s="183">
        <v>2080.08</v>
      </c>
    </row>
    <row r="125" spans="1:11" s="167" customFormat="1">
      <c r="A125" s="163" t="s">
        <v>198</v>
      </c>
      <c r="B125" s="163" t="s">
        <v>195</v>
      </c>
      <c r="C125" s="501">
        <f>'[80]Sch C'!D126</f>
        <v>0</v>
      </c>
      <c r="D125" s="501">
        <f>'[80]Sch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547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'[80]Sch C'!D127</f>
        <v>0</v>
      </c>
      <c r="D126" s="501">
        <f>'[80]Sch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547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'[80]Sch C'!D128</f>
        <v>80912.31</v>
      </c>
      <c r="D127" s="501">
        <f>'[80]Sch C'!F128</f>
        <v>0</v>
      </c>
      <c r="E127" s="171">
        <f t="shared" si="26"/>
        <v>80912.31</v>
      </c>
      <c r="F127" s="171"/>
      <c r="G127" s="171">
        <f>E127+F127</f>
        <v>80912.31</v>
      </c>
      <c r="H127" s="172">
        <f>IF($G$208=0,0,G127/$G$208)</f>
        <v>1.1247808918897225E-2</v>
      </c>
      <c r="I127" s="547"/>
      <c r="J127" s="183">
        <v>3786.32</v>
      </c>
      <c r="K127" s="183">
        <v>4410.8900000000003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615"/>
      <c r="J128" s="207"/>
      <c r="K128" s="207"/>
    </row>
    <row r="129" spans="1:11" s="167" customFormat="1">
      <c r="A129" s="169"/>
      <c r="B129" s="163" t="s">
        <v>232</v>
      </c>
      <c r="C129" s="501">
        <f>'[80]Sch C'!D130</f>
        <v>0</v>
      </c>
      <c r="D129" s="501">
        <f>'[80]Sch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547"/>
      <c r="J129" s="204"/>
      <c r="K129" s="204"/>
    </row>
    <row r="130" spans="1:11" s="167" customFormat="1">
      <c r="A130" s="169"/>
      <c r="B130" s="163" t="s">
        <v>194</v>
      </c>
      <c r="C130" s="501">
        <f>'[80]Sch C'!D131</f>
        <v>0</v>
      </c>
      <c r="D130" s="501">
        <f>'[80]Sch C'!F131</f>
        <v>43330</v>
      </c>
      <c r="E130" s="171">
        <f t="shared" si="27"/>
        <v>43330</v>
      </c>
      <c r="F130" s="171"/>
      <c r="G130" s="171">
        <f>E130+F130</f>
        <v>43330</v>
      </c>
      <c r="H130" s="172">
        <f>IF($G$208=0,0,G130/$G$208)</f>
        <v>6.0234043553547877E-3</v>
      </c>
      <c r="I130" s="547"/>
      <c r="J130" s="204"/>
      <c r="K130" s="204"/>
    </row>
    <row r="131" spans="1:11" s="167" customFormat="1">
      <c r="B131" s="163" t="s">
        <v>195</v>
      </c>
      <c r="C131" s="501">
        <f>'[80]Sch C'!D132</f>
        <v>0</v>
      </c>
      <c r="D131" s="501">
        <f>'[80]Sch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547"/>
      <c r="J131" s="168"/>
      <c r="K131" s="168"/>
    </row>
    <row r="132" spans="1:11" s="167" customFormat="1">
      <c r="B132" s="163" t="s">
        <v>196</v>
      </c>
      <c r="C132" s="501">
        <f>'[80]Sch C'!D133</f>
        <v>0</v>
      </c>
      <c r="D132" s="501">
        <f>'[80]Sch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547"/>
      <c r="J132" s="168"/>
      <c r="K132" s="168"/>
    </row>
    <row r="133" spans="1:11" s="167" customFormat="1">
      <c r="B133" s="163" t="s">
        <v>197</v>
      </c>
      <c r="C133" s="501">
        <f>'[80]Sch C'!D134</f>
        <v>0</v>
      </c>
      <c r="D133" s="501">
        <f>'[80]Sch C'!F134</f>
        <v>41039</v>
      </c>
      <c r="E133" s="171">
        <f t="shared" si="27"/>
        <v>41039</v>
      </c>
      <c r="F133" s="171"/>
      <c r="G133" s="171">
        <f>E133+F133</f>
        <v>41039</v>
      </c>
      <c r="H133" s="172">
        <f>IF($G$208=0,0,G133/$G$208)</f>
        <v>5.704927102224905E-3</v>
      </c>
      <c r="I133" s="547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616"/>
      <c r="J134" s="204"/>
      <c r="K134" s="204"/>
    </row>
    <row r="135" spans="1:11" s="167" customFormat="1">
      <c r="A135" s="169"/>
      <c r="B135" s="163" t="s">
        <v>194</v>
      </c>
      <c r="C135" s="501">
        <f>'[80]Sch C'!D136</f>
        <v>623310.76</v>
      </c>
      <c r="D135" s="501">
        <f>'[80]Sch C'!F136</f>
        <v>0</v>
      </c>
      <c r="E135" s="171">
        <f t="shared" ref="E135:E138" si="28">C135+D135</f>
        <v>623310.76</v>
      </c>
      <c r="F135" s="171"/>
      <c r="G135" s="171">
        <f>E135+F135</f>
        <v>623310.76</v>
      </c>
      <c r="H135" s="172">
        <f>IF($G$208=0,0,G135/$G$208)</f>
        <v>8.6647882449192318E-2</v>
      </c>
      <c r="I135" s="547"/>
      <c r="J135" s="183">
        <v>20989.45</v>
      </c>
      <c r="K135" s="183">
        <v>22596.03</v>
      </c>
    </row>
    <row r="136" spans="1:11" s="167" customFormat="1">
      <c r="A136" s="169"/>
      <c r="B136" s="163" t="s">
        <v>195</v>
      </c>
      <c r="C136" s="501">
        <f>'[80]Sch C'!D137</f>
        <v>375080.78</v>
      </c>
      <c r="D136" s="501">
        <f>'[80]Sch C'!F137</f>
        <v>0</v>
      </c>
      <c r="E136" s="171">
        <f t="shared" si="28"/>
        <v>375080.78</v>
      </c>
      <c r="F136" s="171"/>
      <c r="G136" s="171">
        <f>E136+F136</f>
        <v>375080.78</v>
      </c>
      <c r="H136" s="172">
        <f>IF($G$208=0,0,G136/$G$208)</f>
        <v>5.2140854000966332E-2</v>
      </c>
      <c r="I136" s="547"/>
      <c r="J136" s="183">
        <v>17550.419999999998</v>
      </c>
      <c r="K136" s="183">
        <v>19608.27</v>
      </c>
    </row>
    <row r="137" spans="1:11" s="167" customFormat="1">
      <c r="A137" s="169"/>
      <c r="B137" s="163" t="s">
        <v>196</v>
      </c>
      <c r="C137" s="501">
        <f>'[80]Sch C'!D138</f>
        <v>1075688.67</v>
      </c>
      <c r="D137" s="501">
        <f>'[80]Sch C'!F138</f>
        <v>0</v>
      </c>
      <c r="E137" s="171">
        <f t="shared" si="28"/>
        <v>1075688.67</v>
      </c>
      <c r="F137" s="171"/>
      <c r="G137" s="171">
        <f>E137+F137</f>
        <v>1075688.67</v>
      </c>
      <c r="H137" s="172">
        <f>IF($G$208=0,0,G137/$G$208)</f>
        <v>0.14953399076583887</v>
      </c>
      <c r="I137" s="547"/>
      <c r="J137" s="183">
        <v>71237.740000000005</v>
      </c>
      <c r="K137" s="183">
        <v>76534.7</v>
      </c>
    </row>
    <row r="138" spans="1:11" s="167" customFormat="1">
      <c r="A138" s="169"/>
      <c r="B138" s="163" t="s">
        <v>197</v>
      </c>
      <c r="C138" s="501">
        <f>'[80]Sch C'!D139</f>
        <v>0</v>
      </c>
      <c r="D138" s="501">
        <f>'[80]Sch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547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616"/>
      <c r="J139" s="372"/>
      <c r="K139" s="372"/>
    </row>
    <row r="140" spans="1:11" s="167" customFormat="1">
      <c r="A140" s="169"/>
      <c r="B140" s="163" t="s">
        <v>194</v>
      </c>
      <c r="C140" s="501">
        <f>'[80]Sch C'!D141</f>
        <v>0</v>
      </c>
      <c r="D140" s="501">
        <f>'[80]Sch C'!F141</f>
        <v>316144</v>
      </c>
      <c r="E140" s="171">
        <f t="shared" ref="E140:E143" si="29">C140+D140</f>
        <v>316144</v>
      </c>
      <c r="F140" s="171"/>
      <c r="G140" s="171">
        <f>E140+F140</f>
        <v>316144</v>
      </c>
      <c r="H140" s="172">
        <f>IF($G$208=0,0,G140/$G$208)</f>
        <v>4.3947914759272656E-2</v>
      </c>
      <c r="I140" s="547"/>
      <c r="J140" s="168"/>
      <c r="K140" s="168"/>
    </row>
    <row r="141" spans="1:11" s="167" customFormat="1">
      <c r="A141" s="169"/>
      <c r="B141" s="163" t="s">
        <v>195</v>
      </c>
      <c r="C141" s="501">
        <f>'[80]Sch C'!D142</f>
        <v>0</v>
      </c>
      <c r="D141" s="501">
        <f>'[80]Sch C'!F142</f>
        <v>190241</v>
      </c>
      <c r="E141" s="171">
        <f t="shared" si="29"/>
        <v>190241</v>
      </c>
      <c r="F141" s="171"/>
      <c r="G141" s="171">
        <f>E141+F141</f>
        <v>190241</v>
      </c>
      <c r="H141" s="172">
        <f>IF($G$208=0,0,G141/$G$208)</f>
        <v>2.6445845095016161E-2</v>
      </c>
      <c r="I141" s="547"/>
      <c r="J141" s="168"/>
      <c r="K141" s="168"/>
    </row>
    <row r="142" spans="1:11" s="167" customFormat="1">
      <c r="A142" s="169"/>
      <c r="B142" s="163" t="s">
        <v>196</v>
      </c>
      <c r="C142" s="501">
        <f>'[80]Sch C'!D143</f>
        <v>0</v>
      </c>
      <c r="D142" s="501">
        <f>'[80]Sch C'!F143</f>
        <v>545590</v>
      </c>
      <c r="E142" s="171">
        <f t="shared" si="29"/>
        <v>545590</v>
      </c>
      <c r="F142" s="171"/>
      <c r="G142" s="171">
        <f>E142+F142</f>
        <v>545590</v>
      </c>
      <c r="H142" s="172">
        <f>IF($G$208=0,0,G142/$G$208)</f>
        <v>7.5843738339211139E-2</v>
      </c>
      <c r="I142" s="547"/>
      <c r="J142" s="168"/>
      <c r="K142" s="168"/>
    </row>
    <row r="143" spans="1:11" s="167" customFormat="1">
      <c r="A143" s="169"/>
      <c r="B143" s="163" t="s">
        <v>197</v>
      </c>
      <c r="C143" s="501">
        <f>'[80]Sch C'!D144</f>
        <v>0</v>
      </c>
      <c r="D143" s="501">
        <f>'[80]Sch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547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616"/>
      <c r="J144" s="204"/>
      <c r="K144" s="204"/>
    </row>
    <row r="145" spans="1:11" s="167" customFormat="1">
      <c r="A145" s="169"/>
      <c r="B145" s="163" t="s">
        <v>232</v>
      </c>
      <c r="C145" s="501">
        <f>'[80]Sch C'!D146</f>
        <v>16800</v>
      </c>
      <c r="D145" s="501">
        <f>'[80]Sch C'!F146</f>
        <v>0</v>
      </c>
      <c r="E145" s="171">
        <f t="shared" ref="E145:E153" si="30">C145+D145</f>
        <v>16800</v>
      </c>
      <c r="F145" s="171"/>
      <c r="G145" s="171">
        <f t="shared" ref="G145:G153" si="31">E145+F145</f>
        <v>16800</v>
      </c>
      <c r="H145" s="172">
        <f t="shared" ref="H145:H153" si="32">IF($G$208=0,0,G145/$G$208)</f>
        <v>2.3354071813976559E-3</v>
      </c>
      <c r="I145" s="547"/>
      <c r="J145" s="183">
        <v>0</v>
      </c>
      <c r="K145" s="183">
        <v>0</v>
      </c>
    </row>
    <row r="146" spans="1:11" s="167" customFormat="1">
      <c r="A146" s="169"/>
      <c r="B146" s="163" t="s">
        <v>194</v>
      </c>
      <c r="C146" s="501">
        <f>'[80]Sch C'!D147</f>
        <v>0</v>
      </c>
      <c r="D146" s="501">
        <f>'[80]Sch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547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'[80]Sch C'!D148</f>
        <v>0</v>
      </c>
      <c r="D147" s="501">
        <f>'[80]Sch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547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'[80]Sch C'!D149</f>
        <v>0</v>
      </c>
      <c r="D148" s="501">
        <f>'[80]Sch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547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'[80]Sch C'!D150</f>
        <v>8211.82</v>
      </c>
      <c r="D149" s="501">
        <f>'[80]Sch C'!F150</f>
        <v>0</v>
      </c>
      <c r="E149" s="171">
        <f t="shared" si="30"/>
        <v>8211.82</v>
      </c>
      <c r="F149" s="171"/>
      <c r="G149" s="171">
        <f t="shared" si="31"/>
        <v>8211.82</v>
      </c>
      <c r="H149" s="172">
        <f t="shared" si="32"/>
        <v>1.1415442500205296E-3</v>
      </c>
      <c r="I149" s="547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'[80]Sch C'!D151</f>
        <v>129313.64</v>
      </c>
      <c r="D150" s="501">
        <f>'[80]Sch C'!F151</f>
        <v>0</v>
      </c>
      <c r="E150" s="171">
        <f t="shared" si="30"/>
        <v>129313.64</v>
      </c>
      <c r="F150" s="506">
        <v>-8433</v>
      </c>
      <c r="G150" s="171">
        <f t="shared" si="31"/>
        <v>120880.64</v>
      </c>
      <c r="H150" s="172">
        <f t="shared" si="32"/>
        <v>1.6803899687377666E-2</v>
      </c>
      <c r="I150" s="613" t="s">
        <v>693</v>
      </c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'[80]Sch C'!D152</f>
        <v>880.08</v>
      </c>
      <c r="D151" s="501">
        <f>'[80]Sch C'!F152</f>
        <v>0</v>
      </c>
      <c r="E151" s="171">
        <f t="shared" si="30"/>
        <v>880.08</v>
      </c>
      <c r="F151" s="171"/>
      <c r="G151" s="171">
        <f t="shared" si="31"/>
        <v>880.08</v>
      </c>
      <c r="H151" s="172">
        <f t="shared" si="32"/>
        <v>1.2234197334550292E-4</v>
      </c>
      <c r="I151" s="547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'[80]Sch C'!D153</f>
        <v>3739.47</v>
      </c>
      <c r="D152" s="501">
        <f>'[80]Sch C'!F153</f>
        <v>0</v>
      </c>
      <c r="E152" s="171">
        <f t="shared" si="30"/>
        <v>3739.47</v>
      </c>
      <c r="F152" s="171"/>
      <c r="G152" s="171">
        <f t="shared" si="31"/>
        <v>3739.47</v>
      </c>
      <c r="H152" s="172">
        <f t="shared" si="32"/>
        <v>5.1983244598935072E-4</v>
      </c>
      <c r="I152" s="547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'[80]Sch C'!D154</f>
        <v>0</v>
      </c>
      <c r="D153" s="501">
        <f>'[80]Sch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547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547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'[80]Sch C'!D156</f>
        <v>0</v>
      </c>
      <c r="D155" s="501">
        <f>'[80]Sch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547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'[80]Sch C'!D157</f>
        <v>0</v>
      </c>
      <c r="D156" s="501">
        <f>'[80]Sch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547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'[80]Sch C'!D158</f>
        <v>0</v>
      </c>
      <c r="D157" s="501">
        <f>'[80]Sch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547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'[80]Sch C'!D159</f>
        <v>0</v>
      </c>
      <c r="D158" s="501">
        <f>'[80]Sch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547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'[80]Sch C'!D160</f>
        <v>0</v>
      </c>
      <c r="D159" s="501">
        <f>'[80]Sch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547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'[80]Sch C'!D161</f>
        <v>0</v>
      </c>
      <c r="D160" s="501">
        <f>'[80]Sch C'!F161</f>
        <v>0</v>
      </c>
      <c r="E160" s="171">
        <f t="shared" si="33"/>
        <v>0</v>
      </c>
      <c r="F160" s="171"/>
      <c r="G160" s="171">
        <f t="shared" si="34"/>
        <v>0</v>
      </c>
      <c r="H160" s="172">
        <f t="shared" si="35"/>
        <v>0</v>
      </c>
      <c r="I160" s="547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2399366.89</v>
      </c>
      <c r="D161" s="501">
        <f>SUM(D123:D160)</f>
        <v>1136344</v>
      </c>
      <c r="E161" s="171">
        <f t="shared" ref="E161:F161" si="36">SUM(E123:E160)</f>
        <v>3535710.89</v>
      </c>
      <c r="F161" s="171">
        <f t="shared" si="36"/>
        <v>-8433</v>
      </c>
      <c r="G161" s="171">
        <f>SUM(G123:G160)</f>
        <v>3527277.89</v>
      </c>
      <c r="H161" s="172">
        <f t="shared" si="35"/>
        <v>0.49033512589828404</v>
      </c>
      <c r="I161" s="547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547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47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'[80]Sch C'!D175</f>
        <v>0</v>
      </c>
      <c r="D164" s="501">
        <f>'[80]Sch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617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'[80]Sch C'!D176</f>
        <v>0</v>
      </c>
      <c r="D165" s="501">
        <f>'[80]Sch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618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'[80]Sch C'!D177</f>
        <v>167784.77</v>
      </c>
      <c r="D166" s="501">
        <f>'[80]Sch C'!F177</f>
        <v>0</v>
      </c>
      <c r="E166" s="171">
        <f t="shared" si="37"/>
        <v>167784.77</v>
      </c>
      <c r="F166" s="216"/>
      <c r="G166" s="171">
        <f t="shared" si="38"/>
        <v>167784.77</v>
      </c>
      <c r="H166" s="172">
        <f t="shared" si="39"/>
        <v>2.3324152189711546E-2</v>
      </c>
      <c r="I166" s="617"/>
      <c r="J166" s="183">
        <v>6430.98</v>
      </c>
      <c r="K166" s="183">
        <v>6877.94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'[80]Sch C'!D178</f>
        <v>0</v>
      </c>
      <c r="D167" s="501">
        <f>'[80]Sch C'!F178</f>
        <v>85101</v>
      </c>
      <c r="E167" s="171">
        <f t="shared" si="37"/>
        <v>85101</v>
      </c>
      <c r="F167" s="216"/>
      <c r="G167" s="171">
        <f t="shared" si="38"/>
        <v>85101</v>
      </c>
      <c r="H167" s="172">
        <f t="shared" si="39"/>
        <v>1.1830088484769163E-2</v>
      </c>
      <c r="I167" s="618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'[80]Sch C'!D179</f>
        <v>0</v>
      </c>
      <c r="D168" s="501">
        <f>'[80]Sch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617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'[80]Sch C'!D180</f>
        <v>0</v>
      </c>
      <c r="D169" s="501">
        <f>'[80]Sch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618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'[80]Sch C'!D181</f>
        <v>0</v>
      </c>
      <c r="D170" s="501">
        <f>'[80]Sch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617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'[80]Sch C'!D182</f>
        <v>0</v>
      </c>
      <c r="D171" s="501">
        <f>'[80]Sch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618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'[80]Sch C'!D183</f>
        <v>93974.66</v>
      </c>
      <c r="D172" s="501">
        <f>'[80]Sch C'!F183</f>
        <v>0</v>
      </c>
      <c r="E172" s="171">
        <f t="shared" si="37"/>
        <v>93974.66</v>
      </c>
      <c r="F172" s="216"/>
      <c r="G172" s="171">
        <f t="shared" si="38"/>
        <v>93974.66</v>
      </c>
      <c r="H172" s="172">
        <f t="shared" si="39"/>
        <v>1.3063636656750182E-2</v>
      </c>
      <c r="I172" s="617"/>
      <c r="J172" s="183">
        <v>2733.08</v>
      </c>
      <c r="K172" s="183">
        <v>2771.83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'[80]Sch C'!D184</f>
        <v>0</v>
      </c>
      <c r="D173" s="501">
        <f>'[80]Sch C'!F184</f>
        <v>47664</v>
      </c>
      <c r="E173" s="171">
        <f t="shared" si="37"/>
        <v>47664</v>
      </c>
      <c r="F173" s="216"/>
      <c r="G173" s="171">
        <f t="shared" si="38"/>
        <v>47664</v>
      </c>
      <c r="H173" s="172">
        <f t="shared" si="39"/>
        <v>6.6258838032224928E-3</v>
      </c>
      <c r="I173" s="618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'[80]Sch C'!D185</f>
        <v>0</v>
      </c>
      <c r="D174" s="501">
        <f>'[80]Sch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617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'[80]Sch C'!D186</f>
        <v>0</v>
      </c>
      <c r="D175" s="501">
        <f>'[80]Sch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619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'[80]Sch C'!D187</f>
        <v>0</v>
      </c>
      <c r="D176" s="501">
        <f>'[80]Sch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619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'[80]Sch C'!D188</f>
        <v>3804.59</v>
      </c>
      <c r="D177" s="501">
        <f>'[80]Sch C'!F188</f>
        <v>0</v>
      </c>
      <c r="E177" s="171">
        <f t="shared" si="37"/>
        <v>3804.59</v>
      </c>
      <c r="F177" s="216"/>
      <c r="G177" s="171">
        <f t="shared" si="38"/>
        <v>3804.59</v>
      </c>
      <c r="H177" s="172">
        <f t="shared" si="39"/>
        <v>5.2888492906391117E-4</v>
      </c>
      <c r="I177" s="619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'[80]Sch C'!D189</f>
        <v>0</v>
      </c>
      <c r="D178" s="501">
        <f>'[80]Sch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619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'[80]Sch C'!D190</f>
        <v>0</v>
      </c>
      <c r="D179" s="501">
        <f>'[80]Sch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619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'[80]Sch C'!D191</f>
        <v>0</v>
      </c>
      <c r="D180" s="501">
        <f>'[80]Sch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619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'[80]Sch C'!D192</f>
        <v>0</v>
      </c>
      <c r="D181" s="501">
        <f>'[80]Sch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619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'[80]Sch C'!D193</f>
        <v>255.5</v>
      </c>
      <c r="D182" s="501">
        <f>'[80]Sch C'!F193</f>
        <v>0</v>
      </c>
      <c r="E182" s="171">
        <f t="shared" si="37"/>
        <v>255.5</v>
      </c>
      <c r="F182" s="216"/>
      <c r="G182" s="171">
        <f t="shared" si="38"/>
        <v>255.5</v>
      </c>
      <c r="H182" s="172">
        <f t="shared" si="39"/>
        <v>3.5517650883756017E-5</v>
      </c>
      <c r="I182" s="619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'[80]Sch C'!D194</f>
        <v>0</v>
      </c>
      <c r="D183" s="501">
        <f>'[80]Sch C'!F194</f>
        <v>0</v>
      </c>
      <c r="E183" s="171">
        <f t="shared" si="37"/>
        <v>0</v>
      </c>
      <c r="F183" s="216"/>
      <c r="G183" s="171">
        <f t="shared" si="38"/>
        <v>0</v>
      </c>
      <c r="H183" s="172">
        <f t="shared" si="39"/>
        <v>0</v>
      </c>
      <c r="I183" s="619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'[80]Sch C'!D195</f>
        <v>0</v>
      </c>
      <c r="D184" s="501">
        <f>'[80]Sch C'!F195</f>
        <v>0</v>
      </c>
      <c r="E184" s="171">
        <f t="shared" si="37"/>
        <v>0</v>
      </c>
      <c r="F184" s="216"/>
      <c r="G184" s="171">
        <f t="shared" si="38"/>
        <v>0</v>
      </c>
      <c r="H184" s="172">
        <f t="shared" si="39"/>
        <v>0</v>
      </c>
      <c r="I184" s="619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'[80]Sch C'!D196</f>
        <v>0</v>
      </c>
      <c r="D185" s="501">
        <f>'[80]Sch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619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'[80]Sch C'!D197</f>
        <v>0</v>
      </c>
      <c r="D186" s="501">
        <f>'[80]Sch C'!F197</f>
        <v>0</v>
      </c>
      <c r="E186" s="171">
        <f t="shared" si="37"/>
        <v>0</v>
      </c>
      <c r="F186" s="216"/>
      <c r="G186" s="171">
        <f t="shared" si="38"/>
        <v>0</v>
      </c>
      <c r="H186" s="172">
        <f t="shared" si="39"/>
        <v>0</v>
      </c>
      <c r="I186" s="619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'[80]Sch C'!D198</f>
        <v>7949.06</v>
      </c>
      <c r="D187" s="501">
        <f>'[80]Sch C'!F198</f>
        <v>0</v>
      </c>
      <c r="E187" s="171">
        <f t="shared" si="37"/>
        <v>7949.06</v>
      </c>
      <c r="F187" s="216"/>
      <c r="G187" s="171">
        <f t="shared" si="38"/>
        <v>7949.06</v>
      </c>
      <c r="H187" s="172">
        <f t="shared" si="39"/>
        <v>1.1050173696048127E-3</v>
      </c>
      <c r="I187" s="619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'[80]Sch C'!D199</f>
        <v>0</v>
      </c>
      <c r="D188" s="501">
        <f>'[80]Sch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619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'[80]Sch C'!D200</f>
        <v>0</v>
      </c>
      <c r="D189" s="501">
        <f>'[80]Sch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619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'[80]Sch C'!D201</f>
        <v>0</v>
      </c>
      <c r="D190" s="501">
        <f>'[80]Sch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619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'[80]Sch C'!D202</f>
        <v>0</v>
      </c>
      <c r="D191" s="501">
        <f>'[80]Sch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619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'[80]Sch C'!D203</f>
        <v>0</v>
      </c>
      <c r="D192" s="501">
        <f>'[80]Sch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619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'[80]Sch C'!D204</f>
        <v>0</v>
      </c>
      <c r="D193" s="501">
        <f>'[80]Sch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619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'[80]Sch C'!D205</f>
        <v>139044.45000000001</v>
      </c>
      <c r="D194" s="501">
        <f>'[80]Sch C'!F205</f>
        <v>0</v>
      </c>
      <c r="E194" s="171">
        <f t="shared" si="37"/>
        <v>139044.45000000001</v>
      </c>
      <c r="F194" s="216"/>
      <c r="G194" s="171">
        <f t="shared" si="38"/>
        <v>139044.45000000001</v>
      </c>
      <c r="H194" s="172">
        <f t="shared" si="39"/>
        <v>1.9328893277588532E-2</v>
      </c>
      <c r="I194" s="619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'[80]Sch C'!D206</f>
        <v>6036.85</v>
      </c>
      <c r="D195" s="501">
        <f>'[80]Sch C'!F206</f>
        <v>0</v>
      </c>
      <c r="E195" s="171">
        <f t="shared" si="37"/>
        <v>6036.85</v>
      </c>
      <c r="F195" s="216"/>
      <c r="G195" s="171">
        <f t="shared" si="38"/>
        <v>6036.85</v>
      </c>
      <c r="H195" s="172">
        <f t="shared" si="39"/>
        <v>8.3919659779883578E-4</v>
      </c>
      <c r="I195" s="619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'[80]Sch C'!D207</f>
        <v>0</v>
      </c>
      <c r="D196" s="501">
        <f>'[80]Sch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619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418849.88</v>
      </c>
      <c r="D197" s="501">
        <f>SUM(D164:D196)</f>
        <v>132765</v>
      </c>
      <c r="E197" s="171">
        <f t="shared" ref="E197:F197" si="40">SUM(E164:E196)</f>
        <v>551614.88</v>
      </c>
      <c r="F197" s="171">
        <f t="shared" si="40"/>
        <v>0</v>
      </c>
      <c r="G197" s="171">
        <f>SUM(G164:G196)</f>
        <v>551614.88</v>
      </c>
      <c r="H197" s="172">
        <f>IF($G$208=0,0,G197/$G$208)</f>
        <v>7.6681270959393227E-2</v>
      </c>
      <c r="I197" s="547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547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47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'[80]Sch C'!D211</f>
        <v>173897.9</v>
      </c>
      <c r="D200" s="501">
        <f>'[80]Sch C'!F211</f>
        <v>0</v>
      </c>
      <c r="E200" s="171">
        <f t="shared" ref="E200:E205" si="41">C200+D200</f>
        <v>173897.9</v>
      </c>
      <c r="F200" s="171"/>
      <c r="G200" s="171">
        <f t="shared" ref="G200:G205" si="42">E200+F200</f>
        <v>173897.9</v>
      </c>
      <c r="H200" s="172">
        <f t="shared" ref="H200:H206" si="43">IF($G$208=0,0,G200/$G$208)</f>
        <v>2.4173952648212586E-2</v>
      </c>
      <c r="I200" s="547"/>
      <c r="J200" s="183">
        <v>742.46</v>
      </c>
      <c r="K200" s="183">
        <v>11530.84</v>
      </c>
    </row>
    <row r="201" spans="1:14" s="167" customFormat="1">
      <c r="A201" s="169" t="s">
        <v>86</v>
      </c>
      <c r="B201" s="170" t="s">
        <v>45</v>
      </c>
      <c r="C201" s="501">
        <f>'[80]Sch C'!D212</f>
        <v>0</v>
      </c>
      <c r="D201" s="501">
        <f>'[80]Sch C'!F212</f>
        <v>88201</v>
      </c>
      <c r="E201" s="171">
        <f t="shared" si="41"/>
        <v>88201</v>
      </c>
      <c r="F201" s="171"/>
      <c r="G201" s="171">
        <f t="shared" si="42"/>
        <v>88201</v>
      </c>
      <c r="H201" s="172">
        <f t="shared" si="43"/>
        <v>1.226102671466992E-2</v>
      </c>
      <c r="I201" s="547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'[80]Sch C'!D213</f>
        <v>13441.5</v>
      </c>
      <c r="D202" s="501">
        <f>'[80]Sch C'!F213</f>
        <v>0</v>
      </c>
      <c r="E202" s="171">
        <f t="shared" si="41"/>
        <v>13441.5</v>
      </c>
      <c r="F202" s="171"/>
      <c r="G202" s="171">
        <f t="shared" si="42"/>
        <v>13441.5</v>
      </c>
      <c r="H202" s="172">
        <f t="shared" si="43"/>
        <v>1.868534263616464E-3</v>
      </c>
      <c r="I202" s="547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'[80]Sch C'!D214</f>
        <v>0</v>
      </c>
      <c r="D203" s="501">
        <f>'[80]Sch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547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'[80]Sch C'!D215</f>
        <v>0</v>
      </c>
      <c r="D204" s="501">
        <f>'[80]Sch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547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'[80]Sch C'!D216</f>
        <v>0</v>
      </c>
      <c r="D205" s="501">
        <f>'[80]Sch C'!F216</f>
        <v>0</v>
      </c>
      <c r="E205" s="171">
        <f t="shared" si="41"/>
        <v>0</v>
      </c>
      <c r="F205" s="171"/>
      <c r="G205" s="171">
        <f t="shared" si="42"/>
        <v>0</v>
      </c>
      <c r="H205" s="172">
        <f t="shared" si="43"/>
        <v>0</v>
      </c>
      <c r="I205" s="61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187339.4</v>
      </c>
      <c r="D206" s="501">
        <f>SUM(D200:D205)</f>
        <v>88201</v>
      </c>
      <c r="E206" s="171">
        <f t="shared" ref="E206:F206" si="44">SUM(E200:E205)</f>
        <v>275540.40000000002</v>
      </c>
      <c r="F206" s="171">
        <f t="shared" si="44"/>
        <v>0</v>
      </c>
      <c r="G206" s="171">
        <f>SUM(G200:G205)</f>
        <v>275540.40000000002</v>
      </c>
      <c r="H206" s="172">
        <f t="shared" si="43"/>
        <v>3.8303513626498975E-2</v>
      </c>
      <c r="I206" s="547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547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7693340.2699999996</v>
      </c>
      <c r="D208" s="501">
        <f>SUM(D25:D206)/2</f>
        <v>-477568.88999999966</v>
      </c>
      <c r="E208" s="171">
        <f t="shared" ref="E208:F208" si="45">SUM(E25:E206)/2</f>
        <v>7215771.3800000018</v>
      </c>
      <c r="F208" s="171">
        <f t="shared" si="45"/>
        <v>-22165</v>
      </c>
      <c r="G208" s="171">
        <f>SUM(G25:G206)/2</f>
        <v>7193606.3800000018</v>
      </c>
      <c r="H208" s="172">
        <f>IF($G$208=0,0,G208/$G$208)</f>
        <v>1</v>
      </c>
      <c r="I208" s="547"/>
      <c r="J208" s="183">
        <f>SUM(J25:J200)</f>
        <v>172083.09</v>
      </c>
      <c r="K208" s="183">
        <f>SUM(K25:K200)</f>
        <v>196620.43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547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547"/>
      <c r="J210" s="168"/>
      <c r="K210" s="168"/>
    </row>
    <row r="211" spans="1:11" s="167" customFormat="1" ht="15.5">
      <c r="A211" s="163"/>
      <c r="B211" s="228" t="s">
        <v>181</v>
      </c>
      <c r="C211" s="501">
        <f>'[80]Sch C'!D221</f>
        <v>7693340.2699999996</v>
      </c>
      <c r="D211" s="196"/>
      <c r="E211" s="165"/>
      <c r="F211"/>
      <c r="G211"/>
      <c r="I211" s="547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547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547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547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-1085947.1899999995</v>
      </c>
      <c r="D215" s="501">
        <f>D21-D208</f>
        <v>-51005.880000000354</v>
      </c>
      <c r="E215" s="171">
        <f t="shared" ref="E215:F215" si="46">E21-E208</f>
        <v>-1136953.0700000012</v>
      </c>
      <c r="F215" s="171">
        <f t="shared" si="46"/>
        <v>684713</v>
      </c>
      <c r="G215" s="171">
        <f>G21-G208</f>
        <v>-452240.07000000123</v>
      </c>
      <c r="I215" s="547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547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547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547"/>
      <c r="J218" s="168"/>
      <c r="K218" s="168"/>
    </row>
    <row r="219" spans="1:11">
      <c r="A219" s="163"/>
      <c r="B219" s="170" t="s">
        <v>218</v>
      </c>
      <c r="C219" s="530">
        <f>'[80]Sch D'!C9</f>
        <v>14110</v>
      </c>
      <c r="D219" s="530"/>
      <c r="E219" s="234">
        <f t="shared" ref="E219:G227" si="47">C219+D219</f>
        <v>14110</v>
      </c>
      <c r="F219" s="233"/>
      <c r="G219" s="234">
        <f t="shared" si="47"/>
        <v>14110</v>
      </c>
      <c r="H219" s="172">
        <f t="shared" ref="H219:H228" si="48">IF($G$228=0,0,G219/$G$228)</f>
        <v>0.63458511355970315</v>
      </c>
      <c r="I219" s="547"/>
      <c r="J219" s="168"/>
      <c r="K219" s="168"/>
    </row>
    <row r="220" spans="1:11">
      <c r="A220" s="163"/>
      <c r="B220" s="170" t="s">
        <v>217</v>
      </c>
      <c r="C220" s="530">
        <f>'[80]Sch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547"/>
      <c r="J220" s="168"/>
      <c r="K220" s="168"/>
    </row>
    <row r="221" spans="1:11">
      <c r="A221" s="163"/>
      <c r="B221" s="170" t="s">
        <v>72</v>
      </c>
      <c r="C221" s="530">
        <f>'[80]Sch D'!E9</f>
        <v>2332</v>
      </c>
      <c r="D221" s="530"/>
      <c r="E221" s="234">
        <f t="shared" si="49"/>
        <v>2332</v>
      </c>
      <c r="F221" s="233"/>
      <c r="G221" s="234">
        <f t="shared" si="47"/>
        <v>2332</v>
      </c>
      <c r="H221" s="172">
        <f t="shared" si="48"/>
        <v>0.10487969417584889</v>
      </c>
      <c r="I221" s="547"/>
      <c r="J221" s="168"/>
      <c r="K221" s="168"/>
    </row>
    <row r="222" spans="1:11">
      <c r="A222" s="163"/>
      <c r="B222" s="202" t="s">
        <v>334</v>
      </c>
      <c r="C222" s="530">
        <f>'[80]Sch D'!F9</f>
        <v>3</v>
      </c>
      <c r="D222" s="530"/>
      <c r="E222" s="234">
        <f>C222+D222</f>
        <v>3</v>
      </c>
      <c r="F222" s="233"/>
      <c r="G222" s="234">
        <f>E222+F222</f>
        <v>3</v>
      </c>
      <c r="H222" s="172">
        <f t="shared" si="48"/>
        <v>1.3492241960872498E-4</v>
      </c>
      <c r="I222" s="547"/>
      <c r="J222" s="168"/>
      <c r="K222" s="168"/>
    </row>
    <row r="223" spans="1:11">
      <c r="A223" s="163"/>
      <c r="B223" s="170" t="s">
        <v>73</v>
      </c>
      <c r="C223" s="530">
        <f>'[80]Sch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547"/>
      <c r="J223" s="168"/>
      <c r="K223" s="168"/>
    </row>
    <row r="224" spans="1:11">
      <c r="A224" s="163"/>
      <c r="B224" s="170" t="s">
        <v>74</v>
      </c>
      <c r="C224" s="530">
        <f>'[80]Sch D'!H9</f>
        <v>5790</v>
      </c>
      <c r="D224" s="530"/>
      <c r="E224" s="234">
        <f t="shared" si="49"/>
        <v>5790</v>
      </c>
      <c r="F224" s="233"/>
      <c r="G224" s="234">
        <f t="shared" si="47"/>
        <v>5790</v>
      </c>
      <c r="H224" s="172">
        <f t="shared" si="48"/>
        <v>0.26040026984483922</v>
      </c>
      <c r="I224" s="613"/>
      <c r="J224" s="168"/>
      <c r="K224" s="168"/>
    </row>
    <row r="225" spans="1:11">
      <c r="A225" s="163"/>
      <c r="B225" s="170" t="s">
        <v>236</v>
      </c>
      <c r="C225" s="530">
        <f>'[80]Sch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547"/>
      <c r="J225" s="168"/>
      <c r="K225" s="168"/>
    </row>
    <row r="226" spans="1:11">
      <c r="A226" s="163"/>
      <c r="B226" s="170" t="s">
        <v>235</v>
      </c>
      <c r="C226" s="530">
        <f>'[80]Sch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613"/>
      <c r="J226" s="168"/>
      <c r="K226" s="168"/>
    </row>
    <row r="227" spans="1:11">
      <c r="A227" s="163"/>
      <c r="B227" s="170" t="s">
        <v>179</v>
      </c>
      <c r="C227" s="530">
        <f>'[80]Sch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547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22235</v>
      </c>
      <c r="D228" s="530">
        <f>SUM(D219:D227)</f>
        <v>0</v>
      </c>
      <c r="E228" s="236">
        <f>SUM(E219:E227)</f>
        <v>22235</v>
      </c>
      <c r="F228" s="236">
        <f>SUM(F219:F227)</f>
        <v>0</v>
      </c>
      <c r="G228" s="236">
        <f>SUM(G219:G227)</f>
        <v>22235</v>
      </c>
      <c r="H228" s="172">
        <f t="shared" si="48"/>
        <v>1</v>
      </c>
      <c r="I228" s="547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547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547"/>
      <c r="J230" s="168"/>
      <c r="K230" s="168"/>
    </row>
    <row r="231" spans="1:11">
      <c r="A231" s="163"/>
      <c r="B231" s="202" t="s">
        <v>219</v>
      </c>
      <c r="C231" s="531">
        <f>'[80]Sch D'!N22</f>
        <v>110</v>
      </c>
      <c r="D231" s="502"/>
      <c r="E231" s="234">
        <f>C231+D231</f>
        <v>110</v>
      </c>
      <c r="F231" s="234"/>
      <c r="G231" s="234">
        <f>E231+F231</f>
        <v>110</v>
      </c>
      <c r="H231" s="167"/>
      <c r="I231" s="547"/>
      <c r="J231" s="168"/>
      <c r="K231" s="168"/>
    </row>
    <row r="232" spans="1:11">
      <c r="A232" s="163"/>
      <c r="B232" s="202" t="s">
        <v>290</v>
      </c>
      <c r="C232" s="531">
        <f>'[80]Sch D'!N24</f>
        <v>110</v>
      </c>
      <c r="D232" s="502"/>
      <c r="E232" s="234">
        <f>C232+D232</f>
        <v>110</v>
      </c>
      <c r="F232" s="234"/>
      <c r="G232" s="234">
        <f>E232+F232</f>
        <v>110</v>
      </c>
      <c r="H232" s="167"/>
      <c r="I232" s="547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547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547"/>
      <c r="J234" s="168"/>
      <c r="K234" s="168"/>
    </row>
    <row r="235" spans="1:11" ht="26">
      <c r="A235" s="163"/>
      <c r="B235" s="241" t="s">
        <v>335</v>
      </c>
      <c r="C235" s="531">
        <f>'[80]Sch D'!N28</f>
        <v>40150</v>
      </c>
      <c r="D235" s="438"/>
      <c r="E235" s="233">
        <f>E231*E233</f>
        <v>40150</v>
      </c>
      <c r="F235" s="238"/>
      <c r="G235" s="233">
        <f>G231*G233</f>
        <v>40150</v>
      </c>
      <c r="H235" s="167"/>
      <c r="I235" s="547"/>
      <c r="J235" s="168"/>
      <c r="K235" s="168"/>
    </row>
    <row r="236" spans="1:11" ht="26">
      <c r="A236" s="163"/>
      <c r="B236" s="241" t="s">
        <v>336</v>
      </c>
      <c r="C236" s="532">
        <f>'[80]Sch D'!N30</f>
        <v>0.55379825653798254</v>
      </c>
      <c r="D236" s="238"/>
      <c r="E236" s="242">
        <f>E228/E235</f>
        <v>0.55379825653798254</v>
      </c>
      <c r="F236" s="243"/>
      <c r="G236" s="242">
        <f>G228/G235</f>
        <v>0.55379825653798254</v>
      </c>
      <c r="H236" s="167"/>
      <c r="I236" s="547"/>
      <c r="J236" s="168"/>
      <c r="K236" s="168"/>
    </row>
    <row r="237" spans="1:11" ht="26">
      <c r="A237" s="163"/>
      <c r="B237" s="241" t="s">
        <v>337</v>
      </c>
      <c r="C237" s="532">
        <f>'[80]Sch D'!N32</f>
        <v>0.35143212951432129</v>
      </c>
      <c r="D237" s="238"/>
      <c r="E237" s="242">
        <f>(E219+E220)/E235</f>
        <v>0.35143212951432129</v>
      </c>
      <c r="F237" s="243"/>
      <c r="G237" s="242">
        <f>(G219+G220)/G235</f>
        <v>0.35143212951432129</v>
      </c>
      <c r="H237" s="167"/>
      <c r="I237" s="547"/>
      <c r="J237" s="168"/>
      <c r="K237" s="168"/>
    </row>
    <row r="238" spans="1:11" ht="26">
      <c r="A238" s="163"/>
      <c r="B238" s="241" t="s">
        <v>338</v>
      </c>
      <c r="C238" s="532">
        <f>'[80]Sch D'!N34</f>
        <v>0.63458511355970315</v>
      </c>
      <c r="D238" s="238"/>
      <c r="E238" s="242">
        <f>(E237/E236)</f>
        <v>0.63458511355970315</v>
      </c>
      <c r="F238" s="243"/>
      <c r="G238" s="242">
        <f>(G237/G236)</f>
        <v>0.63458511355970315</v>
      </c>
      <c r="H238" s="167"/>
      <c r="I238" s="547"/>
      <c r="J238" s="168"/>
      <c r="K238" s="168"/>
    </row>
    <row r="239" spans="1:11">
      <c r="I239" s="546"/>
    </row>
    <row r="240" spans="1:11">
      <c r="I240" s="546"/>
    </row>
    <row r="241" spans="2:9">
      <c r="B241" s="148" t="s">
        <v>339</v>
      </c>
      <c r="F241" s="142" t="s">
        <v>340</v>
      </c>
      <c r="G241" s="501">
        <f>'[80]Sch B'!C85</f>
        <v>189.85530906990178</v>
      </c>
      <c r="I241" s="546"/>
    </row>
    <row r="242" spans="2:9">
      <c r="F242" s="142" t="s">
        <v>341</v>
      </c>
      <c r="G242" s="501">
        <f>'[80]Sch B'!E85</f>
        <v>188.96832892998677</v>
      </c>
      <c r="I242" s="546"/>
    </row>
    <row r="243" spans="2:9" ht="15.5">
      <c r="B243"/>
      <c r="F243" s="142" t="s">
        <v>342</v>
      </c>
      <c r="G243" s="501">
        <f>'[80]Sch B'!G85</f>
        <v>191.49251111111113</v>
      </c>
      <c r="I243" s="546"/>
    </row>
    <row r="244" spans="2:9" ht="15.5">
      <c r="B244"/>
      <c r="F244" s="142" t="s">
        <v>343</v>
      </c>
      <c r="G244" s="501">
        <f>'[80]Sch B'!I85</f>
        <v>207.59122175732219</v>
      </c>
      <c r="I244" s="546"/>
    </row>
    <row r="245" spans="2:9" ht="15.5">
      <c r="B245"/>
      <c r="F245" s="142"/>
      <c r="I245" s="546"/>
    </row>
    <row r="246" spans="2:9" ht="15">
      <c r="B246" s="419"/>
      <c r="I246" s="546"/>
    </row>
  </sheetData>
  <customSheetViews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69">
    <tabColor rgb="FFE28CAB"/>
  </sheetPr>
  <dimension ref="A1:O246"/>
  <sheetViews>
    <sheetView showGridLines="0" topLeftCell="A219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E1" s="429"/>
      <c r="F1" s="458" t="s">
        <v>517</v>
      </c>
      <c r="G1" s="429"/>
      <c r="H1" s="429"/>
      <c r="I1" s="430"/>
    </row>
    <row r="2" spans="1:11" ht="23">
      <c r="B2" s="143" t="s">
        <v>189</v>
      </c>
      <c r="C2" s="244" t="s">
        <v>448</v>
      </c>
      <c r="D2" s="244"/>
      <c r="E2" s="144"/>
    </row>
    <row r="3" spans="1:11">
      <c r="A3" s="145"/>
      <c r="B3" s="140" t="s">
        <v>79</v>
      </c>
      <c r="C3" s="441">
        <v>42552</v>
      </c>
      <c r="D3" s="345" t="s">
        <v>449</v>
      </c>
      <c r="E3" s="147"/>
      <c r="F3" s="409" t="s">
        <v>516</v>
      </c>
    </row>
    <row r="4" spans="1:11">
      <c r="A4" s="145"/>
      <c r="B4" s="148" t="s">
        <v>80</v>
      </c>
      <c r="C4" s="441">
        <v>42855</v>
      </c>
      <c r="D4" s="144"/>
      <c r="E4" s="149"/>
      <c r="F4" s="409" t="s">
        <v>572</v>
      </c>
      <c r="G4" s="150"/>
    </row>
    <row r="5" spans="1:11">
      <c r="A5" s="145"/>
      <c r="B5" s="148"/>
      <c r="C5" s="151"/>
      <c r="D5" s="144"/>
      <c r="F5" s="409" t="s">
        <v>523</v>
      </c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'[81]Sch B'!E10</f>
        <v>1985265</v>
      </c>
      <c r="D11" s="501">
        <f>'[81]Sch B'!G10</f>
        <v>-3348</v>
      </c>
      <c r="E11" s="171">
        <f>C11+D11</f>
        <v>1981917</v>
      </c>
      <c r="F11" s="171">
        <v>81142</v>
      </c>
      <c r="G11" s="171">
        <f t="shared" ref="G11:G20" si="0">E11+F11</f>
        <v>2063059</v>
      </c>
      <c r="H11" s="172">
        <f t="shared" ref="H11:H21" si="1">IF($G$21=0,0,G11/$G$21)</f>
        <v>0.64061023599431011</v>
      </c>
      <c r="I11" s="473"/>
      <c r="J11" s="336" t="s">
        <v>344</v>
      </c>
      <c r="K11" s="337">
        <f>G21</f>
        <v>3220459</v>
      </c>
    </row>
    <row r="12" spans="1:11" s="167" customFormat="1">
      <c r="A12" s="169" t="s">
        <v>15</v>
      </c>
      <c r="B12" s="170" t="s">
        <v>212</v>
      </c>
      <c r="C12" s="501">
        <f>'[81]Sch B'!E15</f>
        <v>0</v>
      </c>
      <c r="D12" s="501">
        <f>'[81]Sch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4177345.9999999995</v>
      </c>
    </row>
    <row r="13" spans="1:11" s="167" customFormat="1">
      <c r="A13" s="169" t="s">
        <v>16</v>
      </c>
      <c r="B13" s="170" t="s">
        <v>170</v>
      </c>
      <c r="C13" s="501">
        <f>'[81]Sch B'!E21</f>
        <v>566534</v>
      </c>
      <c r="D13" s="501">
        <f>'[81]Sch B'!G21</f>
        <v>-2459</v>
      </c>
      <c r="E13" s="171">
        <f t="shared" si="2"/>
        <v>564075</v>
      </c>
      <c r="F13" s="171">
        <v>33830</v>
      </c>
      <c r="G13" s="171">
        <f t="shared" si="0"/>
        <v>597905</v>
      </c>
      <c r="H13" s="172">
        <f t="shared" si="1"/>
        <v>0.18565831764975116</v>
      </c>
      <c r="I13" s="473"/>
      <c r="J13" s="338" t="s">
        <v>346</v>
      </c>
      <c r="K13" s="339">
        <f>G228</f>
        <v>13962</v>
      </c>
    </row>
    <row r="14" spans="1:11" s="167" customFormat="1">
      <c r="A14" s="173" t="s">
        <v>18</v>
      </c>
      <c r="B14" s="174" t="s">
        <v>306</v>
      </c>
      <c r="C14" s="501">
        <f>'[81]Sch B'!E27</f>
        <v>148889</v>
      </c>
      <c r="D14" s="501">
        <f>'[81]Sch B'!G27</f>
        <v>-1207</v>
      </c>
      <c r="E14" s="171">
        <f t="shared" si="2"/>
        <v>147682</v>
      </c>
      <c r="F14" s="175">
        <v>9629</v>
      </c>
      <c r="G14" s="175">
        <f>E14+F14</f>
        <v>157311</v>
      </c>
      <c r="H14" s="176">
        <f t="shared" si="1"/>
        <v>4.8847384798253915E-2</v>
      </c>
      <c r="I14" s="479"/>
      <c r="J14" s="338" t="s">
        <v>347</v>
      </c>
      <c r="K14" s="339">
        <f>G231</f>
        <v>99</v>
      </c>
    </row>
    <row r="15" spans="1:11" s="167" customFormat="1">
      <c r="A15" s="169" t="s">
        <v>19</v>
      </c>
      <c r="B15" s="170" t="s">
        <v>171</v>
      </c>
      <c r="C15" s="501">
        <f>'[81]Sch B'!E32</f>
        <v>0</v>
      </c>
      <c r="D15" s="501">
        <f>'[81]Sch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33165</v>
      </c>
    </row>
    <row r="16" spans="1:11" s="167" customFormat="1">
      <c r="A16" s="169" t="s">
        <v>21</v>
      </c>
      <c r="B16" s="170" t="s">
        <v>172</v>
      </c>
      <c r="C16" s="501">
        <f>'[81]Sch B'!E37</f>
        <v>130686</v>
      </c>
      <c r="D16" s="501">
        <f>'[81]Sch B'!G37</f>
        <v>0</v>
      </c>
      <c r="E16" s="171">
        <f t="shared" si="2"/>
        <v>130686</v>
      </c>
      <c r="F16" s="171">
        <v>4532</v>
      </c>
      <c r="G16" s="171">
        <f t="shared" si="0"/>
        <v>135218</v>
      </c>
      <c r="H16" s="172">
        <f t="shared" si="1"/>
        <v>4.1987182572422128E-2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'[81]Sch B'!E42</f>
        <v>178811</v>
      </c>
      <c r="D17" s="501">
        <f>'[81]Sch B'!G42</f>
        <v>0</v>
      </c>
      <c r="E17" s="171">
        <f t="shared" si="2"/>
        <v>178811</v>
      </c>
      <c r="F17" s="171">
        <v>0</v>
      </c>
      <c r="G17" s="171">
        <f>E17+F17</f>
        <v>178811</v>
      </c>
      <c r="H17" s="172">
        <f t="shared" si="1"/>
        <v>5.55234517812523E-2</v>
      </c>
      <c r="I17" s="473"/>
      <c r="J17" s="338" t="s">
        <v>156</v>
      </c>
      <c r="K17" s="339">
        <f>J208</f>
        <v>82974</v>
      </c>
    </row>
    <row r="18" spans="1:11" s="167" customFormat="1" ht="13.5" thickBot="1">
      <c r="A18" s="169" t="s">
        <v>216</v>
      </c>
      <c r="B18" s="170" t="s">
        <v>229</v>
      </c>
      <c r="C18" s="501">
        <f>'[81]Sch B'!E47</f>
        <v>0</v>
      </c>
      <c r="D18" s="501">
        <f>'[81]Sch B'!G47</f>
        <v>0</v>
      </c>
      <c r="E18" s="171">
        <f t="shared" si="2"/>
        <v>0</v>
      </c>
      <c r="F18" s="171">
        <v>7285</v>
      </c>
      <c r="G18" s="171">
        <f>E18+F18</f>
        <v>7285</v>
      </c>
      <c r="H18" s="172">
        <f t="shared" si="1"/>
        <v>2.2620999056345696E-3</v>
      </c>
      <c r="I18" s="473"/>
      <c r="J18" s="341" t="s">
        <v>252</v>
      </c>
      <c r="K18" s="342">
        <f>K208</f>
        <v>87748</v>
      </c>
    </row>
    <row r="19" spans="1:11" s="167" customFormat="1">
      <c r="A19" s="169" t="s">
        <v>227</v>
      </c>
      <c r="B19" s="177" t="s">
        <v>173</v>
      </c>
      <c r="C19" s="501">
        <f>'[81]Sch B'!E52</f>
        <v>60036</v>
      </c>
      <c r="D19" s="501">
        <f>'[81]Sch B'!G52</f>
        <v>2600</v>
      </c>
      <c r="E19" s="171">
        <f t="shared" si="2"/>
        <v>62636</v>
      </c>
      <c r="F19" s="171">
        <v>0</v>
      </c>
      <c r="G19" s="171">
        <f t="shared" si="0"/>
        <v>62636</v>
      </c>
      <c r="H19" s="172">
        <f t="shared" si="1"/>
        <v>1.9449401467306369E-2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'[81]Sch B'!E67</f>
        <v>285546</v>
      </c>
      <c r="D20" s="501">
        <f>'[81]Sch B'!G67</f>
        <v>-267312</v>
      </c>
      <c r="E20" s="171">
        <f t="shared" si="2"/>
        <v>18234</v>
      </c>
      <c r="F20" s="171">
        <v>0</v>
      </c>
      <c r="G20" s="171">
        <f t="shared" si="0"/>
        <v>18234</v>
      </c>
      <c r="H20" s="172">
        <f t="shared" si="1"/>
        <v>5.6619258310694224E-3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3355767</v>
      </c>
      <c r="D21" s="501">
        <f>SUM(D11:D20)</f>
        <v>-271726</v>
      </c>
      <c r="E21" s="171">
        <f>SUM(E11:E20)</f>
        <v>3084041</v>
      </c>
      <c r="F21" s="171">
        <f>SUM(F11:F20)</f>
        <v>136418</v>
      </c>
      <c r="G21" s="171">
        <f>SUM(G11:G20)</f>
        <v>3220459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'[81]Sch C'!D10</f>
        <v>80056</v>
      </c>
      <c r="D25" s="501">
        <f>'[81]Sch C'!F10</f>
        <v>4664</v>
      </c>
      <c r="E25" s="171">
        <f t="shared" ref="E25:E60" si="3">C25+D25</f>
        <v>84720</v>
      </c>
      <c r="F25" s="171">
        <v>11202</v>
      </c>
      <c r="G25" s="182">
        <f>E25+F25</f>
        <v>95922</v>
      </c>
      <c r="H25" s="172">
        <f>IF($G$208=0,0,G25/$G$208)</f>
        <v>2.2962426382684129E-2</v>
      </c>
      <c r="I25" s="473"/>
      <c r="J25" s="183">
        <f>1864+208</f>
        <v>2072</v>
      </c>
      <c r="K25" s="183">
        <f>1964+214</f>
        <v>2178</v>
      </c>
    </row>
    <row r="26" spans="1:11" s="167" customFormat="1">
      <c r="A26" s="169" t="s">
        <v>84</v>
      </c>
      <c r="B26" s="170" t="s">
        <v>176</v>
      </c>
      <c r="C26" s="501">
        <f>'[81]Sch C'!D11</f>
        <v>0</v>
      </c>
      <c r="D26" s="501">
        <f>'[81]Sch C'!F11</f>
        <v>0</v>
      </c>
      <c r="E26" s="171">
        <f t="shared" si="3"/>
        <v>0</v>
      </c>
      <c r="F26" s="171">
        <v>0</v>
      </c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'[81]Sch C'!D12</f>
        <v>135410</v>
      </c>
      <c r="D27" s="501">
        <f>'[81]Sch C'!F12</f>
        <v>-4664</v>
      </c>
      <c r="E27" s="171">
        <f t="shared" si="3"/>
        <v>130746</v>
      </c>
      <c r="F27" s="171">
        <v>9147</v>
      </c>
      <c r="G27" s="171">
        <f t="shared" si="4"/>
        <v>139893</v>
      </c>
      <c r="H27" s="172">
        <f t="shared" si="5"/>
        <v>3.3488487666571073E-2</v>
      </c>
      <c r="I27" s="473"/>
      <c r="J27" s="183">
        <f>4925+401</f>
        <v>5326</v>
      </c>
      <c r="K27" s="183">
        <f>5547+412</f>
        <v>5959</v>
      </c>
    </row>
    <row r="28" spans="1:11" s="167" customFormat="1">
      <c r="A28" s="169" t="s">
        <v>86</v>
      </c>
      <c r="B28" s="170" t="s">
        <v>45</v>
      </c>
      <c r="C28" s="501">
        <f>'[81]Sch C'!D13</f>
        <v>85120</v>
      </c>
      <c r="D28" s="501">
        <f>'[81]Sch C'!F13</f>
        <v>-53863.665670607596</v>
      </c>
      <c r="E28" s="171">
        <f t="shared" si="3"/>
        <v>31256.334329392404</v>
      </c>
      <c r="F28" s="171">
        <v>3703</v>
      </c>
      <c r="G28" s="171">
        <f t="shared" si="4"/>
        <v>34959.334329392404</v>
      </c>
      <c r="H28" s="172">
        <f t="shared" si="5"/>
        <v>8.3687906937544576E-3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'[81]Sch C'!D14</f>
        <v>0</v>
      </c>
      <c r="D29" s="501">
        <f>'[81]Sch C'!F14</f>
        <v>0</v>
      </c>
      <c r="E29" s="171">
        <f t="shared" si="3"/>
        <v>0</v>
      </c>
      <c r="F29" s="171">
        <v>0</v>
      </c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'[81]Sch C'!D15</f>
        <v>0</v>
      </c>
      <c r="D30" s="501">
        <f>'[81]Sch C'!F15</f>
        <v>0</v>
      </c>
      <c r="E30" s="171">
        <f t="shared" si="3"/>
        <v>0</v>
      </c>
      <c r="F30" s="171">
        <v>0</v>
      </c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'[81]Sch C'!D16</f>
        <v>244302</v>
      </c>
      <c r="D31" s="501">
        <f>'[81]Sch C'!F16</f>
        <v>2954</v>
      </c>
      <c r="E31" s="171">
        <f t="shared" si="3"/>
        <v>247256</v>
      </c>
      <c r="F31" s="171">
        <v>6203</v>
      </c>
      <c r="G31" s="171">
        <f t="shared" si="4"/>
        <v>253459</v>
      </c>
      <c r="H31" s="172">
        <f t="shared" si="5"/>
        <v>6.0674648449039179E-2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'[81]Sch C'!D17</f>
        <v>6333</v>
      </c>
      <c r="D32" s="501">
        <f>'[81]Sch C'!F17</f>
        <v>-6333</v>
      </c>
      <c r="E32" s="171">
        <f t="shared" si="3"/>
        <v>0</v>
      </c>
      <c r="F32" s="171">
        <v>0</v>
      </c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'[81]Sch C'!D18</f>
        <v>32163</v>
      </c>
      <c r="D33" s="501">
        <f>'[81]Sch C'!F18</f>
        <v>0</v>
      </c>
      <c r="E33" s="171">
        <f t="shared" si="3"/>
        <v>32163</v>
      </c>
      <c r="F33" s="171">
        <v>3107</v>
      </c>
      <c r="G33" s="171">
        <f t="shared" si="4"/>
        <v>35270</v>
      </c>
      <c r="H33" s="172">
        <f t="shared" si="5"/>
        <v>8.4431598435944742E-3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'[81]Sch C'!D19</f>
        <v>5756</v>
      </c>
      <c r="D34" s="501">
        <f>'[81]Sch C'!F19</f>
        <v>-687</v>
      </c>
      <c r="E34" s="171">
        <f t="shared" si="3"/>
        <v>5069</v>
      </c>
      <c r="F34" s="171">
        <v>653</v>
      </c>
      <c r="G34" s="171">
        <f t="shared" si="4"/>
        <v>5722</v>
      </c>
      <c r="H34" s="172">
        <f t="shared" si="5"/>
        <v>1.369769226681247E-3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'[81]Sch C'!D20</f>
        <v>10579</v>
      </c>
      <c r="D35" s="501">
        <f>'[81]Sch C'!F20</f>
        <v>-216</v>
      </c>
      <c r="E35" s="171">
        <f t="shared" si="3"/>
        <v>10363</v>
      </c>
      <c r="F35" s="171">
        <v>2299</v>
      </c>
      <c r="G35" s="171">
        <f t="shared" si="4"/>
        <v>12662</v>
      </c>
      <c r="H35" s="172">
        <f t="shared" si="5"/>
        <v>3.0311111409014242E-3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'[81]Sch C'!D21</f>
        <v>16643</v>
      </c>
      <c r="D36" s="501">
        <f>'[81]Sch C'!F21</f>
        <v>0</v>
      </c>
      <c r="E36" s="171">
        <f t="shared" si="3"/>
        <v>16643</v>
      </c>
      <c r="F36" s="171">
        <v>0</v>
      </c>
      <c r="G36" s="171">
        <f t="shared" si="4"/>
        <v>16643</v>
      </c>
      <c r="H36" s="172">
        <f t="shared" si="5"/>
        <v>3.9841085703698001E-3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'[81]Sch C'!D22</f>
        <v>0</v>
      </c>
      <c r="D37" s="501">
        <f>'[81]Sch C'!F22</f>
        <v>0</v>
      </c>
      <c r="E37" s="171">
        <f t="shared" si="3"/>
        <v>0</v>
      </c>
      <c r="F37" s="171">
        <v>0</v>
      </c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'[81]Sch C'!D23</f>
        <v>7969</v>
      </c>
      <c r="D38" s="501">
        <f>'[81]Sch C'!F23</f>
        <v>-318</v>
      </c>
      <c r="E38" s="171">
        <f t="shared" si="3"/>
        <v>7651</v>
      </c>
      <c r="F38" s="171">
        <v>2072</v>
      </c>
      <c r="G38" s="171">
        <f t="shared" si="4"/>
        <v>9723</v>
      </c>
      <c r="H38" s="172">
        <f t="shared" si="5"/>
        <v>2.3275543850090467E-3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'[81]Sch C'!D24</f>
        <v>0</v>
      </c>
      <c r="D39" s="501">
        <f>'[81]Sch C'!F24</f>
        <v>0</v>
      </c>
      <c r="E39" s="171">
        <f t="shared" si="3"/>
        <v>0</v>
      </c>
      <c r="F39" s="171">
        <v>1109</v>
      </c>
      <c r="G39" s="171">
        <f t="shared" si="4"/>
        <v>1109</v>
      </c>
      <c r="H39" s="172">
        <f t="shared" si="5"/>
        <v>2.6547956525506866E-4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'[81]Sch C'!D25</f>
        <v>0</v>
      </c>
      <c r="D40" s="501">
        <f>'[81]Sch C'!F25</f>
        <v>0</v>
      </c>
      <c r="E40" s="171">
        <f t="shared" si="3"/>
        <v>0</v>
      </c>
      <c r="F40" s="171">
        <v>0</v>
      </c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'[81]Sch C'!D26</f>
        <v>230985</v>
      </c>
      <c r="D41" s="501">
        <f>'[81]Sch C'!F26</f>
        <v>0</v>
      </c>
      <c r="E41" s="171">
        <f t="shared" si="3"/>
        <v>230985</v>
      </c>
      <c r="F41" s="171">
        <v>0</v>
      </c>
      <c r="G41" s="171">
        <f t="shared" si="4"/>
        <v>230985</v>
      </c>
      <c r="H41" s="172">
        <f t="shared" si="5"/>
        <v>5.5294677529704274E-2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'[81]Sch C'!D27</f>
        <v>0</v>
      </c>
      <c r="D42" s="501">
        <f>'[81]Sch C'!F27</f>
        <v>0</v>
      </c>
      <c r="E42" s="171">
        <f t="shared" si="3"/>
        <v>0</v>
      </c>
      <c r="F42" s="171">
        <v>0</v>
      </c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'[81]Sch C'!D28</f>
        <v>0</v>
      </c>
      <c r="D43" s="501">
        <f>'[81]Sch C'!F28</f>
        <v>0</v>
      </c>
      <c r="E43" s="171">
        <f t="shared" si="3"/>
        <v>0</v>
      </c>
      <c r="F43" s="171">
        <v>0</v>
      </c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'[81]Sch C'!D29</f>
        <v>56865</v>
      </c>
      <c r="D44" s="501">
        <f>'[81]Sch C'!F29</f>
        <v>-56865</v>
      </c>
      <c r="E44" s="171">
        <f t="shared" si="3"/>
        <v>0</v>
      </c>
      <c r="F44" s="171">
        <v>0</v>
      </c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'[81]Sch C'!D30</f>
        <v>0</v>
      </c>
      <c r="D45" s="501">
        <f>'[81]Sch C'!F30</f>
        <v>0</v>
      </c>
      <c r="E45" s="171">
        <f t="shared" si="3"/>
        <v>0</v>
      </c>
      <c r="F45" s="171">
        <v>0</v>
      </c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'[81]Sch C'!D31</f>
        <v>0</v>
      </c>
      <c r="D46" s="501">
        <f>'[81]Sch C'!F31</f>
        <v>0</v>
      </c>
      <c r="E46" s="171">
        <f t="shared" si="3"/>
        <v>0</v>
      </c>
      <c r="F46" s="171">
        <v>4683</v>
      </c>
      <c r="G46" s="171">
        <f t="shared" si="4"/>
        <v>4683</v>
      </c>
      <c r="H46" s="172">
        <f t="shared" si="5"/>
        <v>1.1210467124341628E-3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'[81]Sch C'!D32</f>
        <v>13785</v>
      </c>
      <c r="D47" s="501">
        <f>'[81]Sch C'!F32</f>
        <v>-3018</v>
      </c>
      <c r="E47" s="171">
        <f t="shared" si="3"/>
        <v>10767</v>
      </c>
      <c r="F47" s="171">
        <v>1181</v>
      </c>
      <c r="G47" s="171">
        <f t="shared" si="4"/>
        <v>11948</v>
      </c>
      <c r="H47" s="172">
        <f t="shared" si="5"/>
        <v>2.8601892206199823E-3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'[81]Sch C'!D33</f>
        <v>0</v>
      </c>
      <c r="D48" s="501">
        <f>'[81]Sch C'!F33</f>
        <v>0</v>
      </c>
      <c r="E48" s="171">
        <f t="shared" si="3"/>
        <v>0</v>
      </c>
      <c r="F48" s="171">
        <v>0</v>
      </c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'[81]Sch C'!D34</f>
        <v>3286</v>
      </c>
      <c r="D49" s="501">
        <f>'[81]Sch C'!F34</f>
        <v>0</v>
      </c>
      <c r="E49" s="171">
        <f t="shared" si="3"/>
        <v>3286</v>
      </c>
      <c r="F49" s="171">
        <v>0</v>
      </c>
      <c r="G49" s="171">
        <f t="shared" si="4"/>
        <v>3286</v>
      </c>
      <c r="H49" s="172">
        <f t="shared" si="5"/>
        <v>7.8662385160338652E-4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'[81]Sch C'!D35</f>
        <v>1702</v>
      </c>
      <c r="D50" s="501">
        <f>'[81]Sch C'!F35</f>
        <v>-1702</v>
      </c>
      <c r="E50" s="171">
        <f t="shared" si="3"/>
        <v>0</v>
      </c>
      <c r="F50" s="171">
        <v>0</v>
      </c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'[81]Sch C'!D36</f>
        <v>0</v>
      </c>
      <c r="D51" s="501">
        <f>'[81]Sch C'!F36</f>
        <v>0</v>
      </c>
      <c r="E51" s="171">
        <f t="shared" si="3"/>
        <v>0</v>
      </c>
      <c r="F51" s="171">
        <v>0</v>
      </c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'[81]Sch C'!D37</f>
        <v>0</v>
      </c>
      <c r="D52" s="501">
        <f>'[81]Sch C'!F37</f>
        <v>0</v>
      </c>
      <c r="E52" s="171">
        <f t="shared" si="3"/>
        <v>0</v>
      </c>
      <c r="F52" s="171">
        <v>0</v>
      </c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'[81]Sch C'!D38</f>
        <v>0</v>
      </c>
      <c r="D53" s="501">
        <f>'[81]Sch C'!F38</f>
        <v>0</v>
      </c>
      <c r="E53" s="171">
        <f t="shared" si="3"/>
        <v>0</v>
      </c>
      <c r="F53" s="171">
        <v>0</v>
      </c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'[81]Sch C'!D39</f>
        <v>9140</v>
      </c>
      <c r="D54" s="501">
        <f>'[81]Sch C'!F39</f>
        <v>0</v>
      </c>
      <c r="E54" s="171">
        <f t="shared" si="3"/>
        <v>9140</v>
      </c>
      <c r="F54" s="171">
        <v>257</v>
      </c>
      <c r="G54" s="171">
        <f t="shared" si="4"/>
        <v>9397</v>
      </c>
      <c r="H54" s="172">
        <f t="shared" si="5"/>
        <v>2.2495144046004332E-3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'[81]Sch C'!D40</f>
        <v>0</v>
      </c>
      <c r="D55" s="501">
        <f>'[81]Sch C'!F40</f>
        <v>0</v>
      </c>
      <c r="E55" s="171">
        <f t="shared" si="3"/>
        <v>0</v>
      </c>
      <c r="F55" s="171">
        <v>0</v>
      </c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'[81]Sch C'!D41</f>
        <v>24566</v>
      </c>
      <c r="D56" s="501">
        <f>'[81]Sch C'!F41</f>
        <v>2765</v>
      </c>
      <c r="E56" s="171">
        <f t="shared" si="3"/>
        <v>27331</v>
      </c>
      <c r="F56" s="171">
        <v>994</v>
      </c>
      <c r="G56" s="171">
        <f t="shared" si="4"/>
        <v>28325</v>
      </c>
      <c r="H56" s="172">
        <f t="shared" si="5"/>
        <v>6.7806209971594412E-3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'[81]Sch C'!D42</f>
        <v>358</v>
      </c>
      <c r="D57" s="501">
        <f>'[81]Sch C'!F42</f>
        <v>0</v>
      </c>
      <c r="E57" s="171">
        <f t="shared" si="3"/>
        <v>358</v>
      </c>
      <c r="F57" s="171">
        <v>1213</v>
      </c>
      <c r="G57" s="171">
        <f t="shared" si="4"/>
        <v>1571</v>
      </c>
      <c r="H57" s="172">
        <f t="shared" si="5"/>
        <v>3.7607610190776639E-4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'[81]Sch C'!D43</f>
        <v>7085</v>
      </c>
      <c r="D58" s="501">
        <f>'[81]Sch C'!F43</f>
        <v>-7085</v>
      </c>
      <c r="E58" s="171">
        <f t="shared" si="3"/>
        <v>0</v>
      </c>
      <c r="F58" s="171">
        <v>0</v>
      </c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'[81]Sch C'!D44</f>
        <v>0</v>
      </c>
      <c r="D59" s="501">
        <f>'[81]Sch C'!F44</f>
        <v>0</v>
      </c>
      <c r="E59" s="171">
        <f t="shared" si="3"/>
        <v>0</v>
      </c>
      <c r="F59" s="171">
        <v>0</v>
      </c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'[81]Sch C'!D45</f>
        <v>22076</v>
      </c>
      <c r="D60" s="501">
        <f>'[81]Sch C'!F45</f>
        <v>-532</v>
      </c>
      <c r="E60" s="171">
        <f t="shared" si="3"/>
        <v>21544</v>
      </c>
      <c r="F60" s="171">
        <v>326</v>
      </c>
      <c r="G60" s="171">
        <f t="shared" si="4"/>
        <v>21870</v>
      </c>
      <c r="H60" s="172">
        <f t="shared" si="5"/>
        <v>5.2353815077802995E-3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994179</v>
      </c>
      <c r="D61" s="501">
        <f>SUM(D25:D60)</f>
        <v>-124900.66567060759</v>
      </c>
      <c r="E61" s="171">
        <f t="shared" ref="E61:F61" si="6">SUM(E25:E60)</f>
        <v>869278.33432939241</v>
      </c>
      <c r="F61" s="171">
        <f t="shared" si="6"/>
        <v>48149</v>
      </c>
      <c r="G61" s="171">
        <f>SUM(G25:G60)</f>
        <v>917427.33432939241</v>
      </c>
      <c r="H61" s="186">
        <f t="shared" si="5"/>
        <v>0.21961966624966964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'[81]Sch C'!D57</f>
        <v>266360</v>
      </c>
      <c r="D64" s="501">
        <f>'[81]Sch C'!F57</f>
        <v>-266360</v>
      </c>
      <c r="E64" s="171">
        <f t="shared" ref="E64:E78" si="7">C64+D64</f>
        <v>0</v>
      </c>
      <c r="F64" s="171">
        <v>0</v>
      </c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'[81]Sch C'!D58</f>
        <v>0</v>
      </c>
      <c r="D65" s="501">
        <f>'[81]Sch C'!F58</f>
        <v>14598</v>
      </c>
      <c r="E65" s="171">
        <f t="shared" si="7"/>
        <v>14598</v>
      </c>
      <c r="F65" s="171">
        <v>3489</v>
      </c>
      <c r="G65" s="171">
        <f t="shared" si="8"/>
        <v>18087</v>
      </c>
      <c r="H65" s="172">
        <f t="shared" si="9"/>
        <v>4.3297825940202227E-3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'[81]Sch C'!D59</f>
        <v>344236</v>
      </c>
      <c r="D66" s="501">
        <f>'[81]Sch C'!F59</f>
        <v>-266601</v>
      </c>
      <c r="E66" s="171">
        <f t="shared" si="7"/>
        <v>77635</v>
      </c>
      <c r="F66" s="171">
        <v>0</v>
      </c>
      <c r="G66" s="171">
        <f t="shared" si="8"/>
        <v>77635</v>
      </c>
      <c r="H66" s="172">
        <f t="shared" si="9"/>
        <v>1.8584766500069662E-2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'[81]Sch C'!D60</f>
        <v>25320</v>
      </c>
      <c r="D67" s="501">
        <f>'[81]Sch C'!F60</f>
        <v>0</v>
      </c>
      <c r="E67" s="171">
        <f t="shared" si="7"/>
        <v>25320</v>
      </c>
      <c r="F67" s="171">
        <v>4855</v>
      </c>
      <c r="G67" s="171">
        <f t="shared" si="8"/>
        <v>30175</v>
      </c>
      <c r="H67" s="172">
        <f t="shared" si="9"/>
        <v>7.2234859166561746E-3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'[81]Sch C'!D61</f>
        <v>12522</v>
      </c>
      <c r="D68" s="501">
        <f>'[81]Sch C'!F61</f>
        <v>-6618</v>
      </c>
      <c r="E68" s="171">
        <f t="shared" si="7"/>
        <v>5904</v>
      </c>
      <c r="F68" s="171">
        <v>0</v>
      </c>
      <c r="G68" s="171">
        <f t="shared" si="8"/>
        <v>5904</v>
      </c>
      <c r="H68" s="172">
        <f t="shared" si="9"/>
        <v>1.4133375593020068E-3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'[81]Sch C'!D62</f>
        <v>0</v>
      </c>
      <c r="D69" s="501">
        <f>'[81]Sch C'!F62</f>
        <v>0</v>
      </c>
      <c r="E69" s="171">
        <f t="shared" si="7"/>
        <v>0</v>
      </c>
      <c r="F69" s="171">
        <v>1075</v>
      </c>
      <c r="G69" s="171">
        <f t="shared" si="8"/>
        <v>1075</v>
      </c>
      <c r="H69" s="172">
        <f t="shared" si="9"/>
        <v>2.5734042619404766E-4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'[81]Sch C'!D63</f>
        <v>0</v>
      </c>
      <c r="D70" s="501">
        <f>'[81]Sch C'!F63</f>
        <v>0</v>
      </c>
      <c r="E70" s="171">
        <f t="shared" si="7"/>
        <v>0</v>
      </c>
      <c r="F70" s="171">
        <v>1111</v>
      </c>
      <c r="G70" s="171">
        <f t="shared" si="8"/>
        <v>1111</v>
      </c>
      <c r="H70" s="172">
        <f t="shared" si="9"/>
        <v>2.6595833814101107E-4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'[81]Sch C'!D64</f>
        <v>0</v>
      </c>
      <c r="D71" s="501">
        <f>'[81]Sch C'!F64</f>
        <v>0</v>
      </c>
      <c r="E71" s="171">
        <f t="shared" si="7"/>
        <v>0</v>
      </c>
      <c r="F71" s="171">
        <v>0</v>
      </c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'[81]Sch C'!D65</f>
        <v>0</v>
      </c>
      <c r="D72" s="501">
        <f>'[81]Sch C'!F65</f>
        <v>7636</v>
      </c>
      <c r="E72" s="171">
        <f t="shared" si="7"/>
        <v>7636</v>
      </c>
      <c r="F72" s="171">
        <v>53</v>
      </c>
      <c r="G72" s="171">
        <f t="shared" si="8"/>
        <v>7689</v>
      </c>
      <c r="H72" s="172">
        <f t="shared" si="9"/>
        <v>1.8406423600056114E-3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'[81]Sch C'!D66</f>
        <v>0</v>
      </c>
      <c r="D73" s="501">
        <f>'[81]Sch C'!F66</f>
        <v>0</v>
      </c>
      <c r="E73" s="171">
        <f t="shared" si="7"/>
        <v>0</v>
      </c>
      <c r="F73" s="171">
        <v>91</v>
      </c>
      <c r="G73" s="171">
        <f t="shared" si="8"/>
        <v>91</v>
      </c>
      <c r="H73" s="172">
        <f t="shared" si="9"/>
        <v>2.1784166310379846E-5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'[81]Sch C'!D67</f>
        <v>128504</v>
      </c>
      <c r="D74" s="501">
        <f>'[81]Sch C'!F67</f>
        <v>-114039</v>
      </c>
      <c r="E74" s="171">
        <f t="shared" si="7"/>
        <v>14465</v>
      </c>
      <c r="F74" s="171">
        <v>0</v>
      </c>
      <c r="G74" s="171">
        <f t="shared" si="8"/>
        <v>14465</v>
      </c>
      <c r="H74" s="172">
        <f t="shared" si="9"/>
        <v>3.4627248975785106E-3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'[81]Sch C'!D68</f>
        <v>0</v>
      </c>
      <c r="D75" s="501">
        <f>'[81]Sch C'!F68</f>
        <v>0</v>
      </c>
      <c r="E75" s="171">
        <f t="shared" si="7"/>
        <v>0</v>
      </c>
      <c r="F75" s="171">
        <v>0</v>
      </c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'[81]Sch C'!D69</f>
        <v>0</v>
      </c>
      <c r="D76" s="501">
        <f>'[81]Sch C'!F69</f>
        <v>0</v>
      </c>
      <c r="E76" s="171">
        <f t="shared" si="7"/>
        <v>0</v>
      </c>
      <c r="F76" s="171">
        <v>0</v>
      </c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'[81]Sch C'!D70</f>
        <v>0</v>
      </c>
      <c r="D77" s="501">
        <f>'[81]Sch C'!F70</f>
        <v>0</v>
      </c>
      <c r="E77" s="171">
        <f t="shared" si="7"/>
        <v>0</v>
      </c>
      <c r="F77" s="171">
        <v>0</v>
      </c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'[81]Sch C'!D71</f>
        <v>74</v>
      </c>
      <c r="D78" s="501">
        <f>'[81]Sch C'!F71</f>
        <v>0</v>
      </c>
      <c r="E78" s="171">
        <f t="shared" si="7"/>
        <v>74</v>
      </c>
      <c r="F78" s="171">
        <v>0</v>
      </c>
      <c r="G78" s="171">
        <f t="shared" si="8"/>
        <v>74</v>
      </c>
      <c r="H78" s="172">
        <f t="shared" si="9"/>
        <v>1.7714596779869327E-5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777016</v>
      </c>
      <c r="D79" s="501">
        <f>SUM(D64:D78)</f>
        <v>-631384</v>
      </c>
      <c r="E79" s="171">
        <f t="shared" ref="E79:F79" si="10">SUM(E64:E78)</f>
        <v>145632</v>
      </c>
      <c r="F79" s="171">
        <f t="shared" si="10"/>
        <v>10674</v>
      </c>
      <c r="G79" s="171">
        <f>SUM(G64:G78)</f>
        <v>156306</v>
      </c>
      <c r="H79" s="172">
        <f t="shared" si="9"/>
        <v>3.7417537355057498E-2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'[81]Sch C'!D75</f>
        <v>54495</v>
      </c>
      <c r="D82" s="501">
        <f>'[81]Sch C'!F75</f>
        <v>0</v>
      </c>
      <c r="E82" s="171">
        <f t="shared" ref="E82:E92" si="11">C82+D82</f>
        <v>54495</v>
      </c>
      <c r="F82" s="171">
        <v>6177</v>
      </c>
      <c r="G82" s="171">
        <f t="shared" ref="G82:G92" si="12">E82+F82</f>
        <v>60672</v>
      </c>
      <c r="H82" s="172">
        <f t="shared" ref="H82:H93" si="13">IF($G$208=0,0,G82/$G$208)</f>
        <v>1.4524054267949078E-2</v>
      </c>
      <c r="I82" s="473"/>
      <c r="J82" s="183">
        <f>4984+324</f>
        <v>5308</v>
      </c>
      <c r="K82" s="183">
        <f>5515+333</f>
        <v>5848</v>
      </c>
    </row>
    <row r="83" spans="1:11" s="167" customFormat="1">
      <c r="A83" s="169" t="s">
        <v>86</v>
      </c>
      <c r="B83" s="199" t="s">
        <v>45</v>
      </c>
      <c r="C83" s="501">
        <f>'[81]Sch C'!D76</f>
        <v>5716</v>
      </c>
      <c r="D83" s="501">
        <f>'[81]Sch C'!F76</f>
        <v>3179.5054783248884</v>
      </c>
      <c r="E83" s="171">
        <f t="shared" si="11"/>
        <v>8895.5054783248888</v>
      </c>
      <c r="F83" s="171">
        <v>1123</v>
      </c>
      <c r="G83" s="171">
        <f t="shared" si="12"/>
        <v>10018.505478324889</v>
      </c>
      <c r="H83" s="172">
        <f t="shared" si="13"/>
        <v>2.3982943903437469E-3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'[81]Sch C'!D77</f>
        <v>12027</v>
      </c>
      <c r="D84" s="501">
        <f>'[81]Sch C'!F77</f>
        <v>0</v>
      </c>
      <c r="E84" s="171">
        <f t="shared" si="11"/>
        <v>12027</v>
      </c>
      <c r="F84" s="171">
        <v>335</v>
      </c>
      <c r="G84" s="171">
        <f t="shared" si="12"/>
        <v>12362</v>
      </c>
      <c r="H84" s="172">
        <f t="shared" si="13"/>
        <v>2.9592952080100621E-3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'[81]Sch C'!D78</f>
        <v>605</v>
      </c>
      <c r="D85" s="501">
        <f>'[81]Sch C'!F78</f>
        <v>0</v>
      </c>
      <c r="E85" s="171">
        <f t="shared" si="11"/>
        <v>605</v>
      </c>
      <c r="F85" s="171">
        <v>0</v>
      </c>
      <c r="G85" s="171">
        <f t="shared" si="12"/>
        <v>605</v>
      </c>
      <c r="H85" s="172">
        <f t="shared" si="13"/>
        <v>1.4482879799758029E-4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'[81]Sch C'!D79</f>
        <v>5398</v>
      </c>
      <c r="D86" s="501">
        <f>'[81]Sch C'!F79</f>
        <v>0</v>
      </c>
      <c r="E86" s="171">
        <f t="shared" si="11"/>
        <v>5398</v>
      </c>
      <c r="F86" s="171">
        <v>4797</v>
      </c>
      <c r="G86" s="171">
        <f>E86+F86</f>
        <v>10195</v>
      </c>
      <c r="H86" s="172">
        <f t="shared" si="13"/>
        <v>2.4405447860914565E-3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'[81]Sch C'!D80</f>
        <v>13602</v>
      </c>
      <c r="D87" s="501">
        <f>'[81]Sch C'!F80</f>
        <v>0</v>
      </c>
      <c r="E87" s="171">
        <f t="shared" si="11"/>
        <v>13602</v>
      </c>
      <c r="F87" s="171">
        <v>583</v>
      </c>
      <c r="G87" s="171">
        <f t="shared" si="12"/>
        <v>14185</v>
      </c>
      <c r="H87" s="172">
        <f t="shared" si="13"/>
        <v>3.3956966935465727E-3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'[81]Sch C'!D81</f>
        <v>20285</v>
      </c>
      <c r="D88" s="501">
        <f>'[81]Sch C'!F81</f>
        <v>0</v>
      </c>
      <c r="E88" s="171">
        <f t="shared" si="11"/>
        <v>20285</v>
      </c>
      <c r="F88" s="171">
        <v>17306</v>
      </c>
      <c r="G88" s="171">
        <f t="shared" si="12"/>
        <v>37591</v>
      </c>
      <c r="H88" s="172">
        <f t="shared" si="13"/>
        <v>8.998775777730646E-3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'[81]Sch C'!D82</f>
        <v>0</v>
      </c>
      <c r="D89" s="501">
        <f>'[81]Sch C'!F82</f>
        <v>0</v>
      </c>
      <c r="E89" s="171">
        <f t="shared" si="11"/>
        <v>0</v>
      </c>
      <c r="F89" s="171">
        <v>0</v>
      </c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'[81]Sch C'!D83</f>
        <v>2618</v>
      </c>
      <c r="D90" s="501">
        <f>'[81]Sch C'!F83</f>
        <v>0</v>
      </c>
      <c r="E90" s="171">
        <f t="shared" si="11"/>
        <v>2618</v>
      </c>
      <c r="F90" s="171">
        <v>0</v>
      </c>
      <c r="G90" s="171">
        <f t="shared" si="12"/>
        <v>2618</v>
      </c>
      <c r="H90" s="172">
        <f t="shared" si="13"/>
        <v>6.2671370769862018E-4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'[81]Sch C'!D84</f>
        <v>79929</v>
      </c>
      <c r="D91" s="501">
        <f>'[81]Sch C'!F84</f>
        <v>0</v>
      </c>
      <c r="E91" s="171">
        <f t="shared" si="11"/>
        <v>79929</v>
      </c>
      <c r="F91" s="171">
        <v>4289</v>
      </c>
      <c r="G91" s="171">
        <f t="shared" si="12"/>
        <v>84218</v>
      </c>
      <c r="H91" s="172">
        <f t="shared" si="13"/>
        <v>2.0160647454149121E-2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'[81]Sch C'!D85</f>
        <v>9910</v>
      </c>
      <c r="D92" s="501">
        <f>'[81]Sch C'!F85</f>
        <v>29817</v>
      </c>
      <c r="E92" s="171">
        <f t="shared" si="11"/>
        <v>39727</v>
      </c>
      <c r="F92" s="171">
        <v>0</v>
      </c>
      <c r="G92" s="171">
        <f t="shared" si="12"/>
        <v>39727</v>
      </c>
      <c r="H92" s="172">
        <f t="shared" si="13"/>
        <v>9.5101052199171449E-3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204585</v>
      </c>
      <c r="D93" s="501">
        <f>SUM(D82:D92)</f>
        <v>32996.505478324885</v>
      </c>
      <c r="E93" s="171">
        <f t="shared" ref="E93:F93" si="14">SUM(E82:E92)</f>
        <v>237581.50547832489</v>
      </c>
      <c r="F93" s="171">
        <f t="shared" si="14"/>
        <v>34610</v>
      </c>
      <c r="G93" s="171">
        <f>SUM(G82:G92)</f>
        <v>272191.50547832489</v>
      </c>
      <c r="H93" s="172">
        <f t="shared" si="13"/>
        <v>6.5158956303434032E-2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'[81]Sch C'!D89</f>
        <v>0</v>
      </c>
      <c r="D96" s="501">
        <f>'[81]Sch C'!F89</f>
        <v>0</v>
      </c>
      <c r="E96" s="171">
        <f t="shared" ref="E96:E101" si="15">C96+D96</f>
        <v>0</v>
      </c>
      <c r="F96" s="171">
        <v>0</v>
      </c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'[81]Sch C'!D90</f>
        <v>0</v>
      </c>
      <c r="D97" s="501">
        <f>'[81]Sch C'!F90</f>
        <v>0</v>
      </c>
      <c r="E97" s="171">
        <f t="shared" si="15"/>
        <v>0</v>
      </c>
      <c r="F97" s="171">
        <v>0</v>
      </c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'[81]Sch C'!D91</f>
        <v>352436</v>
      </c>
      <c r="D98" s="501">
        <f>'[81]Sch C'!F91</f>
        <v>-102056</v>
      </c>
      <c r="E98" s="171">
        <f t="shared" si="15"/>
        <v>250380</v>
      </c>
      <c r="F98" s="171">
        <v>17701</v>
      </c>
      <c r="G98" s="171">
        <f t="shared" si="16"/>
        <v>268081</v>
      </c>
      <c r="H98" s="172">
        <f t="shared" si="17"/>
        <v>6.4174957018164169E-2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'[81]Sch C'!D92</f>
        <v>6536</v>
      </c>
      <c r="D99" s="501">
        <f>'[81]Sch C'!F92</f>
        <v>102056</v>
      </c>
      <c r="E99" s="171">
        <f t="shared" si="15"/>
        <v>108592</v>
      </c>
      <c r="F99" s="171">
        <v>28</v>
      </c>
      <c r="G99" s="171">
        <f t="shared" si="16"/>
        <v>108620</v>
      </c>
      <c r="H99" s="172">
        <f t="shared" si="17"/>
        <v>2.6002155435532515E-2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'[81]Sch C'!D93</f>
        <v>1802</v>
      </c>
      <c r="D100" s="501">
        <f>'[81]Sch C'!F93</f>
        <v>0</v>
      </c>
      <c r="E100" s="171">
        <f t="shared" si="15"/>
        <v>1802</v>
      </c>
      <c r="F100" s="171">
        <v>0</v>
      </c>
      <c r="G100" s="171">
        <f t="shared" si="16"/>
        <v>1802</v>
      </c>
      <c r="H100" s="172">
        <f t="shared" si="17"/>
        <v>4.3137437023411522E-4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'[81]Sch C'!D94</f>
        <v>463</v>
      </c>
      <c r="D101" s="501">
        <f>'[81]Sch C'!F94</f>
        <v>183</v>
      </c>
      <c r="E101" s="171">
        <f t="shared" si="15"/>
        <v>646</v>
      </c>
      <c r="F101" s="171">
        <v>0</v>
      </c>
      <c r="G101" s="171">
        <f t="shared" si="16"/>
        <v>646</v>
      </c>
      <c r="H101" s="172">
        <f t="shared" si="17"/>
        <v>1.5464364215939978E-4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361237</v>
      </c>
      <c r="D102" s="501">
        <f>SUM(D96:D101)</f>
        <v>183</v>
      </c>
      <c r="E102" s="171">
        <f t="shared" ref="E102:F102" si="18">SUM(E96:E101)</f>
        <v>361420</v>
      </c>
      <c r="F102" s="171">
        <f t="shared" si="18"/>
        <v>17729</v>
      </c>
      <c r="G102" s="171">
        <f>SUM(G96:G101)</f>
        <v>379149</v>
      </c>
      <c r="H102" s="172">
        <f t="shared" si="17"/>
        <v>9.0763130466090206E-2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'[81]Sch C'!D98</f>
        <v>0</v>
      </c>
      <c r="D105" s="501">
        <f>'[81]Sch C'!F98</f>
        <v>0</v>
      </c>
      <c r="E105" s="171">
        <f t="shared" ref="E105:E110" si="19">C105+D105</f>
        <v>0</v>
      </c>
      <c r="F105" s="171">
        <v>0</v>
      </c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'[81]Sch C'!D99</f>
        <v>0</v>
      </c>
      <c r="D106" s="501">
        <f>'[81]Sch C'!F99</f>
        <v>0</v>
      </c>
      <c r="E106" s="171">
        <f t="shared" si="19"/>
        <v>0</v>
      </c>
      <c r="F106" s="171">
        <v>0</v>
      </c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'[81]Sch C'!D100</f>
        <v>147</v>
      </c>
      <c r="D107" s="501">
        <f>'[81]Sch C'!F100</f>
        <v>0</v>
      </c>
      <c r="E107" s="171">
        <f t="shared" si="19"/>
        <v>147</v>
      </c>
      <c r="F107" s="171">
        <v>0</v>
      </c>
      <c r="G107" s="171">
        <f t="shared" si="20"/>
        <v>147</v>
      </c>
      <c r="H107" s="172">
        <f t="shared" si="21"/>
        <v>3.5189807116767441E-5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'[81]Sch C'!D101</f>
        <v>69203</v>
      </c>
      <c r="D108" s="501">
        <f>'[81]Sch C'!F101</f>
        <v>0</v>
      </c>
      <c r="E108" s="171">
        <f t="shared" si="19"/>
        <v>69203</v>
      </c>
      <c r="F108" s="171">
        <v>0</v>
      </c>
      <c r="G108" s="171">
        <f t="shared" si="20"/>
        <v>69203</v>
      </c>
      <c r="H108" s="172">
        <f t="shared" si="21"/>
        <v>1.6566260012936446E-2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'[81]Sch C'!D102</f>
        <v>77</v>
      </c>
      <c r="D109" s="501">
        <f>'[81]Sch C'!F102</f>
        <v>0</v>
      </c>
      <c r="E109" s="171">
        <f t="shared" si="19"/>
        <v>77</v>
      </c>
      <c r="F109" s="171">
        <v>0</v>
      </c>
      <c r="G109" s="171">
        <f t="shared" si="20"/>
        <v>77</v>
      </c>
      <c r="H109" s="172">
        <f t="shared" si="21"/>
        <v>1.8432756108782948E-5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'[81]Sch C'!D103</f>
        <v>0</v>
      </c>
      <c r="D110" s="501">
        <f>'[81]Sch C'!F103</f>
        <v>0</v>
      </c>
      <c r="E110" s="171">
        <f t="shared" si="19"/>
        <v>0</v>
      </c>
      <c r="F110" s="171">
        <v>0</v>
      </c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69427</v>
      </c>
      <c r="D111" s="501">
        <f>SUM(D105:D110)</f>
        <v>0</v>
      </c>
      <c r="E111" s="171">
        <f t="shared" ref="E111:F111" si="22">SUM(E105:E110)</f>
        <v>69427</v>
      </c>
      <c r="F111" s="171">
        <f t="shared" si="22"/>
        <v>0</v>
      </c>
      <c r="G111" s="171">
        <f>SUM(G105:G110)</f>
        <v>69427</v>
      </c>
      <c r="H111" s="172">
        <f t="shared" si="21"/>
        <v>1.6619882576161996E-2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'[81]Sch C'!D115</f>
        <v>0</v>
      </c>
      <c r="D114" s="501">
        <f>'[81]Sch C'!F115</f>
        <v>0</v>
      </c>
      <c r="E114" s="171">
        <f t="shared" ref="E114:E118" si="23">C114+D114</f>
        <v>0</v>
      </c>
      <c r="F114" s="171">
        <v>0</v>
      </c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'[81]Sch C'!D116</f>
        <v>0</v>
      </c>
      <c r="D115" s="501">
        <f>'[81]Sch C'!F116</f>
        <v>0</v>
      </c>
      <c r="E115" s="171">
        <f t="shared" si="23"/>
        <v>0</v>
      </c>
      <c r="F115" s="171">
        <v>0</v>
      </c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'[81]Sch C'!D117</f>
        <v>214</v>
      </c>
      <c r="D116" s="501">
        <f>'[81]Sch C'!F117</f>
        <v>0</v>
      </c>
      <c r="E116" s="171">
        <f t="shared" si="23"/>
        <v>214</v>
      </c>
      <c r="F116" s="171">
        <v>0</v>
      </c>
      <c r="G116" s="171">
        <f>E116+F116</f>
        <v>214</v>
      </c>
      <c r="H116" s="172">
        <f t="shared" si="24"/>
        <v>5.1228698795838317E-5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'[81]Sch C'!D118</f>
        <v>103804</v>
      </c>
      <c r="D117" s="501">
        <f>'[81]Sch C'!F118</f>
        <v>0</v>
      </c>
      <c r="E117" s="171">
        <f t="shared" si="23"/>
        <v>103804</v>
      </c>
      <c r="F117" s="171">
        <v>7130</v>
      </c>
      <c r="G117" s="171">
        <f>E117+F117</f>
        <v>110934</v>
      </c>
      <c r="H117" s="172">
        <f t="shared" si="24"/>
        <v>2.6556095664567889E-2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'[81]Sch C'!D119</f>
        <v>0</v>
      </c>
      <c r="D118" s="501">
        <f>'[81]Sch C'!F119</f>
        <v>1</v>
      </c>
      <c r="E118" s="171">
        <f t="shared" si="23"/>
        <v>1</v>
      </c>
      <c r="F118" s="171">
        <v>0</v>
      </c>
      <c r="G118" s="171">
        <f>E118+F118</f>
        <v>1</v>
      </c>
      <c r="H118" s="172">
        <f t="shared" si="24"/>
        <v>2.3938644297120712E-7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104018</v>
      </c>
      <c r="D119" s="501">
        <f>SUM(D114:D118)</f>
        <v>1</v>
      </c>
      <c r="E119" s="171">
        <f t="shared" ref="E119:F119" si="25">SUM(E114:E118)</f>
        <v>104019</v>
      </c>
      <c r="F119" s="171">
        <f t="shared" si="25"/>
        <v>7130</v>
      </c>
      <c r="G119" s="171">
        <f>SUM(G114:G118)</f>
        <v>111149</v>
      </c>
      <c r="H119" s="172">
        <f t="shared" si="24"/>
        <v>2.66075637498067E-2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'[81]Sch C'!D124</f>
        <v>0</v>
      </c>
      <c r="D123" s="501">
        <f>'[81]Sch C'!F124</f>
        <v>0</v>
      </c>
      <c r="E123" s="171">
        <f t="shared" ref="E123:E127" si="26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'[81]Sch C'!D125</f>
        <v>197162</v>
      </c>
      <c r="D124" s="501">
        <f>'[81]Sch C'!F125</f>
        <v>0</v>
      </c>
      <c r="E124" s="171">
        <f t="shared" si="26"/>
        <v>197162</v>
      </c>
      <c r="F124" s="171">
        <v>7273</v>
      </c>
      <c r="G124" s="171">
        <f>E124+F124</f>
        <v>204435</v>
      </c>
      <c r="H124" s="172">
        <f>IF($G$208=0,0,G124/$G$208)</f>
        <v>4.8938967468818727E-2</v>
      </c>
      <c r="I124" s="473"/>
      <c r="J124" s="183">
        <f>4546+173</f>
        <v>4719</v>
      </c>
      <c r="K124" s="183">
        <f>4930+178</f>
        <v>5108</v>
      </c>
    </row>
    <row r="125" spans="1:11" s="167" customFormat="1">
      <c r="A125" s="163" t="s">
        <v>198</v>
      </c>
      <c r="B125" s="163" t="s">
        <v>195</v>
      </c>
      <c r="C125" s="501">
        <f>'[81]Sch C'!D126</f>
        <v>0</v>
      </c>
      <c r="D125" s="501">
        <f>'[81]Sch C'!F126</f>
        <v>0</v>
      </c>
      <c r="E125" s="171">
        <f t="shared" si="26"/>
        <v>0</v>
      </c>
      <c r="F125" s="171">
        <v>5054</v>
      </c>
      <c r="G125" s="171">
        <f>E125+F125</f>
        <v>5054</v>
      </c>
      <c r="H125" s="172">
        <f>IF($G$208=0,0,G125/$G$208)</f>
        <v>1.2098590827764807E-3</v>
      </c>
      <c r="I125" s="473"/>
      <c r="J125" s="183">
        <f>0+138</f>
        <v>138</v>
      </c>
      <c r="K125" s="183">
        <f>0+142</f>
        <v>142</v>
      </c>
    </row>
    <row r="126" spans="1:11" s="167" customFormat="1">
      <c r="A126" s="169"/>
      <c r="B126" s="163" t="s">
        <v>196</v>
      </c>
      <c r="C126" s="501">
        <f>'[81]Sch C'!D127</f>
        <v>0</v>
      </c>
      <c r="D126" s="501">
        <f>'[81]Sch C'!F127</f>
        <v>0</v>
      </c>
      <c r="E126" s="171">
        <f t="shared" si="26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'[81]Sch C'!D128</f>
        <v>71228</v>
      </c>
      <c r="D127" s="501">
        <f>'[81]Sch C'!F128</f>
        <v>0</v>
      </c>
      <c r="E127" s="171">
        <f t="shared" si="26"/>
        <v>71228</v>
      </c>
      <c r="F127" s="171">
        <v>7817</v>
      </c>
      <c r="G127" s="171">
        <f>E127+F127</f>
        <v>79045</v>
      </c>
      <c r="H127" s="172">
        <f>IF($G$208=0,0,G127/$G$208)</f>
        <v>1.8922301384659064E-2</v>
      </c>
      <c r="I127" s="473"/>
      <c r="J127" s="183">
        <f>4410+284</f>
        <v>4694</v>
      </c>
      <c r="K127" s="183">
        <f>4746+292</f>
        <v>5038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'[81]Sch C'!D130</f>
        <v>0</v>
      </c>
      <c r="D129" s="501">
        <f>'[81]Sch C'!F130</f>
        <v>0</v>
      </c>
      <c r="E129" s="171">
        <f t="shared" ref="E129:E133" si="27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'[81]Sch C'!D131</f>
        <v>19888</v>
      </c>
      <c r="D130" s="501">
        <f>'[81]Sch C'!F131</f>
        <v>8601</v>
      </c>
      <c r="E130" s="171">
        <f t="shared" si="27"/>
        <v>28489</v>
      </c>
      <c r="F130" s="171">
        <v>1323</v>
      </c>
      <c r="G130" s="171">
        <f>E130+F130</f>
        <v>29812</v>
      </c>
      <c r="H130" s="172">
        <f>IF($G$208=0,0,G130/$G$208)</f>
        <v>7.1365886378576262E-3</v>
      </c>
      <c r="I130" s="473"/>
      <c r="J130" s="204"/>
      <c r="K130" s="204"/>
    </row>
    <row r="131" spans="1:11" s="167" customFormat="1">
      <c r="B131" s="163" t="s">
        <v>195</v>
      </c>
      <c r="C131" s="501">
        <f>'[81]Sch C'!D132</f>
        <v>0</v>
      </c>
      <c r="D131" s="501">
        <f>'[81]Sch C'!F132</f>
        <v>0</v>
      </c>
      <c r="E131" s="171">
        <f t="shared" si="27"/>
        <v>0</v>
      </c>
      <c r="F131" s="171">
        <v>919</v>
      </c>
      <c r="G131" s="171">
        <f>E131+F131</f>
        <v>919</v>
      </c>
      <c r="H131" s="172">
        <f>IF($G$208=0,0,G131/$G$208)</f>
        <v>2.1999614109053932E-4</v>
      </c>
      <c r="I131" s="473"/>
      <c r="J131" s="168"/>
      <c r="K131" s="168"/>
    </row>
    <row r="132" spans="1:11" s="167" customFormat="1">
      <c r="B132" s="163" t="s">
        <v>196</v>
      </c>
      <c r="C132" s="501">
        <f>'[81]Sch C'!D133</f>
        <v>0</v>
      </c>
      <c r="D132" s="501">
        <f>'[81]Sch C'!F133</f>
        <v>0</v>
      </c>
      <c r="E132" s="171">
        <f t="shared" si="27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'[81]Sch C'!D134</f>
        <v>7439</v>
      </c>
      <c r="D133" s="501">
        <f>'[81]Sch C'!F134</f>
        <v>6524.3489671300504</v>
      </c>
      <c r="E133" s="171">
        <f t="shared" si="27"/>
        <v>13963.34896713005</v>
      </c>
      <c r="F133" s="171">
        <v>1422</v>
      </c>
      <c r="G133" s="171">
        <f>E133+F133</f>
        <v>15385.34896713005</v>
      </c>
      <c r="H133" s="172">
        <f>IF($G$208=0,0,G133/$G$208)</f>
        <v>3.6830439631119981E-3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'[81]Sch C'!D136</f>
        <v>172787</v>
      </c>
      <c r="D135" s="501">
        <f>'[81]Sch C'!F136</f>
        <v>6257</v>
      </c>
      <c r="E135" s="171">
        <f t="shared" ref="E135:E138" si="28">C135+D135</f>
        <v>179044</v>
      </c>
      <c r="F135" s="171">
        <v>8374</v>
      </c>
      <c r="G135" s="171">
        <f>E135+F135</f>
        <v>187418</v>
      </c>
      <c r="H135" s="172">
        <f>IF($G$208=0,0,G135/$G$208)</f>
        <v>4.4865328368777692E-2</v>
      </c>
      <c r="I135" s="473"/>
      <c r="J135" s="183">
        <f>7083+244</f>
        <v>7327</v>
      </c>
      <c r="K135" s="183">
        <f>7496+251</f>
        <v>7747</v>
      </c>
    </row>
    <row r="136" spans="1:11" s="167" customFormat="1">
      <c r="A136" s="169"/>
      <c r="B136" s="163" t="s">
        <v>195</v>
      </c>
      <c r="C136" s="501">
        <f>'[81]Sch C'!D137</f>
        <v>253716</v>
      </c>
      <c r="D136" s="501">
        <f>'[81]Sch C'!F137</f>
        <v>8276</v>
      </c>
      <c r="E136" s="171">
        <f t="shared" si="28"/>
        <v>261992</v>
      </c>
      <c r="F136" s="171">
        <v>16029</v>
      </c>
      <c r="G136" s="171">
        <f>E136+F136</f>
        <v>278021</v>
      </c>
      <c r="H136" s="172">
        <f>IF($G$208=0,0,G136/$G$208)</f>
        <v>6.6554458261297966E-2</v>
      </c>
      <c r="I136" s="473"/>
      <c r="J136" s="183">
        <f>10703+541</f>
        <v>11244</v>
      </c>
      <c r="K136" s="183">
        <f>11328+556</f>
        <v>11884</v>
      </c>
    </row>
    <row r="137" spans="1:11" s="167" customFormat="1">
      <c r="A137" s="169"/>
      <c r="B137" s="163" t="s">
        <v>196</v>
      </c>
      <c r="C137" s="501">
        <f>'[81]Sch C'!D138</f>
        <v>456864</v>
      </c>
      <c r="D137" s="501">
        <f>'[81]Sch C'!F138</f>
        <v>11591</v>
      </c>
      <c r="E137" s="171">
        <f t="shared" si="28"/>
        <v>468455</v>
      </c>
      <c r="F137" s="171">
        <v>25048</v>
      </c>
      <c r="G137" s="171">
        <f>E137+F137</f>
        <v>493503</v>
      </c>
      <c r="H137" s="172">
        <f>IF($G$208=0,0,G137/$G$208)</f>
        <v>0.11813792776561961</v>
      </c>
      <c r="I137" s="473"/>
      <c r="J137" s="183">
        <f>34164+1866</f>
        <v>36030</v>
      </c>
      <c r="K137" s="183">
        <f>35318+1916</f>
        <v>37234</v>
      </c>
    </row>
    <row r="138" spans="1:11" s="167" customFormat="1">
      <c r="A138" s="169"/>
      <c r="B138" s="163" t="s">
        <v>197</v>
      </c>
      <c r="C138" s="501">
        <f>'[81]Sch C'!D139</f>
        <v>26124</v>
      </c>
      <c r="D138" s="501">
        <f>'[81]Sch C'!F139</f>
        <v>-26124</v>
      </c>
      <c r="E138" s="171">
        <f t="shared" si="28"/>
        <v>0</v>
      </c>
      <c r="F138" s="171">
        <v>1930</v>
      </c>
      <c r="G138" s="171">
        <f>E138+F138</f>
        <v>1930</v>
      </c>
      <c r="H138" s="172">
        <f>IF($G$208=0,0,G138/$G$208)</f>
        <v>4.6201583493442973E-4</v>
      </c>
      <c r="I138" s="473"/>
      <c r="J138" s="183">
        <f>0+177</f>
        <v>177</v>
      </c>
      <c r="K138" s="183">
        <f>0+182</f>
        <v>182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'[81]Sch C'!D141</f>
        <v>0</v>
      </c>
      <c r="D140" s="501">
        <f>'[81]Sch C'!F141</f>
        <v>24706</v>
      </c>
      <c r="E140" s="171">
        <f t="shared" ref="E140:E143" si="29">C140+D140</f>
        <v>24706</v>
      </c>
      <c r="F140" s="171">
        <v>1523</v>
      </c>
      <c r="G140" s="171">
        <f>E140+F140</f>
        <v>26229</v>
      </c>
      <c r="H140" s="172">
        <f>IF($G$208=0,0,G140/$G$208)</f>
        <v>6.2788670126917908E-3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'[81]Sch C'!D142</f>
        <v>0</v>
      </c>
      <c r="D141" s="501">
        <f>'[81]Sch C'!F142</f>
        <v>36153</v>
      </c>
      <c r="E141" s="171">
        <f t="shared" si="29"/>
        <v>36153</v>
      </c>
      <c r="F141" s="171">
        <v>2915</v>
      </c>
      <c r="G141" s="171">
        <f>E141+F141</f>
        <v>39068</v>
      </c>
      <c r="H141" s="172">
        <f>IF($G$208=0,0,G141/$G$208)</f>
        <v>9.3523495539991185E-3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'[81]Sch C'!D143</f>
        <v>0</v>
      </c>
      <c r="D142" s="501">
        <f>'[81]Sch C'!F143</f>
        <v>64643</v>
      </c>
      <c r="E142" s="171">
        <f t="shared" si="29"/>
        <v>64643</v>
      </c>
      <c r="F142" s="171">
        <v>4556</v>
      </c>
      <c r="G142" s="171">
        <f>E142+F142</f>
        <v>69199</v>
      </c>
      <c r="H142" s="172">
        <f>IF($G$208=0,0,G142/$G$208)</f>
        <v>1.6565302467164561E-2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'[81]Sch C'!D144</f>
        <v>85827</v>
      </c>
      <c r="D143" s="501">
        <f>'[81]Sch C'!F144</f>
        <v>-75005.789095318527</v>
      </c>
      <c r="E143" s="171">
        <f t="shared" si="29"/>
        <v>10821.210904681473</v>
      </c>
      <c r="F143" s="171">
        <v>351</v>
      </c>
      <c r="G143" s="171">
        <f>E143+F143</f>
        <v>11172.210904681473</v>
      </c>
      <c r="H143" s="172">
        <f>IF($G$208=0,0,G143/$G$208)</f>
        <v>2.6744758285958295E-3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'[81]Sch C'!D146</f>
        <v>25500</v>
      </c>
      <c r="D145" s="501">
        <f>'[81]Sch C'!F146</f>
        <v>0</v>
      </c>
      <c r="E145" s="171">
        <f t="shared" ref="E145:E153" si="30">C145+D145</f>
        <v>25500</v>
      </c>
      <c r="F145" s="171">
        <v>2500</v>
      </c>
      <c r="G145" s="171">
        <f t="shared" ref="G145:G153" si="31">E145+F145</f>
        <v>28000</v>
      </c>
      <c r="H145" s="172">
        <f t="shared" ref="H145:H153" si="32">IF($G$208=0,0,G145/$G$208)</f>
        <v>6.7028204031937986E-3</v>
      </c>
      <c r="I145" s="473"/>
      <c r="J145" s="183">
        <v>170</v>
      </c>
      <c r="K145" s="183">
        <v>170</v>
      </c>
    </row>
    <row r="146" spans="1:11" s="167" customFormat="1" ht="15.5">
      <c r="A146" s="169"/>
      <c r="B146" s="163" t="s">
        <v>194</v>
      </c>
      <c r="C146" s="501">
        <f>'[81]Sch C'!D147</f>
        <v>0</v>
      </c>
      <c r="D146" s="501">
        <f>'[81]Sch C'!F147</f>
        <v>0</v>
      </c>
      <c r="E146" s="171">
        <f t="shared" si="30"/>
        <v>0</v>
      </c>
      <c r="F146" s="171">
        <v>11826</v>
      </c>
      <c r="G146" s="171">
        <f t="shared" si="31"/>
        <v>11826</v>
      </c>
      <c r="H146" s="172">
        <f t="shared" si="32"/>
        <v>2.8309840745774952E-3</v>
      </c>
      <c r="I146" s="612"/>
      <c r="J146" s="183">
        <f>0+296</f>
        <v>296</v>
      </c>
      <c r="K146" s="183">
        <f>0+296</f>
        <v>296</v>
      </c>
    </row>
    <row r="147" spans="1:11" s="167" customFormat="1" ht="15.5">
      <c r="A147" s="169"/>
      <c r="B147" s="163" t="s">
        <v>195</v>
      </c>
      <c r="C147" s="501">
        <f>'[81]Sch C'!D148</f>
        <v>0</v>
      </c>
      <c r="D147" s="501">
        <f>'[81]Sch C'!F148</f>
        <v>0</v>
      </c>
      <c r="E147" s="171">
        <f t="shared" si="30"/>
        <v>0</v>
      </c>
      <c r="F147" s="171">
        <v>0</v>
      </c>
      <c r="G147" s="171">
        <f t="shared" si="31"/>
        <v>0</v>
      </c>
      <c r="H147" s="172">
        <f t="shared" si="32"/>
        <v>0</v>
      </c>
      <c r="I147" s="612"/>
      <c r="J147" s="183">
        <v>0</v>
      </c>
      <c r="K147" s="183">
        <v>0</v>
      </c>
    </row>
    <row r="148" spans="1:11" s="167" customFormat="1" ht="15.5">
      <c r="A148" s="169"/>
      <c r="B148" s="163" t="s">
        <v>196</v>
      </c>
      <c r="C148" s="501">
        <f>'[81]Sch C'!D149</f>
        <v>0</v>
      </c>
      <c r="D148" s="501">
        <f>'[81]Sch C'!F149</f>
        <v>0</v>
      </c>
      <c r="E148" s="171">
        <f t="shared" si="30"/>
        <v>0</v>
      </c>
      <c r="F148" s="171">
        <v>0</v>
      </c>
      <c r="G148" s="171">
        <f t="shared" si="31"/>
        <v>0</v>
      </c>
      <c r="H148" s="172">
        <f t="shared" si="32"/>
        <v>0</v>
      </c>
      <c r="I148" s="612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'[81]Sch C'!D150</f>
        <v>13319</v>
      </c>
      <c r="D149" s="501">
        <f>'[81]Sch C'!F150</f>
        <v>0</v>
      </c>
      <c r="E149" s="171">
        <f t="shared" si="30"/>
        <v>13319</v>
      </c>
      <c r="F149" s="171">
        <v>0</v>
      </c>
      <c r="G149" s="171">
        <f t="shared" si="31"/>
        <v>13319</v>
      </c>
      <c r="H149" s="172">
        <f t="shared" si="32"/>
        <v>3.1883880339335074E-3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'[81]Sch C'!D151</f>
        <v>77755</v>
      </c>
      <c r="D150" s="501">
        <f>'[81]Sch C'!F151</f>
        <v>50</v>
      </c>
      <c r="E150" s="171">
        <f t="shared" si="30"/>
        <v>77805</v>
      </c>
      <c r="F150" s="171">
        <v>746</v>
      </c>
      <c r="G150" s="171">
        <f t="shared" si="31"/>
        <v>78551</v>
      </c>
      <c r="H150" s="172">
        <f t="shared" si="32"/>
        <v>1.8804044481831289E-2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'[81]Sch C'!D152</f>
        <v>1171</v>
      </c>
      <c r="D151" s="501">
        <f>'[81]Sch C'!F152</f>
        <v>0</v>
      </c>
      <c r="E151" s="171">
        <f t="shared" si="30"/>
        <v>1171</v>
      </c>
      <c r="F151" s="171">
        <v>0</v>
      </c>
      <c r="G151" s="171">
        <f t="shared" si="31"/>
        <v>1171</v>
      </c>
      <c r="H151" s="172">
        <f t="shared" si="32"/>
        <v>2.8032152471928353E-4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'[81]Sch C'!D153</f>
        <v>4495</v>
      </c>
      <c r="D152" s="501">
        <f>'[81]Sch C'!F153</f>
        <v>0</v>
      </c>
      <c r="E152" s="171">
        <f t="shared" si="30"/>
        <v>4495</v>
      </c>
      <c r="F152" s="171">
        <v>0</v>
      </c>
      <c r="G152" s="171">
        <f t="shared" si="31"/>
        <v>4495</v>
      </c>
      <c r="H152" s="172">
        <f t="shared" si="32"/>
        <v>1.076042061155576E-3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'[81]Sch C'!D154</f>
        <v>0</v>
      </c>
      <c r="D153" s="501">
        <f>'[81]Sch C'!F154</f>
        <v>0</v>
      </c>
      <c r="E153" s="171">
        <f t="shared" si="30"/>
        <v>0</v>
      </c>
      <c r="F153" s="171">
        <v>0</v>
      </c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'[81]Sch C'!D156</f>
        <v>0</v>
      </c>
      <c r="D155" s="501">
        <f>'[81]Sch C'!F156</f>
        <v>0</v>
      </c>
      <c r="E155" s="171">
        <f t="shared" ref="E155:E160" si="33">C155+D155</f>
        <v>0</v>
      </c>
      <c r="F155" s="171">
        <v>0</v>
      </c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'[81]Sch C'!D157</f>
        <v>0</v>
      </c>
      <c r="D156" s="501">
        <f>'[81]Sch C'!F157</f>
        <v>0</v>
      </c>
      <c r="E156" s="171">
        <f t="shared" si="33"/>
        <v>0</v>
      </c>
      <c r="F156" s="171">
        <v>0</v>
      </c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'[81]Sch C'!D158</f>
        <v>89</v>
      </c>
      <c r="D157" s="501">
        <f>'[81]Sch C'!F158</f>
        <v>0</v>
      </c>
      <c r="E157" s="171">
        <f t="shared" si="33"/>
        <v>89</v>
      </c>
      <c r="F157" s="171">
        <v>0</v>
      </c>
      <c r="G157" s="171">
        <f t="shared" si="34"/>
        <v>89</v>
      </c>
      <c r="H157" s="172">
        <f t="shared" si="35"/>
        <v>2.1305393424437431E-5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'[81]Sch C'!D159</f>
        <v>0</v>
      </c>
      <c r="D158" s="501">
        <f>'[81]Sch C'!F159</f>
        <v>0</v>
      </c>
      <c r="E158" s="171">
        <f t="shared" si="33"/>
        <v>0</v>
      </c>
      <c r="F158" s="171">
        <v>0</v>
      </c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'[81]Sch C'!D160</f>
        <v>0</v>
      </c>
      <c r="D159" s="501">
        <f>'[81]Sch C'!F160</f>
        <v>0</v>
      </c>
      <c r="E159" s="171">
        <f t="shared" si="33"/>
        <v>0</v>
      </c>
      <c r="F159" s="171">
        <v>0</v>
      </c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'[81]Sch C'!D161</f>
        <v>109465</v>
      </c>
      <c r="D160" s="501">
        <f>'[81]Sch C'!F161</f>
        <v>68356</v>
      </c>
      <c r="E160" s="171">
        <f t="shared" si="33"/>
        <v>177821</v>
      </c>
      <c r="F160" s="171">
        <v>0</v>
      </c>
      <c r="G160" s="171">
        <f t="shared" si="34"/>
        <v>177821</v>
      </c>
      <c r="H160" s="172">
        <f t="shared" si="35"/>
        <v>4.2567936675583021E-2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1522829</v>
      </c>
      <c r="D161" s="501">
        <f>SUM(D123:D160)</f>
        <v>134027.55987181154</v>
      </c>
      <c r="E161" s="171">
        <f t="shared" ref="E161:F161" si="36">SUM(E123:E160)</f>
        <v>1656856.5598718114</v>
      </c>
      <c r="F161" s="171">
        <f t="shared" si="36"/>
        <v>99606</v>
      </c>
      <c r="G161" s="171">
        <f>SUM(G123:G160)</f>
        <v>1756462.5598718114</v>
      </c>
      <c r="H161" s="172">
        <f t="shared" si="35"/>
        <v>0.42047332441981383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'[81]Sch C'!D175</f>
        <v>0</v>
      </c>
      <c r="D164" s="501">
        <f>'[81]Sch C'!F175</f>
        <v>0</v>
      </c>
      <c r="E164" s="171">
        <f t="shared" ref="E164:E196" si="37">C164+D164</f>
        <v>0</v>
      </c>
      <c r="F164" s="216">
        <v>0</v>
      </c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'[81]Sch C'!D176</f>
        <v>0</v>
      </c>
      <c r="D165" s="501">
        <f>'[81]Sch C'!F176</f>
        <v>0</v>
      </c>
      <c r="E165" s="171">
        <f t="shared" si="37"/>
        <v>0</v>
      </c>
      <c r="F165" s="216">
        <v>0</v>
      </c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'[81]Sch C'!D177</f>
        <v>0</v>
      </c>
      <c r="D166" s="501">
        <f>'[81]Sch C'!F177</f>
        <v>0</v>
      </c>
      <c r="E166" s="171">
        <f t="shared" si="37"/>
        <v>0</v>
      </c>
      <c r="F166" s="216">
        <v>6717</v>
      </c>
      <c r="G166" s="171">
        <f t="shared" si="38"/>
        <v>6717</v>
      </c>
      <c r="H166" s="172">
        <f t="shared" si="39"/>
        <v>1.6079587374375982E-3</v>
      </c>
      <c r="I166" s="483"/>
      <c r="J166" s="183">
        <f>0+178</f>
        <v>178</v>
      </c>
      <c r="K166" s="183">
        <f>0+183</f>
        <v>183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'[81]Sch C'!D178</f>
        <v>0</v>
      </c>
      <c r="D167" s="501">
        <f>'[81]Sch C'!F178</f>
        <v>0</v>
      </c>
      <c r="E167" s="171">
        <f t="shared" si="37"/>
        <v>0</v>
      </c>
      <c r="F167" s="216">
        <v>1222</v>
      </c>
      <c r="G167" s="171">
        <f t="shared" si="38"/>
        <v>1222</v>
      </c>
      <c r="H167" s="172">
        <f t="shared" si="39"/>
        <v>2.925302333108151E-4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'[81]Sch C'!D179</f>
        <v>0</v>
      </c>
      <c r="D168" s="501">
        <f>'[81]Sch C'!F179</f>
        <v>0</v>
      </c>
      <c r="E168" s="171">
        <f t="shared" si="37"/>
        <v>0</v>
      </c>
      <c r="F168" s="216">
        <v>1930</v>
      </c>
      <c r="G168" s="171">
        <f t="shared" si="38"/>
        <v>1930</v>
      </c>
      <c r="H168" s="172">
        <f t="shared" si="39"/>
        <v>4.6201583493442973E-4</v>
      </c>
      <c r="I168" s="483"/>
      <c r="J168" s="183">
        <f>0+58</f>
        <v>58</v>
      </c>
      <c r="K168" s="183">
        <f>0+60</f>
        <v>60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'[81]Sch C'!D180</f>
        <v>0</v>
      </c>
      <c r="D169" s="501">
        <f>'[81]Sch C'!F180</f>
        <v>0</v>
      </c>
      <c r="E169" s="171">
        <f t="shared" si="37"/>
        <v>0</v>
      </c>
      <c r="F169" s="216">
        <v>351</v>
      </c>
      <c r="G169" s="171">
        <f t="shared" si="38"/>
        <v>351</v>
      </c>
      <c r="H169" s="172">
        <f t="shared" si="39"/>
        <v>8.4024641482893694E-5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'[81]Sch C'!D181</f>
        <v>0</v>
      </c>
      <c r="D170" s="501">
        <f>'[81]Sch C'!F181</f>
        <v>0</v>
      </c>
      <c r="E170" s="171">
        <f t="shared" si="37"/>
        <v>0</v>
      </c>
      <c r="F170" s="216">
        <v>0</v>
      </c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'[81]Sch C'!D182</f>
        <v>0</v>
      </c>
      <c r="D171" s="501">
        <f>'[81]Sch C'!F182</f>
        <v>0</v>
      </c>
      <c r="E171" s="171">
        <f t="shared" si="37"/>
        <v>0</v>
      </c>
      <c r="F171" s="216">
        <v>0</v>
      </c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'[81]Sch C'!D183</f>
        <v>0</v>
      </c>
      <c r="D172" s="501">
        <f>'[81]Sch C'!F183</f>
        <v>0</v>
      </c>
      <c r="E172" s="171">
        <f t="shared" si="37"/>
        <v>0</v>
      </c>
      <c r="F172" s="216">
        <v>2632</v>
      </c>
      <c r="G172" s="171">
        <f t="shared" si="38"/>
        <v>2632</v>
      </c>
      <c r="H172" s="172">
        <f t="shared" si="39"/>
        <v>6.3006511790021712E-4</v>
      </c>
      <c r="I172" s="483"/>
      <c r="J172" s="183">
        <f>0+89</f>
        <v>89</v>
      </c>
      <c r="K172" s="183">
        <f>0+91</f>
        <v>91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'[81]Sch C'!D184</f>
        <v>0</v>
      </c>
      <c r="D173" s="501">
        <f>'[81]Sch C'!F184</f>
        <v>0</v>
      </c>
      <c r="E173" s="171">
        <f t="shared" si="37"/>
        <v>0</v>
      </c>
      <c r="F173" s="216">
        <v>479</v>
      </c>
      <c r="G173" s="171">
        <f t="shared" si="38"/>
        <v>479</v>
      </c>
      <c r="H173" s="172">
        <f t="shared" si="39"/>
        <v>1.146661061832082E-4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'[81]Sch C'!D185</f>
        <v>0</v>
      </c>
      <c r="D174" s="501">
        <f>'[81]Sch C'!F185</f>
        <v>0</v>
      </c>
      <c r="E174" s="171">
        <f t="shared" si="37"/>
        <v>0</v>
      </c>
      <c r="F174" s="216">
        <v>0</v>
      </c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'[81]Sch C'!D186</f>
        <v>0</v>
      </c>
      <c r="D175" s="501">
        <f>'[81]Sch C'!F186</f>
        <v>0</v>
      </c>
      <c r="E175" s="171">
        <f t="shared" si="37"/>
        <v>0</v>
      </c>
      <c r="F175" s="216">
        <v>0</v>
      </c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'[81]Sch C'!D187</f>
        <v>0</v>
      </c>
      <c r="D176" s="501">
        <f>'[81]Sch C'!F187</f>
        <v>0</v>
      </c>
      <c r="E176" s="171">
        <f t="shared" si="37"/>
        <v>0</v>
      </c>
      <c r="F176" s="216">
        <v>0</v>
      </c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'[81]Sch C'!D188</f>
        <v>8088</v>
      </c>
      <c r="D177" s="501">
        <f>'[81]Sch C'!F188</f>
        <v>3</v>
      </c>
      <c r="E177" s="171">
        <f t="shared" si="37"/>
        <v>8091</v>
      </c>
      <c r="F177" s="216">
        <v>0</v>
      </c>
      <c r="G177" s="171">
        <f t="shared" si="38"/>
        <v>8091</v>
      </c>
      <c r="H177" s="172">
        <f t="shared" si="39"/>
        <v>1.9368757100800367E-3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'[81]Sch C'!D189</f>
        <v>0</v>
      </c>
      <c r="D178" s="501">
        <f>'[81]Sch C'!F189</f>
        <v>0</v>
      </c>
      <c r="E178" s="171">
        <f t="shared" si="37"/>
        <v>0</v>
      </c>
      <c r="F178" s="216">
        <v>0</v>
      </c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'[81]Sch C'!D190</f>
        <v>0</v>
      </c>
      <c r="D179" s="501">
        <f>'[81]Sch C'!F190</f>
        <v>0</v>
      </c>
      <c r="E179" s="171">
        <f t="shared" si="37"/>
        <v>0</v>
      </c>
      <c r="F179" s="216">
        <v>0</v>
      </c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'[81]Sch C'!D191</f>
        <v>9779</v>
      </c>
      <c r="D180" s="501">
        <f>'[81]Sch C'!F191</f>
        <v>0</v>
      </c>
      <c r="E180" s="171">
        <f t="shared" si="37"/>
        <v>9779</v>
      </c>
      <c r="F180" s="216">
        <v>0</v>
      </c>
      <c r="G180" s="171">
        <f t="shared" si="38"/>
        <v>9779</v>
      </c>
      <c r="H180" s="172">
        <f t="shared" si="39"/>
        <v>2.3409600258154344E-3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'[81]Sch C'!D192</f>
        <v>21139</v>
      </c>
      <c r="D181" s="501">
        <f>'[81]Sch C'!F192</f>
        <v>0</v>
      </c>
      <c r="E181" s="171">
        <f t="shared" si="37"/>
        <v>21139</v>
      </c>
      <c r="F181" s="216">
        <v>0</v>
      </c>
      <c r="G181" s="171">
        <f t="shared" si="38"/>
        <v>21139</v>
      </c>
      <c r="H181" s="172">
        <f t="shared" si="39"/>
        <v>5.060390017968347E-3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'[81]Sch C'!D193</f>
        <v>0</v>
      </c>
      <c r="D182" s="501">
        <f>'[81]Sch C'!F193</f>
        <v>0</v>
      </c>
      <c r="E182" s="171">
        <f t="shared" si="37"/>
        <v>0</v>
      </c>
      <c r="F182" s="216">
        <v>0</v>
      </c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'[81]Sch C'!D194</f>
        <v>147662</v>
      </c>
      <c r="D183" s="501">
        <f>'[81]Sch C'!F194</f>
        <v>-21772</v>
      </c>
      <c r="E183" s="171">
        <f t="shared" si="37"/>
        <v>125890</v>
      </c>
      <c r="F183" s="216">
        <v>0</v>
      </c>
      <c r="G183" s="171">
        <f t="shared" si="38"/>
        <v>125890</v>
      </c>
      <c r="H183" s="172">
        <f t="shared" si="39"/>
        <v>3.0136359305645264E-2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'[81]Sch C'!D195</f>
        <v>86042</v>
      </c>
      <c r="D184" s="501">
        <f>'[81]Sch C'!F195</f>
        <v>2420</v>
      </c>
      <c r="E184" s="171">
        <f t="shared" si="37"/>
        <v>88462</v>
      </c>
      <c r="F184" s="216">
        <v>0</v>
      </c>
      <c r="G184" s="171">
        <f t="shared" si="38"/>
        <v>88462</v>
      </c>
      <c r="H184" s="172">
        <f t="shared" si="39"/>
        <v>2.1176603518118921E-2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'[81]Sch C'!D196</f>
        <v>0</v>
      </c>
      <c r="D185" s="501">
        <f>'[81]Sch C'!F196</f>
        <v>0</v>
      </c>
      <c r="E185" s="171">
        <f t="shared" si="37"/>
        <v>0</v>
      </c>
      <c r="F185" s="216">
        <v>0</v>
      </c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'[81]Sch C'!D197</f>
        <v>113984</v>
      </c>
      <c r="D186" s="501">
        <f>'[81]Sch C'!F197</f>
        <v>-52887</v>
      </c>
      <c r="E186" s="171">
        <f t="shared" si="37"/>
        <v>61097</v>
      </c>
      <c r="F186" s="216">
        <v>0</v>
      </c>
      <c r="G186" s="171">
        <f t="shared" si="38"/>
        <v>61097</v>
      </c>
      <c r="H186" s="172">
        <f t="shared" si="39"/>
        <v>1.462579350621184E-2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'[81]Sch C'!D198</f>
        <v>0</v>
      </c>
      <c r="D187" s="501">
        <f>'[81]Sch C'!F198</f>
        <v>0</v>
      </c>
      <c r="E187" s="171">
        <f t="shared" si="37"/>
        <v>0</v>
      </c>
      <c r="F187" s="216">
        <v>1200</v>
      </c>
      <c r="G187" s="171">
        <f t="shared" si="38"/>
        <v>1200</v>
      </c>
      <c r="H187" s="172">
        <f t="shared" si="39"/>
        <v>2.8726373156544852E-4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'[81]Sch C'!D199</f>
        <v>0</v>
      </c>
      <c r="D188" s="501">
        <f>'[81]Sch C'!F199</f>
        <v>0</v>
      </c>
      <c r="E188" s="171">
        <f t="shared" si="37"/>
        <v>0</v>
      </c>
      <c r="F188" s="216">
        <v>0</v>
      </c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'[81]Sch C'!D200</f>
        <v>0</v>
      </c>
      <c r="D189" s="501">
        <f>'[81]Sch C'!F200</f>
        <v>0</v>
      </c>
      <c r="E189" s="171">
        <f t="shared" si="37"/>
        <v>0</v>
      </c>
      <c r="F189" s="216">
        <v>0</v>
      </c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'[81]Sch C'!D201</f>
        <v>0</v>
      </c>
      <c r="D190" s="501">
        <f>'[81]Sch C'!F201</f>
        <v>0</v>
      </c>
      <c r="E190" s="171">
        <f t="shared" si="37"/>
        <v>0</v>
      </c>
      <c r="F190" s="216">
        <v>0</v>
      </c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'[81]Sch C'!D202</f>
        <v>0</v>
      </c>
      <c r="D191" s="501">
        <f>'[81]Sch C'!F202</f>
        <v>0</v>
      </c>
      <c r="E191" s="171">
        <f t="shared" si="37"/>
        <v>0</v>
      </c>
      <c r="F191" s="216">
        <v>0</v>
      </c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'[81]Sch C'!D203</f>
        <v>0</v>
      </c>
      <c r="D192" s="501">
        <f>'[81]Sch C'!F203</f>
        <v>0</v>
      </c>
      <c r="E192" s="171">
        <f t="shared" si="37"/>
        <v>0</v>
      </c>
      <c r="F192" s="216">
        <v>0</v>
      </c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'[81]Sch C'!D204</f>
        <v>0</v>
      </c>
      <c r="D193" s="501">
        <f>'[81]Sch C'!F204</f>
        <v>0</v>
      </c>
      <c r="E193" s="171">
        <f t="shared" si="37"/>
        <v>0</v>
      </c>
      <c r="F193" s="216">
        <v>0</v>
      </c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'[81]Sch C'!D205</f>
        <v>58953</v>
      </c>
      <c r="D194" s="501">
        <f>'[81]Sch C'!F205</f>
        <v>0</v>
      </c>
      <c r="E194" s="171">
        <f t="shared" si="37"/>
        <v>58953</v>
      </c>
      <c r="F194" s="216">
        <v>4000</v>
      </c>
      <c r="G194" s="171">
        <f t="shared" si="38"/>
        <v>62953</v>
      </c>
      <c r="H194" s="172">
        <f t="shared" si="39"/>
        <v>1.5070094744366401E-2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'[81]Sch C'!D206</f>
        <v>0</v>
      </c>
      <c r="D195" s="501">
        <f>'[81]Sch C'!F206</f>
        <v>0</v>
      </c>
      <c r="E195" s="171">
        <f t="shared" si="37"/>
        <v>0</v>
      </c>
      <c r="F195" s="216">
        <v>400</v>
      </c>
      <c r="G195" s="171">
        <f t="shared" si="38"/>
        <v>400</v>
      </c>
      <c r="H195" s="172">
        <f t="shared" si="39"/>
        <v>9.5754577188482846E-5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'[81]Sch C'!D207</f>
        <v>250</v>
      </c>
      <c r="D196" s="501">
        <f>'[81]Sch C'!F207</f>
        <v>0</v>
      </c>
      <c r="E196" s="171">
        <f t="shared" si="37"/>
        <v>250</v>
      </c>
      <c r="F196" s="216">
        <v>750</v>
      </c>
      <c r="G196" s="171">
        <f t="shared" si="38"/>
        <v>1000</v>
      </c>
      <c r="H196" s="172">
        <f t="shared" si="39"/>
        <v>2.3938644297120709E-4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445897</v>
      </c>
      <c r="D197" s="501">
        <f>SUM(D164:D196)</f>
        <v>-72236</v>
      </c>
      <c r="E197" s="171">
        <f t="shared" ref="E197:F197" si="40">SUM(E164:E196)</f>
        <v>373661</v>
      </c>
      <c r="F197" s="171">
        <f t="shared" si="40"/>
        <v>19681</v>
      </c>
      <c r="G197" s="171">
        <f>SUM(G164:G196)</f>
        <v>393342</v>
      </c>
      <c r="H197" s="172">
        <f>IF($G$208=0,0,G197/$G$208)</f>
        <v>9.416074225118054E-2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'[81]Sch C'!D211</f>
        <v>75522</v>
      </c>
      <c r="D200" s="501">
        <f>'[81]Sch C'!F211</f>
        <v>0</v>
      </c>
      <c r="E200" s="171">
        <f t="shared" ref="E200:E205" si="41">C200+D200</f>
        <v>75522</v>
      </c>
      <c r="F200" s="171">
        <v>6475</v>
      </c>
      <c r="G200" s="171">
        <f t="shared" ref="G200:G205" si="42">E200+F200</f>
        <v>81997</v>
      </c>
      <c r="H200" s="172">
        <f t="shared" ref="H200:H206" si="43">IF($G$208=0,0,G200/$G$208)</f>
        <v>1.9628970164310068E-2</v>
      </c>
      <c r="I200" s="473"/>
      <c r="J200" s="183">
        <f>4797+351</f>
        <v>5148</v>
      </c>
      <c r="K200" s="183">
        <f>5268+360</f>
        <v>5628</v>
      </c>
    </row>
    <row r="201" spans="1:14" s="167" customFormat="1">
      <c r="A201" s="169" t="s">
        <v>86</v>
      </c>
      <c r="B201" s="170" t="s">
        <v>45</v>
      </c>
      <c r="C201" s="501">
        <f>'[81]Sch C'!D212</f>
        <v>7011</v>
      </c>
      <c r="D201" s="501">
        <f>'[81]Sch C'!F212</f>
        <v>4103.6003204711797</v>
      </c>
      <c r="E201" s="171">
        <f t="shared" si="41"/>
        <v>11114.60032047118</v>
      </c>
      <c r="F201" s="171">
        <v>1178</v>
      </c>
      <c r="G201" s="171">
        <f t="shared" si="42"/>
        <v>12292.60032047118</v>
      </c>
      <c r="H201" s="172">
        <f t="shared" si="43"/>
        <v>2.9426818655843164E-3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'[81]Sch C'!D213</f>
        <v>15116</v>
      </c>
      <c r="D202" s="501">
        <f>'[81]Sch C'!F213</f>
        <v>0</v>
      </c>
      <c r="E202" s="171">
        <f t="shared" si="41"/>
        <v>15116</v>
      </c>
      <c r="F202" s="171">
        <v>25</v>
      </c>
      <c r="G202" s="171">
        <f t="shared" si="42"/>
        <v>15141</v>
      </c>
      <c r="H202" s="172">
        <f t="shared" si="43"/>
        <v>3.6245501330270467E-3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'[81]Sch C'!D214</f>
        <v>0</v>
      </c>
      <c r="D203" s="501">
        <f>'[81]Sch C'!F214</f>
        <v>0</v>
      </c>
      <c r="E203" s="171">
        <f t="shared" si="41"/>
        <v>0</v>
      </c>
      <c r="F203" s="171">
        <v>0</v>
      </c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'[81]Sch C'!D215</f>
        <v>0</v>
      </c>
      <c r="D204" s="501">
        <f>'[81]Sch C'!F215</f>
        <v>0</v>
      </c>
      <c r="E204" s="171">
        <f t="shared" si="41"/>
        <v>0</v>
      </c>
      <c r="F204" s="171">
        <v>0</v>
      </c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'[81]Sch C'!D216</f>
        <v>12423</v>
      </c>
      <c r="D205" s="501">
        <f>'[81]Sch C'!F216</f>
        <v>38</v>
      </c>
      <c r="E205" s="171">
        <f t="shared" si="41"/>
        <v>12461</v>
      </c>
      <c r="F205" s="171">
        <v>0</v>
      </c>
      <c r="G205" s="171">
        <f t="shared" si="42"/>
        <v>12461</v>
      </c>
      <c r="H205" s="172">
        <f t="shared" si="43"/>
        <v>2.9829944658642119E-3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110072</v>
      </c>
      <c r="D206" s="501">
        <f>SUM(D200:D205)</f>
        <v>4141.6003204711797</v>
      </c>
      <c r="E206" s="171">
        <f t="shared" ref="E206:F206" si="44">SUM(E200:E205)</f>
        <v>114213.60032047117</v>
      </c>
      <c r="F206" s="171">
        <f t="shared" si="44"/>
        <v>7678</v>
      </c>
      <c r="G206" s="171">
        <f>SUM(G200:G205)</f>
        <v>121891.60032047117</v>
      </c>
      <c r="H206" s="172">
        <f t="shared" si="43"/>
        <v>2.9179196628785643E-2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4589260</v>
      </c>
      <c r="D208" s="501">
        <f>SUM(D25:D206)/2</f>
        <v>-657171</v>
      </c>
      <c r="E208" s="171">
        <f t="shared" ref="E208:F208" si="45">SUM(E25:E206)/2</f>
        <v>3932089</v>
      </c>
      <c r="F208" s="171">
        <f t="shared" si="45"/>
        <v>245257</v>
      </c>
      <c r="G208" s="171">
        <f>SUM(G25:G206)/2</f>
        <v>4177345.9999999995</v>
      </c>
      <c r="H208" s="172">
        <f>IF($G$208=0,0,G208/$G$208)</f>
        <v>1</v>
      </c>
      <c r="I208" s="473"/>
      <c r="J208" s="183">
        <f>SUM(J25:J200)</f>
        <v>82974</v>
      </c>
      <c r="K208" s="183">
        <f>SUM(K25:K200)</f>
        <v>87748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'[81]Sch C'!D221</f>
        <v>4589260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-1233493</v>
      </c>
      <c r="D215" s="501">
        <f>D21-D208</f>
        <v>385445</v>
      </c>
      <c r="E215" s="171">
        <f t="shared" ref="E215:F215" si="46">E21-E208</f>
        <v>-848048</v>
      </c>
      <c r="F215" s="171">
        <f t="shared" si="46"/>
        <v>-108839</v>
      </c>
      <c r="G215" s="171">
        <f>G21-G208</f>
        <v>-956886.99999999953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'[81]Sch D'!C9</f>
        <v>10733</v>
      </c>
      <c r="D219" s="530"/>
      <c r="E219" s="234">
        <f t="shared" ref="E219:G227" si="47">C219+D219</f>
        <v>10733</v>
      </c>
      <c r="F219" s="233">
        <v>408</v>
      </c>
      <c r="G219" s="234">
        <f t="shared" si="47"/>
        <v>11141</v>
      </c>
      <c r="H219" s="172">
        <f t="shared" ref="H219:H228" si="48">IF($G$228=0,0,G219/$G$228)</f>
        <v>0.797951582867784</v>
      </c>
      <c r="I219" s="473"/>
      <c r="J219" s="168"/>
      <c r="K219" s="168"/>
    </row>
    <row r="220" spans="1:11">
      <c r="A220" s="163"/>
      <c r="B220" s="170" t="s">
        <v>217</v>
      </c>
      <c r="C220" s="530">
        <f>'[81]Sch D'!D9</f>
        <v>0</v>
      </c>
      <c r="D220" s="530"/>
      <c r="E220" s="234">
        <f t="shared" ref="E220:E227" si="49">C220+D220</f>
        <v>0</v>
      </c>
      <c r="F220" s="233">
        <v>0</v>
      </c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'[81]Sch D'!E9</f>
        <v>659</v>
      </c>
      <c r="D221" s="530"/>
      <c r="E221" s="234">
        <f t="shared" si="49"/>
        <v>659</v>
      </c>
      <c r="F221" s="233">
        <v>64</v>
      </c>
      <c r="G221" s="234">
        <f t="shared" si="47"/>
        <v>723</v>
      </c>
      <c r="H221" s="172">
        <f t="shared" si="48"/>
        <v>5.1783412118607652E-2</v>
      </c>
      <c r="I221" s="473"/>
      <c r="J221" s="168"/>
      <c r="K221" s="168"/>
    </row>
    <row r="222" spans="1:11">
      <c r="A222" s="163"/>
      <c r="B222" s="202" t="s">
        <v>334</v>
      </c>
      <c r="C222" s="530">
        <f>'[81]Sch D'!F9</f>
        <v>218</v>
      </c>
      <c r="D222" s="530"/>
      <c r="E222" s="234">
        <f>C222+D222</f>
        <v>218</v>
      </c>
      <c r="F222" s="233">
        <v>12</v>
      </c>
      <c r="G222" s="234">
        <f>E222+F222</f>
        <v>230</v>
      </c>
      <c r="H222" s="172">
        <f t="shared" si="48"/>
        <v>1.647328462970921E-2</v>
      </c>
      <c r="I222" s="473"/>
      <c r="J222" s="168"/>
      <c r="K222" s="168"/>
    </row>
    <row r="223" spans="1:11">
      <c r="A223" s="163"/>
      <c r="B223" s="170" t="s">
        <v>73</v>
      </c>
      <c r="C223" s="530">
        <f>'[81]Sch D'!G9</f>
        <v>0</v>
      </c>
      <c r="D223" s="530"/>
      <c r="E223" s="234">
        <f t="shared" si="49"/>
        <v>0</v>
      </c>
      <c r="F223" s="233">
        <v>0</v>
      </c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'[81]Sch D'!H9</f>
        <v>611</v>
      </c>
      <c r="D224" s="530"/>
      <c r="E224" s="234">
        <f t="shared" si="49"/>
        <v>611</v>
      </c>
      <c r="F224" s="233">
        <v>22</v>
      </c>
      <c r="G224" s="234">
        <f t="shared" si="47"/>
        <v>633</v>
      </c>
      <c r="H224" s="172">
        <f t="shared" si="48"/>
        <v>4.5337344220025784E-2</v>
      </c>
      <c r="I224" s="473"/>
      <c r="J224" s="168"/>
      <c r="K224" s="168"/>
    </row>
    <row r="225" spans="1:11">
      <c r="A225" s="163"/>
      <c r="B225" s="170" t="s">
        <v>236</v>
      </c>
      <c r="C225" s="530">
        <f>'[81]Sch D'!I9</f>
        <v>1005</v>
      </c>
      <c r="D225" s="530"/>
      <c r="E225" s="234">
        <f t="shared" si="49"/>
        <v>1005</v>
      </c>
      <c r="F225" s="233">
        <v>0</v>
      </c>
      <c r="G225" s="234">
        <f t="shared" si="47"/>
        <v>1005</v>
      </c>
      <c r="H225" s="172">
        <f t="shared" si="48"/>
        <v>7.1981091534164154E-2</v>
      </c>
      <c r="I225" s="473"/>
      <c r="J225" s="168"/>
      <c r="K225" s="168"/>
    </row>
    <row r="226" spans="1:11">
      <c r="A226" s="163"/>
      <c r="B226" s="170" t="s">
        <v>235</v>
      </c>
      <c r="C226" s="530">
        <f>'[81]Sch D'!J9</f>
        <v>0</v>
      </c>
      <c r="D226" s="530"/>
      <c r="E226" s="234">
        <f>C226+D226</f>
        <v>0</v>
      </c>
      <c r="F226" s="233">
        <v>43</v>
      </c>
      <c r="G226" s="234">
        <f>E226+F226</f>
        <v>43</v>
      </c>
      <c r="H226" s="172">
        <f t="shared" si="48"/>
        <v>3.0797879959891133E-3</v>
      </c>
      <c r="I226" s="473"/>
      <c r="J226" s="168"/>
      <c r="K226" s="168"/>
    </row>
    <row r="227" spans="1:11">
      <c r="A227" s="163"/>
      <c r="B227" s="170" t="s">
        <v>179</v>
      </c>
      <c r="C227" s="530">
        <f>'[81]Sch D'!K9</f>
        <v>187</v>
      </c>
      <c r="D227" s="530"/>
      <c r="E227" s="234">
        <f t="shared" si="49"/>
        <v>187</v>
      </c>
      <c r="F227" s="233">
        <v>0</v>
      </c>
      <c r="G227" s="234">
        <f t="shared" si="47"/>
        <v>187</v>
      </c>
      <c r="H227" s="172">
        <f t="shared" si="48"/>
        <v>1.3393496633720097E-2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13413</v>
      </c>
      <c r="D228" s="530">
        <f>SUM(D219:D227)</f>
        <v>0</v>
      </c>
      <c r="E228" s="236">
        <f>SUM(E219:E227)</f>
        <v>13413</v>
      </c>
      <c r="F228" s="236">
        <f>SUM(F219:F227)</f>
        <v>549</v>
      </c>
      <c r="G228" s="236">
        <f>SUM(G219:G227)</f>
        <v>13962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'[81]Sch D'!N22</f>
        <v>99</v>
      </c>
      <c r="D231" s="502"/>
      <c r="E231" s="234">
        <f>C231+D231</f>
        <v>99</v>
      </c>
      <c r="F231" s="234"/>
      <c r="G231" s="234">
        <f>E231+F231</f>
        <v>99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'[81]Sch D'!N24</f>
        <v>99</v>
      </c>
      <c r="D232" s="502"/>
      <c r="E232" s="234">
        <f>C232+D232</f>
        <v>99</v>
      </c>
      <c r="F232" s="234"/>
      <c r="G232" s="234">
        <f>E232+F232</f>
        <v>99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304</v>
      </c>
      <c r="D233" s="438"/>
      <c r="E233" s="234">
        <f>C233+D233</f>
        <v>304</v>
      </c>
      <c r="F233" s="540">
        <v>31</v>
      </c>
      <c r="G233" s="234">
        <f>E233+F233</f>
        <v>335</v>
      </c>
      <c r="H233" s="167" t="s">
        <v>521</v>
      </c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 t="s">
        <v>520</v>
      </c>
      <c r="I234" s="475"/>
      <c r="J234" s="168"/>
      <c r="K234" s="168"/>
    </row>
    <row r="235" spans="1:11" ht="26">
      <c r="A235" s="163"/>
      <c r="B235" s="241" t="s">
        <v>335</v>
      </c>
      <c r="C235" s="531">
        <f>'[81]Sch D'!N28</f>
        <v>30096</v>
      </c>
      <c r="D235" s="438"/>
      <c r="E235" s="233">
        <f>E231*E233</f>
        <v>30096</v>
      </c>
      <c r="F235" s="238"/>
      <c r="G235" s="233">
        <f>G231*G233</f>
        <v>33165</v>
      </c>
      <c r="H235" s="167" t="s">
        <v>522</v>
      </c>
      <c r="I235" s="475"/>
      <c r="J235" s="168"/>
      <c r="K235" s="168"/>
    </row>
    <row r="236" spans="1:11" ht="26">
      <c r="A236" s="163"/>
      <c r="B236" s="241" t="s">
        <v>336</v>
      </c>
      <c r="C236" s="532">
        <f>'[81]Sch D'!N30</f>
        <v>0.4456738437001595</v>
      </c>
      <c r="D236" s="238"/>
      <c r="E236" s="242">
        <f>E228/E235</f>
        <v>0.4456738437001595</v>
      </c>
      <c r="F236" s="243"/>
      <c r="G236" s="242">
        <f>G228/G235</f>
        <v>0.42098597919493441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'[81]Sch D'!N32</f>
        <v>0.35662546517809673</v>
      </c>
      <c r="D237" s="238"/>
      <c r="E237" s="242">
        <f>(E219+E220)/E235</f>
        <v>0.35662546517809673</v>
      </c>
      <c r="F237" s="243"/>
      <c r="G237" s="242">
        <f>(G219+G220)/G235</f>
        <v>0.33592642846374188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'[81]Sch D'!N34</f>
        <v>0.8001938417952732</v>
      </c>
      <c r="D238" s="238"/>
      <c r="E238" s="242">
        <f>(E237/E236)</f>
        <v>0.8001938417952732</v>
      </c>
      <c r="F238" s="243"/>
      <c r="G238" s="242">
        <f>(G237/G236)</f>
        <v>0.797951582867784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v>203.73469387755102</v>
      </c>
      <c r="I241" s="475"/>
    </row>
    <row r="242" spans="2:9">
      <c r="F242" s="142" t="s">
        <v>341</v>
      </c>
      <c r="G242" s="501">
        <v>206.28378378378378</v>
      </c>
      <c r="H242" s="140" t="s">
        <v>601</v>
      </c>
      <c r="I242" s="475"/>
    </row>
    <row r="243" spans="2:9">
      <c r="F243" s="142" t="s">
        <v>342</v>
      </c>
      <c r="G243" s="501">
        <v>238.71069182389937</v>
      </c>
      <c r="I243" s="475"/>
    </row>
    <row r="244" spans="2:9">
      <c r="F244" s="142" t="s">
        <v>343</v>
      </c>
      <c r="G244" s="501">
        <f>(206+206)/2</f>
        <v>206</v>
      </c>
      <c r="H244" s="140" t="s">
        <v>519</v>
      </c>
      <c r="I244" s="475"/>
    </row>
    <row r="245" spans="2:9">
      <c r="F245" s="142"/>
      <c r="H245" s="140" t="s">
        <v>524</v>
      </c>
      <c r="I245" s="475"/>
    </row>
    <row r="246" spans="2:9">
      <c r="H246" s="140" t="s">
        <v>518</v>
      </c>
      <c r="I246" s="475"/>
    </row>
  </sheetData>
  <customSheetViews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C1">
      <selection activeCell="J16" sqref="J16"/>
      <pageMargins left="0" right="0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E28CAB"/>
  </sheetPr>
  <dimension ref="A1:O246"/>
  <sheetViews>
    <sheetView topLeftCell="A32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389</v>
      </c>
      <c r="D2" s="244"/>
      <c r="E2" s="144"/>
    </row>
    <row r="3" spans="1:11">
      <c r="A3" s="145"/>
      <c r="B3" s="140" t="s">
        <v>79</v>
      </c>
      <c r="C3" s="593">
        <f>'[82]Sch A Pg 1'!B39</f>
        <v>42552</v>
      </c>
      <c r="D3" s="345" t="s">
        <v>511</v>
      </c>
      <c r="E3" s="147"/>
    </row>
    <row r="4" spans="1:11">
      <c r="A4" s="145"/>
      <c r="B4" s="148" t="s">
        <v>80</v>
      </c>
      <c r="C4" s="593">
        <f>'[82]Sch A Pg 1'!G39</f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'[82]Sch B'!E10</f>
        <v>199726</v>
      </c>
      <c r="D11" s="501">
        <f>'[82]Sch B'!G10</f>
        <v>0</v>
      </c>
      <c r="E11" s="171">
        <f>C11+D11</f>
        <v>199726</v>
      </c>
      <c r="F11" s="171"/>
      <c r="G11" s="171">
        <f t="shared" ref="G11:G20" si="0">E11+F11</f>
        <v>199726</v>
      </c>
      <c r="H11" s="172">
        <f t="shared" ref="H11:H21" si="1">IF($G$21=0,0,G11/$G$21)</f>
        <v>2.8213357886259737E-2</v>
      </c>
      <c r="I11" s="473"/>
      <c r="J11" s="336" t="s">
        <v>344</v>
      </c>
      <c r="K11" s="337">
        <f>G21</f>
        <v>7079129</v>
      </c>
    </row>
    <row r="12" spans="1:11" s="167" customFormat="1">
      <c r="A12" s="169" t="s">
        <v>15</v>
      </c>
      <c r="B12" s="170" t="s">
        <v>212</v>
      </c>
      <c r="C12" s="501">
        <f>'[82]Sch B'!E15</f>
        <v>0</v>
      </c>
      <c r="D12" s="501">
        <f>'[82]Sch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6581757</v>
      </c>
    </row>
    <row r="13" spans="1:11" s="167" customFormat="1">
      <c r="A13" s="169" t="s">
        <v>16</v>
      </c>
      <c r="B13" s="170" t="s">
        <v>170</v>
      </c>
      <c r="C13" s="501">
        <f>'[82]Sch B'!E21</f>
        <v>781603</v>
      </c>
      <c r="D13" s="501">
        <f>'[82]Sch B'!G21</f>
        <v>0</v>
      </c>
      <c r="E13" s="171">
        <f t="shared" si="2"/>
        <v>781603</v>
      </c>
      <c r="F13" s="171"/>
      <c r="G13" s="171">
        <f t="shared" si="0"/>
        <v>781603</v>
      </c>
      <c r="H13" s="172">
        <f t="shared" si="1"/>
        <v>0.11040948681681037</v>
      </c>
      <c r="I13" s="473"/>
      <c r="J13" s="338" t="s">
        <v>346</v>
      </c>
      <c r="K13" s="339">
        <f>G228</f>
        <v>28143</v>
      </c>
    </row>
    <row r="14" spans="1:11" s="167" customFormat="1">
      <c r="A14" s="173" t="s">
        <v>18</v>
      </c>
      <c r="B14" s="174" t="s">
        <v>306</v>
      </c>
      <c r="C14" s="501">
        <f>'[82]Sch B'!E27</f>
        <v>64199</v>
      </c>
      <c r="D14" s="501">
        <f>'[82]Sch B'!G27</f>
        <v>0</v>
      </c>
      <c r="E14" s="171">
        <f t="shared" si="2"/>
        <v>64199</v>
      </c>
      <c r="F14" s="175"/>
      <c r="G14" s="175">
        <f>E14+F14</f>
        <v>64199</v>
      </c>
      <c r="H14" s="176">
        <f t="shared" si="1"/>
        <v>9.0687710310124302E-3</v>
      </c>
      <c r="I14" s="479"/>
      <c r="J14" s="338" t="s">
        <v>347</v>
      </c>
      <c r="K14" s="339">
        <f>G231</f>
        <v>81</v>
      </c>
    </row>
    <row r="15" spans="1:11" s="167" customFormat="1">
      <c r="A15" s="169" t="s">
        <v>19</v>
      </c>
      <c r="B15" s="170" t="s">
        <v>171</v>
      </c>
      <c r="C15" s="501">
        <f>'[82]Sch B'!E32</f>
        <v>4579462</v>
      </c>
      <c r="D15" s="501">
        <f>'[82]Sch B'!G32</f>
        <v>-2304575</v>
      </c>
      <c r="E15" s="171">
        <f t="shared" si="2"/>
        <v>2274887</v>
      </c>
      <c r="F15" s="171"/>
      <c r="G15" s="171">
        <f t="shared" si="0"/>
        <v>2274887</v>
      </c>
      <c r="H15" s="172">
        <f t="shared" si="1"/>
        <v>0.32135125663058267</v>
      </c>
      <c r="I15" s="473"/>
      <c r="J15" s="338" t="s">
        <v>348</v>
      </c>
      <c r="K15" s="339">
        <f>G235</f>
        <v>29565</v>
      </c>
    </row>
    <row r="16" spans="1:11" s="167" customFormat="1">
      <c r="A16" s="169" t="s">
        <v>21</v>
      </c>
      <c r="B16" s="170" t="s">
        <v>172</v>
      </c>
      <c r="C16" s="501">
        <f>'[82]Sch B'!E37</f>
        <v>1337941</v>
      </c>
      <c r="D16" s="501">
        <f>'[82]Sch B'!G37</f>
        <v>2304575</v>
      </c>
      <c r="E16" s="171">
        <f t="shared" si="2"/>
        <v>3642516</v>
      </c>
      <c r="F16" s="171"/>
      <c r="G16" s="171">
        <f t="shared" si="0"/>
        <v>3642516</v>
      </c>
      <c r="H16" s="172">
        <f t="shared" si="1"/>
        <v>0.51454296142929445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'[82]Sch B'!E42</f>
        <v>116198</v>
      </c>
      <c r="D17" s="501">
        <f>'[82]Sch B'!G42</f>
        <v>0</v>
      </c>
      <c r="E17" s="171">
        <f t="shared" si="2"/>
        <v>116198</v>
      </c>
      <c r="F17" s="171"/>
      <c r="G17" s="171">
        <f>E17+F17</f>
        <v>116198</v>
      </c>
      <c r="H17" s="172">
        <f t="shared" si="1"/>
        <v>1.6414166206040321E-2</v>
      </c>
      <c r="I17" s="473"/>
      <c r="J17" s="338" t="s">
        <v>156</v>
      </c>
      <c r="K17" s="339">
        <f>J208</f>
        <v>200133</v>
      </c>
    </row>
    <row r="18" spans="1:11" s="167" customFormat="1" ht="13.5" thickBot="1">
      <c r="A18" s="169" t="s">
        <v>216</v>
      </c>
      <c r="B18" s="170" t="s">
        <v>229</v>
      </c>
      <c r="C18" s="501">
        <f>'[82]Sch B'!E47</f>
        <v>0</v>
      </c>
      <c r="D18" s="501">
        <f>'[82]Sch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212191</v>
      </c>
    </row>
    <row r="19" spans="1:11" s="167" customFormat="1">
      <c r="A19" s="169" t="s">
        <v>227</v>
      </c>
      <c r="B19" s="177" t="s">
        <v>173</v>
      </c>
      <c r="C19" s="501">
        <f>'[82]Sch B'!E52</f>
        <v>5452</v>
      </c>
      <c r="D19" s="501">
        <f>'[82]Sch B'!G52</f>
        <v>-5452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'[82]Sch B'!E67</f>
        <v>17523</v>
      </c>
      <c r="D20" s="501">
        <f>'[82]Sch B'!G67</f>
        <v>-17523</v>
      </c>
      <c r="E20" s="171">
        <f t="shared" si="2"/>
        <v>0</v>
      </c>
      <c r="F20" s="171"/>
      <c r="G20" s="171">
        <f t="shared" si="0"/>
        <v>0</v>
      </c>
      <c r="H20" s="172">
        <f t="shared" si="1"/>
        <v>0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7102104</v>
      </c>
      <c r="D21" s="501">
        <f>SUM(D11:D20)</f>
        <v>-22975</v>
      </c>
      <c r="E21" s="171">
        <f>SUM(E11:E20)</f>
        <v>7079129</v>
      </c>
      <c r="F21" s="171">
        <f>SUM(F11:F20)</f>
        <v>0</v>
      </c>
      <c r="G21" s="171">
        <f>SUM(G11:G20)</f>
        <v>7079129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'[82]Sch C'!D10</f>
        <v>0</v>
      </c>
      <c r="D25" s="501">
        <f>'[82]Sch C'!F10</f>
        <v>130371</v>
      </c>
      <c r="E25" s="171">
        <f t="shared" ref="E25:E60" si="3">C25+D25</f>
        <v>130371</v>
      </c>
      <c r="F25" s="171"/>
      <c r="G25" s="182">
        <f>E25+F25</f>
        <v>130371</v>
      </c>
      <c r="H25" s="172">
        <f>IF($G$208=0,0,G25/$G$208)</f>
        <v>1.9807932745010186E-2</v>
      </c>
      <c r="I25" s="473"/>
      <c r="J25" s="183">
        <v>1884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'[82]Sch C'!D11</f>
        <v>0</v>
      </c>
      <c r="D26" s="501">
        <f>'[82]Sch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'[82]Sch C'!D12</f>
        <v>294524</v>
      </c>
      <c r="D27" s="501">
        <f>'[82]Sch C'!F12</f>
        <v>-130371</v>
      </c>
      <c r="E27" s="171">
        <f t="shared" si="3"/>
        <v>164153</v>
      </c>
      <c r="F27" s="171"/>
      <c r="G27" s="171">
        <f t="shared" si="4"/>
        <v>164153</v>
      </c>
      <c r="H27" s="172">
        <f t="shared" si="5"/>
        <v>2.4940604765566397E-2</v>
      </c>
      <c r="I27" s="473"/>
      <c r="J27" s="183">
        <v>8703</v>
      </c>
      <c r="K27" s="183">
        <v>10515</v>
      </c>
    </row>
    <row r="28" spans="1:11" s="167" customFormat="1">
      <c r="A28" s="169" t="s">
        <v>86</v>
      </c>
      <c r="B28" s="170" t="s">
        <v>45</v>
      </c>
      <c r="C28" s="501">
        <f>'[82]Sch C'!D13</f>
        <v>76951</v>
      </c>
      <c r="D28" s="501">
        <f>'[82]Sch C'!F13</f>
        <v>0</v>
      </c>
      <c r="E28" s="171">
        <f t="shared" si="3"/>
        <v>76951</v>
      </c>
      <c r="F28" s="171"/>
      <c r="G28" s="171">
        <f t="shared" si="4"/>
        <v>76951</v>
      </c>
      <c r="H28" s="172">
        <f t="shared" si="5"/>
        <v>1.1691558956065986E-2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'[82]Sch C'!D14</f>
        <v>0</v>
      </c>
      <c r="D29" s="501">
        <f>'[82]Sch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'[82]Sch C'!D15</f>
        <v>0</v>
      </c>
      <c r="D30" s="501">
        <f>'[82]Sch C'!F15</f>
        <v>425517</v>
      </c>
      <c r="E30" s="171">
        <f t="shared" si="3"/>
        <v>425517</v>
      </c>
      <c r="F30" s="171"/>
      <c r="G30" s="171">
        <f t="shared" si="4"/>
        <v>425517</v>
      </c>
      <c r="H30" s="172">
        <f t="shared" si="5"/>
        <v>6.4650973896483874E-2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'[82]Sch C'!D16</f>
        <v>425517</v>
      </c>
      <c r="D31" s="501">
        <f>'[82]Sch C'!F16</f>
        <v>-425517</v>
      </c>
      <c r="E31" s="171">
        <f t="shared" si="3"/>
        <v>0</v>
      </c>
      <c r="F31" s="171"/>
      <c r="G31" s="171">
        <f t="shared" si="4"/>
        <v>0</v>
      </c>
      <c r="H31" s="172">
        <f t="shared" si="5"/>
        <v>0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'[82]Sch C'!D17</f>
        <v>3882</v>
      </c>
      <c r="D32" s="501">
        <f>'[82]Sch C'!F17</f>
        <v>-3882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'[82]Sch C'!D18</f>
        <v>45483</v>
      </c>
      <c r="D33" s="501">
        <f>'[82]Sch C'!F18</f>
        <v>0</v>
      </c>
      <c r="E33" s="171">
        <f t="shared" si="3"/>
        <v>45483</v>
      </c>
      <c r="F33" s="171"/>
      <c r="G33" s="171">
        <f t="shared" si="4"/>
        <v>45483</v>
      </c>
      <c r="H33" s="172">
        <f t="shared" si="5"/>
        <v>6.9104647892652372E-3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'[82]Sch C'!D19</f>
        <v>9817</v>
      </c>
      <c r="D34" s="501">
        <f>'[82]Sch C'!F19</f>
        <v>0</v>
      </c>
      <c r="E34" s="171">
        <f t="shared" si="3"/>
        <v>9817</v>
      </c>
      <c r="F34" s="171"/>
      <c r="G34" s="171">
        <f t="shared" si="4"/>
        <v>9817</v>
      </c>
      <c r="H34" s="172">
        <f t="shared" si="5"/>
        <v>1.4915470139660275E-3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'[82]Sch C'!D20</f>
        <v>22469</v>
      </c>
      <c r="D35" s="501">
        <f>'[82]Sch C'!F20</f>
        <v>0</v>
      </c>
      <c r="E35" s="171">
        <f t="shared" si="3"/>
        <v>22469</v>
      </c>
      <c r="F35" s="171"/>
      <c r="G35" s="171">
        <f t="shared" si="4"/>
        <v>22469</v>
      </c>
      <c r="H35" s="172">
        <f t="shared" si="5"/>
        <v>3.4138300760723924E-3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'[82]Sch C'!D21</f>
        <v>4172</v>
      </c>
      <c r="D36" s="501">
        <f>'[82]Sch C'!F21</f>
        <v>0</v>
      </c>
      <c r="E36" s="171">
        <f t="shared" si="3"/>
        <v>4172</v>
      </c>
      <c r="F36" s="171"/>
      <c r="G36" s="171">
        <f t="shared" si="4"/>
        <v>4172</v>
      </c>
      <c r="H36" s="172">
        <f t="shared" si="5"/>
        <v>6.3387329553491563E-4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'[82]Sch C'!D22</f>
        <v>0</v>
      </c>
      <c r="D37" s="501">
        <f>'[82]Sch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'[82]Sch C'!D23</f>
        <v>11125</v>
      </c>
      <c r="D38" s="501">
        <f>'[82]Sch C'!F23</f>
        <v>0</v>
      </c>
      <c r="E38" s="171">
        <f t="shared" si="3"/>
        <v>11125</v>
      </c>
      <c r="F38" s="171"/>
      <c r="G38" s="171">
        <f t="shared" si="4"/>
        <v>11125</v>
      </c>
      <c r="H38" s="172">
        <f t="shared" si="5"/>
        <v>1.6902781430551143E-3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'[82]Sch C'!D24</f>
        <v>23255</v>
      </c>
      <c r="D39" s="501">
        <f>'[82]Sch C'!F24</f>
        <v>0</v>
      </c>
      <c r="E39" s="171">
        <f t="shared" si="3"/>
        <v>23255</v>
      </c>
      <c r="F39" s="171"/>
      <c r="G39" s="171">
        <f t="shared" si="4"/>
        <v>23255</v>
      </c>
      <c r="H39" s="172">
        <f t="shared" si="5"/>
        <v>3.5332510756626231E-3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'[82]Sch C'!D25</f>
        <v>0</v>
      </c>
      <c r="D40" s="501">
        <f>'[82]Sch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'[82]Sch C'!D26</f>
        <v>0</v>
      </c>
      <c r="D41" s="501">
        <f>'[82]Sch C'!F26</f>
        <v>0</v>
      </c>
      <c r="E41" s="171">
        <f t="shared" si="3"/>
        <v>0</v>
      </c>
      <c r="F41" s="171"/>
      <c r="G41" s="171">
        <f t="shared" si="4"/>
        <v>0</v>
      </c>
      <c r="H41" s="172">
        <f t="shared" si="5"/>
        <v>0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'[82]Sch C'!D27</f>
        <v>377</v>
      </c>
      <c r="D42" s="501">
        <f>'[82]Sch C'!F27</f>
        <v>-4</v>
      </c>
      <c r="E42" s="171">
        <f t="shared" si="3"/>
        <v>373</v>
      </c>
      <c r="F42" s="171"/>
      <c r="G42" s="171">
        <f t="shared" si="4"/>
        <v>373</v>
      </c>
      <c r="H42" s="172">
        <f t="shared" si="5"/>
        <v>5.6671797515465858E-5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'[82]Sch C'!D28</f>
        <v>0</v>
      </c>
      <c r="D43" s="501">
        <f>'[82]Sch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'[82]Sch C'!D29</f>
        <v>9287</v>
      </c>
      <c r="D44" s="501">
        <f>'[82]Sch C'!F29</f>
        <v>-9287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'[82]Sch C'!D30</f>
        <v>1500</v>
      </c>
      <c r="D45" s="501">
        <f>'[82]Sch C'!F30</f>
        <v>-1500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'[82]Sch C'!D31</f>
        <v>0</v>
      </c>
      <c r="D46" s="501">
        <f>'[82]Sch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'[82]Sch C'!D32</f>
        <v>64260</v>
      </c>
      <c r="D47" s="501">
        <f>'[82]Sch C'!F32</f>
        <v>0</v>
      </c>
      <c r="E47" s="171">
        <f t="shared" si="3"/>
        <v>64260</v>
      </c>
      <c r="F47" s="171"/>
      <c r="G47" s="171">
        <f t="shared" si="4"/>
        <v>64260</v>
      </c>
      <c r="H47" s="172">
        <f t="shared" si="5"/>
        <v>9.7633504245143044E-3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'[82]Sch C'!D33</f>
        <v>0</v>
      </c>
      <c r="D48" s="501">
        <f>'[82]Sch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'[82]Sch C'!D34</f>
        <v>2430</v>
      </c>
      <c r="D49" s="501">
        <f>'[82]Sch C'!F34</f>
        <v>0</v>
      </c>
      <c r="E49" s="171">
        <f t="shared" si="3"/>
        <v>2430</v>
      </c>
      <c r="F49" s="171"/>
      <c r="G49" s="171">
        <f t="shared" si="4"/>
        <v>2430</v>
      </c>
      <c r="H49" s="172">
        <f t="shared" si="5"/>
        <v>3.6920232697743174E-4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'[82]Sch C'!D35</f>
        <v>0</v>
      </c>
      <c r="D50" s="501">
        <f>'[82]Sch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'[82]Sch C'!D36</f>
        <v>0</v>
      </c>
      <c r="D51" s="501">
        <f>'[82]Sch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'[82]Sch C'!D37</f>
        <v>0</v>
      </c>
      <c r="D52" s="501">
        <f>'[82]Sch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'[82]Sch C'!D38</f>
        <v>5206</v>
      </c>
      <c r="D53" s="501">
        <f>'[82]Sch C'!F38</f>
        <v>-5206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'[82]Sch C'!D39</f>
        <v>11688</v>
      </c>
      <c r="D54" s="501">
        <f>'[82]Sch C'!F39</f>
        <v>0</v>
      </c>
      <c r="E54" s="171">
        <f t="shared" si="3"/>
        <v>11688</v>
      </c>
      <c r="F54" s="171"/>
      <c r="G54" s="171">
        <f t="shared" si="4"/>
        <v>11688</v>
      </c>
      <c r="H54" s="172">
        <f t="shared" si="5"/>
        <v>1.7758176122272518E-3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'[82]Sch C'!D40</f>
        <v>7064</v>
      </c>
      <c r="D55" s="501">
        <f>'[82]Sch C'!F40</f>
        <v>-7064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'[82]Sch C'!D41</f>
        <v>52678</v>
      </c>
      <c r="D56" s="501">
        <f>'[82]Sch C'!F41</f>
        <v>0</v>
      </c>
      <c r="E56" s="171">
        <f t="shared" si="3"/>
        <v>52678</v>
      </c>
      <c r="F56" s="171"/>
      <c r="G56" s="171">
        <f t="shared" si="4"/>
        <v>52678</v>
      </c>
      <c r="H56" s="172">
        <f t="shared" si="5"/>
        <v>8.0036379343691958E-3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'[82]Sch C'!D42</f>
        <v>0</v>
      </c>
      <c r="D57" s="501">
        <f>'[82]Sch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'[82]Sch C'!D43</f>
        <v>14598</v>
      </c>
      <c r="D58" s="501">
        <f>'[82]Sch C'!F43</f>
        <v>-14598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'[82]Sch C'!D44</f>
        <v>0</v>
      </c>
      <c r="D59" s="501">
        <f>'[82]Sch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'[82]Sch C'!D45</f>
        <v>291281</v>
      </c>
      <c r="D60" s="501">
        <f>'[82]Sch C'!F45</f>
        <v>-290611</v>
      </c>
      <c r="E60" s="171">
        <f t="shared" si="3"/>
        <v>670</v>
      </c>
      <c r="F60" s="171">
        <v>-8656</v>
      </c>
      <c r="G60" s="171">
        <f t="shared" si="4"/>
        <v>-7986</v>
      </c>
      <c r="H60" s="172">
        <f t="shared" si="5"/>
        <v>-1.2133538202641026E-3</v>
      </c>
      <c r="I60" s="473" t="s">
        <v>688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1377564</v>
      </c>
      <c r="D61" s="501">
        <f>SUM(D25:D60)</f>
        <v>-332152</v>
      </c>
      <c r="E61" s="171">
        <f t="shared" ref="E61:F61" si="6">SUM(E25:E60)</f>
        <v>1045412</v>
      </c>
      <c r="F61" s="171">
        <f t="shared" si="6"/>
        <v>-8656</v>
      </c>
      <c r="G61" s="171">
        <f>SUM(G25:G60)</f>
        <v>1036756</v>
      </c>
      <c r="H61" s="186">
        <f t="shared" si="5"/>
        <v>0.15751964103202229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'[82]Sch C'!D57</f>
        <v>0</v>
      </c>
      <c r="D64" s="501">
        <f>'[82]Sch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'[82]Sch C'!D58</f>
        <v>829</v>
      </c>
      <c r="D65" s="501">
        <f>'[82]Sch C'!F58</f>
        <v>0</v>
      </c>
      <c r="E65" s="171">
        <f t="shared" si="7"/>
        <v>829</v>
      </c>
      <c r="F65" s="171"/>
      <c r="G65" s="171">
        <f t="shared" si="8"/>
        <v>829</v>
      </c>
      <c r="H65" s="172">
        <f t="shared" si="9"/>
        <v>1.2595420949147772E-4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'[82]Sch C'!D59</f>
        <v>0</v>
      </c>
      <c r="D66" s="501">
        <f>'[82]Sch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'[82]Sch C'!D60</f>
        <v>0</v>
      </c>
      <c r="D67" s="501">
        <f>'[82]Sch C'!F60</f>
        <v>0</v>
      </c>
      <c r="E67" s="171">
        <f t="shared" si="7"/>
        <v>0</v>
      </c>
      <c r="F67" s="171"/>
      <c r="G67" s="171">
        <f t="shared" si="8"/>
        <v>0</v>
      </c>
      <c r="H67" s="172">
        <f t="shared" si="9"/>
        <v>0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'[82]Sch C'!D61</f>
        <v>19293</v>
      </c>
      <c r="D68" s="501">
        <f>'[82]Sch C'!F61</f>
        <v>0</v>
      </c>
      <c r="E68" s="171">
        <f t="shared" si="7"/>
        <v>19293</v>
      </c>
      <c r="F68" s="171"/>
      <c r="G68" s="171">
        <f t="shared" si="8"/>
        <v>19293</v>
      </c>
      <c r="H68" s="172">
        <f t="shared" si="9"/>
        <v>2.9312841540640286E-3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'[82]Sch C'!D62</f>
        <v>0</v>
      </c>
      <c r="D69" s="501">
        <f>'[82]Sch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'[82]Sch C'!D63</f>
        <v>0</v>
      </c>
      <c r="D70" s="501">
        <f>'[82]Sch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'[82]Sch C'!D64</f>
        <v>0</v>
      </c>
      <c r="D71" s="501">
        <f>'[82]Sch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'[82]Sch C'!D65</f>
        <v>5537</v>
      </c>
      <c r="D72" s="501">
        <f>'[82]Sch C'!F65</f>
        <v>0</v>
      </c>
      <c r="E72" s="171">
        <f t="shared" si="7"/>
        <v>5537</v>
      </c>
      <c r="F72" s="171"/>
      <c r="G72" s="171">
        <f t="shared" si="8"/>
        <v>5537</v>
      </c>
      <c r="H72" s="172">
        <f t="shared" si="9"/>
        <v>8.4126472612100381E-4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'[82]Sch C'!D66</f>
        <v>36583</v>
      </c>
      <c r="D73" s="501">
        <f>'[82]Sch C'!F66</f>
        <v>0</v>
      </c>
      <c r="E73" s="171">
        <f t="shared" si="7"/>
        <v>36583</v>
      </c>
      <c r="F73" s="171"/>
      <c r="G73" s="171">
        <f t="shared" si="8"/>
        <v>36583</v>
      </c>
      <c r="H73" s="172">
        <f t="shared" si="9"/>
        <v>5.5582422748211456E-3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'[82]Sch C'!D67</f>
        <v>24941</v>
      </c>
      <c r="D74" s="501">
        <f>'[82]Sch C'!F67</f>
        <v>0</v>
      </c>
      <c r="E74" s="171">
        <f t="shared" si="7"/>
        <v>24941</v>
      </c>
      <c r="F74" s="171"/>
      <c r="G74" s="171">
        <f t="shared" si="8"/>
        <v>24941</v>
      </c>
      <c r="H74" s="172">
        <f t="shared" si="9"/>
        <v>3.7894136778370883E-3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'[82]Sch C'!D68</f>
        <v>0</v>
      </c>
      <c r="D75" s="501">
        <f>'[82]Sch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'[82]Sch C'!D69</f>
        <v>0</v>
      </c>
      <c r="D76" s="501">
        <f>'[82]Sch C'!F69</f>
        <v>0</v>
      </c>
      <c r="E76" s="171">
        <f t="shared" si="7"/>
        <v>0</v>
      </c>
      <c r="F76" s="171"/>
      <c r="G76" s="171">
        <f t="shared" si="8"/>
        <v>0</v>
      </c>
      <c r="H76" s="172">
        <f t="shared" si="9"/>
        <v>0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'[82]Sch C'!D70</f>
        <v>-620</v>
      </c>
      <c r="D77" s="501">
        <f>'[82]Sch C'!F70</f>
        <v>0</v>
      </c>
      <c r="E77" s="171">
        <f t="shared" si="7"/>
        <v>-620</v>
      </c>
      <c r="F77" s="171"/>
      <c r="G77" s="171">
        <f t="shared" si="8"/>
        <v>-620</v>
      </c>
      <c r="H77" s="172">
        <f t="shared" si="9"/>
        <v>-9.4199770669138949E-5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'[82]Sch C'!D71</f>
        <v>0</v>
      </c>
      <c r="D78" s="501">
        <f>'[82]Sch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86563</v>
      </c>
      <c r="D79" s="501">
        <f>SUM(D64:D78)</f>
        <v>0</v>
      </c>
      <c r="E79" s="171">
        <f t="shared" ref="E79:F79" si="10">SUM(E64:E78)</f>
        <v>86563</v>
      </c>
      <c r="F79" s="171">
        <f t="shared" si="10"/>
        <v>0</v>
      </c>
      <c r="G79" s="171">
        <f>SUM(G64:G78)</f>
        <v>86563</v>
      </c>
      <c r="H79" s="172">
        <f t="shared" si="9"/>
        <v>1.3151959271665606E-2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'[82]Sch C'!D75</f>
        <v>82214</v>
      </c>
      <c r="D82" s="501">
        <f>'[82]Sch C'!F75</f>
        <v>0</v>
      </c>
      <c r="E82" s="171">
        <f t="shared" ref="E82:E92" si="11">C82+D82</f>
        <v>82214</v>
      </c>
      <c r="F82" s="171"/>
      <c r="G82" s="171">
        <f t="shared" ref="G82:G92" si="12">E82+F82</f>
        <v>82214</v>
      </c>
      <c r="H82" s="172">
        <f t="shared" ref="H82:H93" si="13">IF($G$208=0,0,G82/$G$208)</f>
        <v>1.249119346095579E-2</v>
      </c>
      <c r="I82" s="473"/>
      <c r="J82" s="183">
        <v>4022</v>
      </c>
      <c r="K82" s="183">
        <v>4380</v>
      </c>
    </row>
    <row r="83" spans="1:11" s="167" customFormat="1">
      <c r="A83" s="169" t="s">
        <v>86</v>
      </c>
      <c r="B83" s="199" t="s">
        <v>45</v>
      </c>
      <c r="C83" s="501">
        <f>'[82]Sch C'!D76</f>
        <v>25767</v>
      </c>
      <c r="D83" s="501">
        <f>'[82]Sch C'!F76</f>
        <v>0</v>
      </c>
      <c r="E83" s="171">
        <f t="shared" si="11"/>
        <v>25767</v>
      </c>
      <c r="F83" s="171"/>
      <c r="G83" s="171">
        <f t="shared" si="12"/>
        <v>25767</v>
      </c>
      <c r="H83" s="172">
        <f t="shared" si="13"/>
        <v>3.9149120819866184E-3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'[82]Sch C'!D77</f>
        <v>9285</v>
      </c>
      <c r="D84" s="501">
        <f>'[82]Sch C'!F77</f>
        <v>0</v>
      </c>
      <c r="E84" s="171">
        <f t="shared" si="11"/>
        <v>9285</v>
      </c>
      <c r="F84" s="171"/>
      <c r="G84" s="171">
        <f t="shared" si="12"/>
        <v>9285</v>
      </c>
      <c r="H84" s="172">
        <f t="shared" si="13"/>
        <v>1.410717533327347E-3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'[82]Sch C'!D78</f>
        <v>0</v>
      </c>
      <c r="D85" s="501">
        <f>'[82]Sch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'[82]Sch C'!D79</f>
        <v>214</v>
      </c>
      <c r="D86" s="501">
        <f>'[82]Sch C'!F79</f>
        <v>0</v>
      </c>
      <c r="E86" s="171">
        <f t="shared" si="11"/>
        <v>214</v>
      </c>
      <c r="F86" s="171"/>
      <c r="G86" s="171">
        <f>E86+F86</f>
        <v>214</v>
      </c>
      <c r="H86" s="172">
        <f t="shared" si="13"/>
        <v>3.2514114392251186E-5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'[82]Sch C'!D80</f>
        <v>15641</v>
      </c>
      <c r="D87" s="501">
        <f>'[82]Sch C'!F80</f>
        <v>0</v>
      </c>
      <c r="E87" s="171">
        <f t="shared" si="11"/>
        <v>15641</v>
      </c>
      <c r="F87" s="171"/>
      <c r="G87" s="171">
        <f t="shared" si="12"/>
        <v>15641</v>
      </c>
      <c r="H87" s="172">
        <f t="shared" si="13"/>
        <v>2.3764171178000037E-3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'[82]Sch C'!D81</f>
        <v>23495</v>
      </c>
      <c r="D88" s="501">
        <f>'[82]Sch C'!F81</f>
        <v>0</v>
      </c>
      <c r="E88" s="171">
        <f t="shared" si="11"/>
        <v>23495</v>
      </c>
      <c r="F88" s="171"/>
      <c r="G88" s="171">
        <f t="shared" si="12"/>
        <v>23495</v>
      </c>
      <c r="H88" s="172">
        <f t="shared" si="13"/>
        <v>3.5697155030184188E-3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'[82]Sch C'!D82</f>
        <v>16504</v>
      </c>
      <c r="D89" s="501">
        <f>'[82]Sch C'!F82</f>
        <v>0</v>
      </c>
      <c r="E89" s="171">
        <f t="shared" si="11"/>
        <v>16504</v>
      </c>
      <c r="F89" s="171"/>
      <c r="G89" s="171">
        <f t="shared" si="12"/>
        <v>16504</v>
      </c>
      <c r="H89" s="172">
        <f t="shared" si="13"/>
        <v>2.5075371211668858E-3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'[82]Sch C'!D83</f>
        <v>0</v>
      </c>
      <c r="D90" s="501">
        <f>'[82]Sch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'[82]Sch C'!D84</f>
        <v>137027</v>
      </c>
      <c r="D91" s="501">
        <f>'[82]Sch C'!F84</f>
        <v>0</v>
      </c>
      <c r="E91" s="171">
        <f t="shared" si="11"/>
        <v>137027</v>
      </c>
      <c r="F91" s="171"/>
      <c r="G91" s="171">
        <f t="shared" si="12"/>
        <v>137027</v>
      </c>
      <c r="H91" s="172">
        <f t="shared" si="13"/>
        <v>2.0819212863677588E-2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'[82]Sch C'!D85</f>
        <v>0</v>
      </c>
      <c r="D92" s="501">
        <f>'[82]Sch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310147</v>
      </c>
      <c r="D93" s="501">
        <f>SUM(D82:D92)</f>
        <v>0</v>
      </c>
      <c r="E93" s="171">
        <f t="shared" ref="E93:F93" si="14">SUM(E82:E92)</f>
        <v>310147</v>
      </c>
      <c r="F93" s="171">
        <f t="shared" si="14"/>
        <v>0</v>
      </c>
      <c r="G93" s="171">
        <f>SUM(G82:G92)</f>
        <v>310147</v>
      </c>
      <c r="H93" s="172">
        <f t="shared" si="13"/>
        <v>4.7122219796324902E-2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'[82]Sch C'!D89</f>
        <v>338450</v>
      </c>
      <c r="D96" s="501">
        <f>'[82]Sch C'!F89</f>
        <v>0</v>
      </c>
      <c r="E96" s="171">
        <f t="shared" ref="E96:E101" si="15">C96+D96</f>
        <v>338450</v>
      </c>
      <c r="F96" s="171"/>
      <c r="G96" s="171">
        <f t="shared" ref="G96:G101" si="16">E96+F96</f>
        <v>338450</v>
      </c>
      <c r="H96" s="172">
        <f t="shared" ref="H96:H102" si="17">IF($G$208=0,0,G96/$G$208)</f>
        <v>5.1422439327371096E-2</v>
      </c>
      <c r="I96" s="473"/>
      <c r="J96" s="183">
        <v>24906</v>
      </c>
      <c r="K96" s="183">
        <v>26378</v>
      </c>
    </row>
    <row r="97" spans="1:11" s="167" customFormat="1">
      <c r="A97" s="169" t="s">
        <v>86</v>
      </c>
      <c r="B97" s="170" t="s">
        <v>45</v>
      </c>
      <c r="C97" s="501">
        <f>'[82]Sch C'!D90</f>
        <v>88200</v>
      </c>
      <c r="D97" s="501">
        <f>'[82]Sch C'!F90</f>
        <v>0</v>
      </c>
      <c r="E97" s="171">
        <f t="shared" si="15"/>
        <v>88200</v>
      </c>
      <c r="F97" s="171"/>
      <c r="G97" s="171">
        <f t="shared" si="16"/>
        <v>88200</v>
      </c>
      <c r="H97" s="172">
        <f t="shared" si="17"/>
        <v>1.3400677053254928E-2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'[82]Sch C'!D91</f>
        <v>10390</v>
      </c>
      <c r="D98" s="501">
        <f>'[82]Sch C'!F91</f>
        <v>0</v>
      </c>
      <c r="E98" s="171">
        <f t="shared" si="15"/>
        <v>10390</v>
      </c>
      <c r="F98" s="171"/>
      <c r="G98" s="171">
        <f t="shared" si="16"/>
        <v>10390</v>
      </c>
      <c r="H98" s="172">
        <f t="shared" si="17"/>
        <v>1.5786058342779899E-3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'[82]Sch C'!D92</f>
        <v>324679</v>
      </c>
      <c r="D99" s="501">
        <f>'[82]Sch C'!F92</f>
        <v>-10158</v>
      </c>
      <c r="E99" s="171">
        <f t="shared" si="15"/>
        <v>314521</v>
      </c>
      <c r="F99" s="171"/>
      <c r="G99" s="171">
        <f t="shared" si="16"/>
        <v>314521</v>
      </c>
      <c r="H99" s="172">
        <f t="shared" si="17"/>
        <v>4.7786783984884278E-2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'[82]Sch C'!D93</f>
        <v>19664</v>
      </c>
      <c r="D100" s="501">
        <f>'[82]Sch C'!F93</f>
        <v>0</v>
      </c>
      <c r="E100" s="171">
        <f t="shared" si="15"/>
        <v>19664</v>
      </c>
      <c r="F100" s="171"/>
      <c r="G100" s="171">
        <f t="shared" si="16"/>
        <v>19664</v>
      </c>
      <c r="H100" s="172">
        <f t="shared" si="17"/>
        <v>2.9876520813515296E-3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'[82]Sch C'!D94</f>
        <v>0</v>
      </c>
      <c r="D101" s="501">
        <f>'[82]Sch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781383</v>
      </c>
      <c r="D102" s="501">
        <f>SUM(D96:D101)</f>
        <v>-10158</v>
      </c>
      <c r="E102" s="171">
        <f t="shared" ref="E102:F102" si="18">SUM(E96:E101)</f>
        <v>771225</v>
      </c>
      <c r="F102" s="171">
        <f t="shared" si="18"/>
        <v>0</v>
      </c>
      <c r="G102" s="171">
        <f>SUM(G96:G101)</f>
        <v>771225</v>
      </c>
      <c r="H102" s="172">
        <f t="shared" si="17"/>
        <v>0.11717615828113982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'[82]Sch C'!D98</f>
        <v>65711</v>
      </c>
      <c r="D105" s="501">
        <f>'[82]Sch C'!F98</f>
        <v>0</v>
      </c>
      <c r="E105" s="171">
        <f t="shared" ref="E105:E110" si="19">C105+D105</f>
        <v>65711</v>
      </c>
      <c r="F105" s="171"/>
      <c r="G105" s="171">
        <f t="shared" ref="G105:G110" si="20">E105+F105</f>
        <v>65711</v>
      </c>
      <c r="H105" s="172">
        <f t="shared" ref="H105:H111" si="21">IF($G$208=0,0,G105/$G$208)</f>
        <v>9.9838082749028872E-3</v>
      </c>
      <c r="I105" s="473"/>
      <c r="J105" s="183">
        <v>5900</v>
      </c>
      <c r="K105" s="183">
        <v>6204</v>
      </c>
    </row>
    <row r="106" spans="1:11" s="167" customFormat="1">
      <c r="A106" s="169" t="s">
        <v>86</v>
      </c>
      <c r="B106" s="170" t="s">
        <v>45</v>
      </c>
      <c r="C106" s="501">
        <f>'[82]Sch C'!D99</f>
        <v>23796</v>
      </c>
      <c r="D106" s="501">
        <f>'[82]Sch C'!F99</f>
        <v>0</v>
      </c>
      <c r="E106" s="171">
        <f t="shared" si="19"/>
        <v>23796</v>
      </c>
      <c r="F106" s="171"/>
      <c r="G106" s="171">
        <f t="shared" si="20"/>
        <v>23796</v>
      </c>
      <c r="H106" s="172">
        <f t="shared" si="21"/>
        <v>3.6154479723271462E-3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'[82]Sch C'!D100</f>
        <v>1781</v>
      </c>
      <c r="D107" s="501">
        <f>'[82]Sch C'!F100</f>
        <v>0</v>
      </c>
      <c r="E107" s="171">
        <f t="shared" si="19"/>
        <v>1781</v>
      </c>
      <c r="F107" s="171"/>
      <c r="G107" s="171">
        <f t="shared" si="20"/>
        <v>1781</v>
      </c>
      <c r="H107" s="172">
        <f t="shared" si="21"/>
        <v>2.7059643800280076E-4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'[82]Sch C'!D101</f>
        <v>0</v>
      </c>
      <c r="D108" s="501">
        <f>'[82]Sch C'!F101</f>
        <v>0</v>
      </c>
      <c r="E108" s="171">
        <f t="shared" si="19"/>
        <v>0</v>
      </c>
      <c r="F108" s="171"/>
      <c r="G108" s="171">
        <f t="shared" si="20"/>
        <v>0</v>
      </c>
      <c r="H108" s="172">
        <f t="shared" si="21"/>
        <v>0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'[82]Sch C'!D102</f>
        <v>4350</v>
      </c>
      <c r="D109" s="501">
        <f>'[82]Sch C'!F102</f>
        <v>0</v>
      </c>
      <c r="E109" s="171">
        <f t="shared" si="19"/>
        <v>4350</v>
      </c>
      <c r="F109" s="171"/>
      <c r="G109" s="171">
        <f t="shared" si="20"/>
        <v>4350</v>
      </c>
      <c r="H109" s="172">
        <f t="shared" si="21"/>
        <v>6.6091774582379748E-4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'[82]Sch C'!D103</f>
        <v>0</v>
      </c>
      <c r="D110" s="501">
        <f>'[82]Sch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95638</v>
      </c>
      <c r="D111" s="501">
        <f>SUM(D105:D110)</f>
        <v>0</v>
      </c>
      <c r="E111" s="171">
        <f t="shared" ref="E111:F111" si="22">SUM(E105:E110)</f>
        <v>95638</v>
      </c>
      <c r="F111" s="171">
        <f t="shared" si="22"/>
        <v>0</v>
      </c>
      <c r="G111" s="171">
        <f>SUM(G105:G110)</f>
        <v>95638</v>
      </c>
      <c r="H111" s="172">
        <f t="shared" si="21"/>
        <v>1.4530770431056632E-2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'[82]Sch C'!D115</f>
        <v>161182</v>
      </c>
      <c r="D114" s="501">
        <f>'[82]Sch C'!F115</f>
        <v>0</v>
      </c>
      <c r="E114" s="171">
        <f t="shared" ref="E114:E118" si="23">C114+D114</f>
        <v>161182</v>
      </c>
      <c r="F114" s="171"/>
      <c r="G114" s="171">
        <f>E114+F114</f>
        <v>161182</v>
      </c>
      <c r="H114" s="172">
        <f t="shared" ref="H114:H119" si="24">IF($G$208=0,0,G114/$G$208)</f>
        <v>2.4489205541924443E-2</v>
      </c>
      <c r="I114" s="473"/>
      <c r="J114" s="183">
        <v>13266</v>
      </c>
      <c r="K114" s="183">
        <v>14183</v>
      </c>
    </row>
    <row r="115" spans="1:11" s="167" customFormat="1">
      <c r="A115" s="169" t="s">
        <v>86</v>
      </c>
      <c r="B115" s="170" t="s">
        <v>151</v>
      </c>
      <c r="C115" s="501">
        <f>'[82]Sch C'!D116</f>
        <v>32350</v>
      </c>
      <c r="D115" s="501">
        <f>'[82]Sch C'!F116</f>
        <v>0</v>
      </c>
      <c r="E115" s="171">
        <f t="shared" si="23"/>
        <v>32350</v>
      </c>
      <c r="F115" s="171"/>
      <c r="G115" s="171">
        <f>E115+F115</f>
        <v>32350</v>
      </c>
      <c r="H115" s="172">
        <f t="shared" si="24"/>
        <v>4.915100937333299E-3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'[82]Sch C'!D117</f>
        <v>42384</v>
      </c>
      <c r="D116" s="501">
        <f>'[82]Sch C'!F117</f>
        <v>0</v>
      </c>
      <c r="E116" s="171">
        <f t="shared" si="23"/>
        <v>42384</v>
      </c>
      <c r="F116" s="171"/>
      <c r="G116" s="171">
        <f>E116+F116</f>
        <v>42384</v>
      </c>
      <c r="H116" s="172">
        <f t="shared" si="24"/>
        <v>6.4396178710335247E-3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'[82]Sch C'!D118</f>
        <v>0</v>
      </c>
      <c r="D117" s="501">
        <f>'[82]Sch C'!F118</f>
        <v>0</v>
      </c>
      <c r="E117" s="171">
        <f t="shared" si="23"/>
        <v>0</v>
      </c>
      <c r="F117" s="171"/>
      <c r="G117" s="171">
        <f>E117+F117</f>
        <v>0</v>
      </c>
      <c r="H117" s="172">
        <f t="shared" si="24"/>
        <v>0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'[82]Sch C'!D119</f>
        <v>0</v>
      </c>
      <c r="D118" s="501">
        <f>'[82]Sch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235916</v>
      </c>
      <c r="D119" s="501">
        <f>SUM(D114:D118)</f>
        <v>0</v>
      </c>
      <c r="E119" s="171">
        <f t="shared" ref="E119:F119" si="25">SUM(E114:E118)</f>
        <v>235916</v>
      </c>
      <c r="F119" s="171">
        <f t="shared" si="25"/>
        <v>0</v>
      </c>
      <c r="G119" s="171">
        <f>SUM(G114:G118)</f>
        <v>235916</v>
      </c>
      <c r="H119" s="172">
        <f t="shared" si="24"/>
        <v>3.5843924350291267E-2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'[82]Sch C'!D124</f>
        <v>0</v>
      </c>
      <c r="D123" s="501">
        <f>'[82]Sch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'[82]Sch C'!D125</f>
        <v>348315</v>
      </c>
      <c r="D124" s="501">
        <f>'[82]Sch C'!F125</f>
        <v>0</v>
      </c>
      <c r="E124" s="171">
        <f t="shared" si="26"/>
        <v>348315</v>
      </c>
      <c r="F124" s="171"/>
      <c r="G124" s="171">
        <f>E124+F124</f>
        <v>348315</v>
      </c>
      <c r="H124" s="172">
        <f>IF($G$208=0,0,G124/$G$208)</f>
        <v>5.2921279226808282E-2</v>
      </c>
      <c r="I124" s="473"/>
      <c r="J124" s="183">
        <v>8311</v>
      </c>
      <c r="K124" s="183">
        <v>8941</v>
      </c>
    </row>
    <row r="125" spans="1:11" s="167" customFormat="1">
      <c r="A125" s="163" t="s">
        <v>198</v>
      </c>
      <c r="B125" s="163" t="s">
        <v>195</v>
      </c>
      <c r="C125" s="501">
        <f>'[82]Sch C'!D126</f>
        <v>0</v>
      </c>
      <c r="D125" s="501">
        <f>'[82]Sch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'[82]Sch C'!D127</f>
        <v>0</v>
      </c>
      <c r="D126" s="501">
        <f>'[82]Sch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'[82]Sch C'!D128</f>
        <v>53085</v>
      </c>
      <c r="D127" s="501">
        <f>'[82]Sch C'!F128</f>
        <v>0</v>
      </c>
      <c r="E127" s="171">
        <f t="shared" si="26"/>
        <v>53085</v>
      </c>
      <c r="F127" s="171"/>
      <c r="G127" s="171">
        <f>E127+F127</f>
        <v>53085</v>
      </c>
      <c r="H127" s="172">
        <f>IF($G$208=0,0,G127/$G$208)</f>
        <v>8.0654755257600665E-3</v>
      </c>
      <c r="I127" s="473"/>
      <c r="J127" s="183">
        <v>3108</v>
      </c>
      <c r="K127" s="183">
        <v>3496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'[82]Sch C'!D130</f>
        <v>0</v>
      </c>
      <c r="D129" s="501">
        <f>'[82]Sch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'[82]Sch C'!D131</f>
        <v>66400</v>
      </c>
      <c r="D130" s="501">
        <f>'[82]Sch C'!F131</f>
        <v>0</v>
      </c>
      <c r="E130" s="171">
        <f t="shared" si="27"/>
        <v>66400</v>
      </c>
      <c r="F130" s="171"/>
      <c r="G130" s="171">
        <f>E130+F130</f>
        <v>66400</v>
      </c>
      <c r="H130" s="172">
        <f>IF($G$208=0,0,G130/$G$208)</f>
        <v>1.0088491568436816E-2</v>
      </c>
      <c r="I130" s="473"/>
      <c r="J130" s="204"/>
      <c r="K130" s="204"/>
    </row>
    <row r="131" spans="1:11" s="167" customFormat="1">
      <c r="B131" s="163" t="s">
        <v>195</v>
      </c>
      <c r="C131" s="501">
        <f>'[82]Sch C'!D132</f>
        <v>0</v>
      </c>
      <c r="D131" s="501">
        <f>'[82]Sch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'[82]Sch C'!D133</f>
        <v>0</v>
      </c>
      <c r="D132" s="501">
        <f>'[82]Sch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'[82]Sch C'!D134</f>
        <v>8169</v>
      </c>
      <c r="D133" s="501">
        <f>'[82]Sch C'!F134</f>
        <v>0</v>
      </c>
      <c r="E133" s="171">
        <f t="shared" si="27"/>
        <v>8169</v>
      </c>
      <c r="F133" s="171"/>
      <c r="G133" s="171">
        <f>E133+F133</f>
        <v>8169</v>
      </c>
      <c r="H133" s="172">
        <f>IF($G$208=0,0,G133/$G$208)</f>
        <v>1.2411579461228969E-3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'[82]Sch C'!D136</f>
        <v>443754</v>
      </c>
      <c r="D135" s="501">
        <f>'[82]Sch C'!F136</f>
        <v>0</v>
      </c>
      <c r="E135" s="171">
        <f t="shared" ref="E135:E138" si="28">C135+D135</f>
        <v>443754</v>
      </c>
      <c r="F135" s="171"/>
      <c r="G135" s="171">
        <f>E135+F135</f>
        <v>443754</v>
      </c>
      <c r="H135" s="172">
        <f>IF($G$208=0,0,G135/$G$208)</f>
        <v>6.7421814570182398E-2</v>
      </c>
      <c r="I135" s="473"/>
      <c r="J135" s="183">
        <v>13994</v>
      </c>
      <c r="K135" s="183">
        <v>14749</v>
      </c>
    </row>
    <row r="136" spans="1:11" s="167" customFormat="1">
      <c r="A136" s="169"/>
      <c r="B136" s="163" t="s">
        <v>195</v>
      </c>
      <c r="C136" s="501">
        <f>'[82]Sch C'!D137</f>
        <v>519061</v>
      </c>
      <c r="D136" s="501">
        <f>'[82]Sch C'!F137</f>
        <v>0</v>
      </c>
      <c r="E136" s="171">
        <f t="shared" si="28"/>
        <v>519061</v>
      </c>
      <c r="F136" s="171"/>
      <c r="G136" s="171">
        <f>E136+F136</f>
        <v>519061</v>
      </c>
      <c r="H136" s="172">
        <f>IF($G$208=0,0,G136/$G$208)</f>
        <v>7.8863592198861188E-2</v>
      </c>
      <c r="I136" s="473"/>
      <c r="J136" s="183">
        <v>19896</v>
      </c>
      <c r="K136" s="183">
        <v>21065</v>
      </c>
    </row>
    <row r="137" spans="1:11" s="167" customFormat="1">
      <c r="A137" s="169"/>
      <c r="B137" s="163" t="s">
        <v>196</v>
      </c>
      <c r="C137" s="501">
        <f>'[82]Sch C'!D138</f>
        <v>899671</v>
      </c>
      <c r="D137" s="501">
        <f>'[82]Sch C'!F138</f>
        <v>13499</v>
      </c>
      <c r="E137" s="171">
        <f t="shared" si="28"/>
        <v>913170</v>
      </c>
      <c r="F137" s="171"/>
      <c r="G137" s="171">
        <f>E137+F137</f>
        <v>913170</v>
      </c>
      <c r="H137" s="172">
        <f>IF($G$208=0,0,G137/$G$208)</f>
        <v>0.13874258803538325</v>
      </c>
      <c r="I137" s="473"/>
      <c r="J137" s="183">
        <v>74326</v>
      </c>
      <c r="K137" s="183">
        <v>78359</v>
      </c>
    </row>
    <row r="138" spans="1:11" s="167" customFormat="1">
      <c r="A138" s="169"/>
      <c r="B138" s="163" t="s">
        <v>197</v>
      </c>
      <c r="C138" s="501">
        <f>'[82]Sch C'!D139</f>
        <v>13499</v>
      </c>
      <c r="D138" s="501">
        <f>'[82]Sch C'!F139</f>
        <v>-13499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'[82]Sch C'!D141</f>
        <v>377611</v>
      </c>
      <c r="D140" s="501">
        <f>'[82]Sch C'!F141</f>
        <v>-288289</v>
      </c>
      <c r="E140" s="171">
        <f t="shared" ref="E140:E143" si="29">C140+D140</f>
        <v>89322</v>
      </c>
      <c r="F140" s="171"/>
      <c r="G140" s="171">
        <f>E140+F140</f>
        <v>89322</v>
      </c>
      <c r="H140" s="172">
        <f>IF($G$208=0,0,G140/$G$208)</f>
        <v>1.3571148251143274E-2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'[82]Sch C'!D142</f>
        <v>0</v>
      </c>
      <c r="D141" s="501">
        <f>'[82]Sch C'!F142</f>
        <v>104480</v>
      </c>
      <c r="E141" s="171">
        <f t="shared" si="29"/>
        <v>104480</v>
      </c>
      <c r="F141" s="171"/>
      <c r="G141" s="171">
        <f>E141+F141</f>
        <v>104480</v>
      </c>
      <c r="H141" s="172">
        <f>IF($G$208=0,0,G141/$G$208)</f>
        <v>1.587418070888974E-2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'[82]Sch C'!D143</f>
        <v>0</v>
      </c>
      <c r="D142" s="501">
        <f>'[82]Sch C'!F143</f>
        <v>183809</v>
      </c>
      <c r="E142" s="171">
        <f t="shared" si="29"/>
        <v>183809</v>
      </c>
      <c r="F142" s="171"/>
      <c r="G142" s="171">
        <f>E142+F142</f>
        <v>183809</v>
      </c>
      <c r="H142" s="172">
        <f>IF($G$208=0,0,G142/$G$208)</f>
        <v>2.7927041366006069E-2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'[82]Sch C'!D144</f>
        <v>0</v>
      </c>
      <c r="D143" s="501">
        <f>'[82]Sch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'[82]Sch C'!D146</f>
        <v>48050</v>
      </c>
      <c r="D145" s="501">
        <f>'[82]Sch C'!F146</f>
        <v>0</v>
      </c>
      <c r="E145" s="171">
        <f t="shared" ref="E145:E153" si="30">C145+D145</f>
        <v>48050</v>
      </c>
      <c r="F145" s="171"/>
      <c r="G145" s="171">
        <f t="shared" ref="G145:G153" si="31">E145+F145</f>
        <v>48050</v>
      </c>
      <c r="H145" s="172">
        <f t="shared" ref="H145:H153" si="32">IF($G$208=0,0,G145/$G$208)</f>
        <v>7.3004822268582688E-3</v>
      </c>
      <c r="I145" s="473"/>
      <c r="J145" s="183">
        <v>331</v>
      </c>
      <c r="K145" s="183">
        <v>331</v>
      </c>
    </row>
    <row r="146" spans="1:11" s="167" customFormat="1">
      <c r="A146" s="169"/>
      <c r="B146" s="163" t="s">
        <v>194</v>
      </c>
      <c r="C146" s="501">
        <f>'[82]Sch C'!D147</f>
        <v>0</v>
      </c>
      <c r="D146" s="501">
        <f>'[82]Sch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'[82]Sch C'!D148</f>
        <v>0</v>
      </c>
      <c r="D147" s="501">
        <f>'[82]Sch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'[82]Sch C'!D149</f>
        <v>51307</v>
      </c>
      <c r="D148" s="501">
        <f>'[82]Sch C'!F149</f>
        <v>0</v>
      </c>
      <c r="E148" s="171">
        <f t="shared" si="30"/>
        <v>51307</v>
      </c>
      <c r="F148" s="171"/>
      <c r="G148" s="171">
        <f t="shared" si="31"/>
        <v>51307</v>
      </c>
      <c r="H148" s="172">
        <f t="shared" si="32"/>
        <v>7.7953348930992136E-3</v>
      </c>
      <c r="I148" s="473"/>
      <c r="J148" s="183">
        <v>2544</v>
      </c>
      <c r="K148" s="183">
        <v>2544</v>
      </c>
    </row>
    <row r="149" spans="1:11" s="167" customFormat="1">
      <c r="A149" s="169"/>
      <c r="B149" s="163" t="s">
        <v>197</v>
      </c>
      <c r="C149" s="501">
        <f>'[82]Sch C'!D150</f>
        <v>18479</v>
      </c>
      <c r="D149" s="501">
        <f>'[82]Sch C'!F150</f>
        <v>0</v>
      </c>
      <c r="E149" s="171">
        <f t="shared" si="30"/>
        <v>18479</v>
      </c>
      <c r="F149" s="171"/>
      <c r="G149" s="171">
        <f t="shared" si="31"/>
        <v>18479</v>
      </c>
      <c r="H149" s="172">
        <f t="shared" si="32"/>
        <v>2.8076089712822882E-3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'[82]Sch C'!D151</f>
        <v>77557</v>
      </c>
      <c r="D150" s="501">
        <f>'[82]Sch C'!F151</f>
        <v>0</v>
      </c>
      <c r="E150" s="171">
        <f t="shared" si="30"/>
        <v>77557</v>
      </c>
      <c r="F150" s="171"/>
      <c r="G150" s="171">
        <f t="shared" si="31"/>
        <v>77557</v>
      </c>
      <c r="H150" s="172">
        <f t="shared" si="32"/>
        <v>1.1783631635139371E-2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'[82]Sch C'!D152</f>
        <v>13358</v>
      </c>
      <c r="D151" s="501">
        <f>'[82]Sch C'!F152</f>
        <v>0</v>
      </c>
      <c r="E151" s="171">
        <f t="shared" si="30"/>
        <v>13358</v>
      </c>
      <c r="F151" s="171"/>
      <c r="G151" s="171">
        <f t="shared" si="31"/>
        <v>13358</v>
      </c>
      <c r="H151" s="172">
        <f t="shared" si="32"/>
        <v>2.029549252577997E-3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'[82]Sch C'!D153</f>
        <v>0</v>
      </c>
      <c r="D152" s="501">
        <f>'[82]Sch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'[82]Sch C'!D154</f>
        <v>0</v>
      </c>
      <c r="D153" s="501">
        <f>'[82]Sch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'[82]Sch C'!D156</f>
        <v>0</v>
      </c>
      <c r="D155" s="501">
        <f>'[82]Sch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'[82]Sch C'!D157</f>
        <v>0</v>
      </c>
      <c r="D156" s="501">
        <f>'[82]Sch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'[82]Sch C'!D158</f>
        <v>375</v>
      </c>
      <c r="D157" s="501">
        <f>'[82]Sch C'!F158</f>
        <v>0</v>
      </c>
      <c r="E157" s="171">
        <f t="shared" si="33"/>
        <v>375</v>
      </c>
      <c r="F157" s="171"/>
      <c r="G157" s="171">
        <f t="shared" si="34"/>
        <v>375</v>
      </c>
      <c r="H157" s="172">
        <f t="shared" si="35"/>
        <v>5.6975667743430816E-5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'[82]Sch C'!D159</f>
        <v>0</v>
      </c>
      <c r="D158" s="501">
        <f>'[82]Sch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'[82]Sch C'!D160</f>
        <v>0</v>
      </c>
      <c r="D159" s="501">
        <f>'[82]Sch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'[82]Sch C'!D161</f>
        <v>12969</v>
      </c>
      <c r="D160" s="501">
        <f>'[82]Sch C'!F161</f>
        <v>0</v>
      </c>
      <c r="E160" s="171">
        <f t="shared" si="33"/>
        <v>12969</v>
      </c>
      <c r="F160" s="171"/>
      <c r="G160" s="171">
        <f t="shared" si="34"/>
        <v>12969</v>
      </c>
      <c r="H160" s="172">
        <f t="shared" si="35"/>
        <v>1.9704464932388116E-3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2951660</v>
      </c>
      <c r="D161" s="501">
        <f>SUM(D123:D160)</f>
        <v>0</v>
      </c>
      <c r="E161" s="171">
        <f t="shared" ref="E161:F161" si="36">SUM(E123:E160)</f>
        <v>2951660</v>
      </c>
      <c r="F161" s="171">
        <f t="shared" si="36"/>
        <v>0</v>
      </c>
      <c r="G161" s="171">
        <f>SUM(G123:G160)</f>
        <v>2951660</v>
      </c>
      <c r="H161" s="172">
        <f t="shared" si="35"/>
        <v>0.44846079853753334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'[82]Sch C'!D175</f>
        <v>0</v>
      </c>
      <c r="D164" s="501">
        <f>'[82]Sch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'[82]Sch C'!D176</f>
        <v>0</v>
      </c>
      <c r="D165" s="501">
        <f>'[82]Sch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'[82]Sch C'!D177</f>
        <v>0</v>
      </c>
      <c r="D166" s="501">
        <f>'[82]Sch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'[82]Sch C'!D178</f>
        <v>0</v>
      </c>
      <c r="D167" s="501">
        <f>'[82]Sch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'[82]Sch C'!D179</f>
        <v>0</v>
      </c>
      <c r="D168" s="501">
        <f>'[82]Sch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'[82]Sch C'!D180</f>
        <v>0</v>
      </c>
      <c r="D169" s="501">
        <f>'[82]Sch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'[82]Sch C'!D181</f>
        <v>0</v>
      </c>
      <c r="D170" s="501">
        <f>'[82]Sch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'[82]Sch C'!D182</f>
        <v>0</v>
      </c>
      <c r="D171" s="501">
        <f>'[82]Sch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'[82]Sch C'!D183</f>
        <v>0</v>
      </c>
      <c r="D172" s="501">
        <f>'[82]Sch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'[82]Sch C'!D184</f>
        <v>0</v>
      </c>
      <c r="D173" s="501">
        <f>'[82]Sch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'[82]Sch C'!D185</f>
        <v>0</v>
      </c>
      <c r="D174" s="501">
        <f>'[82]Sch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'[82]Sch C'!D186</f>
        <v>0</v>
      </c>
      <c r="D175" s="501">
        <f>'[82]Sch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'[82]Sch C'!D187</f>
        <v>0</v>
      </c>
      <c r="D176" s="501">
        <f>'[82]Sch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'[82]Sch C'!D188</f>
        <v>0</v>
      </c>
      <c r="D177" s="501">
        <f>'[82]Sch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'[82]Sch C'!D189</f>
        <v>0</v>
      </c>
      <c r="D178" s="501">
        <f>'[82]Sch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'[82]Sch C'!D190</f>
        <v>0</v>
      </c>
      <c r="D179" s="501">
        <f>'[82]Sch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'[82]Sch C'!D191</f>
        <v>0</v>
      </c>
      <c r="D180" s="501">
        <f>'[82]Sch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'[82]Sch C'!D192</f>
        <v>0</v>
      </c>
      <c r="D181" s="501">
        <f>'[82]Sch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'[82]Sch C'!D193</f>
        <v>18494</v>
      </c>
      <c r="D182" s="501">
        <f>'[82]Sch C'!F193</f>
        <v>0</v>
      </c>
      <c r="E182" s="171">
        <f t="shared" si="37"/>
        <v>18494</v>
      </c>
      <c r="F182" s="216"/>
      <c r="G182" s="171">
        <f t="shared" si="38"/>
        <v>18494</v>
      </c>
      <c r="H182" s="172">
        <f t="shared" si="39"/>
        <v>2.8098879979920255E-3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'[82]Sch C'!D194</f>
        <v>243095</v>
      </c>
      <c r="D183" s="501">
        <f>'[82]Sch C'!F194</f>
        <v>0</v>
      </c>
      <c r="E183" s="171">
        <f t="shared" si="37"/>
        <v>243095</v>
      </c>
      <c r="F183" s="216"/>
      <c r="G183" s="171">
        <f t="shared" si="38"/>
        <v>243095</v>
      </c>
      <c r="H183" s="172">
        <f t="shared" si="39"/>
        <v>3.6934666533571504E-2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'[82]Sch C'!D195</f>
        <v>106523</v>
      </c>
      <c r="D184" s="501">
        <f>'[82]Sch C'!F195</f>
        <v>0</v>
      </c>
      <c r="E184" s="171">
        <f t="shared" si="37"/>
        <v>106523</v>
      </c>
      <c r="F184" s="216"/>
      <c r="G184" s="171">
        <f t="shared" si="38"/>
        <v>106523</v>
      </c>
      <c r="H184" s="172">
        <f t="shared" si="39"/>
        <v>1.618458414675595E-2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'[82]Sch C'!D196</f>
        <v>0</v>
      </c>
      <c r="D185" s="501">
        <f>'[82]Sch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'[82]Sch C'!D197</f>
        <v>120334</v>
      </c>
      <c r="D186" s="501">
        <f>'[82]Sch C'!F197</f>
        <v>0</v>
      </c>
      <c r="E186" s="171">
        <f t="shared" si="37"/>
        <v>120334</v>
      </c>
      <c r="F186" s="216"/>
      <c r="G186" s="171">
        <f t="shared" si="38"/>
        <v>120334</v>
      </c>
      <c r="H186" s="172">
        <f t="shared" si="39"/>
        <v>1.8282960005968012E-2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'[82]Sch C'!D198</f>
        <v>31587</v>
      </c>
      <c r="D187" s="501">
        <f>'[82]Sch C'!F198</f>
        <v>0</v>
      </c>
      <c r="E187" s="171">
        <f t="shared" si="37"/>
        <v>31587</v>
      </c>
      <c r="F187" s="216"/>
      <c r="G187" s="171">
        <f t="shared" si="38"/>
        <v>31587</v>
      </c>
      <c r="H187" s="172">
        <f t="shared" si="39"/>
        <v>4.7991744453646651E-3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'[82]Sch C'!D199</f>
        <v>0</v>
      </c>
      <c r="D188" s="501">
        <f>'[82]Sch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'[82]Sch C'!D200</f>
        <v>0</v>
      </c>
      <c r="D189" s="501">
        <f>'[82]Sch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'[82]Sch C'!D201</f>
        <v>0</v>
      </c>
      <c r="D190" s="501">
        <f>'[82]Sch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'[82]Sch C'!D202</f>
        <v>0</v>
      </c>
      <c r="D191" s="501">
        <f>'[82]Sch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'[82]Sch C'!D203</f>
        <v>0</v>
      </c>
      <c r="D192" s="501">
        <f>'[82]Sch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'[82]Sch C'!D204</f>
        <v>0</v>
      </c>
      <c r="D193" s="501">
        <f>'[82]Sch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'[82]Sch C'!D205</f>
        <v>185571</v>
      </c>
      <c r="D194" s="501">
        <f>'[82]Sch C'!F205</f>
        <v>0</v>
      </c>
      <c r="E194" s="171">
        <f t="shared" si="37"/>
        <v>185571</v>
      </c>
      <c r="F194" s="216"/>
      <c r="G194" s="171">
        <f t="shared" si="38"/>
        <v>185571</v>
      </c>
      <c r="H194" s="172">
        <f t="shared" si="39"/>
        <v>2.8194751036843203E-2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'[82]Sch C'!D206</f>
        <v>12394</v>
      </c>
      <c r="D195" s="501">
        <f>'[82]Sch C'!F206</f>
        <v>0</v>
      </c>
      <c r="E195" s="171">
        <f t="shared" si="37"/>
        <v>12394</v>
      </c>
      <c r="F195" s="216"/>
      <c r="G195" s="171">
        <f t="shared" si="38"/>
        <v>12394</v>
      </c>
      <c r="H195" s="172">
        <f t="shared" si="39"/>
        <v>1.8830838026988842E-3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'[82]Sch C'!D207</f>
        <v>1587</v>
      </c>
      <c r="D196" s="501">
        <f>'[82]Sch C'!F207</f>
        <v>0</v>
      </c>
      <c r="E196" s="171">
        <f t="shared" si="37"/>
        <v>1587</v>
      </c>
      <c r="F196" s="216"/>
      <c r="G196" s="171">
        <f t="shared" si="38"/>
        <v>1587</v>
      </c>
      <c r="H196" s="172">
        <f t="shared" si="39"/>
        <v>2.4112102589019923E-4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719585</v>
      </c>
      <c r="D197" s="501">
        <f>SUM(D164:D196)</f>
        <v>0</v>
      </c>
      <c r="E197" s="171">
        <f t="shared" ref="E197:F197" si="40">SUM(E164:E196)</f>
        <v>719585</v>
      </c>
      <c r="F197" s="171">
        <f t="shared" si="40"/>
        <v>0</v>
      </c>
      <c r="G197" s="171">
        <f>SUM(G164:G196)</f>
        <v>719585</v>
      </c>
      <c r="H197" s="172">
        <f>IF($G$208=0,0,G197/$G$208)</f>
        <v>0.10933022899508445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'[82]Sch C'!D211</f>
        <v>302655</v>
      </c>
      <c r="D200" s="501">
        <f>'[82]Sch C'!F211</f>
        <v>0</v>
      </c>
      <c r="E200" s="171">
        <f t="shared" ref="E200:E205" si="41">C200+D200</f>
        <v>302655</v>
      </c>
      <c r="F200" s="171"/>
      <c r="G200" s="171">
        <f t="shared" ref="G200:G205" si="42">E200+F200</f>
        <v>302655</v>
      </c>
      <c r="H200" s="172">
        <f t="shared" ref="H200:H206" si="43">IF($G$208=0,0,G200/$G$208)</f>
        <v>4.5983921922368144E-2</v>
      </c>
      <c r="I200" s="473"/>
      <c r="J200" s="183">
        <v>18942</v>
      </c>
      <c r="K200" s="183">
        <v>18966</v>
      </c>
    </row>
    <row r="201" spans="1:14" s="167" customFormat="1">
      <c r="A201" s="169" t="s">
        <v>86</v>
      </c>
      <c r="B201" s="170" t="s">
        <v>45</v>
      </c>
      <c r="C201" s="501">
        <f>'[82]Sch C'!D212</f>
        <v>44223</v>
      </c>
      <c r="D201" s="501">
        <f>'[82]Sch C'!F212</f>
        <v>0</v>
      </c>
      <c r="E201" s="171">
        <f t="shared" si="41"/>
        <v>44223</v>
      </c>
      <c r="F201" s="171"/>
      <c r="G201" s="171">
        <f t="shared" si="42"/>
        <v>44223</v>
      </c>
      <c r="H201" s="172">
        <f t="shared" si="43"/>
        <v>6.7190265456473098E-3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'[82]Sch C'!D213</f>
        <v>20110</v>
      </c>
      <c r="D202" s="501">
        <f>'[82]Sch C'!F213</f>
        <v>0</v>
      </c>
      <c r="E202" s="171">
        <f t="shared" si="41"/>
        <v>20110</v>
      </c>
      <c r="F202" s="171"/>
      <c r="G202" s="171">
        <f t="shared" si="42"/>
        <v>20110</v>
      </c>
      <c r="H202" s="172">
        <f t="shared" si="43"/>
        <v>3.0554151421877166E-3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'[82]Sch C'!D214</f>
        <v>0</v>
      </c>
      <c r="D203" s="501">
        <f>'[82]Sch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'[82]Sch C'!D215</f>
        <v>0</v>
      </c>
      <c r="D204" s="501">
        <f>'[82]Sch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'[82]Sch C'!D216</f>
        <v>7279</v>
      </c>
      <c r="D205" s="501">
        <f>'[82]Sch C'!F216</f>
        <v>0</v>
      </c>
      <c r="E205" s="171">
        <f t="shared" si="41"/>
        <v>7279</v>
      </c>
      <c r="F205" s="171"/>
      <c r="G205" s="171">
        <f t="shared" si="42"/>
        <v>7279</v>
      </c>
      <c r="H205" s="172">
        <f t="shared" si="43"/>
        <v>1.1059356946784879E-3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374267</v>
      </c>
      <c r="D206" s="501">
        <f>SUM(D200:D205)</f>
        <v>0</v>
      </c>
      <c r="E206" s="171">
        <f t="shared" ref="E206:F206" si="44">SUM(E200:E205)</f>
        <v>374267</v>
      </c>
      <c r="F206" s="171">
        <f t="shared" si="44"/>
        <v>0</v>
      </c>
      <c r="G206" s="171">
        <f>SUM(G200:G205)</f>
        <v>374267</v>
      </c>
      <c r="H206" s="172">
        <f t="shared" si="43"/>
        <v>5.6864299304881662E-2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6932723</v>
      </c>
      <c r="D208" s="501">
        <f>SUM(D25:D206)/2</f>
        <v>-342310</v>
      </c>
      <c r="E208" s="171">
        <f t="shared" ref="E208:F208" si="45">SUM(E25:E206)/2</f>
        <v>6590413</v>
      </c>
      <c r="F208" s="171">
        <f t="shared" si="45"/>
        <v>-8656</v>
      </c>
      <c r="G208" s="171">
        <f>SUM(G25:G206)/2</f>
        <v>6581757</v>
      </c>
      <c r="H208" s="172">
        <f>IF($G$208=0,0,G208/$G$208)</f>
        <v>1</v>
      </c>
      <c r="I208" s="473"/>
      <c r="J208" s="183">
        <f>SUM(J25:J200)</f>
        <v>200133</v>
      </c>
      <c r="K208" s="183">
        <f>SUM(K25:K200)</f>
        <v>212191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'[82]Sch C'!D221</f>
        <v>6932723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169381</v>
      </c>
      <c r="D215" s="501">
        <f>D21-D208</f>
        <v>319335</v>
      </c>
      <c r="E215" s="171">
        <f t="shared" ref="E215:F215" si="46">E21-E208</f>
        <v>488716</v>
      </c>
      <c r="F215" s="171">
        <f t="shared" si="46"/>
        <v>8656</v>
      </c>
      <c r="G215" s="171">
        <f>G21-G208</f>
        <v>497372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'[82]Sch D'!C9</f>
        <v>1108</v>
      </c>
      <c r="D219" s="530"/>
      <c r="E219" s="234">
        <f t="shared" ref="E219:G227" si="47">C219+D219</f>
        <v>1108</v>
      </c>
      <c r="F219" s="233"/>
      <c r="G219" s="234">
        <f t="shared" si="47"/>
        <v>1108</v>
      </c>
      <c r="H219" s="172">
        <f t="shared" ref="H219:H228" si="48">IF($G$228=0,0,G219/$G$228)</f>
        <v>3.9370358526098853E-2</v>
      </c>
      <c r="I219" s="473"/>
      <c r="J219" s="168"/>
      <c r="K219" s="168"/>
    </row>
    <row r="220" spans="1:11">
      <c r="A220" s="163"/>
      <c r="B220" s="170" t="s">
        <v>217</v>
      </c>
      <c r="C220" s="530">
        <f>'[82]Sch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'[82]Sch D'!E9</f>
        <v>1381</v>
      </c>
      <c r="D221" s="530"/>
      <c r="E221" s="234">
        <f t="shared" si="49"/>
        <v>1381</v>
      </c>
      <c r="F221" s="233"/>
      <c r="G221" s="234">
        <f t="shared" si="47"/>
        <v>1381</v>
      </c>
      <c r="H221" s="172">
        <f t="shared" si="48"/>
        <v>4.9070816899406601E-2</v>
      </c>
      <c r="I221" s="473"/>
      <c r="J221" s="168"/>
      <c r="K221" s="168"/>
    </row>
    <row r="222" spans="1:11">
      <c r="A222" s="163"/>
      <c r="B222" s="202" t="s">
        <v>334</v>
      </c>
      <c r="C222" s="530">
        <f>'[82]Sch D'!F9</f>
        <v>180</v>
      </c>
      <c r="D222" s="530"/>
      <c r="E222" s="234">
        <f>C222+D222</f>
        <v>180</v>
      </c>
      <c r="F222" s="233"/>
      <c r="G222" s="234">
        <f>E222+F222</f>
        <v>180</v>
      </c>
      <c r="H222" s="172">
        <f t="shared" si="48"/>
        <v>6.3959066197633516E-3</v>
      </c>
      <c r="I222" s="473"/>
      <c r="J222" s="168"/>
      <c r="K222" s="168"/>
    </row>
    <row r="223" spans="1:11">
      <c r="A223" s="163"/>
      <c r="B223" s="170" t="s">
        <v>73</v>
      </c>
      <c r="C223" s="530">
        <f>'[82]Sch D'!G9</f>
        <v>5582</v>
      </c>
      <c r="D223" s="530"/>
      <c r="E223" s="234">
        <f t="shared" si="49"/>
        <v>5582</v>
      </c>
      <c r="F223" s="233"/>
      <c r="G223" s="234">
        <f t="shared" si="47"/>
        <v>5582</v>
      </c>
      <c r="H223" s="172">
        <f t="shared" si="48"/>
        <v>0.19834417084177239</v>
      </c>
      <c r="I223" s="473"/>
      <c r="J223" s="168"/>
      <c r="K223" s="168"/>
    </row>
    <row r="224" spans="1:11">
      <c r="A224" s="163"/>
      <c r="B224" s="170" t="s">
        <v>74</v>
      </c>
      <c r="C224" s="530">
        <f>'[82]Sch D'!H9</f>
        <v>19244</v>
      </c>
      <c r="D224" s="530"/>
      <c r="E224" s="234">
        <f t="shared" si="49"/>
        <v>19244</v>
      </c>
      <c r="F224" s="233"/>
      <c r="G224" s="234">
        <f t="shared" si="47"/>
        <v>19244</v>
      </c>
      <c r="H224" s="172">
        <f t="shared" si="48"/>
        <v>0.68379348328181078</v>
      </c>
      <c r="I224" s="473"/>
      <c r="J224" s="168" t="s">
        <v>198</v>
      </c>
      <c r="K224" s="168"/>
    </row>
    <row r="225" spans="1:11">
      <c r="A225" s="163"/>
      <c r="B225" s="170" t="s">
        <v>236</v>
      </c>
      <c r="C225" s="530">
        <f>'[82]Sch D'!I9</f>
        <v>648</v>
      </c>
      <c r="D225" s="530"/>
      <c r="E225" s="234">
        <f t="shared" si="49"/>
        <v>648</v>
      </c>
      <c r="F225" s="233"/>
      <c r="G225" s="234">
        <f t="shared" si="47"/>
        <v>648</v>
      </c>
      <c r="H225" s="172">
        <f t="shared" si="48"/>
        <v>2.3025263831148064E-2</v>
      </c>
      <c r="I225" s="473"/>
      <c r="J225" s="168"/>
      <c r="K225" s="168"/>
    </row>
    <row r="226" spans="1:11">
      <c r="A226" s="163"/>
      <c r="B226" s="170" t="s">
        <v>235</v>
      </c>
      <c r="C226" s="530">
        <f>'[82]Sch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'[82]Sch D'!K9</f>
        <v>0</v>
      </c>
      <c r="D227" s="530"/>
      <c r="E227" s="234">
        <f t="shared" si="49"/>
        <v>0</v>
      </c>
      <c r="F227" s="233"/>
      <c r="G227" s="234">
        <f t="shared" si="47"/>
        <v>0</v>
      </c>
      <c r="H227" s="172">
        <f t="shared" si="48"/>
        <v>0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28143</v>
      </c>
      <c r="D228" s="530">
        <f>SUM(D219:D227)</f>
        <v>0</v>
      </c>
      <c r="E228" s="236">
        <f>SUM(E219:E227)</f>
        <v>28143</v>
      </c>
      <c r="F228" s="236">
        <f>SUM(F219:F227)</f>
        <v>0</v>
      </c>
      <c r="G228" s="236">
        <f>SUM(G219:G227)</f>
        <v>28143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'[82]Sch D'!N22</f>
        <v>81</v>
      </c>
      <c r="D231" s="502"/>
      <c r="E231" s="234">
        <f>C231+D231</f>
        <v>81</v>
      </c>
      <c r="F231" s="234"/>
      <c r="G231" s="234">
        <f>E231+F231</f>
        <v>81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'[82]Sch D'!N24</f>
        <v>5</v>
      </c>
      <c r="D232" s="502"/>
      <c r="E232" s="234">
        <f>C232+D232</f>
        <v>5</v>
      </c>
      <c r="F232" s="572"/>
      <c r="G232" s="234">
        <f>E232+F232</f>
        <v>5</v>
      </c>
      <c r="H232" s="45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'[82]Sch D'!N28</f>
        <v>29565</v>
      </c>
      <c r="D235" s="438"/>
      <c r="E235" s="233">
        <f>E231*E233</f>
        <v>29565</v>
      </c>
      <c r="F235" s="238"/>
      <c r="G235" s="233">
        <f>G231*G233</f>
        <v>29565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'[82]Sch D'!N30</f>
        <v>0.9519025875190259</v>
      </c>
      <c r="D236" s="238"/>
      <c r="E236" s="242">
        <f>E228/E235</f>
        <v>0.9519025875190259</v>
      </c>
      <c r="F236" s="243"/>
      <c r="G236" s="242">
        <f>G228/G235</f>
        <v>0.9519025875190259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'[82]Sch D'!N32</f>
        <v>3.7476746152545239E-2</v>
      </c>
      <c r="D237" s="238"/>
      <c r="E237" s="242">
        <f>(E219+E220)/E235</f>
        <v>3.7476746152545239E-2</v>
      </c>
      <c r="F237" s="243"/>
      <c r="G237" s="242">
        <f>(G219+G220)/G235</f>
        <v>3.7476746152545239E-2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'[82]Sch D'!N34</f>
        <v>3.9370358526098853E-2</v>
      </c>
      <c r="D238" s="238"/>
      <c r="E238" s="242">
        <f>(E237/E236)</f>
        <v>3.9370358526098853E-2</v>
      </c>
      <c r="F238" s="243"/>
      <c r="G238" s="242">
        <f>(G237/G236)</f>
        <v>3.9370358526098853E-2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'[82]Sch B'!C85</f>
        <v>189.28064382996286</v>
      </c>
      <c r="I241" s="475"/>
    </row>
    <row r="242" spans="2:9">
      <c r="F242" s="142" t="s">
        <v>341</v>
      </c>
      <c r="G242" s="501">
        <f>'[82]Sch B'!E85</f>
        <v>189.28053807767412</v>
      </c>
      <c r="I242" s="475"/>
    </row>
    <row r="243" spans="2:9">
      <c r="F243" s="142" t="s">
        <v>342</v>
      </c>
      <c r="G243" s="501">
        <f>'[82]Sch B'!G85</f>
        <v>189.28054662379421</v>
      </c>
      <c r="I243" s="475"/>
    </row>
    <row r="244" spans="2:9">
      <c r="F244" s="142" t="s">
        <v>343</v>
      </c>
      <c r="G244" s="501">
        <f>'[82]Sch B'!I85</f>
        <v>189.28069810928736</v>
      </c>
      <c r="I244" s="475"/>
    </row>
    <row r="245" spans="2:9">
      <c r="F245" s="142"/>
      <c r="I245" s="475"/>
    </row>
    <row r="246" spans="2:9">
      <c r="I246" s="475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3">
    <tabColor rgb="FFE28CAB"/>
  </sheetPr>
  <dimension ref="A1:O246"/>
  <sheetViews>
    <sheetView showGridLines="0" topLeftCell="A195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370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51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'[83]Sch B'!E10</f>
        <v>3129477.62</v>
      </c>
      <c r="D11" s="501">
        <f>'[83]Sch B'!G10</f>
        <v>0</v>
      </c>
      <c r="E11" s="171">
        <f>C11+D11</f>
        <v>3129477.62</v>
      </c>
      <c r="F11" s="171"/>
      <c r="G11" s="171">
        <f t="shared" ref="G11:G20" si="0">E11+F11</f>
        <v>3129477.62</v>
      </c>
      <c r="H11" s="172">
        <f t="shared" ref="H11:H21" si="1">IF($G$21=0,0,G11/$G$21)</f>
        <v>0.70437371760498912</v>
      </c>
      <c r="I11" s="473"/>
      <c r="J11" s="336" t="s">
        <v>344</v>
      </c>
      <c r="K11" s="337">
        <f>G21</f>
        <v>4442922.1900000004</v>
      </c>
    </row>
    <row r="12" spans="1:11" s="167" customFormat="1">
      <c r="A12" s="169" t="s">
        <v>15</v>
      </c>
      <c r="B12" s="170" t="s">
        <v>212</v>
      </c>
      <c r="C12" s="501">
        <f>'[83]Sch B'!E15</f>
        <v>0</v>
      </c>
      <c r="D12" s="501">
        <f>'[83]Sch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5473892.4321564417</v>
      </c>
    </row>
    <row r="13" spans="1:11" s="167" customFormat="1">
      <c r="A13" s="169" t="s">
        <v>16</v>
      </c>
      <c r="B13" s="170" t="s">
        <v>170</v>
      </c>
      <c r="C13" s="501">
        <f>'[83]Sch B'!E21</f>
        <v>956994.73</v>
      </c>
      <c r="D13" s="501">
        <f>'[83]Sch B'!G21</f>
        <v>0</v>
      </c>
      <c r="E13" s="171">
        <f t="shared" si="2"/>
        <v>956994.73</v>
      </c>
      <c r="F13" s="171"/>
      <c r="G13" s="171">
        <f t="shared" si="0"/>
        <v>956994.73</v>
      </c>
      <c r="H13" s="172">
        <f t="shared" si="1"/>
        <v>0.21539758948603147</v>
      </c>
      <c r="I13" s="473"/>
      <c r="J13" s="338" t="s">
        <v>346</v>
      </c>
      <c r="K13" s="339">
        <f>G228</f>
        <v>19431</v>
      </c>
    </row>
    <row r="14" spans="1:11" s="167" customFormat="1">
      <c r="A14" s="173" t="s">
        <v>18</v>
      </c>
      <c r="B14" s="174" t="s">
        <v>306</v>
      </c>
      <c r="C14" s="501">
        <f>'[83]Sch B'!E27</f>
        <v>223826.38</v>
      </c>
      <c r="D14" s="501">
        <f>'[83]Sch B'!G27</f>
        <v>0</v>
      </c>
      <c r="E14" s="171">
        <f t="shared" si="2"/>
        <v>223826.38</v>
      </c>
      <c r="F14" s="175"/>
      <c r="G14" s="175">
        <f>E14+F14</f>
        <v>223826.38</v>
      </c>
      <c r="H14" s="176">
        <f t="shared" si="1"/>
        <v>5.037819039545232E-2</v>
      </c>
      <c r="I14" s="479"/>
      <c r="J14" s="338" t="s">
        <v>347</v>
      </c>
      <c r="K14" s="339">
        <f>G231</f>
        <v>120</v>
      </c>
    </row>
    <row r="15" spans="1:11" s="167" customFormat="1">
      <c r="A15" s="169" t="s">
        <v>19</v>
      </c>
      <c r="B15" s="170" t="s">
        <v>171</v>
      </c>
      <c r="C15" s="501">
        <f>'[83]Sch B'!E32</f>
        <v>0</v>
      </c>
      <c r="D15" s="501">
        <f>'[83]Sch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43800</v>
      </c>
    </row>
    <row r="16" spans="1:11" s="167" customFormat="1">
      <c r="A16" s="169" t="s">
        <v>21</v>
      </c>
      <c r="B16" s="170" t="s">
        <v>172</v>
      </c>
      <c r="C16" s="501">
        <f>'[83]Sch B'!E37</f>
        <v>43147.65</v>
      </c>
      <c r="D16" s="501">
        <f>'[83]Sch B'!G37</f>
        <v>2473.85</v>
      </c>
      <c r="E16" s="171">
        <f t="shared" si="2"/>
        <v>45621.5</v>
      </c>
      <c r="F16" s="171"/>
      <c r="G16" s="171">
        <f t="shared" si="0"/>
        <v>45621.5</v>
      </c>
      <c r="H16" s="172">
        <f t="shared" si="1"/>
        <v>1.0268354485856975E-2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'[83]Sch B'!E42</f>
        <v>0</v>
      </c>
      <c r="D17" s="501">
        <f>'[83]Sch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101141.45000000001</v>
      </c>
    </row>
    <row r="18" spans="1:11" s="167" customFormat="1" ht="13.5" thickBot="1">
      <c r="A18" s="169" t="s">
        <v>216</v>
      </c>
      <c r="B18" s="170" t="s">
        <v>229</v>
      </c>
      <c r="C18" s="501">
        <f>'[83]Sch B'!E47</f>
        <v>0</v>
      </c>
      <c r="D18" s="501">
        <f>'[83]Sch B'!G47</f>
        <v>6999.1100000000006</v>
      </c>
      <c r="E18" s="171">
        <f t="shared" si="2"/>
        <v>6999.1100000000006</v>
      </c>
      <c r="F18" s="171"/>
      <c r="G18" s="171">
        <f>E18+F18</f>
        <v>6999.1100000000006</v>
      </c>
      <c r="H18" s="172">
        <f t="shared" si="1"/>
        <v>1.5753393151366442E-3</v>
      </c>
      <c r="I18" s="473"/>
      <c r="J18" s="341" t="s">
        <v>252</v>
      </c>
      <c r="K18" s="342">
        <f>K208</f>
        <v>114348.55000000002</v>
      </c>
    </row>
    <row r="19" spans="1:11" s="167" customFormat="1">
      <c r="A19" s="169" t="s">
        <v>227</v>
      </c>
      <c r="B19" s="177" t="s">
        <v>173</v>
      </c>
      <c r="C19" s="501">
        <f>'[83]Sch B'!E52</f>
        <v>33451.97</v>
      </c>
      <c r="D19" s="501">
        <f>'[83]Sch B'!G52</f>
        <v>-9472.9599999999991</v>
      </c>
      <c r="E19" s="171">
        <f t="shared" si="2"/>
        <v>23979.010000000002</v>
      </c>
      <c r="F19" s="171"/>
      <c r="G19" s="171">
        <f t="shared" si="0"/>
        <v>23979.010000000002</v>
      </c>
      <c r="H19" s="172">
        <f t="shared" si="1"/>
        <v>5.3971258047172781E-3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'[83]Sch B'!E67</f>
        <v>60542.64</v>
      </c>
      <c r="D20" s="501">
        <f>'[83]Sch B'!G67</f>
        <v>-4518.8</v>
      </c>
      <c r="E20" s="171">
        <f t="shared" si="2"/>
        <v>56023.839999999997</v>
      </c>
      <c r="F20" s="171"/>
      <c r="G20" s="171">
        <f t="shared" si="0"/>
        <v>56023.839999999997</v>
      </c>
      <c r="H20" s="172">
        <f t="shared" si="1"/>
        <v>1.2609682907816127E-2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4447440.99</v>
      </c>
      <c r="D21" s="501">
        <f>SUM(D11:D20)</f>
        <v>-4518.7999999999984</v>
      </c>
      <c r="E21" s="171">
        <f>SUM(E11:E20)</f>
        <v>4442922.1900000004</v>
      </c>
      <c r="F21" s="171">
        <f>SUM(F11:F20)</f>
        <v>0</v>
      </c>
      <c r="G21" s="171">
        <f>SUM(G11:G20)</f>
        <v>4442922.1900000004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'[83]Sch C'!D10</f>
        <v>0</v>
      </c>
      <c r="D25" s="501">
        <f>'[83]Sch C'!F10</f>
        <v>92706.74</v>
      </c>
      <c r="E25" s="171">
        <f t="shared" ref="E25:E60" si="3">C25+D25</f>
        <v>92706.74</v>
      </c>
      <c r="F25" s="171"/>
      <c r="G25" s="182">
        <f>E25+F25</f>
        <v>92706.74</v>
      </c>
      <c r="H25" s="172">
        <f>IF($G$208=0,0,G25/$G$208)</f>
        <v>1.6936164009251121E-2</v>
      </c>
      <c r="I25" s="473"/>
      <c r="J25" s="183">
        <v>1824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'[83]Sch C'!D11</f>
        <v>0</v>
      </c>
      <c r="D26" s="501">
        <f>'[83]Sch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'[83]Sch C'!D12</f>
        <v>164125.01999999999</v>
      </c>
      <c r="D27" s="501">
        <f>'[83]Sch C'!F12</f>
        <v>-94460.19</v>
      </c>
      <c r="E27" s="171">
        <f t="shared" si="3"/>
        <v>69664.829999999987</v>
      </c>
      <c r="F27" s="171"/>
      <c r="G27" s="171">
        <f t="shared" si="4"/>
        <v>69664.829999999987</v>
      </c>
      <c r="H27" s="172">
        <f t="shared" si="5"/>
        <v>1.2726744426096715E-2</v>
      </c>
      <c r="I27" s="473"/>
      <c r="J27" s="183">
        <v>3882.81</v>
      </c>
      <c r="K27" s="183">
        <v>4325.9399999999996</v>
      </c>
    </row>
    <row r="28" spans="1:11" s="167" customFormat="1">
      <c r="A28" s="169" t="s">
        <v>86</v>
      </c>
      <c r="B28" s="170" t="s">
        <v>45</v>
      </c>
      <c r="C28" s="501">
        <f>'[83]Sch C'!D13</f>
        <v>44298.8</v>
      </c>
      <c r="D28" s="501">
        <f>'[83]Sch C'!F13</f>
        <v>0</v>
      </c>
      <c r="E28" s="171">
        <f t="shared" si="3"/>
        <v>44298.8</v>
      </c>
      <c r="F28" s="171"/>
      <c r="G28" s="171">
        <f t="shared" si="4"/>
        <v>44298.8</v>
      </c>
      <c r="H28" s="172">
        <f t="shared" si="5"/>
        <v>8.0927421481222783E-3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'[83]Sch C'!D14</f>
        <v>0</v>
      </c>
      <c r="D29" s="501">
        <f>'[83]Sch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'[83]Sch C'!D15</f>
        <v>219332.28</v>
      </c>
      <c r="D30" s="501">
        <f>'[83]Sch C'!F15</f>
        <v>-219332.28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'[83]Sch C'!D16</f>
        <v>0</v>
      </c>
      <c r="D31" s="501">
        <f>'[83]Sch C'!F16</f>
        <v>304561.74</v>
      </c>
      <c r="E31" s="171">
        <f t="shared" si="3"/>
        <v>304561.74</v>
      </c>
      <c r="F31" s="171"/>
      <c r="G31" s="171">
        <f t="shared" si="4"/>
        <v>304561.74</v>
      </c>
      <c r="H31" s="172">
        <f t="shared" si="5"/>
        <v>5.5638970581673962E-2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'[83]Sch C'!D17</f>
        <v>132.77000000000001</v>
      </c>
      <c r="D32" s="501">
        <f>'[83]Sch C'!F17</f>
        <v>-132.77000000000001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'[83]Sch C'!D18</f>
        <v>21331.87</v>
      </c>
      <c r="D33" s="501">
        <f>'[83]Sch C'!F18</f>
        <v>0</v>
      </c>
      <c r="E33" s="171">
        <f t="shared" si="3"/>
        <v>21331.87</v>
      </c>
      <c r="F33" s="171"/>
      <c r="G33" s="171">
        <f t="shared" si="4"/>
        <v>21331.87</v>
      </c>
      <c r="H33" s="172">
        <f t="shared" si="5"/>
        <v>3.8970203131295919E-3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'[83]Sch C'!D19</f>
        <v>28024.86</v>
      </c>
      <c r="D34" s="501">
        <f>'[83]Sch C'!F19</f>
        <v>0</v>
      </c>
      <c r="E34" s="171">
        <f t="shared" si="3"/>
        <v>28024.86</v>
      </c>
      <c r="F34" s="171"/>
      <c r="G34" s="171">
        <f t="shared" si="4"/>
        <v>28024.86</v>
      </c>
      <c r="H34" s="172">
        <f t="shared" si="5"/>
        <v>5.1197315890549201E-3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'[83]Sch C'!D20</f>
        <v>9476.89</v>
      </c>
      <c r="D35" s="501">
        <f>'[83]Sch C'!F20</f>
        <v>0</v>
      </c>
      <c r="E35" s="171">
        <f t="shared" si="3"/>
        <v>9476.89</v>
      </c>
      <c r="F35" s="171"/>
      <c r="G35" s="171">
        <f t="shared" si="4"/>
        <v>9476.89</v>
      </c>
      <c r="H35" s="172">
        <f t="shared" si="5"/>
        <v>1.7312890447623531E-3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'[83]Sch C'!D21</f>
        <v>0</v>
      </c>
      <c r="D36" s="501">
        <f>'[83]Sch C'!F21</f>
        <v>0</v>
      </c>
      <c r="E36" s="171">
        <f t="shared" si="3"/>
        <v>0</v>
      </c>
      <c r="F36" s="171"/>
      <c r="G36" s="171">
        <f t="shared" si="4"/>
        <v>0</v>
      </c>
      <c r="H36" s="172">
        <f t="shared" si="5"/>
        <v>0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'[83]Sch C'!D22</f>
        <v>0</v>
      </c>
      <c r="D37" s="501">
        <f>'[83]Sch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'[83]Sch C'!D23</f>
        <v>16036.93</v>
      </c>
      <c r="D38" s="501">
        <f>'[83]Sch C'!F23</f>
        <v>0</v>
      </c>
      <c r="E38" s="171">
        <f t="shared" si="3"/>
        <v>16036.93</v>
      </c>
      <c r="F38" s="171"/>
      <c r="G38" s="171">
        <f t="shared" si="4"/>
        <v>16036.93</v>
      </c>
      <c r="H38" s="172">
        <f t="shared" si="5"/>
        <v>2.9297123023081123E-3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'[83]Sch C'!D24</f>
        <v>0</v>
      </c>
      <c r="D39" s="501">
        <f>'[83]Sch C'!F24</f>
        <v>0</v>
      </c>
      <c r="E39" s="171">
        <f t="shared" si="3"/>
        <v>0</v>
      </c>
      <c r="F39" s="171"/>
      <c r="G39" s="171">
        <f t="shared" si="4"/>
        <v>0</v>
      </c>
      <c r="H39" s="172">
        <f t="shared" si="5"/>
        <v>0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'[83]Sch C'!D25</f>
        <v>0</v>
      </c>
      <c r="D40" s="501">
        <f>'[83]Sch C'!F25</f>
        <v>0</v>
      </c>
      <c r="E40" s="171">
        <f t="shared" si="3"/>
        <v>0</v>
      </c>
      <c r="F40" s="171"/>
      <c r="G40" s="171">
        <f t="shared" si="4"/>
        <v>0</v>
      </c>
      <c r="H40" s="172">
        <f t="shared" si="5"/>
        <v>0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'[83]Sch C'!D26</f>
        <v>312676.90000000002</v>
      </c>
      <c r="D41" s="501">
        <f>'[83]Sch C'!F26</f>
        <v>0</v>
      </c>
      <c r="E41" s="171">
        <f t="shared" si="3"/>
        <v>312676.90000000002</v>
      </c>
      <c r="F41" s="171"/>
      <c r="G41" s="171">
        <f t="shared" si="4"/>
        <v>312676.90000000002</v>
      </c>
      <c r="H41" s="172">
        <f t="shared" si="5"/>
        <v>5.7121491493544174E-2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'[83]Sch C'!D27</f>
        <v>0</v>
      </c>
      <c r="D42" s="501">
        <f>'[83]Sch C'!F27</f>
        <v>0</v>
      </c>
      <c r="E42" s="171">
        <f t="shared" si="3"/>
        <v>0</v>
      </c>
      <c r="F42" s="171"/>
      <c r="G42" s="171">
        <f t="shared" si="4"/>
        <v>0</v>
      </c>
      <c r="H42" s="172">
        <f t="shared" si="5"/>
        <v>0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'[83]Sch C'!D28</f>
        <v>0</v>
      </c>
      <c r="D43" s="501">
        <f>'[83]Sch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'[83]Sch C'!D29</f>
        <v>106020.1</v>
      </c>
      <c r="D44" s="501">
        <f>'[83]Sch C'!F29</f>
        <v>-106020.1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'[83]Sch C'!D30</f>
        <v>1674.2</v>
      </c>
      <c r="D45" s="501">
        <f>'[83]Sch C'!F30</f>
        <v>-1674.2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'[83]Sch C'!D31</f>
        <v>57088.14</v>
      </c>
      <c r="D46" s="501">
        <f>'[83]Sch C'!F31</f>
        <v>-8000</v>
      </c>
      <c r="E46" s="171">
        <f t="shared" si="3"/>
        <v>49088.14</v>
      </c>
      <c r="F46" s="171"/>
      <c r="G46" s="171">
        <f t="shared" si="4"/>
        <v>49088.14</v>
      </c>
      <c r="H46" s="172">
        <f t="shared" si="5"/>
        <v>8.9676844418116759E-3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'[83]Sch C'!D32</f>
        <v>90214.5</v>
      </c>
      <c r="D47" s="501">
        <f>'[83]Sch C'!F32</f>
        <v>-0.02</v>
      </c>
      <c r="E47" s="171">
        <f t="shared" si="3"/>
        <v>90214.48</v>
      </c>
      <c r="F47" s="171"/>
      <c r="G47" s="171">
        <f t="shared" si="4"/>
        <v>90214.48</v>
      </c>
      <c r="H47" s="172">
        <f t="shared" si="5"/>
        <v>1.648086459829463E-2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'[83]Sch C'!D33</f>
        <v>0</v>
      </c>
      <c r="D48" s="501">
        <f>'[83]Sch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'[83]Sch C'!D34</f>
        <v>935.68</v>
      </c>
      <c r="D49" s="501">
        <f>'[83]Sch C'!F34</f>
        <v>0</v>
      </c>
      <c r="E49" s="171">
        <f t="shared" si="3"/>
        <v>935.68</v>
      </c>
      <c r="F49" s="171"/>
      <c r="G49" s="171">
        <f t="shared" si="4"/>
        <v>935.68</v>
      </c>
      <c r="H49" s="172">
        <f t="shared" si="5"/>
        <v>1.7093503600899013E-4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'[83]Sch C'!D35</f>
        <v>29643.25</v>
      </c>
      <c r="D50" s="501">
        <f>'[83]Sch C'!F35</f>
        <v>-29643.25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'[83]Sch C'!D36</f>
        <v>0</v>
      </c>
      <c r="D51" s="501">
        <f>'[83]Sch C'!F36</f>
        <v>15723.68</v>
      </c>
      <c r="E51" s="171">
        <f t="shared" si="3"/>
        <v>15723.68</v>
      </c>
      <c r="F51" s="171"/>
      <c r="G51" s="171">
        <f t="shared" si="4"/>
        <v>15723.68</v>
      </c>
      <c r="H51" s="172">
        <f t="shared" si="5"/>
        <v>2.8724861138357538E-3</v>
      </c>
      <c r="I51" s="473"/>
      <c r="J51" s="183">
        <v>1066.1500000000001</v>
      </c>
      <c r="K51" s="183">
        <v>1112.1500000000001</v>
      </c>
    </row>
    <row r="52" spans="1:11" s="167" customFormat="1">
      <c r="A52" s="163">
        <v>290</v>
      </c>
      <c r="B52" s="170" t="s">
        <v>205</v>
      </c>
      <c r="C52" s="501">
        <f>'[83]Sch C'!D37</f>
        <v>0</v>
      </c>
      <c r="D52" s="501">
        <f>'[83]Sch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'[83]Sch C'!D38</f>
        <v>0</v>
      </c>
      <c r="D53" s="501">
        <f>'[83]Sch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'[83]Sch C'!D39</f>
        <v>3096.18</v>
      </c>
      <c r="D54" s="501">
        <f>'[83]Sch C'!F39</f>
        <v>0</v>
      </c>
      <c r="E54" s="171">
        <f t="shared" si="3"/>
        <v>3096.18</v>
      </c>
      <c r="F54" s="171"/>
      <c r="G54" s="171">
        <f t="shared" si="4"/>
        <v>3096.18</v>
      </c>
      <c r="H54" s="172">
        <f t="shared" si="5"/>
        <v>5.6562675251187915E-4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'[83]Sch C'!D40</f>
        <v>9744.57</v>
      </c>
      <c r="D55" s="501">
        <f>'[83]Sch C'!F40</f>
        <v>-9744.57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'[83]Sch C'!D41</f>
        <v>8845.73</v>
      </c>
      <c r="D56" s="501">
        <f>'[83]Sch C'!F41</f>
        <v>-3701.34</v>
      </c>
      <c r="E56" s="171">
        <f t="shared" si="3"/>
        <v>5144.3899999999994</v>
      </c>
      <c r="F56" s="171"/>
      <c r="G56" s="171">
        <f t="shared" si="4"/>
        <v>5144.3899999999994</v>
      </c>
      <c r="H56" s="172">
        <f t="shared" si="5"/>
        <v>9.3980473013667999E-4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'[83]Sch C'!D42</f>
        <v>2900.47</v>
      </c>
      <c r="D57" s="501">
        <f>'[83]Sch C'!F42</f>
        <v>0</v>
      </c>
      <c r="E57" s="171">
        <f t="shared" si="3"/>
        <v>2900.47</v>
      </c>
      <c r="F57" s="171"/>
      <c r="G57" s="171">
        <f t="shared" si="4"/>
        <v>2900.47</v>
      </c>
      <c r="H57" s="172">
        <f t="shared" si="5"/>
        <v>5.2987340104843062E-4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'[83]Sch C'!D43</f>
        <v>11119.67</v>
      </c>
      <c r="D58" s="501">
        <f>'[83]Sch C'!F43</f>
        <v>-11119.67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'[83]Sch C'!D44</f>
        <v>0</v>
      </c>
      <c r="D59" s="501">
        <f>'[83]Sch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'[83]Sch C'!D45</f>
        <v>341788.47</v>
      </c>
      <c r="D60" s="501">
        <f>'[83]Sch C'!F45</f>
        <v>-310656.21000000002</v>
      </c>
      <c r="E60" s="171">
        <f t="shared" si="3"/>
        <v>31132.259999999951</v>
      </c>
      <c r="F60" s="171"/>
      <c r="G60" s="171">
        <f t="shared" si="4"/>
        <v>31132.259999999951</v>
      </c>
      <c r="H60" s="172">
        <f t="shared" si="5"/>
        <v>5.6874080712863749E-3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1478507.2799999998</v>
      </c>
      <c r="D61" s="501">
        <f>SUM(D25:D60)</f>
        <v>-381492.44</v>
      </c>
      <c r="E61" s="171">
        <f t="shared" ref="E61:F61" si="6">SUM(E25:E60)</f>
        <v>1097014.8399999999</v>
      </c>
      <c r="F61" s="171">
        <f t="shared" si="6"/>
        <v>0</v>
      </c>
      <c r="G61" s="171">
        <f>SUM(G25:G60)</f>
        <v>1097014.8399999999</v>
      </c>
      <c r="H61" s="186">
        <f t="shared" si="5"/>
        <v>0.20040854905287761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'[83]Sch C'!D57</f>
        <v>743397.16</v>
      </c>
      <c r="D64" s="501">
        <f>'[83]Sch C'!F57</f>
        <v>-22800.12</v>
      </c>
      <c r="E64" s="171">
        <f t="shared" ref="E64:E78" si="7">C64+D64</f>
        <v>720597.04</v>
      </c>
      <c r="F64" s="171"/>
      <c r="G64" s="171">
        <f t="shared" ref="G64:G78" si="8">E64+F64</f>
        <v>720597.04</v>
      </c>
      <c r="H64" s="172">
        <f t="shared" ref="H64:H79" si="9">IF($G$208=0,0,G64/$G$208)</f>
        <v>0.13164252840754501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'[83]Sch C'!D58</f>
        <v>254.22</v>
      </c>
      <c r="D65" s="501">
        <f>'[83]Sch C'!F58</f>
        <v>44398.78</v>
      </c>
      <c r="E65" s="171">
        <f t="shared" si="7"/>
        <v>44653</v>
      </c>
      <c r="F65" s="171"/>
      <c r="G65" s="171">
        <f t="shared" si="8"/>
        <v>44653</v>
      </c>
      <c r="H65" s="172">
        <f t="shared" si="9"/>
        <v>8.1574493020150438E-3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'[83]Sch C'!D59</f>
        <v>0</v>
      </c>
      <c r="D66" s="501">
        <f>'[83]Sch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'[83]Sch C'!D60</f>
        <v>22448.18</v>
      </c>
      <c r="D67" s="501">
        <f>'[83]Sch C'!F60</f>
        <v>0</v>
      </c>
      <c r="E67" s="171">
        <f t="shared" si="7"/>
        <v>22448.18</v>
      </c>
      <c r="F67" s="171"/>
      <c r="G67" s="171">
        <f t="shared" si="8"/>
        <v>22448.18</v>
      </c>
      <c r="H67" s="172">
        <f t="shared" si="9"/>
        <v>4.1009538053995943E-3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'[83]Sch C'!D61</f>
        <v>4137.3599999999997</v>
      </c>
      <c r="D68" s="501">
        <f>'[83]Sch C'!F61</f>
        <v>-1090.83</v>
      </c>
      <c r="E68" s="171">
        <f t="shared" si="7"/>
        <v>3046.5299999999997</v>
      </c>
      <c r="F68" s="171"/>
      <c r="G68" s="171">
        <f t="shared" si="8"/>
        <v>3046.5299999999997</v>
      </c>
      <c r="H68" s="172">
        <f t="shared" si="9"/>
        <v>5.5655642447468017E-4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'[83]Sch C'!D62</f>
        <v>7889.2</v>
      </c>
      <c r="D69" s="501">
        <f>'[83]Sch C'!F62</f>
        <v>-7889.2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'[83]Sch C'!D63</f>
        <v>0</v>
      </c>
      <c r="D70" s="501">
        <f>'[83]Sch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'[83]Sch C'!D64</f>
        <v>0</v>
      </c>
      <c r="D71" s="501">
        <f>'[83]Sch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'[83]Sch C'!D65</f>
        <v>3337.33</v>
      </c>
      <c r="D72" s="501">
        <f>'[83]Sch C'!F65</f>
        <v>-1733.35</v>
      </c>
      <c r="E72" s="171">
        <f t="shared" si="7"/>
        <v>1603.98</v>
      </c>
      <c r="F72" s="171"/>
      <c r="G72" s="171">
        <f t="shared" si="8"/>
        <v>1603.98</v>
      </c>
      <c r="H72" s="172">
        <f t="shared" si="9"/>
        <v>2.9302366092862948E-4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'[83]Sch C'!D66</f>
        <v>0</v>
      </c>
      <c r="D73" s="501">
        <f>'[83]Sch C'!F66</f>
        <v>0</v>
      </c>
      <c r="E73" s="171">
        <f t="shared" si="7"/>
        <v>0</v>
      </c>
      <c r="F73" s="171"/>
      <c r="G73" s="171">
        <f t="shared" si="8"/>
        <v>0</v>
      </c>
      <c r="H73" s="172">
        <f t="shared" si="9"/>
        <v>0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'[83]Sch C'!D67</f>
        <v>34311.71</v>
      </c>
      <c r="D74" s="501">
        <f>'[83]Sch C'!F67</f>
        <v>13575.29</v>
      </c>
      <c r="E74" s="171">
        <f t="shared" si="7"/>
        <v>47887</v>
      </c>
      <c r="F74" s="171"/>
      <c r="G74" s="171">
        <f t="shared" si="8"/>
        <v>47887</v>
      </c>
      <c r="H74" s="172">
        <f t="shared" si="9"/>
        <v>8.7482537506011794E-3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'[83]Sch C'!D68</f>
        <v>0</v>
      </c>
      <c r="D75" s="501">
        <f>'[83]Sch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'[83]Sch C'!D69</f>
        <v>5093.34</v>
      </c>
      <c r="D76" s="501">
        <f>'[83]Sch C'!F69</f>
        <v>0</v>
      </c>
      <c r="E76" s="171">
        <f t="shared" si="7"/>
        <v>5093.34</v>
      </c>
      <c r="F76" s="171"/>
      <c r="G76" s="171">
        <f t="shared" si="8"/>
        <v>5093.34</v>
      </c>
      <c r="H76" s="172">
        <f t="shared" si="9"/>
        <v>9.3047864259792864E-4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'[83]Sch C'!D70</f>
        <v>0</v>
      </c>
      <c r="D77" s="501">
        <f>'[83]Sch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'[83]Sch C'!D71</f>
        <v>0</v>
      </c>
      <c r="D78" s="501">
        <f>'[83]Sch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820868.49999999988</v>
      </c>
      <c r="D79" s="501">
        <f>SUM(D64:D78)</f>
        <v>24460.57</v>
      </c>
      <c r="E79" s="171">
        <f t="shared" ref="E79:F79" si="10">SUM(E64:E78)</f>
        <v>845329.07000000007</v>
      </c>
      <c r="F79" s="171">
        <f t="shared" si="10"/>
        <v>0</v>
      </c>
      <c r="G79" s="171">
        <f>SUM(G64:G78)</f>
        <v>845329.07000000007</v>
      </c>
      <c r="H79" s="172">
        <f t="shared" si="9"/>
        <v>0.15442924399356206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'[83]Sch C'!D75</f>
        <v>47241.52</v>
      </c>
      <c r="D82" s="501">
        <f>'[83]Sch C'!F75</f>
        <v>0</v>
      </c>
      <c r="E82" s="171">
        <f t="shared" ref="E82:E92" si="11">C82+D82</f>
        <v>47241.52</v>
      </c>
      <c r="F82" s="171"/>
      <c r="G82" s="171">
        <f t="shared" ref="G82:G92" si="12">E82+F82</f>
        <v>47241.52</v>
      </c>
      <c r="H82" s="172">
        <f t="shared" ref="H82:H93" si="13">IF($G$208=0,0,G82/$G$208)</f>
        <v>8.6303340055568431E-3</v>
      </c>
      <c r="I82" s="473"/>
      <c r="J82" s="183">
        <v>2003.64</v>
      </c>
      <c r="K82" s="183">
        <v>2116.2399999999998</v>
      </c>
    </row>
    <row r="83" spans="1:11" s="167" customFormat="1">
      <c r="A83" s="169" t="s">
        <v>86</v>
      </c>
      <c r="B83" s="199" t="s">
        <v>45</v>
      </c>
      <c r="C83" s="501">
        <f>'[83]Sch C'!D76</f>
        <v>7448.7</v>
      </c>
      <c r="D83" s="501">
        <f>'[83]Sch C'!F76</f>
        <v>0</v>
      </c>
      <c r="E83" s="171">
        <f t="shared" si="11"/>
        <v>7448.7</v>
      </c>
      <c r="F83" s="171"/>
      <c r="G83" s="171">
        <f t="shared" si="12"/>
        <v>7448.7</v>
      </c>
      <c r="H83" s="172">
        <f t="shared" si="13"/>
        <v>1.360768428009752E-3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'[83]Sch C'!D77</f>
        <v>8109.56</v>
      </c>
      <c r="D84" s="501">
        <f>'[83]Sch C'!F77</f>
        <v>0</v>
      </c>
      <c r="E84" s="171">
        <f t="shared" si="11"/>
        <v>8109.56</v>
      </c>
      <c r="F84" s="171"/>
      <c r="G84" s="171">
        <f t="shared" si="12"/>
        <v>8109.56</v>
      </c>
      <c r="H84" s="172">
        <f t="shared" si="13"/>
        <v>1.4814978738639985E-3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'[83]Sch C'!D78</f>
        <v>4997.6400000000003</v>
      </c>
      <c r="D85" s="501">
        <f>'[83]Sch C'!F78</f>
        <v>0</v>
      </c>
      <c r="E85" s="171">
        <f t="shared" si="11"/>
        <v>4997.6400000000003</v>
      </c>
      <c r="F85" s="171"/>
      <c r="G85" s="171">
        <f t="shared" si="12"/>
        <v>4997.6400000000003</v>
      </c>
      <c r="H85" s="172">
        <f t="shared" si="13"/>
        <v>9.1299565381323694E-4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'[83]Sch C'!D79</f>
        <v>0</v>
      </c>
      <c r="D86" s="501">
        <f>'[83]Sch C'!F79</f>
        <v>0</v>
      </c>
      <c r="E86" s="171">
        <f t="shared" si="11"/>
        <v>0</v>
      </c>
      <c r="F86" s="171"/>
      <c r="G86" s="171">
        <f>E86+F86</f>
        <v>0</v>
      </c>
      <c r="H86" s="172">
        <f t="shared" si="13"/>
        <v>0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'[83]Sch C'!D80</f>
        <v>29094.36</v>
      </c>
      <c r="D87" s="501">
        <f>'[83]Sch C'!F80</f>
        <v>0</v>
      </c>
      <c r="E87" s="171">
        <f t="shared" si="11"/>
        <v>29094.36</v>
      </c>
      <c r="F87" s="171"/>
      <c r="G87" s="171">
        <f t="shared" si="12"/>
        <v>29094.36</v>
      </c>
      <c r="H87" s="172">
        <f t="shared" si="13"/>
        <v>5.3151135797051587E-3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'[83]Sch C'!D81</f>
        <v>5391.64</v>
      </c>
      <c r="D88" s="501">
        <f>'[83]Sch C'!F81</f>
        <v>0</v>
      </c>
      <c r="E88" s="171">
        <f t="shared" si="11"/>
        <v>5391.64</v>
      </c>
      <c r="F88" s="171"/>
      <c r="G88" s="171">
        <f t="shared" si="12"/>
        <v>5391.64</v>
      </c>
      <c r="H88" s="172">
        <f t="shared" si="13"/>
        <v>9.8497368496442339E-4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'[83]Sch C'!D82</f>
        <v>0</v>
      </c>
      <c r="D89" s="501">
        <f>'[83]Sch C'!F82</f>
        <v>0</v>
      </c>
      <c r="E89" s="171">
        <f t="shared" si="11"/>
        <v>0</v>
      </c>
      <c r="F89" s="171"/>
      <c r="G89" s="171">
        <f t="shared" si="12"/>
        <v>0</v>
      </c>
      <c r="H89" s="172">
        <f t="shared" si="13"/>
        <v>0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'[83]Sch C'!D83</f>
        <v>7895.67</v>
      </c>
      <c r="D90" s="501">
        <f>'[83]Sch C'!F83</f>
        <v>0</v>
      </c>
      <c r="E90" s="171">
        <f t="shared" si="11"/>
        <v>7895.67</v>
      </c>
      <c r="F90" s="171"/>
      <c r="G90" s="171">
        <f t="shared" si="12"/>
        <v>7895.67</v>
      </c>
      <c r="H90" s="172">
        <f t="shared" si="13"/>
        <v>1.4424233025875333E-3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'[83]Sch C'!D84</f>
        <v>88692.67</v>
      </c>
      <c r="D91" s="501">
        <f>'[83]Sch C'!F84</f>
        <v>0</v>
      </c>
      <c r="E91" s="171">
        <f t="shared" si="11"/>
        <v>88692.67</v>
      </c>
      <c r="F91" s="171"/>
      <c r="G91" s="171">
        <f t="shared" si="12"/>
        <v>88692.67</v>
      </c>
      <c r="H91" s="172">
        <f t="shared" si="13"/>
        <v>1.6202852193253549E-2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'[83]Sch C'!D85</f>
        <v>25593.47</v>
      </c>
      <c r="D92" s="501">
        <f>'[83]Sch C'!F85</f>
        <v>-1573</v>
      </c>
      <c r="E92" s="171">
        <f t="shared" si="11"/>
        <v>24020.47</v>
      </c>
      <c r="F92" s="171"/>
      <c r="G92" s="171">
        <f t="shared" si="12"/>
        <v>24020.47</v>
      </c>
      <c r="H92" s="172">
        <f t="shared" si="13"/>
        <v>4.3881881673252261E-3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224465.23</v>
      </c>
      <c r="D93" s="501">
        <f>SUM(D82:D92)</f>
        <v>-1573</v>
      </c>
      <c r="E93" s="171">
        <f t="shared" ref="E93:F93" si="14">SUM(E82:E92)</f>
        <v>222892.23</v>
      </c>
      <c r="F93" s="171">
        <f t="shared" si="14"/>
        <v>0</v>
      </c>
      <c r="G93" s="171">
        <f>SUM(G82:G92)</f>
        <v>222892.23</v>
      </c>
      <c r="H93" s="172">
        <f t="shared" si="13"/>
        <v>4.0719146889079724E-2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'[83]Sch C'!D89</f>
        <v>181732.76</v>
      </c>
      <c r="D96" s="501">
        <f>'[83]Sch C'!F89</f>
        <v>-221.15</v>
      </c>
      <c r="E96" s="171">
        <f t="shared" ref="E96:E101" si="15">C96+D96</f>
        <v>181511.61000000002</v>
      </c>
      <c r="F96" s="171"/>
      <c r="G96" s="171">
        <f t="shared" ref="G96:G101" si="16">E96+F96</f>
        <v>181511.61000000002</v>
      </c>
      <c r="H96" s="172">
        <f t="shared" ref="H96:H102" si="17">IF($G$208=0,0,G96/$G$208)</f>
        <v>3.3159513499700512E-2</v>
      </c>
      <c r="I96" s="473"/>
      <c r="J96" s="183">
        <v>12271.18</v>
      </c>
      <c r="K96" s="183">
        <v>13081.18</v>
      </c>
    </row>
    <row r="97" spans="1:11" s="167" customFormat="1">
      <c r="A97" s="169" t="s">
        <v>86</v>
      </c>
      <c r="B97" s="170" t="s">
        <v>45</v>
      </c>
      <c r="C97" s="501">
        <f>'[83]Sch C'!D90</f>
        <v>17733.009999999998</v>
      </c>
      <c r="D97" s="501">
        <f>'[83]Sch C'!F90</f>
        <v>0</v>
      </c>
      <c r="E97" s="171">
        <f t="shared" si="15"/>
        <v>17733.009999999998</v>
      </c>
      <c r="F97" s="171"/>
      <c r="G97" s="171">
        <f t="shared" si="16"/>
        <v>17733.009999999998</v>
      </c>
      <c r="H97" s="172">
        <f t="shared" si="17"/>
        <v>3.2395612847317267E-3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'[83]Sch C'!D91</f>
        <v>57360.68</v>
      </c>
      <c r="D98" s="501">
        <f>'[83]Sch C'!F91</f>
        <v>0</v>
      </c>
      <c r="E98" s="171">
        <f t="shared" si="15"/>
        <v>57360.68</v>
      </c>
      <c r="F98" s="171"/>
      <c r="G98" s="171">
        <f t="shared" si="16"/>
        <v>57360.68</v>
      </c>
      <c r="H98" s="172">
        <f t="shared" si="17"/>
        <v>1.0478956375363543E-2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'[83]Sch C'!D92</f>
        <v>110960.57</v>
      </c>
      <c r="D99" s="501">
        <f>'[83]Sch C'!F92</f>
        <v>0</v>
      </c>
      <c r="E99" s="171">
        <f t="shared" si="15"/>
        <v>110960.57</v>
      </c>
      <c r="F99" s="171"/>
      <c r="G99" s="171">
        <f t="shared" si="16"/>
        <v>110960.57</v>
      </c>
      <c r="H99" s="172">
        <f t="shared" si="17"/>
        <v>2.027087148226752E-2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'[83]Sch C'!D93</f>
        <v>0</v>
      </c>
      <c r="D100" s="501">
        <f>'[83]Sch C'!F93</f>
        <v>0</v>
      </c>
      <c r="E100" s="171">
        <f t="shared" si="15"/>
        <v>0</v>
      </c>
      <c r="F100" s="171"/>
      <c r="G100" s="171">
        <f t="shared" si="16"/>
        <v>0</v>
      </c>
      <c r="H100" s="172">
        <f t="shared" si="17"/>
        <v>0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'[83]Sch C'!D94</f>
        <v>9940.32</v>
      </c>
      <c r="D101" s="501">
        <f>'[83]Sch C'!F94</f>
        <v>0</v>
      </c>
      <c r="E101" s="171">
        <f t="shared" si="15"/>
        <v>9940.32</v>
      </c>
      <c r="F101" s="171"/>
      <c r="G101" s="171">
        <f t="shared" si="16"/>
        <v>9940.32</v>
      </c>
      <c r="H101" s="172">
        <f t="shared" si="17"/>
        <v>1.8159509203369579E-3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377727.34</v>
      </c>
      <c r="D102" s="501">
        <f>SUM(D96:D101)</f>
        <v>-221.15</v>
      </c>
      <c r="E102" s="171">
        <f t="shared" ref="E102:F102" si="18">SUM(E96:E101)</f>
        <v>377506.19</v>
      </c>
      <c r="F102" s="171">
        <f t="shared" si="18"/>
        <v>0</v>
      </c>
      <c r="G102" s="171">
        <f>SUM(G96:G101)</f>
        <v>377506.19</v>
      </c>
      <c r="H102" s="172">
        <f t="shared" si="17"/>
        <v>6.8964853562400258E-2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'[83]Sch C'!D98</f>
        <v>0</v>
      </c>
      <c r="D105" s="501">
        <f>'[83]Sch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'[83]Sch C'!D99</f>
        <v>0</v>
      </c>
      <c r="D106" s="501">
        <f>'[83]Sch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'[83]Sch C'!D100</f>
        <v>3928.02</v>
      </c>
      <c r="D107" s="501">
        <f>'[83]Sch C'!F100</f>
        <v>0</v>
      </c>
      <c r="E107" s="171">
        <f t="shared" si="19"/>
        <v>3928.02</v>
      </c>
      <c r="F107" s="171"/>
      <c r="G107" s="171">
        <f t="shared" si="20"/>
        <v>3928.02</v>
      </c>
      <c r="H107" s="172">
        <f t="shared" si="21"/>
        <v>7.1759174092000835E-4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'[83]Sch C'!D101</f>
        <v>49455.38</v>
      </c>
      <c r="D108" s="501">
        <f>'[83]Sch C'!F101</f>
        <v>0</v>
      </c>
      <c r="E108" s="171">
        <f t="shared" si="19"/>
        <v>49455.38</v>
      </c>
      <c r="F108" s="171"/>
      <c r="G108" s="171">
        <f t="shared" si="20"/>
        <v>49455.38</v>
      </c>
      <c r="H108" s="172">
        <f t="shared" si="21"/>
        <v>9.0347738127760455E-3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'[83]Sch C'!D102</f>
        <v>10741.91</v>
      </c>
      <c r="D109" s="501">
        <f>'[83]Sch C'!F102</f>
        <v>0</v>
      </c>
      <c r="E109" s="171">
        <f t="shared" si="19"/>
        <v>10741.91</v>
      </c>
      <c r="F109" s="171"/>
      <c r="G109" s="171">
        <f t="shared" si="20"/>
        <v>10741.91</v>
      </c>
      <c r="H109" s="172">
        <f t="shared" si="21"/>
        <v>1.962389676657972E-3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'[83]Sch C'!D103</f>
        <v>0</v>
      </c>
      <c r="D110" s="501">
        <f>'[83]Sch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64125.31</v>
      </c>
      <c r="D111" s="501">
        <f>SUM(D105:D110)</f>
        <v>0</v>
      </c>
      <c r="E111" s="171">
        <f t="shared" ref="E111:F111" si="22">SUM(E105:E110)</f>
        <v>64125.31</v>
      </c>
      <c r="F111" s="171">
        <f t="shared" si="22"/>
        <v>0</v>
      </c>
      <c r="G111" s="171">
        <f>SUM(G105:G110)</f>
        <v>64125.31</v>
      </c>
      <c r="H111" s="172">
        <f t="shared" si="21"/>
        <v>1.1714755230354026E-2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'[83]Sch C'!D115</f>
        <v>0</v>
      </c>
      <c r="D114" s="501">
        <f>'[83]Sch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'[83]Sch C'!D116</f>
        <v>0</v>
      </c>
      <c r="D115" s="501">
        <f>'[83]Sch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'[83]Sch C'!D117</f>
        <v>6824.6</v>
      </c>
      <c r="D116" s="501">
        <f>'[83]Sch C'!F117</f>
        <v>0</v>
      </c>
      <c r="E116" s="171">
        <f t="shared" si="23"/>
        <v>6824.6</v>
      </c>
      <c r="F116" s="171"/>
      <c r="G116" s="171">
        <f>E116+F116</f>
        <v>6824.6</v>
      </c>
      <c r="H116" s="172">
        <f t="shared" si="24"/>
        <v>1.2467544959248399E-3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'[83]Sch C'!D118</f>
        <v>77038.13</v>
      </c>
      <c r="D117" s="501">
        <f>'[83]Sch C'!F118</f>
        <v>0</v>
      </c>
      <c r="E117" s="171">
        <f t="shared" si="23"/>
        <v>77038.13</v>
      </c>
      <c r="F117" s="171"/>
      <c r="G117" s="171">
        <f>E117+F117</f>
        <v>77038.13</v>
      </c>
      <c r="H117" s="172">
        <f t="shared" si="24"/>
        <v>1.4073738378094289E-2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'[83]Sch C'!D119</f>
        <v>0</v>
      </c>
      <c r="D118" s="501">
        <f>'[83]Sch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83862.73000000001</v>
      </c>
      <c r="D119" s="501">
        <f>SUM(D114:D118)</f>
        <v>0</v>
      </c>
      <c r="E119" s="171">
        <f t="shared" ref="E119:F119" si="25">SUM(E114:E118)</f>
        <v>83862.73000000001</v>
      </c>
      <c r="F119" s="171">
        <f t="shared" si="25"/>
        <v>0</v>
      </c>
      <c r="G119" s="171">
        <f>SUM(G114:G118)</f>
        <v>83862.73000000001</v>
      </c>
      <c r="H119" s="172">
        <f t="shared" si="24"/>
        <v>1.5320492874019129E-2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'[83]Sch C'!D124</f>
        <v>0</v>
      </c>
      <c r="D123" s="501">
        <f>'[83]Sch C'!F124</f>
        <v>176209.07</v>
      </c>
      <c r="E123" s="171">
        <f t="shared" ref="E123:E127" si="26">C123+D123</f>
        <v>176209.07</v>
      </c>
      <c r="F123" s="171"/>
      <c r="G123" s="171">
        <f>E123+F123</f>
        <v>176209.07</v>
      </c>
      <c r="H123" s="172">
        <f>IF($G$208=0,0,G123/$G$208)</f>
        <v>3.2190817080156323E-2</v>
      </c>
      <c r="I123" s="473"/>
      <c r="J123" s="183">
        <v>4252.1899999999996</v>
      </c>
      <c r="K123" s="183">
        <v>4781.6099999999997</v>
      </c>
    </row>
    <row r="124" spans="1:11" s="167" customFormat="1">
      <c r="B124" s="163" t="s">
        <v>194</v>
      </c>
      <c r="C124" s="501">
        <f>'[83]Sch C'!D125</f>
        <v>0</v>
      </c>
      <c r="D124" s="501">
        <f>'[83]Sch C'!F125</f>
        <v>0</v>
      </c>
      <c r="E124" s="171">
        <f t="shared" si="26"/>
        <v>0</v>
      </c>
      <c r="F124" s="171"/>
      <c r="G124" s="171">
        <f>E124+F124</f>
        <v>0</v>
      </c>
      <c r="H124" s="172">
        <f>IF($G$208=0,0,G124/$G$208)</f>
        <v>0</v>
      </c>
      <c r="I124" s="473"/>
      <c r="J124" s="183">
        <v>0</v>
      </c>
      <c r="K124" s="183">
        <v>0</v>
      </c>
    </row>
    <row r="125" spans="1:11" s="167" customFormat="1">
      <c r="A125" s="163" t="s">
        <v>198</v>
      </c>
      <c r="B125" s="163" t="s">
        <v>195</v>
      </c>
      <c r="C125" s="501">
        <f>'[83]Sch C'!D126</f>
        <v>0</v>
      </c>
      <c r="D125" s="501">
        <f>'[83]Sch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'[83]Sch C'!D127</f>
        <v>0</v>
      </c>
      <c r="D126" s="501">
        <f>'[83]Sch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'[83]Sch C'!D128</f>
        <v>211297.23</v>
      </c>
      <c r="D127" s="501">
        <f>'[83]Sch C'!F128</f>
        <v>-174557.46</v>
      </c>
      <c r="E127" s="171">
        <f t="shared" si="26"/>
        <v>36739.770000000019</v>
      </c>
      <c r="F127" s="171"/>
      <c r="G127" s="171">
        <f>E127+F127</f>
        <v>36739.770000000019</v>
      </c>
      <c r="H127" s="172">
        <f>IF($G$208=0,0,G127/$G$208)</f>
        <v>6.7118180445366136E-3</v>
      </c>
      <c r="I127" s="473"/>
      <c r="J127" s="183">
        <v>1684.9</v>
      </c>
      <c r="K127" s="183">
        <v>1981.65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'[83]Sch C'!D130</f>
        <v>0</v>
      </c>
      <c r="D129" s="501">
        <f>'[83]Sch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'[83]Sch C'!D131</f>
        <v>0</v>
      </c>
      <c r="D130" s="501">
        <f>'[83]Sch C'!F131</f>
        <v>0</v>
      </c>
      <c r="E130" s="171">
        <f t="shared" si="27"/>
        <v>0</v>
      </c>
      <c r="F130" s="171"/>
      <c r="G130" s="171">
        <f>E130+F130</f>
        <v>0</v>
      </c>
      <c r="H130" s="172">
        <f>IF($G$208=0,0,G130/$G$208)</f>
        <v>0</v>
      </c>
      <c r="I130" s="473"/>
      <c r="J130" s="204"/>
      <c r="K130" s="204"/>
    </row>
    <row r="131" spans="1:11" s="167" customFormat="1">
      <c r="B131" s="163" t="s">
        <v>195</v>
      </c>
      <c r="C131" s="501">
        <f>'[83]Sch C'!D132</f>
        <v>0</v>
      </c>
      <c r="D131" s="501">
        <f>'[83]Sch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'[83]Sch C'!D133</f>
        <v>0</v>
      </c>
      <c r="D132" s="501">
        <f>'[83]Sch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'[83]Sch C'!D134</f>
        <v>35487.21</v>
      </c>
      <c r="D133" s="501">
        <f>'[83]Sch C'!F134</f>
        <v>0</v>
      </c>
      <c r="E133" s="171">
        <f t="shared" si="27"/>
        <v>35487.21</v>
      </c>
      <c r="F133" s="171"/>
      <c r="G133" s="171">
        <f>E133+F133</f>
        <v>35487.21</v>
      </c>
      <c r="H133" s="172">
        <f>IF($G$208=0,0,G133/$G$208)</f>
        <v>6.4829936722048086E-3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'[83]Sch C'!D136</f>
        <v>467877.31</v>
      </c>
      <c r="D135" s="501">
        <f>'[83]Sch C'!F136</f>
        <v>-424.44</v>
      </c>
      <c r="E135" s="171">
        <f t="shared" ref="E135:E138" si="28">C135+D135</f>
        <v>467452.87</v>
      </c>
      <c r="F135" s="171"/>
      <c r="G135" s="171">
        <f>E135+F135</f>
        <v>467452.87</v>
      </c>
      <c r="H135" s="172">
        <f>IF($G$208=0,0,G135/$G$208)</f>
        <v>8.5396795021755068E-2</v>
      </c>
      <c r="I135" s="473"/>
      <c r="J135" s="183">
        <v>13079.65</v>
      </c>
      <c r="K135" s="183">
        <v>15109.37</v>
      </c>
    </row>
    <row r="136" spans="1:11" s="167" customFormat="1">
      <c r="A136" s="169"/>
      <c r="B136" s="163" t="s">
        <v>195</v>
      </c>
      <c r="C136" s="501">
        <f>'[83]Sch C'!D137</f>
        <v>416216.95</v>
      </c>
      <c r="D136" s="501">
        <f>'[83]Sch C'!F137</f>
        <v>424.44</v>
      </c>
      <c r="E136" s="171">
        <f t="shared" si="28"/>
        <v>416641.39</v>
      </c>
      <c r="F136" s="171"/>
      <c r="G136" s="171">
        <f>E136+F136</f>
        <v>416641.39</v>
      </c>
      <c r="H136" s="172">
        <f>IF($G$208=0,0,G136/$G$208)</f>
        <v>7.6114281594653846E-2</v>
      </c>
      <c r="I136" s="473"/>
      <c r="J136" s="183">
        <v>14465.58</v>
      </c>
      <c r="K136" s="183">
        <v>17855.2</v>
      </c>
    </row>
    <row r="137" spans="1:11" s="167" customFormat="1">
      <c r="A137" s="169"/>
      <c r="B137" s="163" t="s">
        <v>196</v>
      </c>
      <c r="C137" s="501">
        <f>'[83]Sch C'!D138</f>
        <v>505187.82</v>
      </c>
      <c r="D137" s="501">
        <f>'[83]Sch C'!F138</f>
        <v>322.99</v>
      </c>
      <c r="E137" s="171">
        <f t="shared" si="28"/>
        <v>505510.81</v>
      </c>
      <c r="F137" s="171"/>
      <c r="G137" s="171">
        <f>E137+F137</f>
        <v>505510.81</v>
      </c>
      <c r="H137" s="172">
        <f>IF($G$208=0,0,G137/$G$208)</f>
        <v>9.2349423424978386E-2</v>
      </c>
      <c r="I137" s="473"/>
      <c r="J137" s="183">
        <v>36185.19</v>
      </c>
      <c r="K137" s="183">
        <v>40531.050000000003</v>
      </c>
    </row>
    <row r="138" spans="1:11" s="167" customFormat="1">
      <c r="A138" s="169"/>
      <c r="B138" s="163" t="s">
        <v>197</v>
      </c>
      <c r="C138" s="501">
        <f>'[83]Sch C'!D139</f>
        <v>0</v>
      </c>
      <c r="D138" s="501">
        <f>'[83]Sch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'[83]Sch C'!D141</f>
        <v>51913.279999999999</v>
      </c>
      <c r="D140" s="501">
        <f>'[83]Sch C'!F141</f>
        <v>0</v>
      </c>
      <c r="E140" s="171">
        <f t="shared" ref="E140:E143" si="29">C140+D140</f>
        <v>51913.279999999999</v>
      </c>
      <c r="F140" s="171"/>
      <c r="G140" s="171">
        <f>E140+F140</f>
        <v>51913.279999999999</v>
      </c>
      <c r="H140" s="172">
        <f>IF($G$208=0,0,G140/$G$208)</f>
        <v>9.4837961548230026E-3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'[83]Sch C'!D142</f>
        <v>48868.54</v>
      </c>
      <c r="D141" s="501">
        <f>'[83]Sch C'!F142</f>
        <v>0</v>
      </c>
      <c r="E141" s="171">
        <f t="shared" si="29"/>
        <v>48868.54</v>
      </c>
      <c r="F141" s="171"/>
      <c r="G141" s="171">
        <f>E141+F141</f>
        <v>48868.54</v>
      </c>
      <c r="H141" s="172">
        <f>IF($G$208=0,0,G141/$G$208)</f>
        <v>8.9275667371395938E-3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'[83]Sch C'!D143</f>
        <v>67717.070000000007</v>
      </c>
      <c r="D142" s="501">
        <f>'[83]Sch C'!F143</f>
        <v>0</v>
      </c>
      <c r="E142" s="171">
        <f t="shared" si="29"/>
        <v>67717.070000000007</v>
      </c>
      <c r="F142" s="171"/>
      <c r="G142" s="171">
        <f>E142+F142</f>
        <v>67717.070000000007</v>
      </c>
      <c r="H142" s="172">
        <f>IF($G$208=0,0,G142/$G$208)</f>
        <v>1.2370917192708306E-2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'[83]Sch C'!D144</f>
        <v>0</v>
      </c>
      <c r="D143" s="501">
        <f>'[83]Sch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'[83]Sch C'!D146</f>
        <v>40533.94</v>
      </c>
      <c r="D145" s="501">
        <f>'[83]Sch C'!F146</f>
        <v>0</v>
      </c>
      <c r="E145" s="171">
        <f t="shared" ref="E145:E153" si="30">C145+D145</f>
        <v>40533.94</v>
      </c>
      <c r="F145" s="171"/>
      <c r="G145" s="171">
        <f t="shared" ref="G145:G153" si="31">E145+F145</f>
        <v>40533.94</v>
      </c>
      <c r="H145" s="172">
        <f t="shared" ref="H145:H153" si="32">IF($G$208=0,0,G145/$G$208)</f>
        <v>7.4049573502546241E-3</v>
      </c>
      <c r="I145" s="473"/>
      <c r="J145" s="183">
        <v>182</v>
      </c>
      <c r="K145" s="183">
        <v>182</v>
      </c>
    </row>
    <row r="146" spans="1:11" s="167" customFormat="1">
      <c r="A146" s="169"/>
      <c r="B146" s="163" t="s">
        <v>194</v>
      </c>
      <c r="C146" s="501">
        <f>'[83]Sch C'!D147</f>
        <v>0</v>
      </c>
      <c r="D146" s="501">
        <f>'[83]Sch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'[83]Sch C'!D148</f>
        <v>61830.61</v>
      </c>
      <c r="D147" s="501">
        <f>'[83]Sch C'!F148</f>
        <v>0</v>
      </c>
      <c r="E147" s="171">
        <f t="shared" si="30"/>
        <v>61830.61</v>
      </c>
      <c r="F147" s="171"/>
      <c r="G147" s="171">
        <f t="shared" si="31"/>
        <v>61830.61</v>
      </c>
      <c r="H147" s="172">
        <f t="shared" si="32"/>
        <v>1.1295547138773754E-2</v>
      </c>
      <c r="I147" s="473"/>
      <c r="J147" s="183">
        <v>1250</v>
      </c>
      <c r="K147" s="183">
        <v>1250</v>
      </c>
    </row>
    <row r="148" spans="1:11" s="167" customFormat="1">
      <c r="A148" s="169"/>
      <c r="B148" s="163" t="s">
        <v>196</v>
      </c>
      <c r="C148" s="501">
        <f>'[83]Sch C'!D149</f>
        <v>21469.4</v>
      </c>
      <c r="D148" s="501">
        <f>'[83]Sch C'!F149</f>
        <v>-384.0582534486735</v>
      </c>
      <c r="E148" s="171">
        <f t="shared" si="30"/>
        <v>21085.341746551327</v>
      </c>
      <c r="F148" s="171"/>
      <c r="G148" s="171">
        <f t="shared" si="31"/>
        <v>21085.341746551327</v>
      </c>
      <c r="H148" s="172">
        <f t="shared" si="32"/>
        <v>3.8519832108291447E-3</v>
      </c>
      <c r="I148" s="473"/>
      <c r="J148" s="183">
        <v>1025</v>
      </c>
      <c r="K148" s="183">
        <v>1025</v>
      </c>
    </row>
    <row r="149" spans="1:11" s="167" customFormat="1">
      <c r="A149" s="169"/>
      <c r="B149" s="163" t="s">
        <v>197</v>
      </c>
      <c r="C149" s="501">
        <f>'[83]Sch C'!D150</f>
        <v>4992.55</v>
      </c>
      <c r="D149" s="501">
        <f>'[83]Sch C'!F150</f>
        <v>0</v>
      </c>
      <c r="E149" s="171">
        <f t="shared" si="30"/>
        <v>4992.55</v>
      </c>
      <c r="F149" s="171"/>
      <c r="G149" s="171">
        <f t="shared" si="31"/>
        <v>4992.55</v>
      </c>
      <c r="H149" s="172">
        <f t="shared" si="32"/>
        <v>9.1206578533973551E-4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'[83]Sch C'!D151</f>
        <v>37651.25</v>
      </c>
      <c r="D150" s="501">
        <f>'[83]Sch C'!F151</f>
        <v>0</v>
      </c>
      <c r="E150" s="171">
        <f t="shared" si="30"/>
        <v>37651.25</v>
      </c>
      <c r="F150" s="171"/>
      <c r="G150" s="171">
        <f t="shared" si="31"/>
        <v>37651.25</v>
      </c>
      <c r="H150" s="172">
        <f t="shared" si="32"/>
        <v>6.8783320948759084E-3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'[83]Sch C'!D152</f>
        <v>29754.13</v>
      </c>
      <c r="D151" s="501">
        <f>'[83]Sch C'!F152</f>
        <v>0</v>
      </c>
      <c r="E151" s="171">
        <f t="shared" si="30"/>
        <v>29754.13</v>
      </c>
      <c r="F151" s="171"/>
      <c r="G151" s="171">
        <f t="shared" si="31"/>
        <v>29754.13</v>
      </c>
      <c r="H151" s="172">
        <f t="shared" si="32"/>
        <v>5.4356438985189107E-3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'[83]Sch C'!D153</f>
        <v>335.06</v>
      </c>
      <c r="D152" s="501">
        <f>'[83]Sch C'!F153</f>
        <v>0</v>
      </c>
      <c r="E152" s="171">
        <f t="shared" si="30"/>
        <v>335.06</v>
      </c>
      <c r="F152" s="171"/>
      <c r="G152" s="171">
        <f t="shared" si="31"/>
        <v>335.06</v>
      </c>
      <c r="H152" s="172">
        <f t="shared" si="32"/>
        <v>6.1210556135828746E-5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'[83]Sch C'!D154</f>
        <v>2347.64</v>
      </c>
      <c r="D153" s="501">
        <f>'[83]Sch C'!F154</f>
        <v>0</v>
      </c>
      <c r="E153" s="171">
        <f t="shared" si="30"/>
        <v>2347.64</v>
      </c>
      <c r="F153" s="171"/>
      <c r="G153" s="171">
        <f t="shared" si="31"/>
        <v>2347.64</v>
      </c>
      <c r="H153" s="172">
        <f t="shared" si="32"/>
        <v>4.2887945444612002E-4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'[83]Sch C'!D156</f>
        <v>0</v>
      </c>
      <c r="D155" s="501">
        <f>'[83]Sch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'[83]Sch C'!D157</f>
        <v>0</v>
      </c>
      <c r="D156" s="501">
        <f>'[83]Sch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'[83]Sch C'!D158</f>
        <v>0</v>
      </c>
      <c r="D157" s="501">
        <f>'[83]Sch C'!F158</f>
        <v>0</v>
      </c>
      <c r="E157" s="171">
        <f t="shared" si="33"/>
        <v>0</v>
      </c>
      <c r="F157" s="171"/>
      <c r="G157" s="171">
        <f t="shared" si="34"/>
        <v>0</v>
      </c>
      <c r="H157" s="172">
        <f t="shared" si="35"/>
        <v>0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'[83]Sch C'!D159</f>
        <v>0</v>
      </c>
      <c r="D158" s="501">
        <f>'[83]Sch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'[83]Sch C'!D160</f>
        <v>0</v>
      </c>
      <c r="D159" s="501">
        <f>'[83]Sch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'[83]Sch C'!D161</f>
        <v>13317.58</v>
      </c>
      <c r="D160" s="501">
        <f>'[83]Sch C'!F161</f>
        <v>0</v>
      </c>
      <c r="E160" s="171">
        <f t="shared" si="33"/>
        <v>13317.58</v>
      </c>
      <c r="F160" s="171"/>
      <c r="G160" s="171">
        <f t="shared" si="34"/>
        <v>13317.58</v>
      </c>
      <c r="H160" s="172">
        <f t="shared" si="35"/>
        <v>2.4329268733462371E-3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2016797.57</v>
      </c>
      <c r="D161" s="501">
        <f>SUM(D123:D160)</f>
        <v>1590.5417465513417</v>
      </c>
      <c r="E161" s="171">
        <f t="shared" ref="E161:F161" si="36">SUM(E123:E160)</f>
        <v>2018388.1117465515</v>
      </c>
      <c r="F161" s="171">
        <f t="shared" si="36"/>
        <v>0</v>
      </c>
      <c r="G161" s="171">
        <f>SUM(G123:G160)</f>
        <v>2018388.1117465515</v>
      </c>
      <c r="H161" s="172">
        <f t="shared" si="35"/>
        <v>0.36872995528547625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'[83]Sch C'!D175</f>
        <v>0</v>
      </c>
      <c r="D164" s="501">
        <f>'[83]Sch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'[83]Sch C'!D176</f>
        <v>0</v>
      </c>
      <c r="D165" s="501">
        <f>'[83]Sch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'[83]Sch C'!D177</f>
        <v>0</v>
      </c>
      <c r="D166" s="501">
        <f>'[83]Sch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'[83]Sch C'!D178</f>
        <v>0</v>
      </c>
      <c r="D167" s="501">
        <f>'[83]Sch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'[83]Sch C'!D179</f>
        <v>0</v>
      </c>
      <c r="D168" s="501">
        <f>'[83]Sch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'[83]Sch C'!D180</f>
        <v>0</v>
      </c>
      <c r="D169" s="501">
        <f>'[83]Sch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'[83]Sch C'!D181</f>
        <v>0</v>
      </c>
      <c r="D170" s="501">
        <f>'[83]Sch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'[83]Sch C'!D182</f>
        <v>0</v>
      </c>
      <c r="D171" s="501">
        <f>'[83]Sch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'[83]Sch C'!D183</f>
        <v>0</v>
      </c>
      <c r="D172" s="501">
        <f>'[83]Sch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'[83]Sch C'!D184</f>
        <v>0</v>
      </c>
      <c r="D173" s="501">
        <f>'[83]Sch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'[83]Sch C'!D185</f>
        <v>0</v>
      </c>
      <c r="D174" s="501">
        <f>'[83]Sch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'[83]Sch C'!D186</f>
        <v>0</v>
      </c>
      <c r="D175" s="501">
        <f>'[83]Sch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'[83]Sch C'!D187</f>
        <v>0</v>
      </c>
      <c r="D176" s="501">
        <f>'[83]Sch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'[83]Sch C'!D188</f>
        <v>1950.7</v>
      </c>
      <c r="D177" s="501">
        <f>'[83]Sch C'!F188</f>
        <v>0</v>
      </c>
      <c r="E177" s="171">
        <f t="shared" si="37"/>
        <v>1950.7</v>
      </c>
      <c r="F177" s="216"/>
      <c r="G177" s="171">
        <f t="shared" si="38"/>
        <v>1950.7</v>
      </c>
      <c r="H177" s="172">
        <f t="shared" si="39"/>
        <v>3.5636432834167353E-4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'[83]Sch C'!D189</f>
        <v>0</v>
      </c>
      <c r="D178" s="501">
        <f>'[83]Sch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'[83]Sch C'!D190</f>
        <v>0</v>
      </c>
      <c r="D179" s="501">
        <f>'[83]Sch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'[83]Sch C'!D191</f>
        <v>109.13</v>
      </c>
      <c r="D180" s="501">
        <f>'[83]Sch C'!F191</f>
        <v>0</v>
      </c>
      <c r="E180" s="171">
        <f t="shared" si="37"/>
        <v>109.13</v>
      </c>
      <c r="F180" s="216"/>
      <c r="G180" s="171">
        <f t="shared" si="38"/>
        <v>109.13</v>
      </c>
      <c r="H180" s="172">
        <f t="shared" si="39"/>
        <v>1.9936453146012626E-5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'[83]Sch C'!D192</f>
        <v>0</v>
      </c>
      <c r="D181" s="501">
        <f>'[83]Sch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'[83]Sch C'!D193</f>
        <v>451</v>
      </c>
      <c r="D182" s="501">
        <f>'[83]Sch C'!F193</f>
        <v>-451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'[83]Sch C'!D194</f>
        <v>293606.7</v>
      </c>
      <c r="D183" s="501">
        <f>'[83]Sch C'!F194</f>
        <v>-14027.23</v>
      </c>
      <c r="E183" s="171">
        <f t="shared" si="37"/>
        <v>279579.47000000003</v>
      </c>
      <c r="F183" s="216"/>
      <c r="G183" s="171">
        <f t="shared" si="38"/>
        <v>279579.47000000003</v>
      </c>
      <c r="H183" s="172">
        <f t="shared" si="39"/>
        <v>5.1075075636782215E-2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'[83]Sch C'!D195</f>
        <v>54884.63</v>
      </c>
      <c r="D184" s="501">
        <f>'[83]Sch C'!F195</f>
        <v>-2636.1964533870428</v>
      </c>
      <c r="E184" s="171">
        <f t="shared" si="37"/>
        <v>52248.433546612956</v>
      </c>
      <c r="F184" s="216"/>
      <c r="G184" s="171">
        <f t="shared" si="38"/>
        <v>52248.433546612956</v>
      </c>
      <c r="H184" s="172">
        <f t="shared" si="39"/>
        <v>9.5450238005553335E-3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'[83]Sch C'!D196</f>
        <v>0</v>
      </c>
      <c r="D185" s="501">
        <f>'[83]Sch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'[83]Sch C'!D197</f>
        <v>89744.53</v>
      </c>
      <c r="D186" s="501">
        <f>'[83]Sch C'!F197</f>
        <v>-4310.5731367212838</v>
      </c>
      <c r="E186" s="171">
        <f t="shared" si="37"/>
        <v>85433.956863278712</v>
      </c>
      <c r="F186" s="216"/>
      <c r="G186" s="171">
        <f t="shared" si="38"/>
        <v>85433.956863278712</v>
      </c>
      <c r="H186" s="172">
        <f t="shared" si="39"/>
        <v>1.5607533016431962E-2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'[83]Sch C'!D198</f>
        <v>15102.19</v>
      </c>
      <c r="D187" s="501">
        <f>'[83]Sch C'!F198</f>
        <v>0</v>
      </c>
      <c r="E187" s="171">
        <f t="shared" si="37"/>
        <v>15102.19</v>
      </c>
      <c r="F187" s="216"/>
      <c r="G187" s="171">
        <f t="shared" si="38"/>
        <v>15102.19</v>
      </c>
      <c r="H187" s="172">
        <f t="shared" si="39"/>
        <v>2.7589489905358788E-3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'[83]Sch C'!D199</f>
        <v>3625.66</v>
      </c>
      <c r="D188" s="501">
        <f>'[83]Sch C'!F199</f>
        <v>0</v>
      </c>
      <c r="E188" s="171">
        <f t="shared" si="37"/>
        <v>3625.66</v>
      </c>
      <c r="F188" s="216"/>
      <c r="G188" s="171">
        <f t="shared" si="38"/>
        <v>3625.66</v>
      </c>
      <c r="H188" s="172">
        <f t="shared" si="39"/>
        <v>6.6235499599901165E-4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'[83]Sch C'!D200</f>
        <v>0</v>
      </c>
      <c r="D189" s="501">
        <f>'[83]Sch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'[83]Sch C'!D201</f>
        <v>0</v>
      </c>
      <c r="D190" s="501">
        <f>'[83]Sch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'[83]Sch C'!D202</f>
        <v>0</v>
      </c>
      <c r="D191" s="501">
        <f>'[83]Sch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'[83]Sch C'!D203</f>
        <v>2387.31</v>
      </c>
      <c r="D192" s="501">
        <f>'[83]Sch C'!F203</f>
        <v>0</v>
      </c>
      <c r="E192" s="171">
        <f t="shared" si="37"/>
        <v>2387.31</v>
      </c>
      <c r="F192" s="216"/>
      <c r="G192" s="171">
        <f t="shared" si="38"/>
        <v>2387.31</v>
      </c>
      <c r="H192" s="172">
        <f t="shared" si="39"/>
        <v>4.3612658260796665E-4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'[83]Sch C'!D204</f>
        <v>0</v>
      </c>
      <c r="D193" s="501">
        <f>'[83]Sch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'[83]Sch C'!D205</f>
        <v>90756.24</v>
      </c>
      <c r="D194" s="501">
        <f>'[83]Sch C'!F205</f>
        <v>0</v>
      </c>
      <c r="E194" s="171">
        <f t="shared" si="37"/>
        <v>90756.24</v>
      </c>
      <c r="F194" s="216"/>
      <c r="G194" s="171">
        <f t="shared" si="38"/>
        <v>90756.24</v>
      </c>
      <c r="H194" s="172">
        <f t="shared" si="39"/>
        <v>1.6579836217981096E-2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'[83]Sch C'!D206</f>
        <v>3565.2</v>
      </c>
      <c r="D195" s="501">
        <f>'[83]Sch C'!F206</f>
        <v>0</v>
      </c>
      <c r="E195" s="171">
        <f t="shared" si="37"/>
        <v>3565.2</v>
      </c>
      <c r="F195" s="216"/>
      <c r="G195" s="171">
        <f t="shared" si="38"/>
        <v>3565.2</v>
      </c>
      <c r="H195" s="172">
        <f t="shared" si="39"/>
        <v>6.5130983923911124E-4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'[83]Sch C'!D207</f>
        <v>9931.57</v>
      </c>
      <c r="D196" s="501">
        <f>'[83]Sch C'!F207</f>
        <v>0</v>
      </c>
      <c r="E196" s="171">
        <f t="shared" si="37"/>
        <v>9931.57</v>
      </c>
      <c r="F196" s="216"/>
      <c r="G196" s="171">
        <f t="shared" si="38"/>
        <v>9931.57</v>
      </c>
      <c r="H196" s="172">
        <f t="shared" si="39"/>
        <v>1.8143524234522552E-3</v>
      </c>
      <c r="I196" s="472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566114.86</v>
      </c>
      <c r="D197" s="501">
        <f>SUM(D164:D196)</f>
        <v>-21424.999590108324</v>
      </c>
      <c r="E197" s="171">
        <f t="shared" ref="E197:F197" si="40">SUM(E164:E196)</f>
        <v>544689.86040989158</v>
      </c>
      <c r="F197" s="171">
        <f t="shared" si="40"/>
        <v>0</v>
      </c>
      <c r="G197" s="171">
        <f>SUM(G164:G196)</f>
        <v>544689.86040989158</v>
      </c>
      <c r="H197" s="172">
        <f>IF($G$208=0,0,G197/$G$208)</f>
        <v>9.9506862285072495E-2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'[83]Sch C'!D211</f>
        <v>203510.04</v>
      </c>
      <c r="D200" s="501">
        <f>'[83]Sch C'!F211</f>
        <v>-45552.59</v>
      </c>
      <c r="E200" s="171">
        <f t="shared" ref="E200:E205" si="41">C200+D200</f>
        <v>157957.45000000001</v>
      </c>
      <c r="F200" s="171"/>
      <c r="G200" s="171">
        <f t="shared" ref="G200:G205" si="42">E200+F200</f>
        <v>157957.45000000001</v>
      </c>
      <c r="H200" s="172">
        <f t="shared" ref="H200:H206" si="43">IF($G$208=0,0,G200/$G$208)</f>
        <v>2.8856513341781659E-2</v>
      </c>
      <c r="I200" s="473"/>
      <c r="J200" s="183">
        <v>7969.16</v>
      </c>
      <c r="K200" s="183">
        <v>8917.16</v>
      </c>
    </row>
    <row r="201" spans="1:14" s="167" customFormat="1">
      <c r="A201" s="169" t="s">
        <v>86</v>
      </c>
      <c r="B201" s="170" t="s">
        <v>45</v>
      </c>
      <c r="C201" s="501">
        <f>'[83]Sch C'!D212</f>
        <v>36027.160000000003</v>
      </c>
      <c r="D201" s="501">
        <f>'[83]Sch C'!F212</f>
        <v>0</v>
      </c>
      <c r="E201" s="171">
        <f t="shared" si="41"/>
        <v>36027.160000000003</v>
      </c>
      <c r="F201" s="171"/>
      <c r="G201" s="171">
        <f t="shared" si="42"/>
        <v>36027.160000000003</v>
      </c>
      <c r="H201" s="172">
        <f t="shared" si="43"/>
        <v>6.5816346313928376E-3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'[83]Sch C'!D213</f>
        <v>20399.46</v>
      </c>
      <c r="D202" s="501">
        <f>'[83]Sch C'!F213</f>
        <v>0</v>
      </c>
      <c r="E202" s="171">
        <f t="shared" si="41"/>
        <v>20399.46</v>
      </c>
      <c r="F202" s="171"/>
      <c r="G202" s="171">
        <f t="shared" si="42"/>
        <v>20399.46</v>
      </c>
      <c r="H202" s="172">
        <f t="shared" si="43"/>
        <v>3.7266826582420848E-3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'[83]Sch C'!D214</f>
        <v>0</v>
      </c>
      <c r="D203" s="501">
        <f>'[83]Sch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'[83]Sch C'!D215</f>
        <v>0</v>
      </c>
      <c r="D204" s="501">
        <f>'[83]Sch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'[83]Sch C'!D216</f>
        <v>7165.91</v>
      </c>
      <c r="D205" s="501">
        <f>'[83]Sch C'!F216</f>
        <v>-1465.89</v>
      </c>
      <c r="E205" s="171">
        <f t="shared" si="41"/>
        <v>5700.0199999999995</v>
      </c>
      <c r="F205" s="171"/>
      <c r="G205" s="171">
        <f t="shared" si="42"/>
        <v>5700.0199999999995</v>
      </c>
      <c r="H205" s="172">
        <f t="shared" si="43"/>
        <v>1.0413101957420954E-3</v>
      </c>
      <c r="I205" s="472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267102.57</v>
      </c>
      <c r="D206" s="501">
        <f>SUM(D200:D205)</f>
        <v>-47018.479999999996</v>
      </c>
      <c r="E206" s="171">
        <f t="shared" ref="E206:F206" si="44">SUM(E200:E205)</f>
        <v>220084.09</v>
      </c>
      <c r="F206" s="171">
        <f t="shared" si="44"/>
        <v>0</v>
      </c>
      <c r="G206" s="171">
        <f>SUM(G200:G205)</f>
        <v>220084.09</v>
      </c>
      <c r="H206" s="172">
        <f t="shared" si="43"/>
        <v>4.0206140827158669E-2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5899571.3899999987</v>
      </c>
      <c r="D208" s="501">
        <f>SUM(D25:D206)/2</f>
        <v>-425678.95784355694</v>
      </c>
      <c r="E208" s="171">
        <f t="shared" ref="E208:F208" si="45">SUM(E25:E206)/2</f>
        <v>5473892.4321564417</v>
      </c>
      <c r="F208" s="171">
        <f t="shared" si="45"/>
        <v>0</v>
      </c>
      <c r="G208" s="171">
        <f>SUM(G25:G206)/2</f>
        <v>5473892.4321564417</v>
      </c>
      <c r="H208" s="172">
        <f>IF($G$208=0,0,G208/$G$208)</f>
        <v>1</v>
      </c>
      <c r="I208" s="473"/>
      <c r="J208" s="183">
        <f>SUM(J25:J200)</f>
        <v>101141.45000000001</v>
      </c>
      <c r="K208" s="183">
        <f>SUM(K25:K200)</f>
        <v>114348.55000000002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'[83]Sch C'!D221</f>
        <v>5899571.3899999987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-1452130.3999999985</v>
      </c>
      <c r="D215" s="501">
        <f>D21-D208</f>
        <v>421160.15784355695</v>
      </c>
      <c r="E215" s="171">
        <f t="shared" ref="E215:F215" si="46">E21-E208</f>
        <v>-1030970.2421564413</v>
      </c>
      <c r="F215" s="171">
        <f t="shared" si="46"/>
        <v>0</v>
      </c>
      <c r="G215" s="171">
        <f>G21-G208</f>
        <v>-1030970.2421564413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'[83]Sch D'!C9</f>
        <v>16098</v>
      </c>
      <c r="D219" s="530"/>
      <c r="E219" s="234">
        <f t="shared" ref="E219:G227" si="47">C219+D219</f>
        <v>16098</v>
      </c>
      <c r="F219" s="233"/>
      <c r="G219" s="234">
        <f t="shared" si="47"/>
        <v>16098</v>
      </c>
      <c r="H219" s="172">
        <f t="shared" ref="H219:H228" si="48">IF($G$228=0,0,G219/$G$228)</f>
        <v>0.82846997066543149</v>
      </c>
      <c r="I219" s="473"/>
      <c r="J219" s="168"/>
      <c r="K219" s="168"/>
    </row>
    <row r="220" spans="1:11">
      <c r="A220" s="163"/>
      <c r="B220" s="170" t="s">
        <v>217</v>
      </c>
      <c r="C220" s="530">
        <f>'[83]Sch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'[83]Sch D'!E9</f>
        <v>1681</v>
      </c>
      <c r="D221" s="530"/>
      <c r="E221" s="234">
        <f t="shared" si="49"/>
        <v>1681</v>
      </c>
      <c r="F221" s="233"/>
      <c r="G221" s="234">
        <f t="shared" si="47"/>
        <v>1681</v>
      </c>
      <c r="H221" s="172">
        <f t="shared" si="48"/>
        <v>8.6511244917914676E-2</v>
      </c>
      <c r="I221" s="473"/>
      <c r="J221" s="168"/>
      <c r="K221" s="168"/>
    </row>
    <row r="222" spans="1:11">
      <c r="A222" s="163"/>
      <c r="B222" s="202" t="s">
        <v>334</v>
      </c>
      <c r="C222" s="530">
        <f>'[83]Sch D'!F9</f>
        <v>461</v>
      </c>
      <c r="D222" s="530"/>
      <c r="E222" s="234">
        <f>C222+D222</f>
        <v>461</v>
      </c>
      <c r="F222" s="233"/>
      <c r="G222" s="234">
        <f>E222+F222</f>
        <v>461</v>
      </c>
      <c r="H222" s="172">
        <f t="shared" si="48"/>
        <v>2.3724975554526271E-2</v>
      </c>
      <c r="I222" s="473"/>
      <c r="J222" s="168"/>
      <c r="K222" s="168"/>
    </row>
    <row r="223" spans="1:11">
      <c r="A223" s="163"/>
      <c r="B223" s="170" t="s">
        <v>73</v>
      </c>
      <c r="C223" s="530">
        <f>'[83]Sch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'[83]Sch D'!H9</f>
        <v>161</v>
      </c>
      <c r="D224" s="530"/>
      <c r="E224" s="234">
        <f t="shared" si="49"/>
        <v>161</v>
      </c>
      <c r="F224" s="233"/>
      <c r="G224" s="234">
        <f t="shared" si="47"/>
        <v>161</v>
      </c>
      <c r="H224" s="172">
        <f t="shared" si="48"/>
        <v>8.2857289897586336E-3</v>
      </c>
      <c r="I224" s="473"/>
      <c r="J224" s="168"/>
      <c r="K224" s="168"/>
    </row>
    <row r="225" spans="1:11">
      <c r="A225" s="163"/>
      <c r="B225" s="170" t="s">
        <v>236</v>
      </c>
      <c r="C225" s="530">
        <f>'[83]Sch D'!I9</f>
        <v>956</v>
      </c>
      <c r="D225" s="530"/>
      <c r="E225" s="234">
        <f t="shared" si="49"/>
        <v>956</v>
      </c>
      <c r="F225" s="233"/>
      <c r="G225" s="234">
        <f t="shared" si="47"/>
        <v>956</v>
      </c>
      <c r="H225" s="172">
        <f t="shared" si="48"/>
        <v>4.9199732386392879E-2</v>
      </c>
      <c r="I225" s="473"/>
      <c r="J225" s="168"/>
      <c r="K225" s="168"/>
    </row>
    <row r="226" spans="1:11">
      <c r="A226" s="163"/>
      <c r="B226" s="170" t="s">
        <v>235</v>
      </c>
      <c r="C226" s="530">
        <f>'[83]Sch D'!J9</f>
        <v>41</v>
      </c>
      <c r="D226" s="530"/>
      <c r="E226" s="234">
        <f>C226+D226</f>
        <v>41</v>
      </c>
      <c r="F226" s="233"/>
      <c r="G226" s="234">
        <f>E226+F226</f>
        <v>41</v>
      </c>
      <c r="H226" s="172">
        <f t="shared" si="48"/>
        <v>2.1100303638515775E-3</v>
      </c>
      <c r="I226" s="473"/>
      <c r="J226" s="168"/>
      <c r="K226" s="168"/>
    </row>
    <row r="227" spans="1:11">
      <c r="A227" s="163"/>
      <c r="B227" s="170" t="s">
        <v>179</v>
      </c>
      <c r="C227" s="530">
        <f>'[83]Sch D'!K9</f>
        <v>33</v>
      </c>
      <c r="D227" s="530"/>
      <c r="E227" s="234">
        <f t="shared" si="49"/>
        <v>33</v>
      </c>
      <c r="F227" s="233"/>
      <c r="G227" s="234">
        <f t="shared" si="47"/>
        <v>33</v>
      </c>
      <c r="H227" s="172">
        <f t="shared" si="48"/>
        <v>1.6983171221244403E-3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19431</v>
      </c>
      <c r="D228" s="530">
        <f>SUM(D219:D227)</f>
        <v>0</v>
      </c>
      <c r="E228" s="236">
        <f>SUM(E219:E227)</f>
        <v>19431</v>
      </c>
      <c r="F228" s="236">
        <f>SUM(F219:F227)</f>
        <v>0</v>
      </c>
      <c r="G228" s="236">
        <f>SUM(G219:G227)</f>
        <v>19431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'[83]Sch D'!N22</f>
        <v>120</v>
      </c>
      <c r="D231" s="502"/>
      <c r="E231" s="234">
        <f>C231+D231</f>
        <v>120</v>
      </c>
      <c r="F231" s="234"/>
      <c r="G231" s="234">
        <f>E231+F231</f>
        <v>120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'[83]Sch D'!N24</f>
        <v>120</v>
      </c>
      <c r="D232" s="502"/>
      <c r="E232" s="234">
        <f>C232+D232</f>
        <v>120</v>
      </c>
      <c r="F232" s="234"/>
      <c r="G232" s="234">
        <f>E232+F232</f>
        <v>120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'[83]Sch D'!N28</f>
        <v>43800</v>
      </c>
      <c r="D235" s="438"/>
      <c r="E235" s="233">
        <f>E231*E233</f>
        <v>43800</v>
      </c>
      <c r="F235" s="238"/>
      <c r="G235" s="233">
        <f>G231*G233</f>
        <v>43800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'[83]Sch D'!N30</f>
        <v>0.44363013698630138</v>
      </c>
      <c r="D236" s="238"/>
      <c r="E236" s="242">
        <f>E228/E235</f>
        <v>0.44363013698630138</v>
      </c>
      <c r="F236" s="243"/>
      <c r="G236" s="242">
        <f>G228/G235</f>
        <v>0.44363013698630138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'[83]Sch D'!N32</f>
        <v>0.36753424657534245</v>
      </c>
      <c r="D237" s="238"/>
      <c r="E237" s="242">
        <f>(E219+E220)/E235</f>
        <v>0.36753424657534245</v>
      </c>
      <c r="F237" s="243"/>
      <c r="G237" s="242">
        <f>(G219+G220)/G235</f>
        <v>0.36753424657534245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'[83]Sch D'!N34</f>
        <v>0.82846997066543149</v>
      </c>
      <c r="D238" s="238"/>
      <c r="E238" s="242">
        <f>(E237/E236)</f>
        <v>0.82846997066543149</v>
      </c>
      <c r="F238" s="243"/>
      <c r="G238" s="242">
        <f>(G237/G236)</f>
        <v>0.82846997066543149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'[83]Sch B'!C85</f>
        <v>275.63722222222225</v>
      </c>
      <c r="I241" s="475"/>
    </row>
    <row r="242" spans="2:9">
      <c r="F242" s="142" t="s">
        <v>341</v>
      </c>
      <c r="G242" s="501">
        <f>'[83]Sch B'!E85</f>
        <v>235.89746835443034</v>
      </c>
      <c r="I242" s="475"/>
    </row>
    <row r="243" spans="2:9">
      <c r="F243" s="142" t="s">
        <v>342</v>
      </c>
      <c r="G243" s="501">
        <f>'[83]Sch B'!G85</f>
        <v>341.6528571428571</v>
      </c>
      <c r="I243" s="475"/>
    </row>
    <row r="244" spans="2:9">
      <c r="F244" s="142" t="s">
        <v>343</v>
      </c>
      <c r="G244" s="501">
        <f>'[83]Sch B'!I85</f>
        <v>500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2" sqref="F12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1">
    <tabColor rgb="FFE28CAB"/>
  </sheetPr>
  <dimension ref="A1:O246"/>
  <sheetViews>
    <sheetView showGridLines="0" topLeftCell="A38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377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371</v>
      </c>
      <c r="D2" s="1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'[84]Sch B'!E10</f>
        <v>1882986</v>
      </c>
      <c r="D11" s="501">
        <f>'[84]Sch B'!G10</f>
        <v>0</v>
      </c>
      <c r="E11" s="171">
        <f>C11+D11</f>
        <v>1882986</v>
      </c>
      <c r="F11" s="171"/>
      <c r="G11" s="171">
        <f t="shared" ref="G11:G20" si="0">E11+F11</f>
        <v>1882986</v>
      </c>
      <c r="H11" s="172">
        <f t="shared" ref="H11:H21" si="1">IF($G$21=0,0,G11/$G$21)</f>
        <v>0.44516666686367939</v>
      </c>
      <c r="I11" s="473"/>
      <c r="J11" s="336" t="s">
        <v>344</v>
      </c>
      <c r="K11" s="337">
        <f>G21</f>
        <v>4229845</v>
      </c>
    </row>
    <row r="12" spans="1:11" s="167" customFormat="1">
      <c r="A12" s="169" t="s">
        <v>15</v>
      </c>
      <c r="B12" s="170" t="s">
        <v>212</v>
      </c>
      <c r="C12" s="501">
        <f>'[84]Sch B'!E15</f>
        <v>0</v>
      </c>
      <c r="D12" s="501">
        <f>'[84]Sch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4028146</v>
      </c>
    </row>
    <row r="13" spans="1:11" s="167" customFormat="1">
      <c r="A13" s="169" t="s">
        <v>16</v>
      </c>
      <c r="B13" s="170" t="s">
        <v>170</v>
      </c>
      <c r="C13" s="501">
        <f>'[84]Sch B'!E21</f>
        <v>985755</v>
      </c>
      <c r="D13" s="501">
        <f>'[84]Sch B'!G21</f>
        <v>0</v>
      </c>
      <c r="E13" s="171">
        <f t="shared" si="2"/>
        <v>985755</v>
      </c>
      <c r="F13" s="171"/>
      <c r="G13" s="171">
        <f t="shared" si="0"/>
        <v>985755</v>
      </c>
      <c r="H13" s="172">
        <f t="shared" si="1"/>
        <v>0.23304754665951116</v>
      </c>
      <c r="I13" s="473"/>
      <c r="J13" s="338" t="s">
        <v>346</v>
      </c>
      <c r="K13" s="339">
        <f>G228</f>
        <v>17594</v>
      </c>
    </row>
    <row r="14" spans="1:11" s="167" customFormat="1">
      <c r="A14" s="173" t="s">
        <v>18</v>
      </c>
      <c r="B14" s="174" t="s">
        <v>306</v>
      </c>
      <c r="C14" s="501">
        <f>'[84]Sch B'!E27</f>
        <v>316561</v>
      </c>
      <c r="D14" s="501">
        <f>'[84]Sch B'!G27</f>
        <v>0</v>
      </c>
      <c r="E14" s="171">
        <f t="shared" si="2"/>
        <v>316561</v>
      </c>
      <c r="F14" s="175"/>
      <c r="G14" s="175">
        <f>E14+F14</f>
        <v>316561</v>
      </c>
      <c r="H14" s="176">
        <f t="shared" si="1"/>
        <v>7.4839858198113646E-2</v>
      </c>
      <c r="I14" s="479"/>
      <c r="J14" s="338" t="s">
        <v>347</v>
      </c>
      <c r="K14" s="339">
        <f>G231</f>
        <v>84</v>
      </c>
    </row>
    <row r="15" spans="1:11" s="167" customFormat="1">
      <c r="A15" s="169" t="s">
        <v>19</v>
      </c>
      <c r="B15" s="170" t="s">
        <v>171</v>
      </c>
      <c r="C15" s="501">
        <f>'[84]Sch B'!E32</f>
        <v>0</v>
      </c>
      <c r="D15" s="501">
        <f>'[84]Sch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30660</v>
      </c>
    </row>
    <row r="16" spans="1:11" s="167" customFormat="1">
      <c r="A16" s="169" t="s">
        <v>21</v>
      </c>
      <c r="B16" s="170" t="s">
        <v>172</v>
      </c>
      <c r="C16" s="501">
        <f>'[84]Sch B'!E37</f>
        <v>407141</v>
      </c>
      <c r="D16" s="501">
        <f>'[84]Sch B'!G37</f>
        <v>0</v>
      </c>
      <c r="E16" s="171">
        <f t="shared" si="2"/>
        <v>407141</v>
      </c>
      <c r="F16" s="171"/>
      <c r="G16" s="171">
        <f t="shared" si="0"/>
        <v>407141</v>
      </c>
      <c r="H16" s="172">
        <f t="shared" si="1"/>
        <v>9.625435447398191E-2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'[84]Sch B'!E42</f>
        <v>0</v>
      </c>
      <c r="D17" s="501">
        <f>'[84]Sch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73"/>
      <c r="J17" s="338" t="s">
        <v>156</v>
      </c>
      <c r="K17" s="339">
        <f>J208</f>
        <v>83711</v>
      </c>
    </row>
    <row r="18" spans="1:11" s="167" customFormat="1" ht="13.5" thickBot="1">
      <c r="A18" s="169" t="s">
        <v>216</v>
      </c>
      <c r="B18" s="170" t="s">
        <v>229</v>
      </c>
      <c r="C18" s="501">
        <f>'[84]Sch B'!E47</f>
        <v>334027</v>
      </c>
      <c r="D18" s="501">
        <f>'[84]Sch B'!G47</f>
        <v>0</v>
      </c>
      <c r="E18" s="171">
        <f t="shared" si="2"/>
        <v>334027</v>
      </c>
      <c r="F18" s="171"/>
      <c r="G18" s="171">
        <f>E18+F18</f>
        <v>334027</v>
      </c>
      <c r="H18" s="172">
        <f t="shared" si="1"/>
        <v>7.8969087519755454E-2</v>
      </c>
      <c r="I18" s="473"/>
      <c r="J18" s="341" t="s">
        <v>252</v>
      </c>
      <c r="K18" s="342">
        <f>K208</f>
        <v>88235</v>
      </c>
    </row>
    <row r="19" spans="1:11" s="167" customFormat="1">
      <c r="A19" s="169" t="s">
        <v>227</v>
      </c>
      <c r="B19" s="177" t="s">
        <v>173</v>
      </c>
      <c r="C19" s="501">
        <f>'[84]Sch B'!E52</f>
        <v>255505</v>
      </c>
      <c r="D19" s="501">
        <f>'[84]Sch B'!G52</f>
        <v>0</v>
      </c>
      <c r="E19" s="171">
        <f t="shared" si="2"/>
        <v>255505</v>
      </c>
      <c r="F19" s="171"/>
      <c r="G19" s="171">
        <f t="shared" si="0"/>
        <v>255505</v>
      </c>
      <c r="H19" s="172">
        <f t="shared" si="1"/>
        <v>6.040528671854406E-2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'[84]Sch B'!E67</f>
        <v>51559</v>
      </c>
      <c r="D20" s="501">
        <f>'[84]Sch B'!G67</f>
        <v>-3689</v>
      </c>
      <c r="E20" s="171">
        <f t="shared" si="2"/>
        <v>47870</v>
      </c>
      <c r="F20" s="171"/>
      <c r="G20" s="171">
        <f t="shared" si="0"/>
        <v>47870</v>
      </c>
      <c r="H20" s="172">
        <f t="shared" si="1"/>
        <v>1.1317199566414372E-2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4233534</v>
      </c>
      <c r="D21" s="501">
        <f>SUM(D11:D20)</f>
        <v>-3689</v>
      </c>
      <c r="E21" s="171">
        <f>SUM(E11:E20)</f>
        <v>4229845</v>
      </c>
      <c r="F21" s="171">
        <f>SUM(F11:F20)</f>
        <v>0</v>
      </c>
      <c r="G21" s="171">
        <f>SUM(G11:G20)</f>
        <v>4229845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'[84]Sch C'!D10</f>
        <v>0</v>
      </c>
      <c r="D25" s="501">
        <f>'[84]Sch C'!F10</f>
        <v>98115</v>
      </c>
      <c r="E25" s="171">
        <f t="shared" ref="E25:E60" si="3">C25+D25</f>
        <v>98115</v>
      </c>
      <c r="F25" s="171"/>
      <c r="G25" s="182">
        <f>E25+F25</f>
        <v>98115</v>
      </c>
      <c r="H25" s="172">
        <f>IF($G$208=0,0,G25/$G$208)</f>
        <v>2.4357359440298341E-2</v>
      </c>
      <c r="I25" s="473"/>
      <c r="J25" s="183">
        <v>1976</v>
      </c>
      <c r="K25" s="183">
        <v>2080</v>
      </c>
    </row>
    <row r="26" spans="1:11" s="167" customFormat="1">
      <c r="A26" s="169" t="s">
        <v>84</v>
      </c>
      <c r="B26" s="170" t="s">
        <v>176</v>
      </c>
      <c r="C26" s="501">
        <f>'[84]Sch C'!D11</f>
        <v>0</v>
      </c>
      <c r="D26" s="501">
        <f>'[84]Sch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'[84]Sch C'!D12</f>
        <v>165047</v>
      </c>
      <c r="D27" s="501">
        <f>'[84]Sch C'!F12</f>
        <v>-98115</v>
      </c>
      <c r="E27" s="171">
        <f t="shared" si="3"/>
        <v>66932</v>
      </c>
      <c r="F27" s="171"/>
      <c r="G27" s="171">
        <f t="shared" si="4"/>
        <v>66932</v>
      </c>
      <c r="H27" s="172">
        <f t="shared" si="5"/>
        <v>1.6616080946420513E-2</v>
      </c>
      <c r="I27" s="473"/>
      <c r="J27" s="183">
        <v>4541</v>
      </c>
      <c r="K27" s="183">
        <v>4924</v>
      </c>
    </row>
    <row r="28" spans="1:11" s="167" customFormat="1">
      <c r="A28" s="169" t="s">
        <v>86</v>
      </c>
      <c r="B28" s="170" t="s">
        <v>45</v>
      </c>
      <c r="C28" s="501">
        <f>'[84]Sch C'!D13</f>
        <v>49936</v>
      </c>
      <c r="D28" s="501">
        <f>'[84]Sch C'!F13</f>
        <v>0</v>
      </c>
      <c r="E28" s="171">
        <f t="shared" si="3"/>
        <v>49936</v>
      </c>
      <c r="F28" s="171"/>
      <c r="G28" s="171">
        <f t="shared" si="4"/>
        <v>49936</v>
      </c>
      <c r="H28" s="172">
        <f t="shared" si="5"/>
        <v>1.2396770127001355E-2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'[84]Sch C'!D14</f>
        <v>0</v>
      </c>
      <c r="D29" s="501">
        <f>'[84]Sch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'[84]Sch C'!D15</f>
        <v>0</v>
      </c>
      <c r="D30" s="501">
        <f>'[84]Sch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'[84]Sch C'!D16</f>
        <v>214479</v>
      </c>
      <c r="D31" s="501">
        <f>'[84]Sch C'!F16</f>
        <v>-25426</v>
      </c>
      <c r="E31" s="171">
        <f t="shared" si="3"/>
        <v>189053</v>
      </c>
      <c r="F31" s="171"/>
      <c r="G31" s="171">
        <f t="shared" si="4"/>
        <v>189053</v>
      </c>
      <c r="H31" s="172">
        <f t="shared" si="5"/>
        <v>4.6933005903956805E-2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'[84]Sch C'!D17</f>
        <v>979</v>
      </c>
      <c r="D32" s="501">
        <f>'[84]Sch C'!F17</f>
        <v>-979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'[84]Sch C'!D18</f>
        <v>20007</v>
      </c>
      <c r="D33" s="501">
        <f>'[84]Sch C'!F18</f>
        <v>0</v>
      </c>
      <c r="E33" s="171">
        <f t="shared" si="3"/>
        <v>20007</v>
      </c>
      <c r="F33" s="171"/>
      <c r="G33" s="171">
        <f t="shared" si="4"/>
        <v>20007</v>
      </c>
      <c r="H33" s="172">
        <f t="shared" si="5"/>
        <v>4.9668011040314821E-3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'[84]Sch C'!D19</f>
        <v>10937</v>
      </c>
      <c r="D34" s="501">
        <f>'[84]Sch C'!F19</f>
        <v>0</v>
      </c>
      <c r="E34" s="171">
        <f t="shared" si="3"/>
        <v>10937</v>
      </c>
      <c r="F34" s="171"/>
      <c r="G34" s="171">
        <f t="shared" si="4"/>
        <v>10937</v>
      </c>
      <c r="H34" s="172">
        <f t="shared" si="5"/>
        <v>2.7151448830305554E-3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'[84]Sch C'!D20</f>
        <v>8178</v>
      </c>
      <c r="D35" s="501">
        <f>'[84]Sch C'!F20</f>
        <v>516</v>
      </c>
      <c r="E35" s="171">
        <f t="shared" si="3"/>
        <v>8694</v>
      </c>
      <c r="F35" s="171"/>
      <c r="G35" s="171">
        <f t="shared" si="4"/>
        <v>8694</v>
      </c>
      <c r="H35" s="172">
        <f t="shared" si="5"/>
        <v>2.1583130303618587E-3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'[84]Sch C'!D21</f>
        <v>8676</v>
      </c>
      <c r="D36" s="501">
        <f>'[84]Sch C'!F21</f>
        <v>0</v>
      </c>
      <c r="E36" s="171">
        <f t="shared" si="3"/>
        <v>8676</v>
      </c>
      <c r="F36" s="171"/>
      <c r="G36" s="171">
        <f t="shared" si="4"/>
        <v>8676</v>
      </c>
      <c r="H36" s="172">
        <f t="shared" si="5"/>
        <v>2.1538444733631801E-3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'[84]Sch C'!D22</f>
        <v>0</v>
      </c>
      <c r="D37" s="501">
        <f>'[84]Sch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'[84]Sch C'!D23</f>
        <v>9406</v>
      </c>
      <c r="D38" s="501">
        <f>'[84]Sch C'!F23</f>
        <v>0</v>
      </c>
      <c r="E38" s="171">
        <f t="shared" si="3"/>
        <v>9406</v>
      </c>
      <c r="F38" s="171"/>
      <c r="G38" s="171">
        <f t="shared" si="4"/>
        <v>9406</v>
      </c>
      <c r="H38" s="172">
        <f t="shared" si="5"/>
        <v>2.3350692849762643E-3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'[84]Sch C'!D24</f>
        <v>10671</v>
      </c>
      <c r="D39" s="501">
        <f>'[84]Sch C'!F24</f>
        <v>0</v>
      </c>
      <c r="E39" s="171">
        <f t="shared" si="3"/>
        <v>10671</v>
      </c>
      <c r="F39" s="171"/>
      <c r="G39" s="171">
        <f t="shared" si="4"/>
        <v>10671</v>
      </c>
      <c r="H39" s="172">
        <f t="shared" si="5"/>
        <v>2.6491095407167467E-3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'[84]Sch C'!D25</f>
        <v>5482</v>
      </c>
      <c r="D40" s="501">
        <f>'[84]Sch C'!F25</f>
        <v>0</v>
      </c>
      <c r="E40" s="171">
        <f t="shared" si="3"/>
        <v>5482</v>
      </c>
      <c r="F40" s="171"/>
      <c r="G40" s="171">
        <f t="shared" si="4"/>
        <v>5482</v>
      </c>
      <c r="H40" s="172">
        <f t="shared" si="5"/>
        <v>1.3609238592642869E-3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'[84]Sch C'!D26</f>
        <v>280950</v>
      </c>
      <c r="D41" s="501">
        <f>'[84]Sch C'!F26</f>
        <v>0</v>
      </c>
      <c r="E41" s="171">
        <f t="shared" si="3"/>
        <v>280950</v>
      </c>
      <c r="F41" s="171"/>
      <c r="G41" s="171">
        <f t="shared" si="4"/>
        <v>280950</v>
      </c>
      <c r="H41" s="172">
        <f t="shared" si="5"/>
        <v>6.9746727154378213E-2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'[84]Sch C'!D27</f>
        <v>146745</v>
      </c>
      <c r="D42" s="501">
        <f>'[84]Sch C'!F27</f>
        <v>-142612</v>
      </c>
      <c r="E42" s="171">
        <f t="shared" si="3"/>
        <v>4133</v>
      </c>
      <c r="F42" s="171"/>
      <c r="G42" s="171">
        <f t="shared" si="4"/>
        <v>4133</v>
      </c>
      <c r="H42" s="172">
        <f t="shared" si="5"/>
        <v>1.0260303375299704E-3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'[84]Sch C'!D28</f>
        <v>0</v>
      </c>
      <c r="D43" s="501">
        <f>'[84]Sch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'[84]Sch C'!D29</f>
        <v>9603</v>
      </c>
      <c r="D44" s="501">
        <f>'[84]Sch C'!F29</f>
        <v>-9603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'[84]Sch C'!D30</f>
        <v>0</v>
      </c>
      <c r="D45" s="501">
        <f>'[84]Sch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'[84]Sch C'!D31</f>
        <v>0</v>
      </c>
      <c r="D46" s="501">
        <f>'[84]Sch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'[84]Sch C'!D32</f>
        <v>49000</v>
      </c>
      <c r="D47" s="501">
        <f>'[84]Sch C'!F32</f>
        <v>0</v>
      </c>
      <c r="E47" s="171">
        <f t="shared" si="3"/>
        <v>49000</v>
      </c>
      <c r="F47" s="171"/>
      <c r="G47" s="171">
        <f t="shared" si="4"/>
        <v>49000</v>
      </c>
      <c r="H47" s="172">
        <f t="shared" si="5"/>
        <v>1.2164405163070057E-2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'[84]Sch C'!D33</f>
        <v>0</v>
      </c>
      <c r="D48" s="501">
        <f>'[84]Sch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'[84]Sch C'!D34</f>
        <v>63</v>
      </c>
      <c r="D49" s="501">
        <f>'[84]Sch C'!F34</f>
        <v>0</v>
      </c>
      <c r="E49" s="171">
        <f t="shared" si="3"/>
        <v>63</v>
      </c>
      <c r="F49" s="171"/>
      <c r="G49" s="171">
        <f t="shared" si="4"/>
        <v>63</v>
      </c>
      <c r="H49" s="172">
        <f t="shared" si="5"/>
        <v>1.5639949495375787E-5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'[84]Sch C'!D35</f>
        <v>0</v>
      </c>
      <c r="D50" s="501">
        <f>'[84]Sch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'[84]Sch C'!D36</f>
        <v>33553</v>
      </c>
      <c r="D51" s="501">
        <f>'[84]Sch C'!F36</f>
        <v>0</v>
      </c>
      <c r="E51" s="171">
        <f t="shared" si="3"/>
        <v>33553</v>
      </c>
      <c r="F51" s="171"/>
      <c r="G51" s="171">
        <f t="shared" si="4"/>
        <v>33553</v>
      </c>
      <c r="H51" s="172">
        <f t="shared" si="5"/>
        <v>8.3296384987038702E-3</v>
      </c>
      <c r="I51" s="473"/>
      <c r="J51" s="183">
        <v>3075</v>
      </c>
      <c r="K51" s="183">
        <v>3302</v>
      </c>
    </row>
    <row r="52" spans="1:11" s="167" customFormat="1">
      <c r="A52" s="163">
        <v>290</v>
      </c>
      <c r="B52" s="170" t="s">
        <v>205</v>
      </c>
      <c r="C52" s="501">
        <f>'[84]Sch C'!D37</f>
        <v>4250</v>
      </c>
      <c r="D52" s="501">
        <f>'[84]Sch C'!F37</f>
        <v>0</v>
      </c>
      <c r="E52" s="171">
        <f t="shared" si="3"/>
        <v>4250</v>
      </c>
      <c r="F52" s="171"/>
      <c r="G52" s="171">
        <f t="shared" si="4"/>
        <v>4250</v>
      </c>
      <c r="H52" s="172">
        <f t="shared" si="5"/>
        <v>1.0550759580213826E-3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'[84]Sch C'!D38</f>
        <v>0</v>
      </c>
      <c r="D53" s="501">
        <f>'[84]Sch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'[84]Sch C'!D39</f>
        <v>2741</v>
      </c>
      <c r="D54" s="501">
        <f>'[84]Sch C'!F39</f>
        <v>0</v>
      </c>
      <c r="E54" s="171">
        <f t="shared" si="3"/>
        <v>2741</v>
      </c>
      <c r="F54" s="171"/>
      <c r="G54" s="171">
        <f t="shared" si="4"/>
        <v>2741</v>
      </c>
      <c r="H54" s="172">
        <f t="shared" si="5"/>
        <v>6.8046192963214344E-4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'[84]Sch C'!D40</f>
        <v>2823</v>
      </c>
      <c r="D55" s="501">
        <f>'[84]Sch C'!F40</f>
        <v>-2544</v>
      </c>
      <c r="E55" s="171">
        <f t="shared" si="3"/>
        <v>279</v>
      </c>
      <c r="F55" s="171"/>
      <c r="G55" s="171">
        <f t="shared" si="4"/>
        <v>279</v>
      </c>
      <c r="H55" s="172">
        <f t="shared" si="5"/>
        <v>6.926263347952135E-5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'[84]Sch C'!D41</f>
        <v>36928</v>
      </c>
      <c r="D56" s="501">
        <f>'[84]Sch C'!F41</f>
        <v>0</v>
      </c>
      <c r="E56" s="171">
        <f t="shared" si="3"/>
        <v>36928</v>
      </c>
      <c r="F56" s="171"/>
      <c r="G56" s="171">
        <f t="shared" si="4"/>
        <v>36928</v>
      </c>
      <c r="H56" s="172">
        <f t="shared" si="5"/>
        <v>9.1674929359561452E-3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'[84]Sch C'!D42</f>
        <v>0</v>
      </c>
      <c r="D57" s="501">
        <f>'[84]Sch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'[84]Sch C'!D43</f>
        <v>7708</v>
      </c>
      <c r="D58" s="501">
        <f>'[84]Sch C'!F43</f>
        <v>-7708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'[84]Sch C'!D44</f>
        <v>0</v>
      </c>
      <c r="D59" s="501">
        <f>'[84]Sch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'[84]Sch C'!D45</f>
        <v>5479</v>
      </c>
      <c r="D60" s="501">
        <f>'[84]Sch C'!F45</f>
        <v>-3200</v>
      </c>
      <c r="E60" s="171">
        <f t="shared" si="3"/>
        <v>2279</v>
      </c>
      <c r="F60" s="171">
        <v>-2704</v>
      </c>
      <c r="G60" s="171">
        <f t="shared" si="4"/>
        <v>-425</v>
      </c>
      <c r="H60" s="172">
        <f t="shared" si="5"/>
        <v>-1.0550759580213825E-4</v>
      </c>
      <c r="I60" s="473" t="s">
        <v>712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1083641</v>
      </c>
      <c r="D61" s="501">
        <f>SUM(D25:D60)</f>
        <v>-191556</v>
      </c>
      <c r="E61" s="171">
        <f t="shared" ref="E61:F61" si="6">SUM(E25:E60)</f>
        <v>892085</v>
      </c>
      <c r="F61" s="171">
        <f t="shared" si="6"/>
        <v>-2704</v>
      </c>
      <c r="G61" s="171">
        <f>SUM(G25:G60)</f>
        <v>889381</v>
      </c>
      <c r="H61" s="186">
        <f t="shared" si="5"/>
        <v>0.22079164955788594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'[84]Sch C'!D57</f>
        <v>0</v>
      </c>
      <c r="D64" s="501">
        <f>'[84]Sch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'[84]Sch C'!D58</f>
        <v>15079</v>
      </c>
      <c r="D65" s="501">
        <f>'[84]Sch C'!F58</f>
        <v>0</v>
      </c>
      <c r="E65" s="171">
        <f t="shared" si="7"/>
        <v>15079</v>
      </c>
      <c r="F65" s="171"/>
      <c r="G65" s="171">
        <f t="shared" si="8"/>
        <v>15079</v>
      </c>
      <c r="H65" s="172">
        <f t="shared" si="9"/>
        <v>3.7434094990598651E-3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'[84]Sch C'!D59</f>
        <v>0</v>
      </c>
      <c r="D66" s="501">
        <f>'[84]Sch C'!F59</f>
        <v>142609</v>
      </c>
      <c r="E66" s="171">
        <f t="shared" si="7"/>
        <v>142609</v>
      </c>
      <c r="F66" s="171"/>
      <c r="G66" s="171">
        <f t="shared" si="8"/>
        <v>142609</v>
      </c>
      <c r="H66" s="172">
        <f t="shared" si="9"/>
        <v>3.5403135834699138E-2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'[84]Sch C'!D60</f>
        <v>10751</v>
      </c>
      <c r="D67" s="501">
        <f>'[84]Sch C'!F60</f>
        <v>0</v>
      </c>
      <c r="E67" s="171">
        <f t="shared" si="7"/>
        <v>10751</v>
      </c>
      <c r="F67" s="171"/>
      <c r="G67" s="171">
        <f t="shared" si="8"/>
        <v>10751</v>
      </c>
      <c r="H67" s="172">
        <f t="shared" si="9"/>
        <v>2.6689697940442078E-3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'[84]Sch C'!D61</f>
        <v>8595</v>
      </c>
      <c r="D68" s="501">
        <f>'[84]Sch C'!F61</f>
        <v>0</v>
      </c>
      <c r="E68" s="171">
        <f t="shared" si="7"/>
        <v>8595</v>
      </c>
      <c r="F68" s="171"/>
      <c r="G68" s="171">
        <f t="shared" si="8"/>
        <v>8595</v>
      </c>
      <c r="H68" s="172">
        <f t="shared" si="9"/>
        <v>2.1337359668691254E-3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'[84]Sch C'!D62</f>
        <v>361</v>
      </c>
      <c r="D69" s="501">
        <f>'[84]Sch C'!F62</f>
        <v>0</v>
      </c>
      <c r="E69" s="171">
        <f t="shared" si="7"/>
        <v>361</v>
      </c>
      <c r="F69" s="171"/>
      <c r="G69" s="171">
        <f t="shared" si="8"/>
        <v>361</v>
      </c>
      <c r="H69" s="172">
        <f t="shared" si="9"/>
        <v>8.9619393140169193E-5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'[84]Sch C'!D63</f>
        <v>0</v>
      </c>
      <c r="D70" s="501">
        <f>'[84]Sch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'[84]Sch C'!D64</f>
        <v>0</v>
      </c>
      <c r="D71" s="501">
        <f>'[84]Sch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'[84]Sch C'!D65</f>
        <v>5041</v>
      </c>
      <c r="D72" s="501">
        <f>'[84]Sch C'!F65</f>
        <v>0</v>
      </c>
      <c r="E72" s="171">
        <f t="shared" si="7"/>
        <v>5041</v>
      </c>
      <c r="F72" s="171"/>
      <c r="G72" s="171">
        <f t="shared" si="8"/>
        <v>5041</v>
      </c>
      <c r="H72" s="172">
        <f t="shared" si="9"/>
        <v>1.2514442127966564E-3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'[84]Sch C'!D66</f>
        <v>37417</v>
      </c>
      <c r="D73" s="501">
        <f>'[84]Sch C'!F66</f>
        <v>-1019</v>
      </c>
      <c r="E73" s="171">
        <f t="shared" si="7"/>
        <v>36398</v>
      </c>
      <c r="F73" s="171"/>
      <c r="G73" s="171">
        <f t="shared" si="8"/>
        <v>36398</v>
      </c>
      <c r="H73" s="172">
        <f t="shared" si="9"/>
        <v>9.0359187576617133E-3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'[84]Sch C'!D67</f>
        <v>280038</v>
      </c>
      <c r="D74" s="501">
        <f>'[84]Sch C'!F67</f>
        <v>0</v>
      </c>
      <c r="E74" s="171">
        <f t="shared" si="7"/>
        <v>280038</v>
      </c>
      <c r="F74" s="171"/>
      <c r="G74" s="171">
        <f t="shared" si="8"/>
        <v>280038</v>
      </c>
      <c r="H74" s="172">
        <f t="shared" si="9"/>
        <v>6.9520320266445154E-2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'[84]Sch C'!D68</f>
        <v>0</v>
      </c>
      <c r="D75" s="501">
        <f>'[84]Sch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'[84]Sch C'!D69</f>
        <v>2669</v>
      </c>
      <c r="D76" s="501">
        <f>'[84]Sch C'!F69</f>
        <v>0</v>
      </c>
      <c r="E76" s="171">
        <f t="shared" si="7"/>
        <v>2669</v>
      </c>
      <c r="F76" s="171"/>
      <c r="G76" s="171">
        <f t="shared" si="8"/>
        <v>2669</v>
      </c>
      <c r="H76" s="172">
        <f t="shared" si="9"/>
        <v>6.6258770163742824E-4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'[84]Sch C'!D70</f>
        <v>0</v>
      </c>
      <c r="D77" s="501">
        <f>'[84]Sch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'[84]Sch C'!D71</f>
        <v>0</v>
      </c>
      <c r="D78" s="501">
        <f>'[84]Sch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359951</v>
      </c>
      <c r="D79" s="501">
        <f>SUM(D64:D78)</f>
        <v>141590</v>
      </c>
      <c r="E79" s="171">
        <f t="shared" ref="E79:F79" si="10">SUM(E64:E78)</f>
        <v>501541</v>
      </c>
      <c r="F79" s="171">
        <f t="shared" si="10"/>
        <v>0</v>
      </c>
      <c r="G79" s="171">
        <f>SUM(G64:G78)</f>
        <v>501541</v>
      </c>
      <c r="H79" s="172">
        <f t="shared" si="9"/>
        <v>0.12450914142635347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'[84]Sch C'!D75</f>
        <v>34126</v>
      </c>
      <c r="D82" s="501">
        <f>'[84]Sch C'!F75</f>
        <v>0</v>
      </c>
      <c r="E82" s="171">
        <f t="shared" ref="E82:E92" si="11">C82+D82</f>
        <v>34126</v>
      </c>
      <c r="F82" s="171"/>
      <c r="G82" s="171">
        <f t="shared" ref="G82:G92" si="12">E82+F82</f>
        <v>34126</v>
      </c>
      <c r="H82" s="172">
        <f t="shared" ref="H82:H93" si="13">IF($G$208=0,0,G82/$G$208)</f>
        <v>8.4718875631618114E-3</v>
      </c>
      <c r="I82" s="473"/>
      <c r="J82" s="183">
        <v>1956</v>
      </c>
      <c r="K82" s="183">
        <v>2122</v>
      </c>
    </row>
    <row r="83" spans="1:11" s="167" customFormat="1">
      <c r="A83" s="169" t="s">
        <v>86</v>
      </c>
      <c r="B83" s="199" t="s">
        <v>45</v>
      </c>
      <c r="C83" s="501">
        <f>'[84]Sch C'!D76</f>
        <v>13829</v>
      </c>
      <c r="D83" s="501">
        <f>'[84]Sch C'!F76</f>
        <v>0</v>
      </c>
      <c r="E83" s="171">
        <f t="shared" si="11"/>
        <v>13829</v>
      </c>
      <c r="F83" s="171"/>
      <c r="G83" s="171">
        <f t="shared" si="12"/>
        <v>13829</v>
      </c>
      <c r="H83" s="172">
        <f t="shared" si="13"/>
        <v>3.4330930408182823E-3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'[84]Sch C'!D77</f>
        <v>6562</v>
      </c>
      <c r="D84" s="501">
        <f>'[84]Sch C'!F77</f>
        <v>0</v>
      </c>
      <c r="E84" s="171">
        <f t="shared" si="11"/>
        <v>6562</v>
      </c>
      <c r="F84" s="171"/>
      <c r="G84" s="171">
        <f t="shared" si="12"/>
        <v>6562</v>
      </c>
      <c r="H84" s="172">
        <f t="shared" si="13"/>
        <v>1.6290372791850146E-3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'[84]Sch C'!D78</f>
        <v>0</v>
      </c>
      <c r="D85" s="501">
        <f>'[84]Sch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'[84]Sch C'!D79</f>
        <v>282</v>
      </c>
      <c r="D86" s="501">
        <f>'[84]Sch C'!F79</f>
        <v>0</v>
      </c>
      <c r="E86" s="171">
        <f t="shared" si="11"/>
        <v>282</v>
      </c>
      <c r="F86" s="171"/>
      <c r="G86" s="171">
        <f>E86+F86</f>
        <v>282</v>
      </c>
      <c r="H86" s="172">
        <f t="shared" si="13"/>
        <v>7.0007392979301141E-5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'[84]Sch C'!D80</f>
        <v>5373</v>
      </c>
      <c r="D87" s="501">
        <f>'[84]Sch C'!F80</f>
        <v>0</v>
      </c>
      <c r="E87" s="171">
        <f t="shared" si="11"/>
        <v>5373</v>
      </c>
      <c r="F87" s="171"/>
      <c r="G87" s="171">
        <f t="shared" si="12"/>
        <v>5373</v>
      </c>
      <c r="H87" s="172">
        <f t="shared" si="13"/>
        <v>1.3338642641056208E-3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'[84]Sch C'!D81</f>
        <v>13478</v>
      </c>
      <c r="D88" s="501">
        <f>'[84]Sch C'!F81</f>
        <v>0</v>
      </c>
      <c r="E88" s="171">
        <f t="shared" si="11"/>
        <v>13478</v>
      </c>
      <c r="F88" s="171"/>
      <c r="G88" s="171">
        <f t="shared" si="12"/>
        <v>13478</v>
      </c>
      <c r="H88" s="172">
        <f t="shared" si="13"/>
        <v>3.3459561793440454E-3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'[84]Sch C'!D82</f>
        <v>12753</v>
      </c>
      <c r="D89" s="501">
        <f>'[84]Sch C'!F82</f>
        <v>0</v>
      </c>
      <c r="E89" s="171">
        <f t="shared" si="11"/>
        <v>12753</v>
      </c>
      <c r="F89" s="171"/>
      <c r="G89" s="171">
        <f t="shared" si="12"/>
        <v>12753</v>
      </c>
      <c r="H89" s="172">
        <f t="shared" si="13"/>
        <v>3.1659726335639274E-3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'[84]Sch C'!D83</f>
        <v>11625</v>
      </c>
      <c r="D90" s="501">
        <f>'[84]Sch C'!F83</f>
        <v>0</v>
      </c>
      <c r="E90" s="171">
        <f t="shared" si="11"/>
        <v>11625</v>
      </c>
      <c r="F90" s="171"/>
      <c r="G90" s="171">
        <f t="shared" si="12"/>
        <v>11625</v>
      </c>
      <c r="H90" s="172">
        <f t="shared" si="13"/>
        <v>2.8859430616467226E-3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'[84]Sch C'!D84</f>
        <v>68006</v>
      </c>
      <c r="D91" s="501">
        <f>'[84]Sch C'!F84</f>
        <v>0</v>
      </c>
      <c r="E91" s="171">
        <f t="shared" si="11"/>
        <v>68006</v>
      </c>
      <c r="F91" s="171"/>
      <c r="G91" s="171">
        <f t="shared" si="12"/>
        <v>68006</v>
      </c>
      <c r="H91" s="172">
        <f t="shared" si="13"/>
        <v>1.6882704847341681E-2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'[84]Sch C'!D85</f>
        <v>0</v>
      </c>
      <c r="D92" s="501">
        <f>'[84]Sch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166034</v>
      </c>
      <c r="D93" s="501">
        <f>SUM(D82:D92)</f>
        <v>0</v>
      </c>
      <c r="E93" s="171">
        <f t="shared" ref="E93:F93" si="14">SUM(E82:E92)</f>
        <v>166034</v>
      </c>
      <c r="F93" s="171">
        <f t="shared" si="14"/>
        <v>0</v>
      </c>
      <c r="G93" s="171">
        <f>SUM(G82:G92)</f>
        <v>166034</v>
      </c>
      <c r="H93" s="172">
        <f t="shared" si="13"/>
        <v>4.1218466262146404E-2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'[84]Sch C'!D89</f>
        <v>0</v>
      </c>
      <c r="D96" s="501">
        <f>'[84]Sch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'[84]Sch C'!D90</f>
        <v>0</v>
      </c>
      <c r="D97" s="501">
        <f>'[84]Sch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'[84]Sch C'!D91</f>
        <v>304902</v>
      </c>
      <c r="D98" s="501">
        <f>'[84]Sch C'!F91</f>
        <v>0</v>
      </c>
      <c r="E98" s="171">
        <f t="shared" si="15"/>
        <v>304902</v>
      </c>
      <c r="F98" s="171"/>
      <c r="G98" s="171">
        <f t="shared" si="16"/>
        <v>304902</v>
      </c>
      <c r="H98" s="172">
        <f t="shared" si="17"/>
        <v>7.5692887000620143E-2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'[84]Sch C'!D92</f>
        <v>3371</v>
      </c>
      <c r="D99" s="501">
        <f>'[84]Sch C'!F92</f>
        <v>-2386</v>
      </c>
      <c r="E99" s="171">
        <f t="shared" si="15"/>
        <v>985</v>
      </c>
      <c r="F99" s="171"/>
      <c r="G99" s="171">
        <f t="shared" si="16"/>
        <v>985</v>
      </c>
      <c r="H99" s="172">
        <f t="shared" si="17"/>
        <v>2.4452936909436749E-4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'[84]Sch C'!D93</f>
        <v>3134</v>
      </c>
      <c r="D100" s="501">
        <f>'[84]Sch C'!F93</f>
        <v>0</v>
      </c>
      <c r="E100" s="171">
        <f t="shared" si="15"/>
        <v>3134</v>
      </c>
      <c r="F100" s="171"/>
      <c r="G100" s="171">
        <f t="shared" si="16"/>
        <v>3134</v>
      </c>
      <c r="H100" s="172">
        <f t="shared" si="17"/>
        <v>7.7802542410329719E-4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'[84]Sch C'!D94</f>
        <v>0</v>
      </c>
      <c r="D101" s="501">
        <f>'[84]Sch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311407</v>
      </c>
      <c r="D102" s="501">
        <f>SUM(D96:D101)</f>
        <v>-2386</v>
      </c>
      <c r="E102" s="171">
        <f t="shared" ref="E102:F102" si="18">SUM(E96:E101)</f>
        <v>309021</v>
      </c>
      <c r="F102" s="171">
        <f t="shared" si="18"/>
        <v>0</v>
      </c>
      <c r="G102" s="171">
        <f>SUM(G96:G101)</f>
        <v>309021</v>
      </c>
      <c r="H102" s="172">
        <f t="shared" si="17"/>
        <v>7.6715441793817798E-2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'[84]Sch C'!D98</f>
        <v>0</v>
      </c>
      <c r="D105" s="501">
        <f>'[84]Sch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'[84]Sch C'!D99</f>
        <v>0</v>
      </c>
      <c r="D106" s="501">
        <f>'[84]Sch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'[84]Sch C'!D100</f>
        <v>21</v>
      </c>
      <c r="D107" s="501">
        <f>'[84]Sch C'!F100</f>
        <v>0</v>
      </c>
      <c r="E107" s="171">
        <f t="shared" si="19"/>
        <v>21</v>
      </c>
      <c r="F107" s="171"/>
      <c r="G107" s="171">
        <f t="shared" si="20"/>
        <v>21</v>
      </c>
      <c r="H107" s="172">
        <f t="shared" si="21"/>
        <v>5.2133164984585964E-6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'[84]Sch C'!D101</f>
        <v>42600</v>
      </c>
      <c r="D108" s="501">
        <f>'[84]Sch C'!F101</f>
        <v>0</v>
      </c>
      <c r="E108" s="171">
        <f t="shared" si="19"/>
        <v>42600</v>
      </c>
      <c r="F108" s="171"/>
      <c r="G108" s="171">
        <f t="shared" si="20"/>
        <v>42600</v>
      </c>
      <c r="H108" s="172">
        <f t="shared" si="21"/>
        <v>1.0575584896873153E-2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'[84]Sch C'!D102</f>
        <v>4661</v>
      </c>
      <c r="D109" s="501">
        <f>'[84]Sch C'!F102</f>
        <v>0</v>
      </c>
      <c r="E109" s="171">
        <f t="shared" si="19"/>
        <v>4661</v>
      </c>
      <c r="F109" s="171"/>
      <c r="G109" s="171">
        <f t="shared" si="20"/>
        <v>4661</v>
      </c>
      <c r="H109" s="172">
        <f t="shared" si="21"/>
        <v>1.1571080094912151E-3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'[84]Sch C'!D103</f>
        <v>0</v>
      </c>
      <c r="D110" s="501">
        <f>'[84]Sch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47282</v>
      </c>
      <c r="D111" s="501">
        <f>SUM(D105:D110)</f>
        <v>0</v>
      </c>
      <c r="E111" s="171">
        <f t="shared" ref="E111:F111" si="22">SUM(E105:E110)</f>
        <v>47282</v>
      </c>
      <c r="F111" s="171">
        <f t="shared" si="22"/>
        <v>0</v>
      </c>
      <c r="G111" s="171">
        <f>SUM(G105:G110)</f>
        <v>47282</v>
      </c>
      <c r="H111" s="172">
        <f t="shared" si="21"/>
        <v>1.1737906222862826E-2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'[84]Sch C'!D115</f>
        <v>0</v>
      </c>
      <c r="D114" s="501">
        <f>'[84]Sch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'[84]Sch C'!D116</f>
        <v>0</v>
      </c>
      <c r="D115" s="501">
        <f>'[84]Sch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'[84]Sch C'!D117</f>
        <v>7645</v>
      </c>
      <c r="D116" s="501">
        <f>'[84]Sch C'!F117</f>
        <v>0</v>
      </c>
      <c r="E116" s="171">
        <f t="shared" si="23"/>
        <v>7645</v>
      </c>
      <c r="F116" s="171"/>
      <c r="G116" s="171">
        <f>E116+F116</f>
        <v>7645</v>
      </c>
      <c r="H116" s="172">
        <f t="shared" si="24"/>
        <v>1.8978954586055222E-3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'[84]Sch C'!D118</f>
        <v>63900</v>
      </c>
      <c r="D117" s="501">
        <f>'[84]Sch C'!F118</f>
        <v>0</v>
      </c>
      <c r="E117" s="171">
        <f t="shared" si="23"/>
        <v>63900</v>
      </c>
      <c r="F117" s="171"/>
      <c r="G117" s="171">
        <f>E117+F117</f>
        <v>63900</v>
      </c>
      <c r="H117" s="172">
        <f t="shared" si="24"/>
        <v>1.5863377345309727E-2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'[84]Sch C'!D119</f>
        <v>0</v>
      </c>
      <c r="D118" s="501">
        <f>'[84]Sch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71545</v>
      </c>
      <c r="D119" s="501">
        <f>SUM(D114:D118)</f>
        <v>0</v>
      </c>
      <c r="E119" s="171">
        <f t="shared" ref="E119:F119" si="25">SUM(E114:E118)</f>
        <v>71545</v>
      </c>
      <c r="F119" s="171">
        <f t="shared" si="25"/>
        <v>0</v>
      </c>
      <c r="G119" s="171">
        <f>SUM(G114:G118)</f>
        <v>71545</v>
      </c>
      <c r="H119" s="172">
        <f t="shared" si="24"/>
        <v>1.7761272803915252E-2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'[84]Sch C'!D124</f>
        <v>0</v>
      </c>
      <c r="D123" s="501">
        <f>'[84]Sch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'[84]Sch C'!D125</f>
        <v>148901</v>
      </c>
      <c r="D124" s="501">
        <f>'[84]Sch C'!F125</f>
        <v>0</v>
      </c>
      <c r="E124" s="171">
        <f t="shared" si="26"/>
        <v>148901</v>
      </c>
      <c r="F124" s="171"/>
      <c r="G124" s="171">
        <f>E124+F124</f>
        <v>148901</v>
      </c>
      <c r="H124" s="172">
        <f>IF($G$208=0,0,G124/$G$208)</f>
        <v>3.6965144758903973E-2</v>
      </c>
      <c r="I124" s="473"/>
      <c r="J124" s="183">
        <v>3479</v>
      </c>
      <c r="K124" s="183">
        <v>3797</v>
      </c>
    </row>
    <row r="125" spans="1:11" s="167" customFormat="1">
      <c r="A125" s="163" t="s">
        <v>198</v>
      </c>
      <c r="B125" s="163" t="s">
        <v>195</v>
      </c>
      <c r="C125" s="501">
        <f>'[84]Sch C'!D126</f>
        <v>0</v>
      </c>
      <c r="D125" s="501">
        <f>'[84]Sch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'[84]Sch C'!D127</f>
        <v>0</v>
      </c>
      <c r="D126" s="501">
        <f>'[84]Sch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'[84]Sch C'!D128</f>
        <v>57968</v>
      </c>
      <c r="D127" s="501">
        <f>'[84]Sch C'!F128</f>
        <v>0</v>
      </c>
      <c r="E127" s="171">
        <f t="shared" si="26"/>
        <v>57968</v>
      </c>
      <c r="F127" s="171"/>
      <c r="G127" s="171">
        <f>E127+F127</f>
        <v>57968</v>
      </c>
      <c r="H127" s="172">
        <f>IF($G$208=0,0,G127/$G$208)</f>
        <v>1.4390739561078471E-2</v>
      </c>
      <c r="I127" s="473"/>
      <c r="J127" s="183">
        <v>2686</v>
      </c>
      <c r="K127" s="183">
        <v>2903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'[84]Sch C'!D130</f>
        <v>0</v>
      </c>
      <c r="D129" s="501">
        <f>'[84]Sch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'[84]Sch C'!D131</f>
        <v>15119</v>
      </c>
      <c r="D130" s="501">
        <f>'[84]Sch C'!F131</f>
        <v>0</v>
      </c>
      <c r="E130" s="171">
        <f t="shared" si="27"/>
        <v>15119</v>
      </c>
      <c r="F130" s="171"/>
      <c r="G130" s="171">
        <f>E130+F130</f>
        <v>15119</v>
      </c>
      <c r="H130" s="172">
        <f>IF($G$208=0,0,G130/$G$208)</f>
        <v>3.7533396257235958E-3</v>
      </c>
      <c r="I130" s="473"/>
      <c r="J130" s="204"/>
      <c r="K130" s="204"/>
    </row>
    <row r="131" spans="1:11" s="167" customFormat="1">
      <c r="B131" s="163" t="s">
        <v>195</v>
      </c>
      <c r="C131" s="501">
        <f>'[84]Sch C'!D132</f>
        <v>0</v>
      </c>
      <c r="D131" s="501">
        <f>'[84]Sch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'[84]Sch C'!D133</f>
        <v>0</v>
      </c>
      <c r="D132" s="501">
        <f>'[84]Sch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'[84]Sch C'!D134</f>
        <v>16650</v>
      </c>
      <c r="D133" s="501">
        <f>'[84]Sch C'!F134</f>
        <v>0</v>
      </c>
      <c r="E133" s="171">
        <f t="shared" si="27"/>
        <v>16650</v>
      </c>
      <c r="F133" s="171"/>
      <c r="G133" s="171">
        <f>E133+F133</f>
        <v>16650</v>
      </c>
      <c r="H133" s="172">
        <f>IF($G$208=0,0,G133/$G$208)</f>
        <v>4.1334152237778865E-3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'[84]Sch C'!D136</f>
        <v>204927</v>
      </c>
      <c r="D135" s="501">
        <f>'[84]Sch C'!F136</f>
        <v>0</v>
      </c>
      <c r="E135" s="171">
        <f t="shared" ref="E135:E138" si="28">C135+D135</f>
        <v>204927</v>
      </c>
      <c r="F135" s="171"/>
      <c r="G135" s="171">
        <f>E135+F135</f>
        <v>204927</v>
      </c>
      <c r="H135" s="172">
        <f>IF($G$208=0,0,G135/$G$208)</f>
        <v>5.0873776670458323E-2</v>
      </c>
      <c r="I135" s="473"/>
      <c r="J135" s="183">
        <v>7504</v>
      </c>
      <c r="K135" s="183">
        <v>7756</v>
      </c>
    </row>
    <row r="136" spans="1:11" s="167" customFormat="1">
      <c r="A136" s="169"/>
      <c r="B136" s="163" t="s">
        <v>195</v>
      </c>
      <c r="C136" s="501">
        <f>'[84]Sch C'!D137</f>
        <v>226961</v>
      </c>
      <c r="D136" s="501">
        <f>'[84]Sch C'!F137</f>
        <v>0</v>
      </c>
      <c r="E136" s="171">
        <f t="shared" si="28"/>
        <v>226961</v>
      </c>
      <c r="F136" s="171"/>
      <c r="G136" s="171">
        <f>E136+F136</f>
        <v>226961</v>
      </c>
      <c r="H136" s="172">
        <f>IF($G$208=0,0,G136/$G$208)</f>
        <v>5.6343786943174351E-2</v>
      </c>
      <c r="I136" s="473"/>
      <c r="J136" s="183">
        <v>14987</v>
      </c>
      <c r="K136" s="183">
        <v>15729</v>
      </c>
    </row>
    <row r="137" spans="1:11" s="167" customFormat="1">
      <c r="A137" s="169"/>
      <c r="B137" s="163" t="s">
        <v>196</v>
      </c>
      <c r="C137" s="501">
        <f>'[84]Sch C'!D138</f>
        <v>382209</v>
      </c>
      <c r="D137" s="501">
        <f>'[84]Sch C'!F138</f>
        <v>8374</v>
      </c>
      <c r="E137" s="171">
        <f t="shared" si="28"/>
        <v>390583</v>
      </c>
      <c r="F137" s="171"/>
      <c r="G137" s="171">
        <f>E137+F137</f>
        <v>390583</v>
      </c>
      <c r="H137" s="172">
        <f>IF($G$208=0,0,G137/$G$208)</f>
        <v>9.6963466567497797E-2</v>
      </c>
      <c r="I137" s="473"/>
      <c r="J137" s="183">
        <v>38652</v>
      </c>
      <c r="K137" s="183">
        <v>40421</v>
      </c>
    </row>
    <row r="138" spans="1:11" s="167" customFormat="1">
      <c r="A138" s="169"/>
      <c r="B138" s="163" t="s">
        <v>197</v>
      </c>
      <c r="C138" s="501">
        <f>'[84]Sch C'!D139</f>
        <v>8374</v>
      </c>
      <c r="D138" s="501">
        <f>'[84]Sch C'!F139</f>
        <v>-8374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'[84]Sch C'!D141</f>
        <v>170631</v>
      </c>
      <c r="D140" s="501">
        <f>'[84]Sch C'!F141</f>
        <v>-128117</v>
      </c>
      <c r="E140" s="171">
        <f t="shared" ref="E140:E143" si="29">C140+D140</f>
        <v>42514</v>
      </c>
      <c r="F140" s="171"/>
      <c r="G140" s="171">
        <f>E140+F140</f>
        <v>42514</v>
      </c>
      <c r="H140" s="172">
        <f>IF($G$208=0,0,G140/$G$208)</f>
        <v>1.0554235124546131E-2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'[84]Sch C'!D142</f>
        <v>0</v>
      </c>
      <c r="D141" s="501">
        <f>'[84]Sch C'!F142</f>
        <v>47086</v>
      </c>
      <c r="E141" s="171">
        <f t="shared" si="29"/>
        <v>47086</v>
      </c>
      <c r="F141" s="171"/>
      <c r="G141" s="171">
        <f>E141+F141</f>
        <v>47086</v>
      </c>
      <c r="H141" s="172">
        <f>IF($G$208=0,0,G141/$G$208)</f>
        <v>1.1689248602210546E-2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'[84]Sch C'!D143</f>
        <v>0</v>
      </c>
      <c r="D142" s="501">
        <f>'[84]Sch C'!F143</f>
        <v>81031</v>
      </c>
      <c r="E142" s="171">
        <f t="shared" si="29"/>
        <v>81031</v>
      </c>
      <c r="F142" s="171"/>
      <c r="G142" s="171">
        <f>E142+F142</f>
        <v>81031</v>
      </c>
      <c r="H142" s="172">
        <f>IF($G$208=0,0,G142/$G$208)</f>
        <v>2.0116202342218975E-2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'[84]Sch C'!D144</f>
        <v>0</v>
      </c>
      <c r="D143" s="501">
        <f>'[84]Sch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'[84]Sch C'!D146</f>
        <v>31050</v>
      </c>
      <c r="D145" s="501">
        <f>'[84]Sch C'!F146</f>
        <v>0</v>
      </c>
      <c r="E145" s="171">
        <f t="shared" ref="E145:E153" si="30">C145+D145</f>
        <v>31050</v>
      </c>
      <c r="F145" s="171"/>
      <c r="G145" s="171">
        <f t="shared" ref="G145:G153" si="31">E145+F145</f>
        <v>31050</v>
      </c>
      <c r="H145" s="172">
        <f t="shared" ref="H145:H153" si="32">IF($G$208=0,0,G145/$G$208)</f>
        <v>7.7082608227209241E-3</v>
      </c>
      <c r="I145" s="473"/>
      <c r="J145" s="183">
        <v>225</v>
      </c>
      <c r="K145" s="183">
        <v>225</v>
      </c>
    </row>
    <row r="146" spans="1:11" s="167" customFormat="1">
      <c r="A146" s="169"/>
      <c r="B146" s="163" t="s">
        <v>194</v>
      </c>
      <c r="C146" s="501">
        <f>'[84]Sch C'!D147</f>
        <v>0</v>
      </c>
      <c r="D146" s="501">
        <f>'[84]Sch C'!F147</f>
        <v>0</v>
      </c>
      <c r="E146" s="171">
        <f t="shared" si="30"/>
        <v>0</v>
      </c>
      <c r="F146" s="171"/>
      <c r="G146" s="171">
        <f t="shared" si="31"/>
        <v>0</v>
      </c>
      <c r="H146" s="172">
        <f t="shared" si="32"/>
        <v>0</v>
      </c>
      <c r="I146" s="473"/>
      <c r="J146" s="183">
        <v>0</v>
      </c>
      <c r="K146" s="183">
        <v>0</v>
      </c>
    </row>
    <row r="147" spans="1:11" s="167" customFormat="1">
      <c r="A147" s="169"/>
      <c r="B147" s="163" t="s">
        <v>195</v>
      </c>
      <c r="C147" s="501">
        <f>'[84]Sch C'!D148</f>
        <v>0</v>
      </c>
      <c r="D147" s="501">
        <f>'[84]Sch C'!F148</f>
        <v>0</v>
      </c>
      <c r="E147" s="171">
        <f t="shared" si="30"/>
        <v>0</v>
      </c>
      <c r="F147" s="171"/>
      <c r="G147" s="171">
        <f t="shared" si="31"/>
        <v>0</v>
      </c>
      <c r="H147" s="172">
        <f t="shared" si="32"/>
        <v>0</v>
      </c>
      <c r="I147" s="473"/>
      <c r="J147" s="183">
        <v>0</v>
      </c>
      <c r="K147" s="183">
        <v>0</v>
      </c>
    </row>
    <row r="148" spans="1:11" s="167" customFormat="1">
      <c r="A148" s="169"/>
      <c r="B148" s="163" t="s">
        <v>196</v>
      </c>
      <c r="C148" s="501">
        <f>'[84]Sch C'!D149</f>
        <v>0</v>
      </c>
      <c r="D148" s="501">
        <f>'[84]Sch C'!F149</f>
        <v>0</v>
      </c>
      <c r="E148" s="171">
        <f t="shared" si="30"/>
        <v>0</v>
      </c>
      <c r="F148" s="171"/>
      <c r="G148" s="171">
        <f t="shared" si="31"/>
        <v>0</v>
      </c>
      <c r="H148" s="172">
        <f t="shared" si="32"/>
        <v>0</v>
      </c>
      <c r="I148" s="473"/>
      <c r="J148" s="183">
        <v>0</v>
      </c>
      <c r="K148" s="183">
        <v>0</v>
      </c>
    </row>
    <row r="149" spans="1:11" s="167" customFormat="1">
      <c r="A149" s="169"/>
      <c r="B149" s="163" t="s">
        <v>197</v>
      </c>
      <c r="C149" s="501">
        <f>'[84]Sch C'!D150</f>
        <v>546</v>
      </c>
      <c r="D149" s="501">
        <f>'[84]Sch C'!F150</f>
        <v>0</v>
      </c>
      <c r="E149" s="171">
        <f t="shared" si="30"/>
        <v>546</v>
      </c>
      <c r="F149" s="171"/>
      <c r="G149" s="171">
        <f t="shared" si="31"/>
        <v>546</v>
      </c>
      <c r="H149" s="172">
        <f t="shared" si="32"/>
        <v>1.3554622895992351E-4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'[84]Sch C'!D151</f>
        <v>79836</v>
      </c>
      <c r="D150" s="501">
        <f>'[84]Sch C'!F151</f>
        <v>3224</v>
      </c>
      <c r="E150" s="171">
        <f t="shared" si="30"/>
        <v>83060</v>
      </c>
      <c r="F150" s="171"/>
      <c r="G150" s="171">
        <f t="shared" si="31"/>
        <v>83060</v>
      </c>
      <c r="H150" s="172">
        <f t="shared" si="32"/>
        <v>2.0619908017236715E-2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'[84]Sch C'!D152</f>
        <v>1422</v>
      </c>
      <c r="D151" s="501">
        <f>'[84]Sch C'!F152</f>
        <v>0</v>
      </c>
      <c r="E151" s="171">
        <f t="shared" si="30"/>
        <v>1422</v>
      </c>
      <c r="F151" s="171"/>
      <c r="G151" s="171">
        <f t="shared" si="31"/>
        <v>1422</v>
      </c>
      <c r="H151" s="172">
        <f t="shared" si="32"/>
        <v>3.5301600289562493E-4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'[84]Sch C'!D153</f>
        <v>0</v>
      </c>
      <c r="D152" s="501">
        <f>'[84]Sch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'[84]Sch C'!D154</f>
        <v>0</v>
      </c>
      <c r="D153" s="501">
        <f>'[84]Sch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'[84]Sch C'!D156</f>
        <v>0</v>
      </c>
      <c r="D155" s="501">
        <f>'[84]Sch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'[84]Sch C'!D157</f>
        <v>0</v>
      </c>
      <c r="D156" s="501">
        <f>'[84]Sch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'[84]Sch C'!D158</f>
        <v>450</v>
      </c>
      <c r="D157" s="501">
        <f>'[84]Sch C'!F158</f>
        <v>0</v>
      </c>
      <c r="E157" s="171">
        <f t="shared" si="33"/>
        <v>450</v>
      </c>
      <c r="F157" s="171"/>
      <c r="G157" s="171">
        <f t="shared" si="34"/>
        <v>450</v>
      </c>
      <c r="H157" s="172">
        <f t="shared" si="35"/>
        <v>1.1171392496696991E-4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'[84]Sch C'!D159</f>
        <v>0</v>
      </c>
      <c r="D158" s="501">
        <f>'[84]Sch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'[84]Sch C'!D160</f>
        <v>0</v>
      </c>
      <c r="D159" s="501">
        <f>'[84]Sch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'[84]Sch C'!D161</f>
        <v>9238</v>
      </c>
      <c r="D160" s="501">
        <f>'[84]Sch C'!F161</f>
        <v>1208</v>
      </c>
      <c r="E160" s="171">
        <f t="shared" si="33"/>
        <v>10446</v>
      </c>
      <c r="F160" s="171"/>
      <c r="G160" s="171">
        <f t="shared" si="34"/>
        <v>10446</v>
      </c>
      <c r="H160" s="172">
        <f t="shared" si="35"/>
        <v>2.5932525782332615E-3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1354282</v>
      </c>
      <c r="D161" s="501">
        <f>SUM(D123:D160)</f>
        <v>4432</v>
      </c>
      <c r="E161" s="171">
        <f t="shared" ref="E161:F161" si="36">SUM(E123:E160)</f>
        <v>1358714</v>
      </c>
      <c r="F161" s="171">
        <f t="shared" si="36"/>
        <v>0</v>
      </c>
      <c r="G161" s="171">
        <f>SUM(G123:G160)</f>
        <v>1358714</v>
      </c>
      <c r="H161" s="172">
        <f t="shared" si="35"/>
        <v>0.33730505299460345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'[84]Sch C'!D175</f>
        <v>0</v>
      </c>
      <c r="D164" s="501">
        <f>'[84]Sch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'[84]Sch C'!D176</f>
        <v>0</v>
      </c>
      <c r="D165" s="501">
        <f>'[84]Sch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'[84]Sch C'!D177</f>
        <v>0</v>
      </c>
      <c r="D166" s="501">
        <f>'[84]Sch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'[84]Sch C'!D178</f>
        <v>0</v>
      </c>
      <c r="D167" s="501">
        <f>'[84]Sch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'[84]Sch C'!D179</f>
        <v>0</v>
      </c>
      <c r="D168" s="501">
        <f>'[84]Sch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'[84]Sch C'!D180</f>
        <v>0</v>
      </c>
      <c r="D169" s="501">
        <f>'[84]Sch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'[84]Sch C'!D181</f>
        <v>0</v>
      </c>
      <c r="D170" s="501">
        <f>'[84]Sch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'[84]Sch C'!D182</f>
        <v>0</v>
      </c>
      <c r="D171" s="501">
        <f>'[84]Sch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'[84]Sch C'!D183</f>
        <v>0</v>
      </c>
      <c r="D172" s="501">
        <f>'[84]Sch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'[84]Sch C'!D184</f>
        <v>0</v>
      </c>
      <c r="D173" s="501">
        <f>'[84]Sch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'[84]Sch C'!D185</f>
        <v>0</v>
      </c>
      <c r="D174" s="501">
        <f>'[84]Sch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'[84]Sch C'!D186</f>
        <v>0</v>
      </c>
      <c r="D175" s="501">
        <f>'[84]Sch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'[84]Sch C'!D187</f>
        <v>0</v>
      </c>
      <c r="D176" s="501">
        <f>'[84]Sch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'[84]Sch C'!D188</f>
        <v>0</v>
      </c>
      <c r="D177" s="501">
        <f>'[84]Sch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'[84]Sch C'!D189</f>
        <v>0</v>
      </c>
      <c r="D178" s="501">
        <f>'[84]Sch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'[84]Sch C'!D190</f>
        <v>0</v>
      </c>
      <c r="D179" s="501">
        <f>'[84]Sch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'[84]Sch C'!D191</f>
        <v>0</v>
      </c>
      <c r="D180" s="501">
        <f>'[84]Sch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'[84]Sch C'!D192</f>
        <v>0</v>
      </c>
      <c r="D181" s="501">
        <f>'[84]Sch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'[84]Sch C'!D193</f>
        <v>1598</v>
      </c>
      <c r="D182" s="501">
        <f>'[84]Sch C'!F193</f>
        <v>0</v>
      </c>
      <c r="E182" s="171">
        <f t="shared" si="37"/>
        <v>1598</v>
      </c>
      <c r="F182" s="216"/>
      <c r="G182" s="171">
        <f t="shared" si="38"/>
        <v>1598</v>
      </c>
      <c r="H182" s="172">
        <f t="shared" si="39"/>
        <v>3.9670856021603986E-4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'[84]Sch C'!D194</f>
        <v>229543</v>
      </c>
      <c r="D183" s="501">
        <f>'[84]Sch C'!F194</f>
        <v>-8883</v>
      </c>
      <c r="E183" s="171">
        <f t="shared" si="37"/>
        <v>220660</v>
      </c>
      <c r="F183" s="216"/>
      <c r="G183" s="171">
        <f t="shared" si="38"/>
        <v>220660</v>
      </c>
      <c r="H183" s="172">
        <f t="shared" si="39"/>
        <v>5.4779543740470178E-2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'[84]Sch C'!D195</f>
        <v>57647</v>
      </c>
      <c r="D184" s="501">
        <f>'[84]Sch C'!F195</f>
        <v>-2231</v>
      </c>
      <c r="E184" s="171">
        <f t="shared" si="37"/>
        <v>55416</v>
      </c>
      <c r="F184" s="216"/>
      <c r="G184" s="171">
        <f t="shared" si="38"/>
        <v>55416</v>
      </c>
      <c r="H184" s="172">
        <f t="shared" si="39"/>
        <v>1.3757197479932455E-2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'[84]Sch C'!D196</f>
        <v>0</v>
      </c>
      <c r="D185" s="501">
        <f>'[84]Sch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'[84]Sch C'!D197</f>
        <v>148787</v>
      </c>
      <c r="D186" s="501">
        <f>'[84]Sch C'!F197</f>
        <v>-5758</v>
      </c>
      <c r="E186" s="171">
        <f t="shared" si="37"/>
        <v>143029</v>
      </c>
      <c r="F186" s="216"/>
      <c r="G186" s="171">
        <f t="shared" si="38"/>
        <v>143029</v>
      </c>
      <c r="H186" s="172">
        <f t="shared" si="39"/>
        <v>3.5507402164668314E-2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'[84]Sch C'!D198</f>
        <v>14302</v>
      </c>
      <c r="D187" s="501">
        <f>'[84]Sch C'!F198</f>
        <v>965</v>
      </c>
      <c r="E187" s="171">
        <f t="shared" si="37"/>
        <v>15267</v>
      </c>
      <c r="F187" s="216"/>
      <c r="G187" s="171">
        <f t="shared" si="38"/>
        <v>15267</v>
      </c>
      <c r="H187" s="172">
        <f t="shared" si="39"/>
        <v>3.7900810943793995E-3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'[84]Sch C'!D199</f>
        <v>0</v>
      </c>
      <c r="D188" s="501">
        <f>'[84]Sch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'[84]Sch C'!D200</f>
        <v>0</v>
      </c>
      <c r="D189" s="501">
        <f>'[84]Sch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'[84]Sch C'!D201</f>
        <v>0</v>
      </c>
      <c r="D190" s="501">
        <f>'[84]Sch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'[84]Sch C'!D202</f>
        <v>0</v>
      </c>
      <c r="D191" s="501">
        <f>'[84]Sch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'[84]Sch C'!D203</f>
        <v>0</v>
      </c>
      <c r="D192" s="501">
        <f>'[84]Sch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'[84]Sch C'!D204</f>
        <v>0</v>
      </c>
      <c r="D193" s="501">
        <f>'[84]Sch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'[84]Sch C'!D205</f>
        <v>118489</v>
      </c>
      <c r="D194" s="501">
        <f>'[84]Sch C'!F205</f>
        <v>20360</v>
      </c>
      <c r="E194" s="171">
        <f t="shared" si="37"/>
        <v>138849</v>
      </c>
      <c r="F194" s="216"/>
      <c r="G194" s="171">
        <f t="shared" si="38"/>
        <v>138849</v>
      </c>
      <c r="H194" s="172">
        <f t="shared" si="39"/>
        <v>3.4469703928308455E-2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'[84]Sch C'!D206</f>
        <v>1891</v>
      </c>
      <c r="D195" s="501">
        <f>'[84]Sch C'!F206</f>
        <v>0</v>
      </c>
      <c r="E195" s="171">
        <f t="shared" si="37"/>
        <v>1891</v>
      </c>
      <c r="F195" s="216"/>
      <c r="G195" s="171">
        <f t="shared" si="38"/>
        <v>1891</v>
      </c>
      <c r="H195" s="172">
        <f t="shared" si="39"/>
        <v>4.6944673802786689E-4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'[84]Sch C'!D207</f>
        <v>462</v>
      </c>
      <c r="D196" s="501">
        <f>'[84]Sch C'!F207</f>
        <v>82</v>
      </c>
      <c r="E196" s="171">
        <f t="shared" si="37"/>
        <v>544</v>
      </c>
      <c r="F196" s="216"/>
      <c r="G196" s="171">
        <f t="shared" si="38"/>
        <v>544</v>
      </c>
      <c r="H196" s="172">
        <f t="shared" si="39"/>
        <v>1.3504972262673697E-4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572719</v>
      </c>
      <c r="D197" s="501">
        <f>SUM(D164:D196)</f>
        <v>4535</v>
      </c>
      <c r="E197" s="171">
        <f t="shared" ref="E197:F197" si="40">SUM(E164:E196)</f>
        <v>577254</v>
      </c>
      <c r="F197" s="171">
        <f t="shared" si="40"/>
        <v>0</v>
      </c>
      <c r="G197" s="171">
        <f>SUM(G164:G196)</f>
        <v>577254</v>
      </c>
      <c r="H197" s="172">
        <f>IF($G$208=0,0,G197/$G$208)</f>
        <v>0.14330513342862944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'[84]Sch C'!D211</f>
        <v>67459</v>
      </c>
      <c r="D200" s="501">
        <f>'[84]Sch C'!F211</f>
        <v>0</v>
      </c>
      <c r="E200" s="171">
        <f t="shared" ref="E200:E205" si="41">C200+D200</f>
        <v>67459</v>
      </c>
      <c r="F200" s="171"/>
      <c r="G200" s="171">
        <f t="shared" ref="G200:G205" si="42">E200+F200</f>
        <v>67459</v>
      </c>
      <c r="H200" s="172">
        <f t="shared" ref="H200:H206" si="43">IF($G$208=0,0,G200/$G$208)</f>
        <v>1.6746910365215164E-2</v>
      </c>
      <c r="I200" s="473"/>
      <c r="J200" s="183">
        <v>4630</v>
      </c>
      <c r="K200" s="183">
        <v>4976</v>
      </c>
    </row>
    <row r="201" spans="1:14" s="167" customFormat="1">
      <c r="A201" s="169" t="s">
        <v>86</v>
      </c>
      <c r="B201" s="170" t="s">
        <v>45</v>
      </c>
      <c r="C201" s="501">
        <f>'[84]Sch C'!D212</f>
        <v>33968</v>
      </c>
      <c r="D201" s="501">
        <f>'[84]Sch C'!F212</f>
        <v>0</v>
      </c>
      <c r="E201" s="171">
        <f t="shared" si="41"/>
        <v>33968</v>
      </c>
      <c r="F201" s="171"/>
      <c r="G201" s="171">
        <f t="shared" si="42"/>
        <v>33968</v>
      </c>
      <c r="H201" s="172">
        <f t="shared" si="43"/>
        <v>8.4326635628400766E-3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'[84]Sch C'!D213</f>
        <v>2736</v>
      </c>
      <c r="D202" s="501">
        <f>'[84]Sch C'!F213</f>
        <v>0</v>
      </c>
      <c r="E202" s="171">
        <f t="shared" si="41"/>
        <v>2736</v>
      </c>
      <c r="F202" s="171"/>
      <c r="G202" s="171">
        <f t="shared" si="42"/>
        <v>2736</v>
      </c>
      <c r="H202" s="172">
        <f t="shared" si="43"/>
        <v>6.792206637991771E-4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'[84]Sch C'!D214</f>
        <v>0</v>
      </c>
      <c r="D203" s="501">
        <f>'[84]Sch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'[84]Sch C'!D215</f>
        <v>0</v>
      </c>
      <c r="D204" s="501">
        <f>'[84]Sch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'[84]Sch C'!D216</f>
        <v>3211</v>
      </c>
      <c r="D205" s="501">
        <f>'[84]Sch C'!F216</f>
        <v>0</v>
      </c>
      <c r="E205" s="171">
        <f t="shared" si="41"/>
        <v>3211</v>
      </c>
      <c r="F205" s="171"/>
      <c r="G205" s="171">
        <f t="shared" si="42"/>
        <v>3211</v>
      </c>
      <c r="H205" s="172">
        <f t="shared" si="43"/>
        <v>7.9714091793097862E-4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107374</v>
      </c>
      <c r="D206" s="501">
        <f>SUM(D200:D205)</f>
        <v>0</v>
      </c>
      <c r="E206" s="171">
        <f t="shared" ref="E206:F206" si="44">SUM(E200:E205)</f>
        <v>107374</v>
      </c>
      <c r="F206" s="171">
        <f t="shared" si="44"/>
        <v>0</v>
      </c>
      <c r="G206" s="171">
        <f>SUM(G200:G205)</f>
        <v>107374</v>
      </c>
      <c r="H206" s="172">
        <f t="shared" si="43"/>
        <v>2.6655935509785397E-2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4074235</v>
      </c>
      <c r="D208" s="501">
        <f>SUM(D25:D206)/2</f>
        <v>-43385</v>
      </c>
      <c r="E208" s="171">
        <f t="shared" ref="E208:F208" si="45">SUM(E25:E206)/2</f>
        <v>4030850</v>
      </c>
      <c r="F208" s="171">
        <f t="shared" si="45"/>
        <v>-2704</v>
      </c>
      <c r="G208" s="171">
        <f>SUM(G25:G206)/2</f>
        <v>4028146</v>
      </c>
      <c r="H208" s="172">
        <f>IF($G$208=0,0,G208/$G$208)</f>
        <v>1</v>
      </c>
      <c r="I208" s="473"/>
      <c r="J208" s="183">
        <f>SUM(J25:J200)</f>
        <v>83711</v>
      </c>
      <c r="K208" s="183">
        <f>SUM(K25:K200)</f>
        <v>88235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'[84]Sch C'!D221</f>
        <v>4074235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159299</v>
      </c>
      <c r="D215" s="501">
        <f>D21-D208</f>
        <v>39696</v>
      </c>
      <c r="E215" s="171">
        <f t="shared" ref="E215:F215" si="46">E21-E208</f>
        <v>198995</v>
      </c>
      <c r="F215" s="171">
        <f t="shared" si="46"/>
        <v>2704</v>
      </c>
      <c r="G215" s="171">
        <f>G21-G208</f>
        <v>201699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'[84]Sch D'!C9</f>
        <v>9982</v>
      </c>
      <c r="D219" s="530"/>
      <c r="E219" s="234">
        <f t="shared" ref="E219:G227" si="47">C219+D219</f>
        <v>9982</v>
      </c>
      <c r="F219" s="233"/>
      <c r="G219" s="234">
        <f t="shared" si="47"/>
        <v>9982</v>
      </c>
      <c r="H219" s="172">
        <f t="shared" ref="H219:H228" si="48">IF($G$228=0,0,G219/$G$228)</f>
        <v>0.56735250653631919</v>
      </c>
      <c r="I219" s="473"/>
      <c r="J219" s="168"/>
      <c r="K219" s="168"/>
    </row>
    <row r="220" spans="1:11">
      <c r="A220" s="163"/>
      <c r="B220" s="170" t="s">
        <v>217</v>
      </c>
      <c r="C220" s="530">
        <f>'[84]Sch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'[84]Sch D'!E9</f>
        <v>1871</v>
      </c>
      <c r="D221" s="530"/>
      <c r="E221" s="234">
        <f t="shared" si="49"/>
        <v>1871</v>
      </c>
      <c r="F221" s="233"/>
      <c r="G221" s="234">
        <f t="shared" si="47"/>
        <v>1871</v>
      </c>
      <c r="H221" s="172">
        <f t="shared" si="48"/>
        <v>0.10634307150164829</v>
      </c>
      <c r="I221" s="473"/>
      <c r="J221" s="168"/>
      <c r="K221" s="168"/>
    </row>
    <row r="222" spans="1:11">
      <c r="A222" s="163"/>
      <c r="B222" s="202" t="s">
        <v>334</v>
      </c>
      <c r="C222" s="530">
        <f>'[84]Sch D'!F9</f>
        <v>735</v>
      </c>
      <c r="D222" s="530"/>
      <c r="E222" s="234">
        <f>C222+D222</f>
        <v>735</v>
      </c>
      <c r="F222" s="233"/>
      <c r="G222" s="234">
        <f>E222+F222</f>
        <v>735</v>
      </c>
      <c r="H222" s="172">
        <f t="shared" si="48"/>
        <v>4.1775605319995454E-2</v>
      </c>
      <c r="I222" s="473"/>
      <c r="J222" s="168"/>
      <c r="K222" s="168"/>
    </row>
    <row r="223" spans="1:11">
      <c r="A223" s="163"/>
      <c r="B223" s="170" t="s">
        <v>73</v>
      </c>
      <c r="C223" s="530">
        <f>'[84]Sch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'[84]Sch D'!H9</f>
        <v>2340</v>
      </c>
      <c r="D224" s="530"/>
      <c r="E224" s="234">
        <f t="shared" si="49"/>
        <v>2340</v>
      </c>
      <c r="F224" s="233"/>
      <c r="G224" s="234">
        <f t="shared" si="47"/>
        <v>2340</v>
      </c>
      <c r="H224" s="172">
        <f t="shared" si="48"/>
        <v>0.13299988632488349</v>
      </c>
      <c r="I224" s="473"/>
      <c r="J224" s="168"/>
      <c r="K224" s="168"/>
    </row>
    <row r="225" spans="1:11">
      <c r="A225" s="163"/>
      <c r="B225" s="170" t="s">
        <v>236</v>
      </c>
      <c r="C225" s="530">
        <f>'[84]Sch D'!I9</f>
        <v>0</v>
      </c>
      <c r="D225" s="530"/>
      <c r="E225" s="234">
        <f t="shared" si="49"/>
        <v>0</v>
      </c>
      <c r="F225" s="233"/>
      <c r="G225" s="234">
        <f t="shared" si="47"/>
        <v>0</v>
      </c>
      <c r="H225" s="172">
        <f t="shared" si="48"/>
        <v>0</v>
      </c>
      <c r="I225" s="473"/>
      <c r="J225" s="168"/>
      <c r="K225" s="168"/>
    </row>
    <row r="226" spans="1:11">
      <c r="A226" s="163"/>
      <c r="B226" s="170" t="s">
        <v>235</v>
      </c>
      <c r="C226" s="530">
        <f>'[84]Sch D'!J9</f>
        <v>1796</v>
      </c>
      <c r="D226" s="530"/>
      <c r="E226" s="234">
        <f>C226+D226</f>
        <v>1796</v>
      </c>
      <c r="F226" s="233"/>
      <c r="G226" s="234">
        <f>E226+F226</f>
        <v>1796</v>
      </c>
      <c r="H226" s="172">
        <f t="shared" si="48"/>
        <v>0.102080254632261</v>
      </c>
      <c r="I226" s="473"/>
      <c r="J226" s="168"/>
      <c r="K226" s="168"/>
    </row>
    <row r="227" spans="1:11">
      <c r="A227" s="163"/>
      <c r="B227" s="170" t="s">
        <v>179</v>
      </c>
      <c r="C227" s="530">
        <f>'[84]Sch D'!K9</f>
        <v>870</v>
      </c>
      <c r="D227" s="530"/>
      <c r="E227" s="234">
        <f t="shared" si="49"/>
        <v>870</v>
      </c>
      <c r="F227" s="233"/>
      <c r="G227" s="234">
        <f t="shared" si="47"/>
        <v>870</v>
      </c>
      <c r="H227" s="172">
        <f t="shared" si="48"/>
        <v>4.9448675684892578E-2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17594</v>
      </c>
      <c r="D228" s="530">
        <f>SUM(D219:D227)</f>
        <v>0</v>
      </c>
      <c r="E228" s="236">
        <f>SUM(E219:E227)</f>
        <v>17594</v>
      </c>
      <c r="F228" s="236">
        <f>SUM(F219:F227)</f>
        <v>0</v>
      </c>
      <c r="G228" s="236">
        <f>SUM(G219:G227)</f>
        <v>17594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'[84]Sch D'!N22</f>
        <v>84</v>
      </c>
      <c r="D231" s="502"/>
      <c r="E231" s="234">
        <f>C231+D231</f>
        <v>84</v>
      </c>
      <c r="F231" s="234"/>
      <c r="G231" s="234">
        <f>E231+F231</f>
        <v>84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'[84]Sch D'!N24</f>
        <v>84</v>
      </c>
      <c r="D232" s="502"/>
      <c r="E232" s="234">
        <f>C232+D232</f>
        <v>84</v>
      </c>
      <c r="F232" s="234"/>
      <c r="G232" s="234">
        <f>E232+F232</f>
        <v>84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'[84]Sch D'!N28</f>
        <v>30660</v>
      </c>
      <c r="D235" s="438"/>
      <c r="E235" s="233">
        <f>E231*E233</f>
        <v>30660</v>
      </c>
      <c r="F235" s="238"/>
      <c r="G235" s="233">
        <f>G231*G233</f>
        <v>30660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'[84]Sch D'!N30</f>
        <v>0.57384213959556429</v>
      </c>
      <c r="D236" s="238"/>
      <c r="E236" s="242">
        <f>E228/E235</f>
        <v>0.57384213959556429</v>
      </c>
      <c r="F236" s="243"/>
      <c r="G236" s="242">
        <f>G228/G235</f>
        <v>0.57384213959556429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'[84]Sch D'!N32</f>
        <v>0.32557077625570774</v>
      </c>
      <c r="D237" s="238"/>
      <c r="E237" s="242">
        <f>(E219+E220)/E235</f>
        <v>0.32557077625570774</v>
      </c>
      <c r="F237" s="243"/>
      <c r="G237" s="242">
        <f>(G219+G220)/G235</f>
        <v>0.32557077625570774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'[84]Sch D'!N34</f>
        <v>0.56735250653631908</v>
      </c>
      <c r="D238" s="238"/>
      <c r="E238" s="242">
        <f>(E237/E236)</f>
        <v>0.56735250653631908</v>
      </c>
      <c r="F238" s="243"/>
      <c r="G238" s="242">
        <f>(G237/G236)</f>
        <v>0.56735250653631908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'[84]Sch B'!C85</f>
        <v>173.9914821124361</v>
      </c>
      <c r="I241" s="475"/>
    </row>
    <row r="242" spans="2:9">
      <c r="F242" s="142" t="s">
        <v>341</v>
      </c>
      <c r="G242" s="501">
        <f>'[84]Sch B'!E85</f>
        <v>173.99268292682927</v>
      </c>
      <c r="I242" s="475"/>
    </row>
    <row r="243" spans="2:9">
      <c r="F243" s="142" t="s">
        <v>342</v>
      </c>
      <c r="G243" s="501">
        <f>'[84]Sch B'!G85</f>
        <v>173.99192462987887</v>
      </c>
      <c r="I243" s="475"/>
    </row>
    <row r="244" spans="2:9">
      <c r="F244" s="142" t="s">
        <v>343</v>
      </c>
      <c r="G244" s="501">
        <f>'[84]Sch B'!I85</f>
        <v>173.99166666666667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" right="0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B1">
      <selection activeCell="G12" sqref="G12"/>
      <pageMargins left="0" right="0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Button 1">
              <controlPr defaultSize="0" print="0" autoFill="0" autoLine="0" autoPict="0">
                <anchor moveWithCells="1" sizeWithCells="1">
                  <from>
                    <xdr:col>5</xdr:col>
                    <xdr:colOff>958850</xdr:colOff>
                    <xdr:row>0</xdr:row>
                    <xdr:rowOff>0</xdr:rowOff>
                  </from>
                  <to>
                    <xdr:col>6</xdr:col>
                    <xdr:colOff>1028700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5">
    <tabColor rgb="FFE28CAB"/>
  </sheetPr>
  <dimension ref="A1:O246"/>
  <sheetViews>
    <sheetView showGridLines="0" topLeftCell="A30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8"/>
      <c r="F1" s="429"/>
      <c r="G1" s="429"/>
      <c r="H1" s="429"/>
      <c r="I1" s="430"/>
    </row>
    <row r="2" spans="1:11" ht="23">
      <c r="B2" s="143" t="s">
        <v>189</v>
      </c>
      <c r="C2" s="244" t="s">
        <v>355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'[85]Sch B'!E10</f>
        <v>2732968</v>
      </c>
      <c r="D11" s="501">
        <f>'[85]Sch B'!G10</f>
        <v>0</v>
      </c>
      <c r="E11" s="171">
        <f>C11+D11</f>
        <v>2732968</v>
      </c>
      <c r="F11" s="171"/>
      <c r="G11" s="171">
        <f t="shared" ref="G11:G20" si="0">E11+F11</f>
        <v>2732968</v>
      </c>
      <c r="H11" s="172">
        <f t="shared" ref="H11:H21" si="1">IF($G$21=0,0,G11/$G$21)</f>
        <v>0.64153470607249163</v>
      </c>
      <c r="I11" s="473"/>
      <c r="J11" s="336" t="s">
        <v>344</v>
      </c>
      <c r="K11" s="337">
        <f>G21</f>
        <v>4260047</v>
      </c>
    </row>
    <row r="12" spans="1:11" s="167" customFormat="1">
      <c r="A12" s="169" t="s">
        <v>15</v>
      </c>
      <c r="B12" s="170" t="s">
        <v>212</v>
      </c>
      <c r="C12" s="501">
        <f>'[85]Sch B'!E15</f>
        <v>0</v>
      </c>
      <c r="D12" s="501">
        <f>'[85]Sch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4799720</v>
      </c>
    </row>
    <row r="13" spans="1:11" s="167" customFormat="1">
      <c r="A13" s="169" t="s">
        <v>16</v>
      </c>
      <c r="B13" s="170" t="s">
        <v>170</v>
      </c>
      <c r="C13" s="501">
        <f>'[85]Sch B'!E21</f>
        <v>502610</v>
      </c>
      <c r="D13" s="501">
        <f>'[85]Sch B'!G21</f>
        <v>0</v>
      </c>
      <c r="E13" s="171">
        <f t="shared" si="2"/>
        <v>502610</v>
      </c>
      <c r="F13" s="171"/>
      <c r="G13" s="171">
        <f t="shared" si="0"/>
        <v>502610</v>
      </c>
      <c r="H13" s="172">
        <f t="shared" si="1"/>
        <v>0.11798226639283557</v>
      </c>
      <c r="I13" s="473"/>
      <c r="J13" s="338" t="s">
        <v>346</v>
      </c>
      <c r="K13" s="339">
        <f>G228</f>
        <v>21847</v>
      </c>
    </row>
    <row r="14" spans="1:11" s="167" customFormat="1">
      <c r="A14" s="173" t="s">
        <v>18</v>
      </c>
      <c r="B14" s="174" t="s">
        <v>306</v>
      </c>
      <c r="C14" s="501">
        <f>'[85]Sch B'!E27</f>
        <v>143676</v>
      </c>
      <c r="D14" s="501">
        <f>'[85]Sch B'!G27</f>
        <v>0</v>
      </c>
      <c r="E14" s="171">
        <f t="shared" si="2"/>
        <v>143676</v>
      </c>
      <c r="F14" s="175"/>
      <c r="G14" s="175">
        <f>E14+F14</f>
        <v>143676</v>
      </c>
      <c r="H14" s="176">
        <f t="shared" si="1"/>
        <v>3.3726388464728203E-2</v>
      </c>
      <c r="I14" s="479"/>
      <c r="J14" s="338" t="s">
        <v>347</v>
      </c>
      <c r="K14" s="339">
        <f>G231</f>
        <v>77</v>
      </c>
    </row>
    <row r="15" spans="1:11" s="167" customFormat="1">
      <c r="A15" s="169" t="s">
        <v>19</v>
      </c>
      <c r="B15" s="170" t="s">
        <v>171</v>
      </c>
      <c r="C15" s="501">
        <f>'[85]Sch B'!E32</f>
        <v>0</v>
      </c>
      <c r="D15" s="501">
        <f>'[85]Sch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28105</v>
      </c>
    </row>
    <row r="16" spans="1:11" s="167" customFormat="1">
      <c r="A16" s="169" t="s">
        <v>21</v>
      </c>
      <c r="B16" s="170" t="s">
        <v>172</v>
      </c>
      <c r="C16" s="501">
        <f>'[85]Sch B'!E37</f>
        <v>136868</v>
      </c>
      <c r="D16" s="501">
        <f>'[85]Sch B'!G37</f>
        <v>0</v>
      </c>
      <c r="E16" s="171">
        <f t="shared" si="2"/>
        <v>136868</v>
      </c>
      <c r="F16" s="171"/>
      <c r="G16" s="171">
        <f t="shared" si="0"/>
        <v>136868</v>
      </c>
      <c r="H16" s="172">
        <f t="shared" si="1"/>
        <v>3.2128284030669148E-2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'[85]Sch B'!E42</f>
        <v>628865</v>
      </c>
      <c r="D17" s="501">
        <f>'[85]Sch B'!G42</f>
        <v>0</v>
      </c>
      <c r="E17" s="171">
        <f t="shared" si="2"/>
        <v>628865</v>
      </c>
      <c r="F17" s="171"/>
      <c r="G17" s="171">
        <f>E17+F17</f>
        <v>628865</v>
      </c>
      <c r="H17" s="172">
        <f t="shared" si="1"/>
        <v>0.14761926335554515</v>
      </c>
      <c r="I17" s="473"/>
      <c r="J17" s="338" t="s">
        <v>156</v>
      </c>
      <c r="K17" s="339">
        <f>J208</f>
        <v>118559</v>
      </c>
    </row>
    <row r="18" spans="1:11" s="167" customFormat="1" ht="13.5" thickBot="1">
      <c r="A18" s="169" t="s">
        <v>216</v>
      </c>
      <c r="B18" s="170" t="s">
        <v>229</v>
      </c>
      <c r="C18" s="501">
        <f>'[85]Sch B'!E47</f>
        <v>0</v>
      </c>
      <c r="D18" s="501">
        <f>'[85]Sch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125396</v>
      </c>
    </row>
    <row r="19" spans="1:11" s="167" customFormat="1">
      <c r="A19" s="169" t="s">
        <v>227</v>
      </c>
      <c r="B19" s="177" t="s">
        <v>173</v>
      </c>
      <c r="C19" s="501">
        <f>'[85]Sch B'!E52</f>
        <v>64959</v>
      </c>
      <c r="D19" s="501">
        <f>'[85]Sch B'!G52</f>
        <v>0</v>
      </c>
      <c r="E19" s="171">
        <f t="shared" si="2"/>
        <v>64959</v>
      </c>
      <c r="F19" s="171"/>
      <c r="G19" s="171">
        <f t="shared" si="0"/>
        <v>64959</v>
      </c>
      <c r="H19" s="172">
        <f t="shared" si="1"/>
        <v>1.5248423315517411E-2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'[85]Sch B'!E67</f>
        <v>50551</v>
      </c>
      <c r="D20" s="501">
        <f>'[85]Sch B'!G67</f>
        <v>-450</v>
      </c>
      <c r="E20" s="171">
        <f t="shared" si="2"/>
        <v>50101</v>
      </c>
      <c r="F20" s="171"/>
      <c r="G20" s="171">
        <f t="shared" si="0"/>
        <v>50101</v>
      </c>
      <c r="H20" s="172">
        <f t="shared" si="1"/>
        <v>1.1760668368212839E-2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4260497</v>
      </c>
      <c r="D21" s="501">
        <f>SUM(D11:D20)</f>
        <v>-450</v>
      </c>
      <c r="E21" s="171">
        <f>SUM(E11:E20)</f>
        <v>4260047</v>
      </c>
      <c r="F21" s="171">
        <f>SUM(F11:F20)</f>
        <v>0</v>
      </c>
      <c r="G21" s="171">
        <f>SUM(G11:G20)</f>
        <v>4260047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'[85]Sch C'!D10</f>
        <v>0</v>
      </c>
      <c r="D25" s="501">
        <f>'[85]Sch C'!F10</f>
        <v>113960</v>
      </c>
      <c r="E25" s="171">
        <f t="shared" ref="E25:E60" si="3">C25+D25</f>
        <v>113960</v>
      </c>
      <c r="F25" s="171"/>
      <c r="G25" s="182">
        <f>E25+F25</f>
        <v>113960</v>
      </c>
      <c r="H25" s="172">
        <f>IF($G$208=0,0,G25/$G$208)</f>
        <v>2.3743051678014552E-2</v>
      </c>
      <c r="I25" s="473"/>
      <c r="J25" s="183">
        <v>1928</v>
      </c>
      <c r="K25" s="183">
        <v>2191</v>
      </c>
    </row>
    <row r="26" spans="1:11" s="167" customFormat="1">
      <c r="A26" s="169" t="s">
        <v>84</v>
      </c>
      <c r="B26" s="170" t="s">
        <v>176</v>
      </c>
      <c r="C26" s="501">
        <f>'[85]Sch C'!D11</f>
        <v>0</v>
      </c>
      <c r="D26" s="501">
        <f>'[85]Sch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'[85]Sch C'!D12</f>
        <v>284534</v>
      </c>
      <c r="D27" s="501">
        <f>'[85]Sch C'!F12</f>
        <v>-113960</v>
      </c>
      <c r="E27" s="171">
        <f t="shared" si="3"/>
        <v>170574</v>
      </c>
      <c r="F27" s="171"/>
      <c r="G27" s="171">
        <f t="shared" si="4"/>
        <v>170574</v>
      </c>
      <c r="H27" s="172">
        <f t="shared" si="5"/>
        <v>3.5538323068845683E-2</v>
      </c>
      <c r="I27" s="473"/>
      <c r="J27" s="183">
        <v>8833</v>
      </c>
      <c r="K27" s="183">
        <v>9735</v>
      </c>
    </row>
    <row r="28" spans="1:11" s="167" customFormat="1">
      <c r="A28" s="169" t="s">
        <v>86</v>
      </c>
      <c r="B28" s="170" t="s">
        <v>45</v>
      </c>
      <c r="C28" s="501">
        <f>'[85]Sch C'!D13</f>
        <v>27355</v>
      </c>
      <c r="D28" s="501">
        <f>'[85]Sch C'!F13</f>
        <v>0</v>
      </c>
      <c r="E28" s="171">
        <f t="shared" si="3"/>
        <v>27355</v>
      </c>
      <c r="F28" s="171"/>
      <c r="G28" s="171">
        <f t="shared" si="4"/>
        <v>27355</v>
      </c>
      <c r="H28" s="172">
        <f t="shared" si="5"/>
        <v>5.6992907919628643E-3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'[85]Sch C'!D14</f>
        <v>0</v>
      </c>
      <c r="D29" s="501">
        <f>'[85]Sch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'[85]Sch C'!D15</f>
        <v>0</v>
      </c>
      <c r="D30" s="501">
        <f>'[85]Sch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'[85]Sch C'!D16</f>
        <v>214582</v>
      </c>
      <c r="D31" s="501">
        <f>'[85]Sch C'!F16</f>
        <v>23335</v>
      </c>
      <c r="E31" s="171">
        <f t="shared" si="3"/>
        <v>237917</v>
      </c>
      <c r="F31" s="171"/>
      <c r="G31" s="171">
        <f t="shared" si="4"/>
        <v>237917</v>
      </c>
      <c r="H31" s="172">
        <f t="shared" si="5"/>
        <v>4.9568933187769289E-2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'[85]Sch C'!D17</f>
        <v>1706</v>
      </c>
      <c r="D32" s="501">
        <f>'[85]Sch C'!F17</f>
        <v>-1706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'[85]Sch C'!D18</f>
        <v>10709</v>
      </c>
      <c r="D33" s="501">
        <f>'[85]Sch C'!F18</f>
        <v>0</v>
      </c>
      <c r="E33" s="171">
        <f t="shared" si="3"/>
        <v>10709</v>
      </c>
      <c r="F33" s="171"/>
      <c r="G33" s="171">
        <f t="shared" si="4"/>
        <v>10709</v>
      </c>
      <c r="H33" s="172">
        <f t="shared" si="5"/>
        <v>2.231171818356071E-3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'[85]Sch C'!D19</f>
        <v>9250</v>
      </c>
      <c r="D34" s="501">
        <f>'[85]Sch C'!F19</f>
        <v>0</v>
      </c>
      <c r="E34" s="171">
        <f t="shared" si="3"/>
        <v>9250</v>
      </c>
      <c r="F34" s="171"/>
      <c r="G34" s="171">
        <f t="shared" si="4"/>
        <v>9250</v>
      </c>
      <c r="H34" s="172">
        <f t="shared" si="5"/>
        <v>1.9271957530855967E-3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'[85]Sch C'!D20</f>
        <v>13112</v>
      </c>
      <c r="D35" s="501">
        <f>'[85]Sch C'!F20</f>
        <v>-50</v>
      </c>
      <c r="E35" s="171">
        <f t="shared" si="3"/>
        <v>13062</v>
      </c>
      <c r="F35" s="171"/>
      <c r="G35" s="171">
        <f t="shared" si="4"/>
        <v>13062</v>
      </c>
      <c r="H35" s="172">
        <f t="shared" si="5"/>
        <v>2.7214087488436826E-3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'[85]Sch C'!D21</f>
        <v>18112</v>
      </c>
      <c r="D36" s="501">
        <f>'[85]Sch C'!F21</f>
        <v>0</v>
      </c>
      <c r="E36" s="171">
        <f t="shared" si="3"/>
        <v>18112</v>
      </c>
      <c r="F36" s="171"/>
      <c r="G36" s="171">
        <f t="shared" si="4"/>
        <v>18112</v>
      </c>
      <c r="H36" s="172">
        <f t="shared" si="5"/>
        <v>3.7735534572850083E-3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'[85]Sch C'!D22</f>
        <v>0</v>
      </c>
      <c r="D37" s="501">
        <f>'[85]Sch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'[85]Sch C'!D23</f>
        <v>4563</v>
      </c>
      <c r="D38" s="501">
        <f>'[85]Sch C'!F23</f>
        <v>0</v>
      </c>
      <c r="E38" s="171">
        <f t="shared" si="3"/>
        <v>4563</v>
      </c>
      <c r="F38" s="171"/>
      <c r="G38" s="171">
        <f t="shared" si="4"/>
        <v>4563</v>
      </c>
      <c r="H38" s="172">
        <f t="shared" si="5"/>
        <v>9.5068045635995435E-4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'[85]Sch C'!D24</f>
        <v>11029</v>
      </c>
      <c r="D39" s="501">
        <f>'[85]Sch C'!F24</f>
        <v>0</v>
      </c>
      <c r="E39" s="171">
        <f t="shared" si="3"/>
        <v>11029</v>
      </c>
      <c r="F39" s="171"/>
      <c r="G39" s="171">
        <f t="shared" si="4"/>
        <v>11029</v>
      </c>
      <c r="H39" s="172">
        <f t="shared" si="5"/>
        <v>2.2978423741384915E-3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'[85]Sch C'!D25</f>
        <v>5931</v>
      </c>
      <c r="D40" s="501">
        <f>'[85]Sch C'!F25</f>
        <v>0</v>
      </c>
      <c r="E40" s="171">
        <f t="shared" si="3"/>
        <v>5931</v>
      </c>
      <c r="F40" s="171"/>
      <c r="G40" s="171">
        <f t="shared" si="4"/>
        <v>5931</v>
      </c>
      <c r="H40" s="172">
        <f t="shared" si="5"/>
        <v>1.2356970823298025E-3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'[85]Sch C'!D26</f>
        <v>386419</v>
      </c>
      <c r="D41" s="501">
        <f>'[85]Sch C'!F26</f>
        <v>0</v>
      </c>
      <c r="E41" s="171">
        <f t="shared" si="3"/>
        <v>386419</v>
      </c>
      <c r="F41" s="171"/>
      <c r="G41" s="171">
        <f t="shared" si="4"/>
        <v>386419</v>
      </c>
      <c r="H41" s="172">
        <f t="shared" si="5"/>
        <v>8.0508654671522503E-2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'[85]Sch C'!D27</f>
        <v>13801</v>
      </c>
      <c r="D42" s="501">
        <f>'[85]Sch C'!F27</f>
        <v>0</v>
      </c>
      <c r="E42" s="171">
        <f t="shared" si="3"/>
        <v>13801</v>
      </c>
      <c r="F42" s="171"/>
      <c r="G42" s="171">
        <f t="shared" si="4"/>
        <v>13801</v>
      </c>
      <c r="H42" s="172">
        <f t="shared" si="5"/>
        <v>2.8753760636037102E-3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'[85]Sch C'!D28</f>
        <v>0</v>
      </c>
      <c r="D43" s="501">
        <f>'[85]Sch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'[85]Sch C'!D29</f>
        <v>27386</v>
      </c>
      <c r="D44" s="501">
        <f>'[85]Sch C'!F29</f>
        <v>-27386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'[85]Sch C'!D30</f>
        <v>0</v>
      </c>
      <c r="D45" s="501">
        <f>'[85]Sch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'[85]Sch C'!D31</f>
        <v>0</v>
      </c>
      <c r="D46" s="501">
        <f>'[85]Sch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'[85]Sch C'!D32</f>
        <v>52310</v>
      </c>
      <c r="D47" s="501">
        <f>'[85]Sch C'!F32</f>
        <v>0</v>
      </c>
      <c r="E47" s="171">
        <f t="shared" si="3"/>
        <v>52310</v>
      </c>
      <c r="F47" s="171"/>
      <c r="G47" s="171">
        <f t="shared" si="4"/>
        <v>52310</v>
      </c>
      <c r="H47" s="172">
        <f t="shared" si="5"/>
        <v>1.0898552415557575E-2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'[85]Sch C'!D33</f>
        <v>0</v>
      </c>
      <c r="D48" s="501">
        <f>'[85]Sch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'[85]Sch C'!D34</f>
        <v>465</v>
      </c>
      <c r="D49" s="501">
        <f>'[85]Sch C'!F34</f>
        <v>0</v>
      </c>
      <c r="E49" s="171">
        <f t="shared" si="3"/>
        <v>465</v>
      </c>
      <c r="F49" s="171"/>
      <c r="G49" s="171">
        <f t="shared" si="4"/>
        <v>465</v>
      </c>
      <c r="H49" s="172">
        <f t="shared" si="5"/>
        <v>9.6880651371329996E-5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'[85]Sch C'!D35</f>
        <v>0</v>
      </c>
      <c r="D50" s="501">
        <f>'[85]Sch C'!F35</f>
        <v>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'[85]Sch C'!D36</f>
        <v>0</v>
      </c>
      <c r="D51" s="501">
        <f>'[85]Sch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'[85]Sch C'!D37</f>
        <v>0</v>
      </c>
      <c r="D52" s="501">
        <f>'[85]Sch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'[85]Sch C'!D38</f>
        <v>130</v>
      </c>
      <c r="D53" s="501">
        <f>'[85]Sch C'!F38</f>
        <v>-130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'[85]Sch C'!D39</f>
        <v>3409</v>
      </c>
      <c r="D54" s="501">
        <f>'[85]Sch C'!F39</f>
        <v>0</v>
      </c>
      <c r="E54" s="171">
        <f t="shared" si="3"/>
        <v>3409</v>
      </c>
      <c r="F54" s="171"/>
      <c r="G54" s="171">
        <f t="shared" si="4"/>
        <v>3409</v>
      </c>
      <c r="H54" s="172">
        <f t="shared" si="5"/>
        <v>7.1024976456959994E-4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'[85]Sch C'!D40</f>
        <v>3807</v>
      </c>
      <c r="D55" s="501">
        <f>'[85]Sch C'!F40</f>
        <v>-3807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'[85]Sch C'!D41</f>
        <v>63278</v>
      </c>
      <c r="D56" s="501">
        <f>'[85]Sch C'!F41</f>
        <v>-18</v>
      </c>
      <c r="E56" s="171">
        <f t="shared" si="3"/>
        <v>63260</v>
      </c>
      <c r="F56" s="171"/>
      <c r="G56" s="171">
        <f t="shared" si="4"/>
        <v>63260</v>
      </c>
      <c r="H56" s="172">
        <f t="shared" si="5"/>
        <v>1.3179935496237281E-2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'[85]Sch C'!D42</f>
        <v>75</v>
      </c>
      <c r="D57" s="501">
        <f>'[85]Sch C'!F42</f>
        <v>0</v>
      </c>
      <c r="E57" s="171">
        <f t="shared" si="3"/>
        <v>75</v>
      </c>
      <c r="F57" s="171"/>
      <c r="G57" s="171">
        <f t="shared" si="4"/>
        <v>75</v>
      </c>
      <c r="H57" s="172">
        <f t="shared" si="5"/>
        <v>1.5625911511504839E-5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'[85]Sch C'!D43</f>
        <v>5733</v>
      </c>
      <c r="D58" s="501">
        <f>'[85]Sch C'!F43</f>
        <v>-5733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'[85]Sch C'!D44</f>
        <v>0</v>
      </c>
      <c r="D59" s="501">
        <f>'[85]Sch C'!F44</f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'[85]Sch C'!D45</f>
        <v>3617</v>
      </c>
      <c r="D60" s="501">
        <f>'[85]Sch C'!F45</f>
        <v>0</v>
      </c>
      <c r="E60" s="171">
        <f t="shared" si="3"/>
        <v>3617</v>
      </c>
      <c r="F60" s="171">
        <v>-2173</v>
      </c>
      <c r="G60" s="171">
        <f t="shared" si="4"/>
        <v>1444</v>
      </c>
      <c r="H60" s="172">
        <f t="shared" si="5"/>
        <v>3.0085088296817315E-4</v>
      </c>
      <c r="I60" s="473" t="s">
        <v>713</v>
      </c>
      <c r="J60" s="168"/>
      <c r="K60" s="168"/>
    </row>
    <row r="61" spans="1:11" s="167" customFormat="1">
      <c r="A61" s="163"/>
      <c r="B61" s="170" t="s">
        <v>177</v>
      </c>
      <c r="C61" s="501">
        <f>SUM(C25:C60)</f>
        <v>1161313</v>
      </c>
      <c r="D61" s="501">
        <f>SUM(D25:D60)</f>
        <v>-15495</v>
      </c>
      <c r="E61" s="171">
        <f t="shared" ref="E61:F61" si="6">SUM(E25:E60)</f>
        <v>1145818</v>
      </c>
      <c r="F61" s="171">
        <f t="shared" si="6"/>
        <v>-2173</v>
      </c>
      <c r="G61" s="171">
        <f>SUM(G25:G60)</f>
        <v>1143645</v>
      </c>
      <c r="H61" s="186">
        <f t="shared" si="5"/>
        <v>0.23827327427433267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'[85]Sch C'!D57</f>
        <v>0</v>
      </c>
      <c r="D64" s="501">
        <f>'[85]Sch C'!F57</f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'[85]Sch C'!D58</f>
        <v>87967</v>
      </c>
      <c r="D65" s="501">
        <f>'[85]Sch C'!F58</f>
        <v>0</v>
      </c>
      <c r="E65" s="171">
        <f t="shared" si="7"/>
        <v>87967</v>
      </c>
      <c r="F65" s="171"/>
      <c r="G65" s="171">
        <f t="shared" si="8"/>
        <v>87967</v>
      </c>
      <c r="H65" s="172">
        <f t="shared" si="9"/>
        <v>1.8327527439100613E-2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'[85]Sch C'!D59</f>
        <v>64072</v>
      </c>
      <c r="D66" s="501">
        <f>'[85]Sch C'!F59</f>
        <v>0</v>
      </c>
      <c r="E66" s="171">
        <f t="shared" si="7"/>
        <v>64072</v>
      </c>
      <c r="F66" s="171"/>
      <c r="G66" s="171">
        <f t="shared" si="8"/>
        <v>64072</v>
      </c>
      <c r="H66" s="172">
        <f t="shared" si="9"/>
        <v>1.3349112031535174E-2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'[85]Sch C'!D60</f>
        <v>25977</v>
      </c>
      <c r="D67" s="501">
        <f>'[85]Sch C'!F60</f>
        <v>0</v>
      </c>
      <c r="E67" s="171">
        <f t="shared" si="7"/>
        <v>25977</v>
      </c>
      <c r="F67" s="171"/>
      <c r="G67" s="171">
        <f t="shared" si="8"/>
        <v>25977</v>
      </c>
      <c r="H67" s="172">
        <f t="shared" si="9"/>
        <v>5.412190711124816E-3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'[85]Sch C'!D61</f>
        <v>18489</v>
      </c>
      <c r="D68" s="501">
        <f>'[85]Sch C'!F61</f>
        <v>0</v>
      </c>
      <c r="E68" s="171">
        <f t="shared" si="7"/>
        <v>18489</v>
      </c>
      <c r="F68" s="171"/>
      <c r="G68" s="171">
        <f t="shared" si="8"/>
        <v>18489</v>
      </c>
      <c r="H68" s="172">
        <f t="shared" si="9"/>
        <v>3.8520997058161728E-3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'[85]Sch C'!D62</f>
        <v>0</v>
      </c>
      <c r="D69" s="501">
        <f>'[85]Sch C'!F62</f>
        <v>0</v>
      </c>
      <c r="E69" s="171">
        <f t="shared" si="7"/>
        <v>0</v>
      </c>
      <c r="F69" s="171"/>
      <c r="G69" s="171">
        <f t="shared" si="8"/>
        <v>0</v>
      </c>
      <c r="H69" s="172">
        <f t="shared" si="9"/>
        <v>0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'[85]Sch C'!D63</f>
        <v>0</v>
      </c>
      <c r="D70" s="501">
        <f>'[85]Sch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'[85]Sch C'!D64</f>
        <v>0</v>
      </c>
      <c r="D71" s="501">
        <f>'[85]Sch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'[85]Sch C'!D65</f>
        <v>0</v>
      </c>
      <c r="D72" s="501">
        <f>'[85]Sch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'[85]Sch C'!D66</f>
        <v>48702</v>
      </c>
      <c r="D73" s="501">
        <f>'[85]Sch C'!F66</f>
        <v>-528</v>
      </c>
      <c r="E73" s="171">
        <f t="shared" si="7"/>
        <v>48174</v>
      </c>
      <c r="F73" s="171"/>
      <c r="G73" s="171">
        <f t="shared" si="8"/>
        <v>48174</v>
      </c>
      <c r="H73" s="172">
        <f t="shared" si="9"/>
        <v>1.0036835482069788E-2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'[85]Sch C'!D67</f>
        <v>32410</v>
      </c>
      <c r="D74" s="501">
        <f>'[85]Sch C'!F67</f>
        <v>0</v>
      </c>
      <c r="E74" s="171">
        <f t="shared" si="7"/>
        <v>32410</v>
      </c>
      <c r="F74" s="171"/>
      <c r="G74" s="171">
        <f t="shared" si="8"/>
        <v>32410</v>
      </c>
      <c r="H74" s="172">
        <f t="shared" si="9"/>
        <v>6.7524772278382906E-3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'[85]Sch C'!D68</f>
        <v>0</v>
      </c>
      <c r="D75" s="501">
        <f>'[85]Sch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'[85]Sch C'!D69</f>
        <v>3519</v>
      </c>
      <c r="D76" s="501">
        <f>'[85]Sch C'!F69</f>
        <v>0</v>
      </c>
      <c r="E76" s="171">
        <f t="shared" si="7"/>
        <v>3519</v>
      </c>
      <c r="F76" s="171"/>
      <c r="G76" s="171">
        <f t="shared" si="8"/>
        <v>3519</v>
      </c>
      <c r="H76" s="172">
        <f t="shared" si="9"/>
        <v>7.3316776811980697E-4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'[85]Sch C'!D70</f>
        <v>0</v>
      </c>
      <c r="D77" s="501">
        <f>'[85]Sch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'[85]Sch C'!D71</f>
        <v>0</v>
      </c>
      <c r="D78" s="501">
        <f>'[85]Sch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281136</v>
      </c>
      <c r="D79" s="501">
        <f>SUM(D64:D78)</f>
        <v>-528</v>
      </c>
      <c r="E79" s="171">
        <f t="shared" ref="E79:F79" si="10">SUM(E64:E78)</f>
        <v>280608</v>
      </c>
      <c r="F79" s="171">
        <f t="shared" si="10"/>
        <v>0</v>
      </c>
      <c r="G79" s="171">
        <f>SUM(G64:G78)</f>
        <v>280608</v>
      </c>
      <c r="H79" s="172">
        <f t="shared" si="9"/>
        <v>5.8463410365604658E-2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'[85]Sch C'!D75</f>
        <v>54383</v>
      </c>
      <c r="D82" s="501">
        <f>'[85]Sch C'!F75</f>
        <v>0</v>
      </c>
      <c r="E82" s="171">
        <f t="shared" ref="E82:E92" si="11">C82+D82</f>
        <v>54383</v>
      </c>
      <c r="F82" s="171"/>
      <c r="G82" s="171">
        <f t="shared" ref="G82:G92" si="12">E82+F82</f>
        <v>54383</v>
      </c>
      <c r="H82" s="172">
        <f t="shared" ref="H82:H93" si="13">IF($G$208=0,0,G82/$G$208)</f>
        <v>1.1330452609735567E-2</v>
      </c>
      <c r="I82" s="473"/>
      <c r="J82" s="183">
        <v>2628</v>
      </c>
      <c r="K82" s="183">
        <v>2696</v>
      </c>
    </row>
    <row r="83" spans="1:11" s="167" customFormat="1">
      <c r="A83" s="169" t="s">
        <v>86</v>
      </c>
      <c r="B83" s="199" t="s">
        <v>45</v>
      </c>
      <c r="C83" s="501">
        <f>'[85]Sch C'!D76</f>
        <v>12627</v>
      </c>
      <c r="D83" s="501">
        <f>'[85]Sch C'!F76</f>
        <v>0</v>
      </c>
      <c r="E83" s="171">
        <f t="shared" si="11"/>
        <v>12627</v>
      </c>
      <c r="F83" s="171"/>
      <c r="G83" s="171">
        <f t="shared" si="12"/>
        <v>12627</v>
      </c>
      <c r="H83" s="172">
        <f t="shared" si="13"/>
        <v>2.6307784620769547E-3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'[85]Sch C'!D77</f>
        <v>16461</v>
      </c>
      <c r="D84" s="501">
        <f>'[85]Sch C'!F77</f>
        <v>0</v>
      </c>
      <c r="E84" s="171">
        <f t="shared" si="11"/>
        <v>16461</v>
      </c>
      <c r="F84" s="171"/>
      <c r="G84" s="171">
        <f t="shared" si="12"/>
        <v>16461</v>
      </c>
      <c r="H84" s="172">
        <f t="shared" si="13"/>
        <v>3.4295750585450818E-3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'[85]Sch C'!D78</f>
        <v>0</v>
      </c>
      <c r="D85" s="501">
        <f>'[85]Sch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'[85]Sch C'!D79</f>
        <v>9054</v>
      </c>
      <c r="D86" s="501">
        <f>'[85]Sch C'!F79</f>
        <v>0</v>
      </c>
      <c r="E86" s="171">
        <f t="shared" si="11"/>
        <v>9054</v>
      </c>
      <c r="F86" s="171"/>
      <c r="G86" s="171">
        <f>E86+F86</f>
        <v>9054</v>
      </c>
      <c r="H86" s="172">
        <f t="shared" si="13"/>
        <v>1.886360037668864E-3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'[85]Sch C'!D80</f>
        <v>29849</v>
      </c>
      <c r="D87" s="501">
        <f>'[85]Sch C'!F80</f>
        <v>0</v>
      </c>
      <c r="E87" s="171">
        <f t="shared" si="11"/>
        <v>29849</v>
      </c>
      <c r="F87" s="171"/>
      <c r="G87" s="171">
        <f t="shared" si="12"/>
        <v>29849</v>
      </c>
      <c r="H87" s="172">
        <f t="shared" si="13"/>
        <v>6.2189044360921051E-3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'[85]Sch C'!D81</f>
        <v>37377</v>
      </c>
      <c r="D88" s="501">
        <f>'[85]Sch C'!F81</f>
        <v>0</v>
      </c>
      <c r="E88" s="171">
        <f t="shared" si="11"/>
        <v>37377</v>
      </c>
      <c r="F88" s="171"/>
      <c r="G88" s="171">
        <f t="shared" si="12"/>
        <v>37377</v>
      </c>
      <c r="H88" s="172">
        <f t="shared" si="13"/>
        <v>7.787329260873551E-3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'[85]Sch C'!D82</f>
        <v>10548</v>
      </c>
      <c r="D89" s="501">
        <f>'[85]Sch C'!F82</f>
        <v>0</v>
      </c>
      <c r="E89" s="171">
        <f t="shared" si="11"/>
        <v>10548</v>
      </c>
      <c r="F89" s="171"/>
      <c r="G89" s="171">
        <f t="shared" si="12"/>
        <v>10548</v>
      </c>
      <c r="H89" s="172">
        <f t="shared" si="13"/>
        <v>2.1976281949780403E-3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'[85]Sch C'!D83</f>
        <v>0</v>
      </c>
      <c r="D90" s="501">
        <f>'[85]Sch C'!F83</f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'[85]Sch C'!D84</f>
        <v>73890</v>
      </c>
      <c r="D91" s="501">
        <f>'[85]Sch C'!F84</f>
        <v>0</v>
      </c>
      <c r="E91" s="171">
        <f t="shared" si="11"/>
        <v>73890</v>
      </c>
      <c r="F91" s="171"/>
      <c r="G91" s="171">
        <f t="shared" si="12"/>
        <v>73890</v>
      </c>
      <c r="H91" s="172">
        <f t="shared" si="13"/>
        <v>1.5394648021134567E-2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'[85]Sch C'!D85</f>
        <v>0</v>
      </c>
      <c r="D92" s="501">
        <f>'[85]Sch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244189</v>
      </c>
      <c r="D93" s="501">
        <f>SUM(D82:D92)</f>
        <v>0</v>
      </c>
      <c r="E93" s="171">
        <f t="shared" ref="E93:F93" si="14">SUM(E82:E92)</f>
        <v>244189</v>
      </c>
      <c r="F93" s="171">
        <f t="shared" si="14"/>
        <v>0</v>
      </c>
      <c r="G93" s="171">
        <f>SUM(G82:G92)</f>
        <v>244189</v>
      </c>
      <c r="H93" s="172">
        <f t="shared" si="13"/>
        <v>5.0875676081104729E-2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'[85]Sch C'!D89</f>
        <v>0</v>
      </c>
      <c r="D96" s="501">
        <f>'[85]Sch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'[85]Sch C'!D90</f>
        <v>0</v>
      </c>
      <c r="D97" s="501">
        <f>'[85]Sch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'[85]Sch C'!D91</f>
        <v>402222</v>
      </c>
      <c r="D98" s="501">
        <f>'[85]Sch C'!F91</f>
        <v>0</v>
      </c>
      <c r="E98" s="171">
        <f t="shared" si="15"/>
        <v>402222</v>
      </c>
      <c r="F98" s="171"/>
      <c r="G98" s="171">
        <f t="shared" si="16"/>
        <v>402222</v>
      </c>
      <c r="H98" s="172">
        <f t="shared" si="17"/>
        <v>8.3801138399739988E-2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'[85]Sch C'!D92</f>
        <v>4276</v>
      </c>
      <c r="D99" s="501">
        <f>'[85]Sch C'!F92</f>
        <v>-400</v>
      </c>
      <c r="E99" s="171">
        <f t="shared" si="15"/>
        <v>3876</v>
      </c>
      <c r="F99" s="171"/>
      <c r="G99" s="171">
        <f t="shared" si="16"/>
        <v>3876</v>
      </c>
      <c r="H99" s="172">
        <f t="shared" si="17"/>
        <v>8.0754710691457001E-4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'[85]Sch C'!D93</f>
        <v>5046</v>
      </c>
      <c r="D100" s="501">
        <f>'[85]Sch C'!F93</f>
        <v>0</v>
      </c>
      <c r="E100" s="171">
        <f t="shared" si="15"/>
        <v>5046</v>
      </c>
      <c r="F100" s="171"/>
      <c r="G100" s="171">
        <f t="shared" si="16"/>
        <v>5046</v>
      </c>
      <c r="H100" s="172">
        <f t="shared" si="17"/>
        <v>1.0513113264940454E-3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'[85]Sch C'!D94</f>
        <v>0</v>
      </c>
      <c r="D101" s="501">
        <f>'[85]Sch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411544</v>
      </c>
      <c r="D102" s="501">
        <f>SUM(D96:D101)</f>
        <v>-400</v>
      </c>
      <c r="E102" s="171">
        <f t="shared" ref="E102:F102" si="18">SUM(E96:E101)</f>
        <v>411144</v>
      </c>
      <c r="F102" s="171">
        <f t="shared" si="18"/>
        <v>0</v>
      </c>
      <c r="G102" s="171">
        <f>SUM(G96:G101)</f>
        <v>411144</v>
      </c>
      <c r="H102" s="172">
        <f t="shared" si="17"/>
        <v>8.5659996833148594E-2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'[85]Sch C'!D98</f>
        <v>0</v>
      </c>
      <c r="D105" s="501">
        <f>'[85]Sch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'[85]Sch C'!D99</f>
        <v>0</v>
      </c>
      <c r="D106" s="501">
        <f>'[85]Sch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'[85]Sch C'!D100</f>
        <v>333</v>
      </c>
      <c r="D107" s="501">
        <f>'[85]Sch C'!F100</f>
        <v>0</v>
      </c>
      <c r="E107" s="171">
        <f t="shared" si="19"/>
        <v>333</v>
      </c>
      <c r="F107" s="171"/>
      <c r="G107" s="171">
        <f t="shared" si="20"/>
        <v>333</v>
      </c>
      <c r="H107" s="172">
        <f t="shared" si="21"/>
        <v>6.9379047111081476E-5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'[85]Sch C'!D101</f>
        <v>56451</v>
      </c>
      <c r="D108" s="501">
        <f>'[85]Sch C'!F101</f>
        <v>0</v>
      </c>
      <c r="E108" s="171">
        <f t="shared" si="19"/>
        <v>56451</v>
      </c>
      <c r="F108" s="171"/>
      <c r="G108" s="171">
        <f t="shared" si="20"/>
        <v>56451</v>
      </c>
      <c r="H108" s="172">
        <f t="shared" si="21"/>
        <v>1.1761311076479462E-2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'[85]Sch C'!D102</f>
        <v>11222</v>
      </c>
      <c r="D109" s="501">
        <f>'[85]Sch C'!F102</f>
        <v>0</v>
      </c>
      <c r="E109" s="171">
        <f t="shared" si="19"/>
        <v>11222</v>
      </c>
      <c r="F109" s="171"/>
      <c r="G109" s="171">
        <f t="shared" si="20"/>
        <v>11222</v>
      </c>
      <c r="H109" s="172">
        <f t="shared" si="21"/>
        <v>2.3380530530947639E-3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'[85]Sch C'!D103</f>
        <v>0</v>
      </c>
      <c r="D110" s="501">
        <f>'[85]Sch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68006</v>
      </c>
      <c r="D111" s="501">
        <f>SUM(D105:D110)</f>
        <v>0</v>
      </c>
      <c r="E111" s="171">
        <f t="shared" ref="E111:F111" si="22">SUM(E105:E110)</f>
        <v>68006</v>
      </c>
      <c r="F111" s="171">
        <f t="shared" si="22"/>
        <v>0</v>
      </c>
      <c r="G111" s="171">
        <f>SUM(G105:G110)</f>
        <v>68006</v>
      </c>
      <c r="H111" s="172">
        <f t="shared" si="21"/>
        <v>1.4168743176685306E-2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'[85]Sch C'!D115</f>
        <v>0</v>
      </c>
      <c r="D114" s="501">
        <f>'[85]Sch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'[85]Sch C'!D116</f>
        <v>0</v>
      </c>
      <c r="D115" s="501">
        <f>'[85]Sch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'[85]Sch C'!D117</f>
        <v>9880</v>
      </c>
      <c r="D116" s="501">
        <f>'[85]Sch C'!F117</f>
        <v>0</v>
      </c>
      <c r="E116" s="171">
        <f t="shared" si="23"/>
        <v>9880</v>
      </c>
      <c r="F116" s="171"/>
      <c r="G116" s="171">
        <f>E116+F116</f>
        <v>9880</v>
      </c>
      <c r="H116" s="172">
        <f t="shared" si="24"/>
        <v>2.0584534097822372E-3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'[85]Sch C'!D118</f>
        <v>103903</v>
      </c>
      <c r="D117" s="501">
        <f>'[85]Sch C'!F118</f>
        <v>0</v>
      </c>
      <c r="E117" s="171">
        <f t="shared" si="23"/>
        <v>103903</v>
      </c>
      <c r="F117" s="171"/>
      <c r="G117" s="171">
        <f>E117+F117</f>
        <v>103903</v>
      </c>
      <c r="H117" s="172">
        <f t="shared" si="24"/>
        <v>2.1647721117065161E-2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'[85]Sch C'!D119</f>
        <v>168</v>
      </c>
      <c r="D118" s="501">
        <f>'[85]Sch C'!F119</f>
        <v>0</v>
      </c>
      <c r="E118" s="171">
        <f t="shared" si="23"/>
        <v>168</v>
      </c>
      <c r="F118" s="171"/>
      <c r="G118" s="171">
        <f>E118+F118</f>
        <v>168</v>
      </c>
      <c r="H118" s="172">
        <f t="shared" si="24"/>
        <v>3.5002041785770835E-5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113951</v>
      </c>
      <c r="D119" s="501">
        <f>SUM(D114:D118)</f>
        <v>0</v>
      </c>
      <c r="E119" s="171">
        <f t="shared" ref="E119:F119" si="25">SUM(E114:E118)</f>
        <v>113951</v>
      </c>
      <c r="F119" s="171">
        <f t="shared" si="25"/>
        <v>0</v>
      </c>
      <c r="G119" s="171">
        <f>SUM(G114:G118)</f>
        <v>113951</v>
      </c>
      <c r="H119" s="172">
        <f t="shared" si="24"/>
        <v>2.3741176568633171E-2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'[85]Sch C'!D124</f>
        <v>0</v>
      </c>
      <c r="D123" s="501">
        <f>'[85]Sch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'[85]Sch C'!D125</f>
        <v>150439</v>
      </c>
      <c r="D124" s="501">
        <f>'[85]Sch C'!F125</f>
        <v>0</v>
      </c>
      <c r="E124" s="171">
        <f t="shared" si="26"/>
        <v>150439</v>
      </c>
      <c r="F124" s="171"/>
      <c r="G124" s="171">
        <f>E124+F124</f>
        <v>150439</v>
      </c>
      <c r="H124" s="172">
        <f>IF($G$208=0,0,G124/$G$208)</f>
        <v>3.1343286691723683E-2</v>
      </c>
      <c r="I124" s="473"/>
      <c r="J124" s="183">
        <v>4305</v>
      </c>
      <c r="K124" s="183">
        <v>4701</v>
      </c>
    </row>
    <row r="125" spans="1:11" s="167" customFormat="1">
      <c r="A125" s="163" t="s">
        <v>198</v>
      </c>
      <c r="B125" s="163" t="s">
        <v>195</v>
      </c>
      <c r="C125" s="501">
        <f>'[85]Sch C'!D126</f>
        <v>0</v>
      </c>
      <c r="D125" s="501">
        <f>'[85]Sch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'[85]Sch C'!D127</f>
        <v>0</v>
      </c>
      <c r="D126" s="501">
        <f>'[85]Sch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'[85]Sch C'!D128</f>
        <v>38110</v>
      </c>
      <c r="D127" s="501">
        <f>'[85]Sch C'!F128</f>
        <v>0</v>
      </c>
      <c r="E127" s="171">
        <f t="shared" si="26"/>
        <v>38110</v>
      </c>
      <c r="F127" s="171"/>
      <c r="G127" s="171">
        <f>E127+F127</f>
        <v>38110</v>
      </c>
      <c r="H127" s="172">
        <f>IF($G$208=0,0,G127/$G$208)</f>
        <v>7.9400465027126589E-3</v>
      </c>
      <c r="I127" s="473"/>
      <c r="J127" s="183">
        <v>2121</v>
      </c>
      <c r="K127" s="183">
        <v>2309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'[85]Sch C'!D130</f>
        <v>0</v>
      </c>
      <c r="D129" s="501">
        <f>'[85]Sch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'[85]Sch C'!D131</f>
        <v>18204</v>
      </c>
      <c r="D130" s="501">
        <f>'[85]Sch C'!F131</f>
        <v>0</v>
      </c>
      <c r="E130" s="171">
        <f t="shared" si="27"/>
        <v>18204</v>
      </c>
      <c r="F130" s="171"/>
      <c r="G130" s="171">
        <f>E130+F130</f>
        <v>18204</v>
      </c>
      <c r="H130" s="172">
        <f>IF($G$208=0,0,G130/$G$208)</f>
        <v>3.7927212420724543E-3</v>
      </c>
      <c r="I130" s="473"/>
      <c r="J130" s="204"/>
      <c r="K130" s="204"/>
    </row>
    <row r="131" spans="1:11" s="167" customFormat="1">
      <c r="B131" s="163" t="s">
        <v>195</v>
      </c>
      <c r="C131" s="501">
        <f>'[85]Sch C'!D132</f>
        <v>0</v>
      </c>
      <c r="D131" s="501">
        <f>'[85]Sch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'[85]Sch C'!D133</f>
        <v>0</v>
      </c>
      <c r="D132" s="501">
        <f>'[85]Sch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'[85]Sch C'!D134</f>
        <v>18845</v>
      </c>
      <c r="D133" s="501">
        <f>'[85]Sch C'!F134</f>
        <v>0</v>
      </c>
      <c r="E133" s="171">
        <f t="shared" si="27"/>
        <v>18845</v>
      </c>
      <c r="F133" s="171"/>
      <c r="G133" s="171">
        <f>E133+F133</f>
        <v>18845</v>
      </c>
      <c r="H133" s="172">
        <f>IF($G$208=0,0,G133/$G$208)</f>
        <v>3.9262706991241153E-3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'[85]Sch C'!D136</f>
        <v>323306</v>
      </c>
      <c r="D135" s="501">
        <f>'[85]Sch C'!F136</f>
        <v>0</v>
      </c>
      <c r="E135" s="171">
        <f t="shared" ref="E135:E138" si="28">C135+D135</f>
        <v>323306</v>
      </c>
      <c r="F135" s="171"/>
      <c r="G135" s="171">
        <f>E135+F135</f>
        <v>323306</v>
      </c>
      <c r="H135" s="172">
        <f>IF($G$208=0,0,G135/$G$208)</f>
        <v>6.7359345961847769E-2</v>
      </c>
      <c r="I135" s="473"/>
      <c r="J135" s="183">
        <v>13302</v>
      </c>
      <c r="K135" s="183">
        <v>13799</v>
      </c>
    </row>
    <row r="136" spans="1:11" s="167" customFormat="1">
      <c r="A136" s="169"/>
      <c r="B136" s="163" t="s">
        <v>195</v>
      </c>
      <c r="C136" s="501">
        <f>'[85]Sch C'!D137</f>
        <v>215030</v>
      </c>
      <c r="D136" s="501">
        <f>'[85]Sch C'!F137</f>
        <v>0</v>
      </c>
      <c r="E136" s="171">
        <f t="shared" si="28"/>
        <v>215030</v>
      </c>
      <c r="F136" s="171"/>
      <c r="G136" s="171">
        <f>E136+F136</f>
        <v>215030</v>
      </c>
      <c r="H136" s="172">
        <f>IF($G$208=0,0,G136/$G$208)</f>
        <v>4.4800530030918467E-2</v>
      </c>
      <c r="I136" s="473"/>
      <c r="J136" s="183">
        <v>12495</v>
      </c>
      <c r="K136" s="183">
        <v>12892</v>
      </c>
    </row>
    <row r="137" spans="1:11" s="167" customFormat="1">
      <c r="A137" s="169"/>
      <c r="B137" s="163" t="s">
        <v>196</v>
      </c>
      <c r="C137" s="501">
        <f>'[85]Sch C'!D138</f>
        <v>605226</v>
      </c>
      <c r="D137" s="501">
        <f>'[85]Sch C'!F138</f>
        <v>0</v>
      </c>
      <c r="E137" s="171">
        <f t="shared" si="28"/>
        <v>605226</v>
      </c>
      <c r="F137" s="171"/>
      <c r="G137" s="171">
        <f>E137+F137</f>
        <v>605226</v>
      </c>
      <c r="H137" s="172">
        <f>IF($G$208=0,0,G137/$G$208)</f>
        <v>0.12609610560616036</v>
      </c>
      <c r="I137" s="473"/>
      <c r="J137" s="183">
        <v>54111</v>
      </c>
      <c r="K137" s="183">
        <v>57603</v>
      </c>
    </row>
    <row r="138" spans="1:11" s="167" customFormat="1">
      <c r="A138" s="169"/>
      <c r="B138" s="163" t="s">
        <v>197</v>
      </c>
      <c r="C138" s="501">
        <f>'[85]Sch C'!D139</f>
        <v>0</v>
      </c>
      <c r="D138" s="501">
        <f>'[85]Sch C'!F139</f>
        <v>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'[85]Sch C'!D141</f>
        <v>235905</v>
      </c>
      <c r="D140" s="501">
        <f>'[85]Sch C'!F141</f>
        <v>-169210</v>
      </c>
      <c r="E140" s="171">
        <f t="shared" ref="E140:E143" si="29">C140+D140</f>
        <v>66695</v>
      </c>
      <c r="F140" s="171"/>
      <c r="G140" s="171">
        <f>E140+F140</f>
        <v>66695</v>
      </c>
      <c r="H140" s="172">
        <f>IF($G$208=0,0,G140/$G$208)</f>
        <v>1.3895602243464202E-2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'[85]Sch C'!D142</f>
        <v>0</v>
      </c>
      <c r="D141" s="501">
        <f>'[85]Sch C'!F142</f>
        <v>44358</v>
      </c>
      <c r="E141" s="171">
        <f t="shared" si="29"/>
        <v>44358</v>
      </c>
      <c r="F141" s="171"/>
      <c r="G141" s="171">
        <f>E141+F141</f>
        <v>44358</v>
      </c>
      <c r="H141" s="172">
        <f>IF($G$208=0,0,G141/$G$208)</f>
        <v>9.2417891043644219E-3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'[85]Sch C'!D143</f>
        <v>0</v>
      </c>
      <c r="D142" s="501">
        <f>'[85]Sch C'!F143</f>
        <v>124852</v>
      </c>
      <c r="E142" s="171">
        <f t="shared" si="29"/>
        <v>124852</v>
      </c>
      <c r="F142" s="171"/>
      <c r="G142" s="171">
        <f>E142+F142</f>
        <v>124852</v>
      </c>
      <c r="H142" s="172">
        <f>IF($G$208=0,0,G142/$G$208)</f>
        <v>2.6012350720458693E-2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'[85]Sch C'!D144</f>
        <v>0</v>
      </c>
      <c r="D143" s="501">
        <f>'[85]Sch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'[85]Sch C'!D146</f>
        <v>38168</v>
      </c>
      <c r="D145" s="501">
        <f>'[85]Sch C'!F146</f>
        <v>0</v>
      </c>
      <c r="E145" s="171">
        <f t="shared" ref="E145:E153" si="30">C145+D145</f>
        <v>38168</v>
      </c>
      <c r="F145" s="171"/>
      <c r="G145" s="171">
        <f t="shared" ref="G145:G153" si="31">E145+F145</f>
        <v>38168</v>
      </c>
      <c r="H145" s="172">
        <f t="shared" ref="H145:H153" si="32">IF($G$208=0,0,G145/$G$208)</f>
        <v>7.9521305409482219E-3</v>
      </c>
      <c r="I145" s="473"/>
      <c r="J145" s="183">
        <v>141</v>
      </c>
      <c r="K145" s="183">
        <v>141</v>
      </c>
    </row>
    <row r="146" spans="1:11" s="167" customFormat="1">
      <c r="A146" s="169"/>
      <c r="B146" s="163" t="s">
        <v>194</v>
      </c>
      <c r="C146" s="501">
        <f>'[85]Sch C'!D147</f>
        <v>132305</v>
      </c>
      <c r="D146" s="501">
        <f>'[85]Sch C'!F147</f>
        <v>0</v>
      </c>
      <c r="E146" s="171">
        <f t="shared" si="30"/>
        <v>132305</v>
      </c>
      <c r="F146" s="171"/>
      <c r="G146" s="171">
        <f t="shared" si="31"/>
        <v>132305</v>
      </c>
      <c r="H146" s="172">
        <f t="shared" si="32"/>
        <v>2.7565149633728633E-2</v>
      </c>
      <c r="I146" s="473"/>
      <c r="J146" s="183">
        <v>2405</v>
      </c>
      <c r="K146" s="183">
        <v>2405</v>
      </c>
    </row>
    <row r="147" spans="1:11" s="167" customFormat="1">
      <c r="A147" s="169"/>
      <c r="B147" s="163" t="s">
        <v>195</v>
      </c>
      <c r="C147" s="501">
        <f>'[85]Sch C'!D148</f>
        <v>26962</v>
      </c>
      <c r="D147" s="501">
        <f>'[85]Sch C'!F148</f>
        <v>0</v>
      </c>
      <c r="E147" s="171">
        <f t="shared" si="30"/>
        <v>26962</v>
      </c>
      <c r="F147" s="171"/>
      <c r="G147" s="171">
        <f t="shared" si="31"/>
        <v>26962</v>
      </c>
      <c r="H147" s="172">
        <f t="shared" si="32"/>
        <v>5.6174110156425794E-3</v>
      </c>
      <c r="I147" s="473"/>
      <c r="J147" s="183">
        <v>575</v>
      </c>
      <c r="K147" s="183">
        <v>575</v>
      </c>
    </row>
    <row r="148" spans="1:11" s="167" customFormat="1">
      <c r="A148" s="169"/>
      <c r="B148" s="163" t="s">
        <v>196</v>
      </c>
      <c r="C148" s="501">
        <f>'[85]Sch C'!D149</f>
        <v>149922</v>
      </c>
      <c r="D148" s="501">
        <f>'[85]Sch C'!F149</f>
        <v>0</v>
      </c>
      <c r="E148" s="171">
        <f t="shared" si="30"/>
        <v>149922</v>
      </c>
      <c r="F148" s="171"/>
      <c r="G148" s="171">
        <f t="shared" si="31"/>
        <v>149922</v>
      </c>
      <c r="H148" s="172">
        <f t="shared" si="32"/>
        <v>3.1235572075037712E-2</v>
      </c>
      <c r="I148" s="473"/>
      <c r="J148" s="183">
        <v>5880</v>
      </c>
      <c r="K148" s="183">
        <v>5880</v>
      </c>
    </row>
    <row r="149" spans="1:11" s="167" customFormat="1">
      <c r="A149" s="169"/>
      <c r="B149" s="163" t="s">
        <v>197</v>
      </c>
      <c r="C149" s="501">
        <f>'[85]Sch C'!D150</f>
        <v>933</v>
      </c>
      <c r="D149" s="501">
        <f>'[85]Sch C'!F150</f>
        <v>0</v>
      </c>
      <c r="E149" s="171">
        <f t="shared" si="30"/>
        <v>933</v>
      </c>
      <c r="F149" s="171"/>
      <c r="G149" s="171">
        <f t="shared" si="31"/>
        <v>933</v>
      </c>
      <c r="H149" s="172">
        <f t="shared" si="32"/>
        <v>1.9438633920312019E-4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'[85]Sch C'!D151</f>
        <v>46596</v>
      </c>
      <c r="D150" s="501">
        <f>'[85]Sch C'!F151</f>
        <v>764</v>
      </c>
      <c r="E150" s="171">
        <f t="shared" si="30"/>
        <v>47360</v>
      </c>
      <c r="F150" s="171"/>
      <c r="G150" s="171">
        <f t="shared" si="31"/>
        <v>47360</v>
      </c>
      <c r="H150" s="172">
        <f t="shared" si="32"/>
        <v>9.8672422557982541E-3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'[85]Sch C'!D152</f>
        <v>10202</v>
      </c>
      <c r="D151" s="501">
        <f>'[85]Sch C'!F152</f>
        <v>0</v>
      </c>
      <c r="E151" s="171">
        <f t="shared" si="30"/>
        <v>10202</v>
      </c>
      <c r="F151" s="171"/>
      <c r="G151" s="171">
        <f t="shared" si="31"/>
        <v>10202</v>
      </c>
      <c r="H151" s="172">
        <f t="shared" si="32"/>
        <v>2.1255406565382981E-3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'[85]Sch C'!D153</f>
        <v>0</v>
      </c>
      <c r="D152" s="501">
        <f>'[85]Sch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'[85]Sch C'!D154</f>
        <v>0</v>
      </c>
      <c r="D153" s="501">
        <f>'[85]Sch C'!F154</f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'[85]Sch C'!D156</f>
        <v>0</v>
      </c>
      <c r="D155" s="501">
        <f>'[85]Sch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'[85]Sch C'!D157</f>
        <v>0</v>
      </c>
      <c r="D156" s="501">
        <f>'[85]Sch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'[85]Sch C'!D158</f>
        <v>75</v>
      </c>
      <c r="D157" s="501">
        <f>'[85]Sch C'!F158</f>
        <v>0</v>
      </c>
      <c r="E157" s="171">
        <f t="shared" si="33"/>
        <v>75</v>
      </c>
      <c r="F157" s="171"/>
      <c r="G157" s="171">
        <f t="shared" si="34"/>
        <v>75</v>
      </c>
      <c r="H157" s="172">
        <f t="shared" si="35"/>
        <v>1.5625911511504839E-5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'[85]Sch C'!D159</f>
        <v>0</v>
      </c>
      <c r="D158" s="501">
        <f>'[85]Sch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'[85]Sch C'!D160</f>
        <v>0</v>
      </c>
      <c r="D159" s="501">
        <f>'[85]Sch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'[85]Sch C'!D161</f>
        <v>11746</v>
      </c>
      <c r="D160" s="501">
        <f>'[85]Sch C'!F161</f>
        <v>1396</v>
      </c>
      <c r="E160" s="171">
        <f t="shared" si="33"/>
        <v>13142</v>
      </c>
      <c r="F160" s="171"/>
      <c r="G160" s="171">
        <f t="shared" si="34"/>
        <v>13142</v>
      </c>
      <c r="H160" s="172">
        <f t="shared" si="35"/>
        <v>2.7380763877892875E-3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2021974</v>
      </c>
      <c r="D161" s="501">
        <f>SUM(D123:D160)</f>
        <v>2160</v>
      </c>
      <c r="E161" s="171">
        <f t="shared" ref="E161:F161" si="36">SUM(E123:E160)</f>
        <v>2024134</v>
      </c>
      <c r="F161" s="171">
        <f t="shared" si="36"/>
        <v>0</v>
      </c>
      <c r="G161" s="171">
        <f>SUM(G123:G160)</f>
        <v>2024134</v>
      </c>
      <c r="H161" s="172">
        <f t="shared" si="35"/>
        <v>0.42171918361904442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'[85]Sch C'!D175</f>
        <v>0</v>
      </c>
      <c r="D164" s="501">
        <f>'[85]Sch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'[85]Sch C'!D176</f>
        <v>0</v>
      </c>
      <c r="D165" s="501">
        <f>'[85]Sch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'[85]Sch C'!D177</f>
        <v>0</v>
      </c>
      <c r="D166" s="501">
        <f>'[85]Sch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'[85]Sch C'!D178</f>
        <v>0</v>
      </c>
      <c r="D167" s="501">
        <f>'[85]Sch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'[85]Sch C'!D179</f>
        <v>0</v>
      </c>
      <c r="D168" s="501">
        <f>'[85]Sch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'[85]Sch C'!D180</f>
        <v>0</v>
      </c>
      <c r="D169" s="501">
        <f>'[85]Sch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'[85]Sch C'!D181</f>
        <v>0</v>
      </c>
      <c r="D170" s="501">
        <f>'[85]Sch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'[85]Sch C'!D182</f>
        <v>0</v>
      </c>
      <c r="D171" s="501">
        <f>'[85]Sch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'[85]Sch C'!D183</f>
        <v>0</v>
      </c>
      <c r="D172" s="501">
        <f>'[85]Sch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'[85]Sch C'!D184</f>
        <v>0</v>
      </c>
      <c r="D173" s="501">
        <f>'[85]Sch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'[85]Sch C'!D185</f>
        <v>0</v>
      </c>
      <c r="D174" s="501">
        <f>'[85]Sch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'[85]Sch C'!D186</f>
        <v>0</v>
      </c>
      <c r="D175" s="501">
        <f>'[85]Sch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'[85]Sch C'!D187</f>
        <v>0</v>
      </c>
      <c r="D176" s="501">
        <f>'[85]Sch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'[85]Sch C'!D188</f>
        <v>135</v>
      </c>
      <c r="D177" s="501">
        <f>'[85]Sch C'!F188</f>
        <v>0</v>
      </c>
      <c r="E177" s="171">
        <f t="shared" si="37"/>
        <v>135</v>
      </c>
      <c r="F177" s="216"/>
      <c r="G177" s="171">
        <f t="shared" si="38"/>
        <v>135</v>
      </c>
      <c r="H177" s="172">
        <f t="shared" si="39"/>
        <v>2.8126640720708709E-5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'[85]Sch C'!D189</f>
        <v>41</v>
      </c>
      <c r="D178" s="501">
        <f>'[85]Sch C'!F189</f>
        <v>0</v>
      </c>
      <c r="E178" s="171">
        <f t="shared" si="37"/>
        <v>41</v>
      </c>
      <c r="F178" s="216"/>
      <c r="G178" s="171">
        <f t="shared" si="38"/>
        <v>41</v>
      </c>
      <c r="H178" s="172">
        <f t="shared" si="39"/>
        <v>8.5421649596226444E-6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'[85]Sch C'!D190</f>
        <v>0</v>
      </c>
      <c r="D179" s="501">
        <f>'[85]Sch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'[85]Sch C'!D191</f>
        <v>0</v>
      </c>
      <c r="D180" s="501">
        <f>'[85]Sch C'!F191</f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'[85]Sch C'!D192</f>
        <v>0</v>
      </c>
      <c r="D181" s="501">
        <f>'[85]Sch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'[85]Sch C'!D193</f>
        <v>0</v>
      </c>
      <c r="D182" s="501">
        <f>'[85]Sch C'!F193</f>
        <v>0</v>
      </c>
      <c r="E182" s="171">
        <f t="shared" si="37"/>
        <v>0</v>
      </c>
      <c r="F182" s="216"/>
      <c r="G182" s="171">
        <f t="shared" si="38"/>
        <v>0</v>
      </c>
      <c r="H182" s="172">
        <f t="shared" si="39"/>
        <v>0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'[85]Sch C'!D194</f>
        <v>145309</v>
      </c>
      <c r="D183" s="501">
        <f>'[85]Sch C'!F194</f>
        <v>-5623</v>
      </c>
      <c r="E183" s="171">
        <f t="shared" si="37"/>
        <v>139686</v>
      </c>
      <c r="F183" s="216"/>
      <c r="G183" s="171">
        <f t="shared" si="38"/>
        <v>139686</v>
      </c>
      <c r="H183" s="172">
        <f t="shared" si="39"/>
        <v>2.9102947671947529E-2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'[85]Sch C'!D195</f>
        <v>27575</v>
      </c>
      <c r="D184" s="501">
        <f>'[85]Sch C'!F195</f>
        <v>-1067</v>
      </c>
      <c r="E184" s="171">
        <f t="shared" si="37"/>
        <v>26508</v>
      </c>
      <c r="F184" s="216"/>
      <c r="G184" s="171">
        <f t="shared" si="38"/>
        <v>26508</v>
      </c>
      <c r="H184" s="172">
        <f t="shared" si="39"/>
        <v>5.5228221646262702E-3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'[85]Sch C'!D196</f>
        <v>0</v>
      </c>
      <c r="D185" s="501">
        <f>'[85]Sch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'[85]Sch C'!D197</f>
        <v>100649</v>
      </c>
      <c r="D186" s="501">
        <f>'[85]Sch C'!F197</f>
        <v>-3895</v>
      </c>
      <c r="E186" s="171">
        <f t="shared" si="37"/>
        <v>96754</v>
      </c>
      <c r="F186" s="216"/>
      <c r="G186" s="171">
        <f t="shared" si="38"/>
        <v>96754</v>
      </c>
      <c r="H186" s="172">
        <f t="shared" si="39"/>
        <v>2.015825923178852E-2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'[85]Sch C'!D198</f>
        <v>14309</v>
      </c>
      <c r="D187" s="501">
        <f>'[85]Sch C'!F198</f>
        <v>0</v>
      </c>
      <c r="E187" s="171">
        <f t="shared" si="37"/>
        <v>14309</v>
      </c>
      <c r="F187" s="216"/>
      <c r="G187" s="171">
        <f t="shared" si="38"/>
        <v>14309</v>
      </c>
      <c r="H187" s="172">
        <f t="shared" si="39"/>
        <v>2.981215570908303E-3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'[85]Sch C'!D199</f>
        <v>0</v>
      </c>
      <c r="D188" s="501">
        <f>'[85]Sch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'[85]Sch C'!D200</f>
        <v>0</v>
      </c>
      <c r="D189" s="501">
        <f>'[85]Sch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'[85]Sch C'!D201</f>
        <v>0</v>
      </c>
      <c r="D190" s="501">
        <f>'[85]Sch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'[85]Sch C'!D202</f>
        <v>0</v>
      </c>
      <c r="D191" s="501">
        <f>'[85]Sch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'[85]Sch C'!D203</f>
        <v>0</v>
      </c>
      <c r="D192" s="501">
        <f>'[85]Sch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'[85]Sch C'!D204</f>
        <v>0</v>
      </c>
      <c r="D193" s="501">
        <f>'[85]Sch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'[85]Sch C'!D205</f>
        <v>53070</v>
      </c>
      <c r="D194" s="501">
        <f>'[85]Sch C'!F205</f>
        <v>9263</v>
      </c>
      <c r="E194" s="171">
        <f t="shared" si="37"/>
        <v>62333</v>
      </c>
      <c r="F194" s="216"/>
      <c r="G194" s="171">
        <f t="shared" si="38"/>
        <v>62333</v>
      </c>
      <c r="H194" s="172">
        <f t="shared" si="39"/>
        <v>1.2986799229955081E-2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'[85]Sch C'!D206</f>
        <v>206</v>
      </c>
      <c r="D195" s="501">
        <f>'[85]Sch C'!F206</f>
        <v>0</v>
      </c>
      <c r="E195" s="171">
        <f t="shared" si="37"/>
        <v>206</v>
      </c>
      <c r="F195" s="216"/>
      <c r="G195" s="171">
        <f t="shared" si="38"/>
        <v>206</v>
      </c>
      <c r="H195" s="172">
        <f t="shared" si="39"/>
        <v>4.291917028493329E-5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'[85]Sch C'!D207</f>
        <v>0</v>
      </c>
      <c r="D196" s="501">
        <f>'[85]Sch C'!F207</f>
        <v>0</v>
      </c>
      <c r="E196" s="171">
        <f t="shared" si="37"/>
        <v>0</v>
      </c>
      <c r="F196" s="216"/>
      <c r="G196" s="171">
        <f t="shared" si="38"/>
        <v>0</v>
      </c>
      <c r="H196" s="172">
        <f t="shared" si="39"/>
        <v>0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341294</v>
      </c>
      <c r="D197" s="501">
        <f>SUM(D164:D196)</f>
        <v>-1322</v>
      </c>
      <c r="E197" s="171">
        <f t="shared" ref="E197:F197" si="40">SUM(E164:E196)</f>
        <v>339972</v>
      </c>
      <c r="F197" s="171">
        <f t="shared" si="40"/>
        <v>0</v>
      </c>
      <c r="G197" s="171">
        <f>SUM(G164:G196)</f>
        <v>339972</v>
      </c>
      <c r="H197" s="172">
        <f>IF($G$208=0,0,G197/$G$208)</f>
        <v>7.0831631845190965E-2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'[85]Sch C'!D211</f>
        <v>143111</v>
      </c>
      <c r="D200" s="501">
        <f>'[85]Sch C'!F211</f>
        <v>0</v>
      </c>
      <c r="E200" s="171">
        <f t="shared" ref="E200:E205" si="41">C200+D200</f>
        <v>143111</v>
      </c>
      <c r="F200" s="171"/>
      <c r="G200" s="171">
        <f t="shared" ref="G200:G205" si="42">E200+F200</f>
        <v>143111</v>
      </c>
      <c r="H200" s="172">
        <f t="shared" ref="H200:H206" si="43">IF($G$208=0,0,G200/$G$208)</f>
        <v>2.981653096430625E-2</v>
      </c>
      <c r="I200" s="473"/>
      <c r="J200" s="183">
        <v>9835</v>
      </c>
      <c r="K200" s="183">
        <v>10469</v>
      </c>
    </row>
    <row r="201" spans="1:14" s="167" customFormat="1">
      <c r="A201" s="169" t="s">
        <v>86</v>
      </c>
      <c r="B201" s="170" t="s">
        <v>45</v>
      </c>
      <c r="C201" s="501">
        <f>'[85]Sch C'!D212</f>
        <v>26430</v>
      </c>
      <c r="D201" s="501">
        <f>'[85]Sch C'!F212</f>
        <v>0</v>
      </c>
      <c r="E201" s="171">
        <f t="shared" si="41"/>
        <v>26430</v>
      </c>
      <c r="F201" s="171"/>
      <c r="G201" s="171">
        <f t="shared" si="42"/>
        <v>26430</v>
      </c>
      <c r="H201" s="172">
        <f t="shared" si="43"/>
        <v>5.5065712166543048E-3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'[85]Sch C'!D213</f>
        <v>2000</v>
      </c>
      <c r="D202" s="501">
        <f>'[85]Sch C'!F213</f>
        <v>0</v>
      </c>
      <c r="E202" s="171">
        <f t="shared" si="41"/>
        <v>2000</v>
      </c>
      <c r="F202" s="171"/>
      <c r="G202" s="171">
        <f t="shared" si="42"/>
        <v>2000</v>
      </c>
      <c r="H202" s="172">
        <f t="shared" si="43"/>
        <v>4.1669097364012902E-4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'[85]Sch C'!D214</f>
        <v>0</v>
      </c>
      <c r="D203" s="501">
        <f>'[85]Sch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'[85]Sch C'!D215</f>
        <v>0</v>
      </c>
      <c r="D204" s="501">
        <f>'[85]Sch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'[85]Sch C'!D216</f>
        <v>2530</v>
      </c>
      <c r="D205" s="501">
        <f>'[85]Sch C'!F216</f>
        <v>0</v>
      </c>
      <c r="E205" s="171">
        <f t="shared" si="41"/>
        <v>2530</v>
      </c>
      <c r="F205" s="171"/>
      <c r="G205" s="171">
        <f t="shared" si="42"/>
        <v>2530</v>
      </c>
      <c r="H205" s="172">
        <f t="shared" si="43"/>
        <v>5.2711408165476321E-4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174071</v>
      </c>
      <c r="D206" s="501">
        <f>SUM(D200:D205)</f>
        <v>0</v>
      </c>
      <c r="E206" s="171">
        <f t="shared" ref="E206:F206" si="44">SUM(E200:E205)</f>
        <v>174071</v>
      </c>
      <c r="F206" s="171">
        <f t="shared" si="44"/>
        <v>0</v>
      </c>
      <c r="G206" s="171">
        <f>SUM(G200:G205)</f>
        <v>174071</v>
      </c>
      <c r="H206" s="172">
        <f t="shared" si="43"/>
        <v>3.6266907236255447E-2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4817478</v>
      </c>
      <c r="D208" s="501">
        <f>SUM(D25:D206)/2</f>
        <v>-15585</v>
      </c>
      <c r="E208" s="171">
        <f t="shared" ref="E208:F208" si="45">SUM(E25:E206)/2</f>
        <v>4801893</v>
      </c>
      <c r="F208" s="171">
        <f t="shared" si="45"/>
        <v>-2173</v>
      </c>
      <c r="G208" s="171">
        <f>SUM(G25:G206)/2</f>
        <v>4799720</v>
      </c>
      <c r="H208" s="172">
        <f>IF($G$208=0,0,G208/$G$208)</f>
        <v>1</v>
      </c>
      <c r="I208" s="473"/>
      <c r="J208" s="183">
        <f>SUM(J25:J200)</f>
        <v>118559</v>
      </c>
      <c r="K208" s="183">
        <f>SUM(K25:K200)</f>
        <v>125396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'[85]Sch C'!D221</f>
        <v>4817478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-556981</v>
      </c>
      <c r="D215" s="501">
        <f>D21-D208</f>
        <v>15135</v>
      </c>
      <c r="E215" s="171">
        <f t="shared" ref="E215:F215" si="46">E21-E208</f>
        <v>-541846</v>
      </c>
      <c r="F215" s="171">
        <f t="shared" si="46"/>
        <v>2173</v>
      </c>
      <c r="G215" s="171">
        <f>G21-G208</f>
        <v>-539673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'[85]Sch D'!C9</f>
        <v>16100</v>
      </c>
      <c r="D219" s="530"/>
      <c r="E219" s="234">
        <f t="shared" ref="E219:G227" si="47">C219+D219</f>
        <v>16100</v>
      </c>
      <c r="F219" s="233"/>
      <c r="G219" s="234">
        <f t="shared" si="47"/>
        <v>16100</v>
      </c>
      <c r="H219" s="172">
        <f t="shared" ref="H219:H228" si="48">IF($G$228=0,0,G219/$G$228)</f>
        <v>0.73694328740788206</v>
      </c>
      <c r="I219" s="473"/>
      <c r="J219" s="168"/>
      <c r="K219" s="168"/>
    </row>
    <row r="220" spans="1:11">
      <c r="A220" s="163"/>
      <c r="B220" s="170" t="s">
        <v>217</v>
      </c>
      <c r="C220" s="530">
        <f>'[85]Sch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'[85]Sch D'!E9</f>
        <v>792</v>
      </c>
      <c r="D221" s="530"/>
      <c r="E221" s="234">
        <f t="shared" si="49"/>
        <v>792</v>
      </c>
      <c r="F221" s="233"/>
      <c r="G221" s="234">
        <f t="shared" si="47"/>
        <v>792</v>
      </c>
      <c r="H221" s="172">
        <f t="shared" si="48"/>
        <v>3.6252116995468486E-2</v>
      </c>
      <c r="I221" s="473"/>
      <c r="J221" s="168"/>
      <c r="K221" s="168"/>
    </row>
    <row r="222" spans="1:11">
      <c r="A222" s="163"/>
      <c r="B222" s="202" t="s">
        <v>334</v>
      </c>
      <c r="C222" s="530">
        <f>'[85]Sch D'!F9</f>
        <v>309</v>
      </c>
      <c r="D222" s="530"/>
      <c r="E222" s="234">
        <f>C222+D222</f>
        <v>309</v>
      </c>
      <c r="F222" s="233"/>
      <c r="G222" s="234">
        <f>E222+F222</f>
        <v>309</v>
      </c>
      <c r="H222" s="172">
        <f t="shared" si="48"/>
        <v>1.4143818373232022E-2</v>
      </c>
      <c r="I222" s="473"/>
      <c r="J222" s="168"/>
      <c r="K222" s="168"/>
    </row>
    <row r="223" spans="1:11">
      <c r="A223" s="163"/>
      <c r="B223" s="170" t="s">
        <v>73</v>
      </c>
      <c r="C223" s="530">
        <f>'[85]Sch D'!G9</f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f>'[85]Sch D'!H9</f>
        <v>726</v>
      </c>
      <c r="D224" s="530"/>
      <c r="E224" s="234">
        <f t="shared" si="49"/>
        <v>726</v>
      </c>
      <c r="F224" s="233"/>
      <c r="G224" s="234">
        <f t="shared" si="47"/>
        <v>726</v>
      </c>
      <c r="H224" s="172">
        <f t="shared" si="48"/>
        <v>3.323110724584611E-2</v>
      </c>
      <c r="I224" s="473"/>
      <c r="J224" s="168"/>
      <c r="K224" s="168"/>
    </row>
    <row r="225" spans="1:11">
      <c r="A225" s="163"/>
      <c r="B225" s="170" t="s">
        <v>236</v>
      </c>
      <c r="C225" s="530">
        <f>'[85]Sch D'!I9</f>
        <v>3692</v>
      </c>
      <c r="D225" s="530"/>
      <c r="E225" s="234">
        <f t="shared" si="49"/>
        <v>3692</v>
      </c>
      <c r="F225" s="233"/>
      <c r="G225" s="234">
        <f t="shared" si="47"/>
        <v>3692</v>
      </c>
      <c r="H225" s="172">
        <f t="shared" si="48"/>
        <v>0.16899345447887582</v>
      </c>
      <c r="I225" s="473"/>
      <c r="J225" s="168"/>
      <c r="K225" s="168"/>
    </row>
    <row r="226" spans="1:11">
      <c r="A226" s="163"/>
      <c r="B226" s="170" t="s">
        <v>235</v>
      </c>
      <c r="C226" s="530">
        <f>'[85]Sch D'!J9</f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f>'[85]Sch D'!K9</f>
        <v>228</v>
      </c>
      <c r="D227" s="530"/>
      <c r="E227" s="234">
        <f t="shared" si="49"/>
        <v>228</v>
      </c>
      <c r="F227" s="233"/>
      <c r="G227" s="234">
        <f t="shared" si="47"/>
        <v>228</v>
      </c>
      <c r="H227" s="172">
        <f t="shared" si="48"/>
        <v>1.0436215498695472E-2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21847</v>
      </c>
      <c r="D228" s="530">
        <f>SUM(D219:D227)</f>
        <v>0</v>
      </c>
      <c r="E228" s="236">
        <f>SUM(E219:E227)</f>
        <v>21847</v>
      </c>
      <c r="F228" s="236">
        <f>SUM(F219:F227)</f>
        <v>0</v>
      </c>
      <c r="G228" s="236">
        <f>SUM(G219:G227)</f>
        <v>21847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'[85]Sch D'!N22</f>
        <v>77</v>
      </c>
      <c r="D231" s="502"/>
      <c r="E231" s="234">
        <f>C231+D231</f>
        <v>77</v>
      </c>
      <c r="F231" s="234"/>
      <c r="G231" s="234">
        <f>E231+F231</f>
        <v>77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'[85]Sch D'!N24</f>
        <v>77</v>
      </c>
      <c r="D232" s="502"/>
      <c r="E232" s="234">
        <f>C232+D232</f>
        <v>77</v>
      </c>
      <c r="F232" s="234"/>
      <c r="G232" s="234">
        <f>E232+F232</f>
        <v>77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'[85]Sch D'!N28</f>
        <v>28105</v>
      </c>
      <c r="D235" s="438"/>
      <c r="E235" s="233">
        <f>E231*E233</f>
        <v>28105</v>
      </c>
      <c r="F235" s="238"/>
      <c r="G235" s="233">
        <f>G231*G233</f>
        <v>28105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'[85]Sch D'!N30</f>
        <v>0.77733499377334991</v>
      </c>
      <c r="D236" s="238"/>
      <c r="E236" s="242">
        <f>E228/E235</f>
        <v>0.77733499377334991</v>
      </c>
      <c r="F236" s="243"/>
      <c r="G236" s="242">
        <f>G228/G235</f>
        <v>0.77733499377334991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'[85]Sch D'!N32</f>
        <v>0.57285180572851802</v>
      </c>
      <c r="D237" s="238"/>
      <c r="E237" s="242">
        <f>(E219+E220)/E235</f>
        <v>0.57285180572851802</v>
      </c>
      <c r="F237" s="243"/>
      <c r="G237" s="242">
        <f>(G219+G220)/G235</f>
        <v>0.57285180572851802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'[85]Sch D'!N34</f>
        <v>0.73694328740788206</v>
      </c>
      <c r="D238" s="238"/>
      <c r="E238" s="242">
        <f>(E237/E236)</f>
        <v>0.73694328740788206</v>
      </c>
      <c r="F238" s="243"/>
      <c r="G238" s="242">
        <f>(G237/G236)</f>
        <v>0.73694328740788206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'[85]Sch B'!C85</f>
        <v>188.52173913043478</v>
      </c>
      <c r="I241" s="475"/>
    </row>
    <row r="242" spans="2:9">
      <c r="F242" s="142" t="s">
        <v>341</v>
      </c>
      <c r="G242" s="501">
        <f>'[85]Sch B'!E85</f>
        <v>188.52486187845304</v>
      </c>
      <c r="I242" s="475"/>
    </row>
    <row r="243" spans="2:9">
      <c r="F243" s="142" t="s">
        <v>342</v>
      </c>
      <c r="G243" s="501">
        <f>'[85]Sch B'!G85</f>
        <v>188.53030303030303</v>
      </c>
      <c r="I243" s="475"/>
    </row>
    <row r="244" spans="2:9">
      <c r="F244" s="142" t="s">
        <v>343</v>
      </c>
      <c r="G244" s="501">
        <f>'[85]Sch B'!I85</f>
        <v>188.5220338983051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8" sqref="F8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E28CAB"/>
    <pageSetUpPr fitToPage="1"/>
  </sheetPr>
  <dimension ref="A1:O246"/>
  <sheetViews>
    <sheetView showGridLines="0" topLeftCell="A195" zoomScaleNormal="100" workbookViewId="0">
      <pane xSplit="2" topLeftCell="C1" activePane="topRight" state="frozen"/>
      <selection activeCell="K1" sqref="K1"/>
      <selection pane="topRight"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372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f>'[86]Sch B'!E10</f>
        <v>6360388</v>
      </c>
      <c r="D11" s="501">
        <f>'[86]Sch B'!G10</f>
        <v>0</v>
      </c>
      <c r="E11" s="171">
        <f>C11+D11</f>
        <v>6360388</v>
      </c>
      <c r="F11" s="171"/>
      <c r="G11" s="171">
        <f t="shared" ref="G11:G20" si="0">E11+F11</f>
        <v>6360388</v>
      </c>
      <c r="H11" s="172">
        <f t="shared" ref="H11:H21" si="1">IF($G$21=0,0,G11/$G$21)</f>
        <v>0.59308254310216213</v>
      </c>
      <c r="I11" s="473"/>
      <c r="J11" s="336" t="s">
        <v>344</v>
      </c>
      <c r="K11" s="337">
        <f>G21</f>
        <v>10724288</v>
      </c>
    </row>
    <row r="12" spans="1:11" s="167" customFormat="1">
      <c r="A12" s="169" t="s">
        <v>15</v>
      </c>
      <c r="B12" s="170" t="s">
        <v>212</v>
      </c>
      <c r="C12" s="501">
        <f>'[86]Sch B'!E15</f>
        <v>0</v>
      </c>
      <c r="D12" s="501">
        <f>'[86]Sch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12533668</v>
      </c>
    </row>
    <row r="13" spans="1:11" s="167" customFormat="1">
      <c r="A13" s="169" t="s">
        <v>16</v>
      </c>
      <c r="B13" s="170" t="s">
        <v>170</v>
      </c>
      <c r="C13" s="501">
        <f>'[86]Sch B'!E21</f>
        <v>1549991</v>
      </c>
      <c r="D13" s="501">
        <f>'[86]Sch B'!G21</f>
        <v>0</v>
      </c>
      <c r="E13" s="171">
        <f t="shared" si="2"/>
        <v>1549991</v>
      </c>
      <c r="F13" s="171"/>
      <c r="G13" s="171">
        <f t="shared" si="0"/>
        <v>1549991</v>
      </c>
      <c r="H13" s="172">
        <f t="shared" si="1"/>
        <v>0.14453090032643659</v>
      </c>
      <c r="I13" s="473"/>
      <c r="J13" s="338" t="s">
        <v>346</v>
      </c>
      <c r="K13" s="339">
        <f>G228</f>
        <v>34653</v>
      </c>
    </row>
    <row r="14" spans="1:11" s="167" customFormat="1">
      <c r="A14" s="173" t="s">
        <v>18</v>
      </c>
      <c r="B14" s="174" t="s">
        <v>306</v>
      </c>
      <c r="C14" s="501">
        <f>'[86]Sch B'!E27</f>
        <v>1021320</v>
      </c>
      <c r="D14" s="501">
        <f>'[86]Sch B'!G27</f>
        <v>0</v>
      </c>
      <c r="E14" s="171">
        <f t="shared" si="2"/>
        <v>1021320</v>
      </c>
      <c r="F14" s="175"/>
      <c r="G14" s="175">
        <f>E14+F14</f>
        <v>1021320</v>
      </c>
      <c r="H14" s="176">
        <f t="shared" si="1"/>
        <v>9.5234294341964704E-2</v>
      </c>
      <c r="I14" s="479"/>
      <c r="J14" s="338" t="s">
        <v>347</v>
      </c>
      <c r="K14" s="339">
        <f>G231</f>
        <v>184</v>
      </c>
    </row>
    <row r="15" spans="1:11" s="167" customFormat="1">
      <c r="A15" s="169" t="s">
        <v>19</v>
      </c>
      <c r="B15" s="170" t="s">
        <v>171</v>
      </c>
      <c r="C15" s="501">
        <f>'[86]Sch B'!E32</f>
        <v>14365</v>
      </c>
      <c r="D15" s="501">
        <f>'[86]Sch B'!G32</f>
        <v>0</v>
      </c>
      <c r="E15" s="171">
        <f t="shared" si="2"/>
        <v>14365</v>
      </c>
      <c r="F15" s="171"/>
      <c r="G15" s="171">
        <f t="shared" si="0"/>
        <v>14365</v>
      </c>
      <c r="H15" s="172">
        <f t="shared" si="1"/>
        <v>1.3394828635709896E-3</v>
      </c>
      <c r="I15" s="473"/>
      <c r="J15" s="338" t="s">
        <v>348</v>
      </c>
      <c r="K15" s="339">
        <f>G235</f>
        <v>67160</v>
      </c>
    </row>
    <row r="16" spans="1:11" s="167" customFormat="1">
      <c r="A16" s="169" t="s">
        <v>21</v>
      </c>
      <c r="B16" s="170" t="s">
        <v>172</v>
      </c>
      <c r="C16" s="501">
        <f>'[86]Sch B'!E37</f>
        <v>377831</v>
      </c>
      <c r="D16" s="501">
        <f>'[86]Sch B'!G37</f>
        <v>0</v>
      </c>
      <c r="E16" s="171">
        <f t="shared" si="2"/>
        <v>377831</v>
      </c>
      <c r="F16" s="171"/>
      <c r="G16" s="171">
        <f t="shared" si="0"/>
        <v>377831</v>
      </c>
      <c r="H16" s="172">
        <f t="shared" si="1"/>
        <v>3.5231336569849669E-2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f>'[86]Sch B'!E42</f>
        <v>74466</v>
      </c>
      <c r="D17" s="501">
        <f>'[86]Sch B'!G42</f>
        <v>0</v>
      </c>
      <c r="E17" s="171">
        <f t="shared" si="2"/>
        <v>74466</v>
      </c>
      <c r="F17" s="171"/>
      <c r="G17" s="171">
        <f>E17+F17</f>
        <v>74466</v>
      </c>
      <c r="H17" s="172">
        <f t="shared" si="1"/>
        <v>6.9436777527794851E-3</v>
      </c>
      <c r="I17" s="473"/>
      <c r="J17" s="338" t="s">
        <v>156</v>
      </c>
      <c r="K17" s="339">
        <f>J208</f>
        <v>185879</v>
      </c>
    </row>
    <row r="18" spans="1:11" s="167" customFormat="1" ht="13.5" thickBot="1">
      <c r="A18" s="169" t="s">
        <v>216</v>
      </c>
      <c r="B18" s="170" t="s">
        <v>229</v>
      </c>
      <c r="C18" s="501">
        <f>'[86]Sch B'!E47</f>
        <v>633161</v>
      </c>
      <c r="D18" s="501">
        <f>'[86]Sch B'!G47</f>
        <v>0</v>
      </c>
      <c r="E18" s="171">
        <f t="shared" si="2"/>
        <v>633161</v>
      </c>
      <c r="F18" s="171"/>
      <c r="G18" s="171">
        <f>E18+F18</f>
        <v>633161</v>
      </c>
      <c r="H18" s="172">
        <f t="shared" si="1"/>
        <v>5.9039910155340845E-2</v>
      </c>
      <c r="I18" s="473"/>
      <c r="J18" s="341" t="s">
        <v>252</v>
      </c>
      <c r="K18" s="342">
        <f>K208</f>
        <v>198269</v>
      </c>
    </row>
    <row r="19" spans="1:11" s="167" customFormat="1">
      <c r="A19" s="169" t="s">
        <v>227</v>
      </c>
      <c r="B19" s="177" t="s">
        <v>173</v>
      </c>
      <c r="C19" s="501">
        <f>'[86]Sch B'!E52</f>
        <v>508508</v>
      </c>
      <c r="D19" s="501">
        <f>'[86]Sch B'!G52</f>
        <v>0</v>
      </c>
      <c r="E19" s="171">
        <f t="shared" si="2"/>
        <v>508508</v>
      </c>
      <c r="F19" s="171"/>
      <c r="G19" s="171">
        <f t="shared" si="0"/>
        <v>508508</v>
      </c>
      <c r="H19" s="172">
        <f t="shared" si="1"/>
        <v>4.7416481168726536E-2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f>'[86]Sch B'!E67</f>
        <v>188156</v>
      </c>
      <c r="D20" s="501">
        <f>'[86]Sch B'!G67</f>
        <v>-3898</v>
      </c>
      <c r="E20" s="171">
        <f t="shared" si="2"/>
        <v>184258</v>
      </c>
      <c r="F20" s="171"/>
      <c r="G20" s="171">
        <f t="shared" si="0"/>
        <v>184258</v>
      </c>
      <c r="H20" s="172">
        <f t="shared" si="1"/>
        <v>1.718137371916905E-2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f>SUM(C11:C20)</f>
        <v>10728186</v>
      </c>
      <c r="D21" s="501">
        <f>SUM(D11:D20)</f>
        <v>-3898</v>
      </c>
      <c r="E21" s="171">
        <f>SUM(E11:E20)</f>
        <v>10724288</v>
      </c>
      <c r="F21" s="171">
        <f>SUM(F11:F20)</f>
        <v>0</v>
      </c>
      <c r="G21" s="171">
        <f>SUM(G11:G20)</f>
        <v>10724288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f>'[86]Sch C'!D10</f>
        <v>0</v>
      </c>
      <c r="D25" s="501">
        <f>'[86]Sch C'!F10</f>
        <v>182308</v>
      </c>
      <c r="E25" s="171">
        <f t="shared" ref="E25:E60" si="3">C25+D25</f>
        <v>182308</v>
      </c>
      <c r="F25" s="171"/>
      <c r="G25" s="182">
        <f>E25+F25</f>
        <v>182308</v>
      </c>
      <c r="H25" s="172">
        <f>IF($G$208=0,0,G25/$G$208)</f>
        <v>1.4545462669028732E-2</v>
      </c>
      <c r="I25" s="473"/>
      <c r="J25" s="183">
        <v>3312</v>
      </c>
      <c r="K25" s="183">
        <v>3441</v>
      </c>
    </row>
    <row r="26" spans="1:11" s="167" customFormat="1">
      <c r="A26" s="169" t="s">
        <v>84</v>
      </c>
      <c r="B26" s="170" t="s">
        <v>176</v>
      </c>
      <c r="C26" s="501">
        <f>'[86]Sch C'!D11</f>
        <v>0</v>
      </c>
      <c r="D26" s="501">
        <f>'[86]Sch C'!F11</f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f>'[86]Sch C'!D12</f>
        <v>375178</v>
      </c>
      <c r="D27" s="501">
        <f>'[86]Sch C'!F12</f>
        <v>-182308</v>
      </c>
      <c r="E27" s="171">
        <f t="shared" si="3"/>
        <v>192870</v>
      </c>
      <c r="F27" s="171"/>
      <c r="G27" s="171">
        <f t="shared" si="4"/>
        <v>192870</v>
      </c>
      <c r="H27" s="172">
        <f t="shared" si="5"/>
        <v>1.5388152933363161E-2</v>
      </c>
      <c r="I27" s="473"/>
      <c r="J27" s="183">
        <v>10134</v>
      </c>
      <c r="K27" s="183">
        <v>10747</v>
      </c>
    </row>
    <row r="28" spans="1:11" s="167" customFormat="1">
      <c r="A28" s="169" t="s">
        <v>86</v>
      </c>
      <c r="B28" s="170" t="s">
        <v>45</v>
      </c>
      <c r="C28" s="501">
        <f>'[86]Sch C'!D13</f>
        <v>36464</v>
      </c>
      <c r="D28" s="501">
        <f>'[86]Sch C'!F13</f>
        <v>0</v>
      </c>
      <c r="E28" s="171">
        <f t="shared" si="3"/>
        <v>36464</v>
      </c>
      <c r="F28" s="171"/>
      <c r="G28" s="171">
        <f t="shared" si="4"/>
        <v>36464</v>
      </c>
      <c r="H28" s="172">
        <f t="shared" si="5"/>
        <v>2.9092840180544115E-3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f>'[86]Sch C'!D14</f>
        <v>0</v>
      </c>
      <c r="D29" s="501">
        <f>'[86]Sch C'!F14</f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f>'[86]Sch C'!D15</f>
        <v>0</v>
      </c>
      <c r="D30" s="501">
        <f>'[86]Sch C'!F15</f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f>'[86]Sch C'!D16</f>
        <v>540769</v>
      </c>
      <c r="D31" s="501">
        <f>'[86]Sch C'!F16</f>
        <v>119569</v>
      </c>
      <c r="E31" s="171">
        <f t="shared" si="3"/>
        <v>660338</v>
      </c>
      <c r="F31" s="171"/>
      <c r="G31" s="171">
        <f t="shared" si="4"/>
        <v>660338</v>
      </c>
      <c r="H31" s="172">
        <f t="shared" si="5"/>
        <v>5.2685135747970985E-2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f>'[86]Sch C'!D17</f>
        <v>4751</v>
      </c>
      <c r="D32" s="501">
        <f>'[86]Sch C'!F17</f>
        <v>-4751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f>'[86]Sch C'!D18</f>
        <v>16909</v>
      </c>
      <c r="D33" s="501">
        <f>'[86]Sch C'!F18</f>
        <v>0</v>
      </c>
      <c r="E33" s="171">
        <f t="shared" si="3"/>
        <v>16909</v>
      </c>
      <c r="F33" s="171"/>
      <c r="G33" s="171">
        <f t="shared" si="4"/>
        <v>16909</v>
      </c>
      <c r="H33" s="172">
        <f t="shared" si="5"/>
        <v>1.349086316950473E-3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f>'[86]Sch C'!D19</f>
        <v>15007</v>
      </c>
      <c r="D34" s="501">
        <f>'[86]Sch C'!F19</f>
        <v>0</v>
      </c>
      <c r="E34" s="171">
        <f t="shared" si="3"/>
        <v>15007</v>
      </c>
      <c r="F34" s="171"/>
      <c r="G34" s="171">
        <f t="shared" si="4"/>
        <v>15007</v>
      </c>
      <c r="H34" s="172">
        <f t="shared" si="5"/>
        <v>1.1973350498832424E-3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f>'[86]Sch C'!D20</f>
        <v>40108</v>
      </c>
      <c r="D35" s="501">
        <f>'[86]Sch C'!F20</f>
        <v>0</v>
      </c>
      <c r="E35" s="171">
        <f t="shared" si="3"/>
        <v>40108</v>
      </c>
      <c r="F35" s="660">
        <f>-18724-4903</f>
        <v>-23627</v>
      </c>
      <c r="G35" s="171">
        <f t="shared" si="4"/>
        <v>16481</v>
      </c>
      <c r="H35" s="172">
        <f t="shared" si="5"/>
        <v>1.3149382926051654E-3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f>'[86]Sch C'!D21</f>
        <v>25837</v>
      </c>
      <c r="D36" s="501">
        <f>'[86]Sch C'!F21</f>
        <v>0</v>
      </c>
      <c r="E36" s="171">
        <f t="shared" si="3"/>
        <v>25837</v>
      </c>
      <c r="F36" s="171"/>
      <c r="G36" s="171">
        <f t="shared" si="4"/>
        <v>25837</v>
      </c>
      <c r="H36" s="172">
        <f t="shared" si="5"/>
        <v>2.0614077219852961E-3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f>'[86]Sch C'!D22</f>
        <v>0</v>
      </c>
      <c r="D37" s="501">
        <f>'[86]Sch C'!F22</f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f>'[86]Sch C'!D23</f>
        <v>35867</v>
      </c>
      <c r="D38" s="501">
        <f>'[86]Sch C'!F23</f>
        <v>0</v>
      </c>
      <c r="E38" s="171">
        <f t="shared" si="3"/>
        <v>35867</v>
      </c>
      <c r="F38" s="171"/>
      <c r="G38" s="171">
        <f t="shared" si="4"/>
        <v>35867</v>
      </c>
      <c r="H38" s="172">
        <f t="shared" si="5"/>
        <v>2.8616523111989244E-3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f>'[86]Sch C'!D24</f>
        <v>43899</v>
      </c>
      <c r="D39" s="501">
        <f>'[86]Sch C'!F24</f>
        <v>0</v>
      </c>
      <c r="E39" s="171">
        <f t="shared" si="3"/>
        <v>43899</v>
      </c>
      <c r="F39" s="171"/>
      <c r="G39" s="171">
        <f t="shared" si="4"/>
        <v>43899</v>
      </c>
      <c r="H39" s="172">
        <f t="shared" si="5"/>
        <v>3.5024862633987112E-3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f>'[86]Sch C'!D25</f>
        <v>10792</v>
      </c>
      <c r="D40" s="501">
        <f>'[86]Sch C'!F25</f>
        <v>0</v>
      </c>
      <c r="E40" s="171">
        <f t="shared" si="3"/>
        <v>10792</v>
      </c>
      <c r="F40" s="171"/>
      <c r="G40" s="171">
        <f t="shared" si="4"/>
        <v>10792</v>
      </c>
      <c r="H40" s="172">
        <f t="shared" si="5"/>
        <v>8.6104083816485326E-4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f>'[86]Sch C'!D26</f>
        <v>565442</v>
      </c>
      <c r="D41" s="501">
        <f>'[86]Sch C'!F26</f>
        <v>0</v>
      </c>
      <c r="E41" s="171">
        <f t="shared" si="3"/>
        <v>565442</v>
      </c>
      <c r="F41" s="171"/>
      <c r="G41" s="171">
        <f t="shared" si="4"/>
        <v>565442</v>
      </c>
      <c r="H41" s="172">
        <f t="shared" si="5"/>
        <v>4.511384855574601E-2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f>'[86]Sch C'!D27</f>
        <v>67727</v>
      </c>
      <c r="D42" s="501">
        <f>'[86]Sch C'!F27</f>
        <v>-98</v>
      </c>
      <c r="E42" s="171">
        <f t="shared" si="3"/>
        <v>67629</v>
      </c>
      <c r="F42" s="171"/>
      <c r="G42" s="171">
        <f t="shared" si="4"/>
        <v>67629</v>
      </c>
      <c r="H42" s="172">
        <f t="shared" si="5"/>
        <v>5.3957867720766176E-3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f>'[86]Sch C'!D28</f>
        <v>0</v>
      </c>
      <c r="D43" s="501">
        <f>'[86]Sch C'!F28</f>
        <v>0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f>'[86]Sch C'!D29</f>
        <v>396156</v>
      </c>
      <c r="D44" s="501">
        <f>'[86]Sch C'!F29</f>
        <v>-396156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f>'[86]Sch C'!D30</f>
        <v>0</v>
      </c>
      <c r="D45" s="501">
        <f>'[86]Sch C'!F30</f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f>'[86]Sch C'!D31</f>
        <v>0</v>
      </c>
      <c r="D46" s="501">
        <f>'[86]Sch C'!F31</f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f>'[86]Sch C'!D32</f>
        <v>121430</v>
      </c>
      <c r="D47" s="501">
        <f>'[86]Sch C'!F32</f>
        <v>0</v>
      </c>
      <c r="E47" s="171">
        <f t="shared" si="3"/>
        <v>121430</v>
      </c>
      <c r="F47" s="171"/>
      <c r="G47" s="171">
        <f t="shared" si="4"/>
        <v>121430</v>
      </c>
      <c r="H47" s="172">
        <f t="shared" si="5"/>
        <v>9.6883051314268099E-3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f>'[86]Sch C'!D33</f>
        <v>0</v>
      </c>
      <c r="D48" s="501">
        <f>'[86]Sch C'!F33</f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f>'[86]Sch C'!D34</f>
        <v>173</v>
      </c>
      <c r="D49" s="501">
        <f>'[86]Sch C'!F34</f>
        <v>0</v>
      </c>
      <c r="E49" s="171">
        <f t="shared" si="3"/>
        <v>173</v>
      </c>
      <c r="F49" s="171"/>
      <c r="G49" s="171">
        <f t="shared" si="4"/>
        <v>173</v>
      </c>
      <c r="H49" s="172">
        <f t="shared" si="5"/>
        <v>1.3802822924621907E-5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f>'[86]Sch C'!D35</f>
        <v>2600</v>
      </c>
      <c r="D50" s="501">
        <f>'[86]Sch C'!F35</f>
        <v>-2600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f>'[86]Sch C'!D36</f>
        <v>0</v>
      </c>
      <c r="D51" s="501">
        <f>'[86]Sch C'!F36</f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f>'[86]Sch C'!D37</f>
        <v>0</v>
      </c>
      <c r="D52" s="501">
        <f>'[86]Sch C'!F37</f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f>'[86]Sch C'!D38</f>
        <v>0</v>
      </c>
      <c r="D53" s="501">
        <f>'[86]Sch C'!F38</f>
        <v>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f>'[86]Sch C'!D39</f>
        <v>4083</v>
      </c>
      <c r="D54" s="501">
        <f>'[86]Sch C'!F39</f>
        <v>0</v>
      </c>
      <c r="E54" s="171">
        <f t="shared" si="3"/>
        <v>4083</v>
      </c>
      <c r="F54" s="171"/>
      <c r="G54" s="171">
        <f t="shared" si="4"/>
        <v>4083</v>
      </c>
      <c r="H54" s="172">
        <f t="shared" si="5"/>
        <v>3.2576257804179911E-4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f>'[86]Sch C'!D40</f>
        <v>4671</v>
      </c>
      <c r="D55" s="501">
        <f>'[86]Sch C'!F40</f>
        <v>-4671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f>'[86]Sch C'!D41</f>
        <v>205670</v>
      </c>
      <c r="D56" s="501">
        <f>'[86]Sch C'!F41</f>
        <v>-122</v>
      </c>
      <c r="E56" s="171">
        <f t="shared" si="3"/>
        <v>205548</v>
      </c>
      <c r="F56" s="171"/>
      <c r="G56" s="171">
        <f t="shared" si="4"/>
        <v>205548</v>
      </c>
      <c r="H56" s="172">
        <f t="shared" si="5"/>
        <v>1.6399668476937478E-2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f>'[86]Sch C'!D42</f>
        <v>0</v>
      </c>
      <c r="D57" s="501">
        <f>'[86]Sch C'!F42</f>
        <v>0</v>
      </c>
      <c r="E57" s="171">
        <f t="shared" si="3"/>
        <v>0</v>
      </c>
      <c r="F57" s="171"/>
      <c r="G57" s="171">
        <f t="shared" si="4"/>
        <v>0</v>
      </c>
      <c r="H57" s="172">
        <f t="shared" si="5"/>
        <v>0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f>'[86]Sch C'!D43</f>
        <v>12825</v>
      </c>
      <c r="D58" s="501">
        <f>'[86]Sch C'!F43</f>
        <v>-12825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f>'[86]Sch C'!D44</f>
        <v>0</v>
      </c>
      <c r="D59" s="501">
        <f>'[86]Sch C'!F44</f>
        <v>-153</v>
      </c>
      <c r="E59" s="171">
        <f t="shared" si="3"/>
        <v>-153</v>
      </c>
      <c r="F59" s="171"/>
      <c r="G59" s="171">
        <f t="shared" si="4"/>
        <v>-153</v>
      </c>
      <c r="H59" s="172">
        <f t="shared" si="5"/>
        <v>-1.2207120852411281E-5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f>'[86]Sch C'!D45</f>
        <v>14301</v>
      </c>
      <c r="D60" s="501">
        <f>'[86]Sch C'!F45</f>
        <v>-2317</v>
      </c>
      <c r="E60" s="171">
        <f t="shared" si="3"/>
        <v>11984</v>
      </c>
      <c r="F60" s="171"/>
      <c r="G60" s="171">
        <f t="shared" si="4"/>
        <v>11984</v>
      </c>
      <c r="H60" s="172">
        <f t="shared" si="5"/>
        <v>9.5614468166860646E-4</v>
      </c>
      <c r="I60" s="473"/>
      <c r="J60" s="168"/>
      <c r="K60" s="168"/>
    </row>
    <row r="61" spans="1:11" s="167" customFormat="1">
      <c r="A61" s="163"/>
      <c r="B61" s="170" t="s">
        <v>177</v>
      </c>
      <c r="C61" s="501">
        <f>SUM(C25:C60)</f>
        <v>2540659</v>
      </c>
      <c r="D61" s="501">
        <f>SUM(D25:D60)</f>
        <v>-304124</v>
      </c>
      <c r="E61" s="171">
        <f t="shared" ref="E61:F61" si="6">SUM(E25:E60)</f>
        <v>2236535</v>
      </c>
      <c r="F61" s="171">
        <f t="shared" si="6"/>
        <v>-23627</v>
      </c>
      <c r="G61" s="171">
        <f>SUM(G25:G60)</f>
        <v>2212908</v>
      </c>
      <c r="H61" s="186">
        <f t="shared" si="5"/>
        <v>0.17655709406057349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f>'[86]Sch C'!D57</f>
        <v>1200000</v>
      </c>
      <c r="D64" s="501">
        <f>'[86]Sch C'!F57</f>
        <v>0</v>
      </c>
      <c r="E64" s="171">
        <f t="shared" ref="E64:E78" si="7">C64+D64</f>
        <v>1200000</v>
      </c>
      <c r="F64" s="171"/>
      <c r="G64" s="171">
        <f t="shared" ref="G64:G78" si="8">E64+F64</f>
        <v>1200000</v>
      </c>
      <c r="H64" s="172">
        <f t="shared" ref="H64:H79" si="9">IF($G$208=0,0,G64/$G$208)</f>
        <v>9.5742124332637499E-2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f>'[86]Sch C'!D58</f>
        <v>38496</v>
      </c>
      <c r="D65" s="501">
        <f>'[86]Sch C'!F58</f>
        <v>0</v>
      </c>
      <c r="E65" s="171">
        <f t="shared" si="7"/>
        <v>38496</v>
      </c>
      <c r="F65" s="171"/>
      <c r="G65" s="171">
        <f t="shared" si="8"/>
        <v>38496</v>
      </c>
      <c r="H65" s="172">
        <f t="shared" si="9"/>
        <v>3.071407348591011E-3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f>'[86]Sch C'!D59</f>
        <v>0</v>
      </c>
      <c r="D66" s="501">
        <f>'[86]Sch C'!F59</f>
        <v>0</v>
      </c>
      <c r="E66" s="171">
        <f t="shared" si="7"/>
        <v>0</v>
      </c>
      <c r="F66" s="171"/>
      <c r="G66" s="171">
        <f t="shared" si="8"/>
        <v>0</v>
      </c>
      <c r="H66" s="172">
        <f t="shared" si="9"/>
        <v>0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f>'[86]Sch C'!D60</f>
        <v>117687</v>
      </c>
      <c r="D67" s="501">
        <f>'[86]Sch C'!F60</f>
        <v>0</v>
      </c>
      <c r="E67" s="171">
        <f t="shared" si="7"/>
        <v>117687</v>
      </c>
      <c r="F67" s="171"/>
      <c r="G67" s="171">
        <f t="shared" si="8"/>
        <v>117687</v>
      </c>
      <c r="H67" s="172">
        <f t="shared" si="9"/>
        <v>9.3896694886125912E-3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f>'[86]Sch C'!D61</f>
        <v>14337</v>
      </c>
      <c r="D68" s="501">
        <f>'[86]Sch C'!F61</f>
        <v>0</v>
      </c>
      <c r="E68" s="171">
        <f t="shared" si="7"/>
        <v>14337</v>
      </c>
      <c r="F68" s="171"/>
      <c r="G68" s="171">
        <f t="shared" si="8"/>
        <v>14337</v>
      </c>
      <c r="H68" s="172">
        <f t="shared" si="9"/>
        <v>1.1438790304641865E-3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f>'[86]Sch C'!D62</f>
        <v>883</v>
      </c>
      <c r="D69" s="501">
        <f>'[86]Sch C'!F62</f>
        <v>0</v>
      </c>
      <c r="E69" s="171">
        <f t="shared" si="7"/>
        <v>883</v>
      </c>
      <c r="F69" s="171"/>
      <c r="G69" s="171">
        <f t="shared" si="8"/>
        <v>883</v>
      </c>
      <c r="H69" s="172">
        <f t="shared" si="9"/>
        <v>7.0450246488099088E-5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f>'[86]Sch C'!D63</f>
        <v>0</v>
      </c>
      <c r="D70" s="501">
        <f>'[86]Sch C'!F63</f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f>'[86]Sch C'!D64</f>
        <v>0</v>
      </c>
      <c r="D71" s="501">
        <f>'[86]Sch C'!F64</f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f>'[86]Sch C'!D65</f>
        <v>0</v>
      </c>
      <c r="D72" s="501">
        <f>'[86]Sch C'!F65</f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f>'[86]Sch C'!D66</f>
        <v>204644</v>
      </c>
      <c r="D73" s="501">
        <f>'[86]Sch C'!F66</f>
        <v>-2155</v>
      </c>
      <c r="E73" s="171">
        <f t="shared" si="7"/>
        <v>202489</v>
      </c>
      <c r="F73" s="171"/>
      <c r="G73" s="171">
        <f t="shared" si="8"/>
        <v>202489</v>
      </c>
      <c r="H73" s="172">
        <f t="shared" si="9"/>
        <v>1.6155605844992864E-2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f>'[86]Sch C'!D67</f>
        <v>60089</v>
      </c>
      <c r="D74" s="501">
        <f>'[86]Sch C'!F67</f>
        <v>0</v>
      </c>
      <c r="E74" s="171">
        <f t="shared" si="7"/>
        <v>60089</v>
      </c>
      <c r="F74" s="171"/>
      <c r="G74" s="171">
        <f t="shared" si="8"/>
        <v>60089</v>
      </c>
      <c r="H74" s="172">
        <f t="shared" si="9"/>
        <v>4.7942070908532121E-3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f>'[86]Sch C'!D68</f>
        <v>0</v>
      </c>
      <c r="D75" s="501">
        <f>'[86]Sch C'!F68</f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f>'[86]Sch C'!D69</f>
        <v>5946</v>
      </c>
      <c r="D76" s="501">
        <f>'[86]Sch C'!F69</f>
        <v>0</v>
      </c>
      <c r="E76" s="171">
        <f t="shared" si="7"/>
        <v>5946</v>
      </c>
      <c r="F76" s="171"/>
      <c r="G76" s="171">
        <f t="shared" si="8"/>
        <v>5946</v>
      </c>
      <c r="H76" s="172">
        <f t="shared" si="9"/>
        <v>4.7440222606821879E-4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f>'[86]Sch C'!D70</f>
        <v>0</v>
      </c>
      <c r="D77" s="501">
        <f>'[86]Sch C'!F70</f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f>'[86]Sch C'!D71</f>
        <v>0</v>
      </c>
      <c r="D78" s="501">
        <f>'[86]Sch C'!F71</f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f>SUM(C64:C78)</f>
        <v>1642082</v>
      </c>
      <c r="D79" s="501">
        <f>SUM(D64:D78)</f>
        <v>-2155</v>
      </c>
      <c r="E79" s="171">
        <f t="shared" ref="E79:F79" si="10">SUM(E64:E78)</f>
        <v>1639927</v>
      </c>
      <c r="F79" s="171">
        <f t="shared" si="10"/>
        <v>0</v>
      </c>
      <c r="G79" s="171">
        <f>SUM(G64:G78)</f>
        <v>1639927</v>
      </c>
      <c r="H79" s="172">
        <f t="shared" si="9"/>
        <v>0.13084174560870768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f>'[86]Sch C'!D75</f>
        <v>76820</v>
      </c>
      <c r="D82" s="501">
        <f>'[86]Sch C'!F75</f>
        <v>0</v>
      </c>
      <c r="E82" s="171">
        <f t="shared" ref="E82:E92" si="11">C82+D82</f>
        <v>76820</v>
      </c>
      <c r="F82" s="171"/>
      <c r="G82" s="171">
        <f t="shared" ref="G82:G92" si="12">E82+F82</f>
        <v>76820</v>
      </c>
      <c r="H82" s="172">
        <f t="shared" ref="H82:H93" si="13">IF($G$208=0,0,G82/$G$208)</f>
        <v>6.1290916593610108E-3</v>
      </c>
      <c r="I82" s="473"/>
      <c r="J82" s="183">
        <v>4042</v>
      </c>
      <c r="K82" s="183">
        <v>4264</v>
      </c>
    </row>
    <row r="83" spans="1:11" s="167" customFormat="1">
      <c r="A83" s="169" t="s">
        <v>86</v>
      </c>
      <c r="B83" s="199" t="s">
        <v>45</v>
      </c>
      <c r="C83" s="501">
        <f>'[86]Sch C'!D76</f>
        <v>15022</v>
      </c>
      <c r="D83" s="501">
        <f>'[86]Sch C'!F76</f>
        <v>0</v>
      </c>
      <c r="E83" s="171">
        <f t="shared" si="11"/>
        <v>15022</v>
      </c>
      <c r="F83" s="171"/>
      <c r="G83" s="171">
        <f t="shared" si="12"/>
        <v>15022</v>
      </c>
      <c r="H83" s="172">
        <f t="shared" si="13"/>
        <v>1.1985318264374004E-3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f>'[86]Sch C'!D77</f>
        <v>15049</v>
      </c>
      <c r="D84" s="501">
        <f>'[86]Sch C'!F77</f>
        <v>0</v>
      </c>
      <c r="E84" s="171">
        <f t="shared" si="11"/>
        <v>15049</v>
      </c>
      <c r="F84" s="171"/>
      <c r="G84" s="171">
        <f t="shared" si="12"/>
        <v>15049</v>
      </c>
      <c r="H84" s="172">
        <f t="shared" si="13"/>
        <v>1.2006860242348848E-3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f>'[86]Sch C'!D78</f>
        <v>0</v>
      </c>
      <c r="D85" s="501">
        <f>'[86]Sch C'!F78</f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f>'[86]Sch C'!D79</f>
        <v>5033</v>
      </c>
      <c r="D86" s="501">
        <f>'[86]Sch C'!F79</f>
        <v>0</v>
      </c>
      <c r="E86" s="171">
        <f t="shared" si="11"/>
        <v>5033</v>
      </c>
      <c r="F86" s="171"/>
      <c r="G86" s="171">
        <f>E86+F86</f>
        <v>5033</v>
      </c>
      <c r="H86" s="172">
        <f t="shared" si="13"/>
        <v>4.0155842647180377E-4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f>'[86]Sch C'!D80</f>
        <v>35549</v>
      </c>
      <c r="D87" s="501">
        <f>'[86]Sch C'!F80</f>
        <v>0</v>
      </c>
      <c r="E87" s="171">
        <f t="shared" si="11"/>
        <v>35549</v>
      </c>
      <c r="F87" s="171"/>
      <c r="G87" s="171">
        <f t="shared" si="12"/>
        <v>35549</v>
      </c>
      <c r="H87" s="172">
        <f t="shared" si="13"/>
        <v>2.8362806482507756E-3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f>'[86]Sch C'!D81</f>
        <v>35132</v>
      </c>
      <c r="D88" s="501">
        <f>'[86]Sch C'!F81</f>
        <v>0</v>
      </c>
      <c r="E88" s="171">
        <f t="shared" si="11"/>
        <v>35132</v>
      </c>
      <c r="F88" s="171"/>
      <c r="G88" s="171">
        <f t="shared" si="12"/>
        <v>35132</v>
      </c>
      <c r="H88" s="172">
        <f t="shared" si="13"/>
        <v>2.803010260045184E-3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f>'[86]Sch C'!D82</f>
        <v>8598</v>
      </c>
      <c r="D89" s="501">
        <f>'[86]Sch C'!F82</f>
        <v>0</v>
      </c>
      <c r="E89" s="171">
        <f t="shared" si="11"/>
        <v>8598</v>
      </c>
      <c r="F89" s="171"/>
      <c r="G89" s="171">
        <f t="shared" si="12"/>
        <v>8598</v>
      </c>
      <c r="H89" s="172">
        <f t="shared" si="13"/>
        <v>6.8599232084334773E-4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f>'[86]Sch C'!D83</f>
        <v>1897</v>
      </c>
      <c r="D90" s="501">
        <f>'[86]Sch C'!F83</f>
        <v>0</v>
      </c>
      <c r="E90" s="171">
        <f t="shared" si="11"/>
        <v>1897</v>
      </c>
      <c r="F90" s="171"/>
      <c r="G90" s="171">
        <f t="shared" si="12"/>
        <v>1897</v>
      </c>
      <c r="H90" s="172">
        <f t="shared" si="13"/>
        <v>1.5135234154917777E-4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f>'[86]Sch C'!D84</f>
        <v>171046</v>
      </c>
      <c r="D91" s="501">
        <f>'[86]Sch C'!F84</f>
        <v>0</v>
      </c>
      <c r="E91" s="171">
        <f t="shared" si="11"/>
        <v>171046</v>
      </c>
      <c r="F91" s="171"/>
      <c r="G91" s="171">
        <f t="shared" si="12"/>
        <v>171046</v>
      </c>
      <c r="H91" s="172">
        <f t="shared" si="13"/>
        <v>1.3646922832166928E-2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f>'[86]Sch C'!D85</f>
        <v>0</v>
      </c>
      <c r="D92" s="501">
        <f>'[86]Sch C'!F85</f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f>SUM(C82:C92)</f>
        <v>364146</v>
      </c>
      <c r="D93" s="501">
        <f>SUM(D82:D92)</f>
        <v>0</v>
      </c>
      <c r="E93" s="171">
        <f t="shared" ref="E93:F93" si="14">SUM(E82:E92)</f>
        <v>364146</v>
      </c>
      <c r="F93" s="171">
        <f t="shared" si="14"/>
        <v>0</v>
      </c>
      <c r="G93" s="171">
        <f>SUM(G82:G92)</f>
        <v>364146</v>
      </c>
      <c r="H93" s="172">
        <f t="shared" si="13"/>
        <v>2.9053426339360512E-2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f>'[86]Sch C'!D89</f>
        <v>0</v>
      </c>
      <c r="D96" s="501">
        <f>'[86]Sch C'!F89</f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f>'[86]Sch C'!D90</f>
        <v>0</v>
      </c>
      <c r="D97" s="501">
        <f>'[86]Sch C'!F90</f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f>'[86]Sch C'!D91</f>
        <v>776764</v>
      </c>
      <c r="D98" s="501">
        <f>'[86]Sch C'!F91</f>
        <v>0</v>
      </c>
      <c r="E98" s="171">
        <f t="shared" si="15"/>
        <v>776764</v>
      </c>
      <c r="F98" s="171"/>
      <c r="G98" s="171">
        <f t="shared" si="16"/>
        <v>776764</v>
      </c>
      <c r="H98" s="172">
        <f t="shared" si="17"/>
        <v>6.19741962209307E-2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f>'[86]Sch C'!D92</f>
        <v>6773</v>
      </c>
      <c r="D99" s="501">
        <f>'[86]Sch C'!F92</f>
        <v>-6430</v>
      </c>
      <c r="E99" s="171">
        <f t="shared" si="15"/>
        <v>343</v>
      </c>
      <c r="F99" s="171"/>
      <c r="G99" s="171">
        <f t="shared" si="16"/>
        <v>343</v>
      </c>
      <c r="H99" s="172">
        <f t="shared" si="17"/>
        <v>2.7366290538412219E-5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f>'[86]Sch C'!D93</f>
        <v>6408</v>
      </c>
      <c r="D100" s="501">
        <f>'[86]Sch C'!F93</f>
        <v>0</v>
      </c>
      <c r="E100" s="171">
        <f t="shared" si="15"/>
        <v>6408</v>
      </c>
      <c r="F100" s="171"/>
      <c r="G100" s="171">
        <f t="shared" si="16"/>
        <v>6408</v>
      </c>
      <c r="H100" s="172">
        <f t="shared" si="17"/>
        <v>5.1126294393628424E-4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f>'[86]Sch C'!D94</f>
        <v>0</v>
      </c>
      <c r="D101" s="501">
        <f>'[86]Sch C'!F94</f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f>SUM(C96:C101)</f>
        <v>789945</v>
      </c>
      <c r="D102" s="501">
        <f>SUM(D96:D101)</f>
        <v>-6430</v>
      </c>
      <c r="E102" s="171">
        <f t="shared" ref="E102:F102" si="18">SUM(E96:E101)</f>
        <v>783515</v>
      </c>
      <c r="F102" s="171">
        <f t="shared" si="18"/>
        <v>0</v>
      </c>
      <c r="G102" s="171">
        <f>SUM(G96:G101)</f>
        <v>783515</v>
      </c>
      <c r="H102" s="172">
        <f t="shared" si="17"/>
        <v>6.2512825455405388E-2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f>'[86]Sch C'!D98</f>
        <v>0</v>
      </c>
      <c r="D105" s="501">
        <f>'[86]Sch C'!F98</f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f>'[86]Sch C'!D99</f>
        <v>0</v>
      </c>
      <c r="D106" s="501">
        <f>'[86]Sch C'!F99</f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f>'[86]Sch C'!D100</f>
        <v>0</v>
      </c>
      <c r="D107" s="501">
        <f>'[86]Sch C'!F100</f>
        <v>0</v>
      </c>
      <c r="E107" s="171">
        <f t="shared" si="19"/>
        <v>0</v>
      </c>
      <c r="F107" s="171"/>
      <c r="G107" s="171">
        <f t="shared" si="20"/>
        <v>0</v>
      </c>
      <c r="H107" s="172">
        <f t="shared" si="21"/>
        <v>0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f>'[86]Sch C'!D101</f>
        <v>95434</v>
      </c>
      <c r="D108" s="501">
        <f>'[86]Sch C'!F101</f>
        <v>0</v>
      </c>
      <c r="E108" s="171">
        <f t="shared" si="19"/>
        <v>95434</v>
      </c>
      <c r="F108" s="171"/>
      <c r="G108" s="171">
        <f t="shared" si="20"/>
        <v>95434</v>
      </c>
      <c r="H108" s="172">
        <f t="shared" si="21"/>
        <v>7.6142115779674396E-3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f>'[86]Sch C'!D102</f>
        <v>9877</v>
      </c>
      <c r="D109" s="501">
        <f>'[86]Sch C'!F102</f>
        <v>0</v>
      </c>
      <c r="E109" s="171">
        <f t="shared" si="19"/>
        <v>9877</v>
      </c>
      <c r="F109" s="171"/>
      <c r="G109" s="171">
        <f t="shared" si="20"/>
        <v>9877</v>
      </c>
      <c r="H109" s="172">
        <f t="shared" si="21"/>
        <v>7.8803746836121711E-4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f>'[86]Sch C'!D103</f>
        <v>0</v>
      </c>
      <c r="D110" s="501">
        <f>'[86]Sch C'!F103</f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f>SUM(C105:C110)</f>
        <v>105311</v>
      </c>
      <c r="D111" s="501">
        <f>SUM(D105:D110)</f>
        <v>0</v>
      </c>
      <c r="E111" s="171">
        <f t="shared" ref="E111:F111" si="22">SUM(E105:E110)</f>
        <v>105311</v>
      </c>
      <c r="F111" s="171">
        <f t="shared" si="22"/>
        <v>0</v>
      </c>
      <c r="G111" s="171">
        <f>SUM(G105:G110)</f>
        <v>105311</v>
      </c>
      <c r="H111" s="172">
        <f t="shared" si="21"/>
        <v>8.4022490463286567E-3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f>'[86]Sch C'!D115</f>
        <v>0</v>
      </c>
      <c r="D114" s="501">
        <f>'[86]Sch C'!F115</f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f>'[86]Sch C'!D116</f>
        <v>0</v>
      </c>
      <c r="D115" s="501">
        <f>'[86]Sch C'!F116</f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f>'[86]Sch C'!D117</f>
        <v>21245</v>
      </c>
      <c r="D116" s="501">
        <f>'[86]Sch C'!F117</f>
        <v>0</v>
      </c>
      <c r="E116" s="171">
        <f t="shared" si="23"/>
        <v>21245</v>
      </c>
      <c r="F116" s="171"/>
      <c r="G116" s="171">
        <f>E116+F116</f>
        <v>21245</v>
      </c>
      <c r="H116" s="172">
        <f t="shared" si="24"/>
        <v>1.6950345262057363E-3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f>'[86]Sch C'!D118</f>
        <v>258484</v>
      </c>
      <c r="D117" s="501">
        <f>'[86]Sch C'!F118</f>
        <v>0</v>
      </c>
      <c r="E117" s="171">
        <f t="shared" si="23"/>
        <v>258484</v>
      </c>
      <c r="F117" s="171"/>
      <c r="G117" s="171">
        <f>E117+F117</f>
        <v>258484</v>
      </c>
      <c r="H117" s="172">
        <f t="shared" si="24"/>
        <v>2.062317272166456E-2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f>'[86]Sch C'!D119</f>
        <v>0</v>
      </c>
      <c r="D118" s="501">
        <f>'[86]Sch C'!F119</f>
        <v>0</v>
      </c>
      <c r="E118" s="171">
        <f t="shared" si="23"/>
        <v>0</v>
      </c>
      <c r="F118" s="171"/>
      <c r="G118" s="171">
        <f>E118+F118</f>
        <v>0</v>
      </c>
      <c r="H118" s="172">
        <f t="shared" si="24"/>
        <v>0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f>SUM(C114:C118)</f>
        <v>279729</v>
      </c>
      <c r="D119" s="501">
        <f>SUM(D114:D118)</f>
        <v>0</v>
      </c>
      <c r="E119" s="171">
        <f t="shared" ref="E119:F119" si="25">SUM(E114:E118)</f>
        <v>279729</v>
      </c>
      <c r="F119" s="171">
        <f t="shared" si="25"/>
        <v>0</v>
      </c>
      <c r="G119" s="171">
        <f>SUM(G114:G118)</f>
        <v>279729</v>
      </c>
      <c r="H119" s="172">
        <f t="shared" si="24"/>
        <v>2.2318207247870297E-2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f>'[86]Sch C'!D124</f>
        <v>0</v>
      </c>
      <c r="D123" s="501">
        <f>'[86]Sch C'!F124</f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f>'[86]Sch C'!D125</f>
        <v>208241</v>
      </c>
      <c r="D124" s="501">
        <f>'[86]Sch C'!F125</f>
        <v>0</v>
      </c>
      <c r="E124" s="171">
        <f t="shared" si="26"/>
        <v>208241</v>
      </c>
      <c r="F124" s="171"/>
      <c r="G124" s="171">
        <f>E124+F124</f>
        <v>208241</v>
      </c>
      <c r="H124" s="172">
        <f>IF($G$208=0,0,G124/$G$208)</f>
        <v>1.6614529760960638E-2</v>
      </c>
      <c r="I124" s="473"/>
      <c r="J124" s="183">
        <v>6702</v>
      </c>
      <c r="K124" s="183">
        <v>7142</v>
      </c>
    </row>
    <row r="125" spans="1:11" s="167" customFormat="1">
      <c r="A125" s="163" t="s">
        <v>198</v>
      </c>
      <c r="B125" s="163" t="s">
        <v>195</v>
      </c>
      <c r="C125" s="501">
        <f>'[86]Sch C'!D126</f>
        <v>0</v>
      </c>
      <c r="D125" s="501">
        <f>'[86]Sch C'!F126</f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f>'[86]Sch C'!D127</f>
        <v>0</v>
      </c>
      <c r="D126" s="501">
        <f>'[86]Sch C'!F127</f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f>'[86]Sch C'!D128</f>
        <v>90960</v>
      </c>
      <c r="D127" s="501">
        <f>'[86]Sch C'!F128</f>
        <v>0</v>
      </c>
      <c r="E127" s="171">
        <f t="shared" si="26"/>
        <v>90960</v>
      </c>
      <c r="F127" s="171"/>
      <c r="G127" s="171">
        <f>E127+F127</f>
        <v>90960</v>
      </c>
      <c r="H127" s="172">
        <f>IF($G$208=0,0,G127/$G$208)</f>
        <v>7.2572530244139222E-3</v>
      </c>
      <c r="I127" s="473"/>
      <c r="J127" s="183">
        <v>4688</v>
      </c>
      <c r="K127" s="183">
        <v>5070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f>'[86]Sch C'!D130</f>
        <v>0</v>
      </c>
      <c r="D129" s="501">
        <f>'[86]Sch C'!F130</f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f>'[86]Sch C'!D131</f>
        <v>15362</v>
      </c>
      <c r="D130" s="501">
        <f>'[86]Sch C'!F131</f>
        <v>0</v>
      </c>
      <c r="E130" s="171">
        <f t="shared" si="27"/>
        <v>15362</v>
      </c>
      <c r="F130" s="171"/>
      <c r="G130" s="171">
        <f>E130+F130</f>
        <v>15362</v>
      </c>
      <c r="H130" s="172">
        <f>IF($G$208=0,0,G130/$G$208)</f>
        <v>1.225658761664981E-3</v>
      </c>
      <c r="I130" s="473"/>
      <c r="J130" s="204"/>
      <c r="K130" s="204"/>
    </row>
    <row r="131" spans="1:11" s="167" customFormat="1">
      <c r="B131" s="163" t="s">
        <v>195</v>
      </c>
      <c r="C131" s="501">
        <f>'[86]Sch C'!D132</f>
        <v>0</v>
      </c>
      <c r="D131" s="501">
        <f>'[86]Sch C'!F132</f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f>'[86]Sch C'!D133</f>
        <v>0</v>
      </c>
      <c r="D132" s="501">
        <f>'[86]Sch C'!F133</f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f>'[86]Sch C'!D134</f>
        <v>23760</v>
      </c>
      <c r="D133" s="501">
        <f>'[86]Sch C'!F134</f>
        <v>0</v>
      </c>
      <c r="E133" s="171">
        <f t="shared" si="27"/>
        <v>23760</v>
      </c>
      <c r="F133" s="171"/>
      <c r="G133" s="171">
        <f>E133+F133</f>
        <v>23760</v>
      </c>
      <c r="H133" s="172">
        <f>IF($G$208=0,0,G133/$G$208)</f>
        <v>1.8956940617862225E-3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f>'[86]Sch C'!D136</f>
        <v>1382621</v>
      </c>
      <c r="D135" s="501">
        <f>'[86]Sch C'!F136</f>
        <v>0</v>
      </c>
      <c r="E135" s="171">
        <f t="shared" ref="E135:E138" si="28">C135+D135</f>
        <v>1382621</v>
      </c>
      <c r="F135" s="171"/>
      <c r="G135" s="171">
        <f>E135+F135</f>
        <v>1382621</v>
      </c>
      <c r="H135" s="172">
        <f>IF($G$208=0,0,G135/$G$208)</f>
        <v>0.11031255973909633</v>
      </c>
      <c r="I135" s="473"/>
      <c r="J135" s="183">
        <v>35692</v>
      </c>
      <c r="K135" s="183">
        <v>37851</v>
      </c>
    </row>
    <row r="136" spans="1:11" s="167" customFormat="1">
      <c r="A136" s="169"/>
      <c r="B136" s="163" t="s">
        <v>195</v>
      </c>
      <c r="C136" s="501">
        <f>'[86]Sch C'!D137</f>
        <v>533019</v>
      </c>
      <c r="D136" s="501">
        <f>'[86]Sch C'!F137</f>
        <v>0</v>
      </c>
      <c r="E136" s="171">
        <f t="shared" si="28"/>
        <v>533019</v>
      </c>
      <c r="F136" s="171"/>
      <c r="G136" s="171">
        <f>E136+F136</f>
        <v>533019</v>
      </c>
      <c r="H136" s="172">
        <f>IF($G$208=0,0,G136/$G$208)</f>
        <v>4.2526976141381755E-2</v>
      </c>
      <c r="I136" s="473"/>
      <c r="J136" s="183">
        <v>22937</v>
      </c>
      <c r="K136" s="183">
        <v>24302</v>
      </c>
    </row>
    <row r="137" spans="1:11" s="167" customFormat="1">
      <c r="A137" s="169"/>
      <c r="B137" s="163" t="s">
        <v>196</v>
      </c>
      <c r="C137" s="501">
        <f>'[86]Sch C'!D138</f>
        <v>1162041</v>
      </c>
      <c r="D137" s="501">
        <f>'[86]Sch C'!F138</f>
        <v>22010</v>
      </c>
      <c r="E137" s="171">
        <f t="shared" si="28"/>
        <v>1184051</v>
      </c>
      <c r="F137" s="171"/>
      <c r="G137" s="171">
        <f>E137+F137</f>
        <v>1184051</v>
      </c>
      <c r="H137" s="172">
        <f>IF($G$208=0,0,G137/$G$208)</f>
        <v>9.4469631715153143E-2</v>
      </c>
      <c r="I137" s="473"/>
      <c r="J137" s="183">
        <v>84495</v>
      </c>
      <c r="K137" s="183">
        <v>90871</v>
      </c>
    </row>
    <row r="138" spans="1:11" s="167" customFormat="1">
      <c r="A138" s="169"/>
      <c r="B138" s="163" t="s">
        <v>197</v>
      </c>
      <c r="C138" s="501">
        <f>'[86]Sch C'!D139</f>
        <v>22010</v>
      </c>
      <c r="D138" s="501">
        <f>'[86]Sch C'!F139</f>
        <v>-22010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f>'[86]Sch C'!D141</f>
        <v>705124</v>
      </c>
      <c r="D140" s="501">
        <f>'[86]Sch C'!F141</f>
        <v>-391292</v>
      </c>
      <c r="E140" s="171">
        <f t="shared" ref="E140:E143" si="29">C140+D140</f>
        <v>313832</v>
      </c>
      <c r="F140" s="171"/>
      <c r="G140" s="171">
        <f>E140+F140</f>
        <v>313832</v>
      </c>
      <c r="H140" s="172">
        <f>IF($G$208=0,0,G140/$G$208)</f>
        <v>2.5039118636300244E-2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f>'[86]Sch C'!D142</f>
        <v>0</v>
      </c>
      <c r="D141" s="501">
        <f>'[86]Sch C'!F142</f>
        <v>121466</v>
      </c>
      <c r="E141" s="171">
        <f t="shared" si="29"/>
        <v>121466</v>
      </c>
      <c r="F141" s="171"/>
      <c r="G141" s="171">
        <f>E141+F141</f>
        <v>121466</v>
      </c>
      <c r="H141" s="172">
        <f>IF($G$208=0,0,G141/$G$208)</f>
        <v>9.6911773951567897E-3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f>'[86]Sch C'!D143</f>
        <v>0</v>
      </c>
      <c r="D142" s="501">
        <f>'[86]Sch C'!F143</f>
        <v>269826</v>
      </c>
      <c r="E142" s="171">
        <f t="shared" si="29"/>
        <v>269826</v>
      </c>
      <c r="F142" s="171"/>
      <c r="G142" s="171">
        <f>E142+F142</f>
        <v>269826</v>
      </c>
      <c r="H142" s="172">
        <f>IF($G$208=0,0,G142/$G$208)</f>
        <v>2.1528095366815204E-2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f>'[86]Sch C'!D144</f>
        <v>0</v>
      </c>
      <c r="D143" s="501">
        <f>'[86]Sch C'!F144</f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f>'[86]Sch C'!D146</f>
        <v>93868</v>
      </c>
      <c r="D145" s="501">
        <f>'[86]Sch C'!F146</f>
        <v>0</v>
      </c>
      <c r="E145" s="171">
        <f t="shared" ref="E145:E153" si="30">C145+D145</f>
        <v>93868</v>
      </c>
      <c r="F145" s="660">
        <v>-1029</v>
      </c>
      <c r="G145" s="171">
        <f t="shared" ref="G145:G153" si="31">E145+F145</f>
        <v>92839</v>
      </c>
      <c r="H145" s="172">
        <f t="shared" ref="H145:H153" si="32">IF($G$208=0,0,G145/$G$208)</f>
        <v>7.4071692340981106E-3</v>
      </c>
      <c r="I145" s="473"/>
      <c r="J145" s="183">
        <v>394</v>
      </c>
      <c r="K145" s="183">
        <v>394</v>
      </c>
    </row>
    <row r="146" spans="1:11" s="167" customFormat="1">
      <c r="A146" s="169"/>
      <c r="B146" s="163" t="s">
        <v>194</v>
      </c>
      <c r="C146" s="501">
        <f>'[86]Sch C'!D147</f>
        <v>80593</v>
      </c>
      <c r="D146" s="501">
        <f>'[86]Sch C'!F147</f>
        <v>0</v>
      </c>
      <c r="E146" s="171">
        <f t="shared" si="30"/>
        <v>80593</v>
      </c>
      <c r="F146" s="660"/>
      <c r="G146" s="171">
        <f t="shared" si="31"/>
        <v>80593</v>
      </c>
      <c r="H146" s="172">
        <f t="shared" si="32"/>
        <v>6.4301208552835455E-3</v>
      </c>
      <c r="I146" s="473"/>
      <c r="J146" s="183">
        <v>1973</v>
      </c>
      <c r="K146" s="183">
        <v>1973</v>
      </c>
    </row>
    <row r="147" spans="1:11" s="167" customFormat="1">
      <c r="A147" s="169"/>
      <c r="B147" s="163" t="s">
        <v>195</v>
      </c>
      <c r="C147" s="501">
        <f>'[86]Sch C'!D148</f>
        <v>11329</v>
      </c>
      <c r="D147" s="501">
        <f>'[86]Sch C'!F148</f>
        <v>0</v>
      </c>
      <c r="E147" s="171">
        <f t="shared" si="30"/>
        <v>11329</v>
      </c>
      <c r="F147" s="660"/>
      <c r="G147" s="171">
        <f t="shared" si="31"/>
        <v>11329</v>
      </c>
      <c r="H147" s="172">
        <f t="shared" si="32"/>
        <v>9.0388543880370853E-4</v>
      </c>
      <c r="I147" s="473"/>
      <c r="J147" s="183">
        <v>359</v>
      </c>
      <c r="K147" s="183">
        <v>359</v>
      </c>
    </row>
    <row r="148" spans="1:11" s="167" customFormat="1">
      <c r="A148" s="169"/>
      <c r="B148" s="163" t="s">
        <v>196</v>
      </c>
      <c r="C148" s="501">
        <f>'[86]Sch C'!D149</f>
        <v>103264</v>
      </c>
      <c r="D148" s="501">
        <f>'[86]Sch C'!F149</f>
        <v>0</v>
      </c>
      <c r="E148" s="171">
        <f t="shared" si="30"/>
        <v>103264</v>
      </c>
      <c r="F148" s="660"/>
      <c r="G148" s="171">
        <f t="shared" si="31"/>
        <v>103264</v>
      </c>
      <c r="H148" s="172">
        <f t="shared" si="32"/>
        <v>8.2389289392378988E-3</v>
      </c>
      <c r="I148" s="473"/>
      <c r="J148" s="183">
        <v>3610</v>
      </c>
      <c r="K148" s="183">
        <v>3610</v>
      </c>
    </row>
    <row r="149" spans="1:11" s="167" customFormat="1">
      <c r="A149" s="169"/>
      <c r="B149" s="163" t="s">
        <v>197</v>
      </c>
      <c r="C149" s="501">
        <f>'[86]Sch C'!D150</f>
        <v>13637</v>
      </c>
      <c r="D149" s="501">
        <f>'[86]Sch C'!F150</f>
        <v>0</v>
      </c>
      <c r="E149" s="171">
        <f t="shared" si="30"/>
        <v>13637</v>
      </c>
      <c r="F149" s="660"/>
      <c r="G149" s="171">
        <f t="shared" si="31"/>
        <v>13637</v>
      </c>
      <c r="H149" s="172">
        <f t="shared" si="32"/>
        <v>1.0880294579368147E-3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f>'[86]Sch C'!D151</f>
        <v>254202</v>
      </c>
      <c r="D150" s="501">
        <f>'[86]Sch C'!F151</f>
        <v>21635</v>
      </c>
      <c r="E150" s="171">
        <f t="shared" si="30"/>
        <v>275837</v>
      </c>
      <c r="F150" s="660">
        <v>18724</v>
      </c>
      <c r="G150" s="171">
        <f t="shared" si="31"/>
        <v>294561</v>
      </c>
      <c r="H150" s="172">
        <f t="shared" si="32"/>
        <v>2.3501579904621695E-2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f>'[86]Sch C'!D152</f>
        <v>11251</v>
      </c>
      <c r="D151" s="501">
        <f>'[86]Sch C'!F152</f>
        <v>0</v>
      </c>
      <c r="E151" s="171">
        <f t="shared" si="30"/>
        <v>11251</v>
      </c>
      <c r="F151" s="171"/>
      <c r="G151" s="171">
        <f t="shared" si="31"/>
        <v>11251</v>
      </c>
      <c r="H151" s="172">
        <f t="shared" si="32"/>
        <v>8.9766220072208709E-4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f>'[86]Sch C'!D153</f>
        <v>0</v>
      </c>
      <c r="D152" s="501">
        <f>'[86]Sch C'!F153</f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f>'[86]Sch C'!D154</f>
        <v>750277</v>
      </c>
      <c r="D153" s="501">
        <f>'[86]Sch C'!F154</f>
        <v>0</v>
      </c>
      <c r="E153" s="171">
        <f t="shared" si="30"/>
        <v>750277</v>
      </c>
      <c r="F153" s="171"/>
      <c r="G153" s="171">
        <f t="shared" si="31"/>
        <v>750277</v>
      </c>
      <c r="H153" s="172">
        <f t="shared" si="32"/>
        <v>5.9860928181598556E-2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f>'[86]Sch C'!D156</f>
        <v>0</v>
      </c>
      <c r="D155" s="501">
        <f>'[86]Sch C'!F156</f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f>'[86]Sch C'!D157</f>
        <v>0</v>
      </c>
      <c r="D156" s="501">
        <f>'[86]Sch C'!F157</f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f>'[86]Sch C'!D158</f>
        <v>5970</v>
      </c>
      <c r="D157" s="501">
        <f>'[86]Sch C'!F158</f>
        <v>0</v>
      </c>
      <c r="E157" s="171">
        <f t="shared" si="33"/>
        <v>5970</v>
      </c>
      <c r="F157" s="171"/>
      <c r="G157" s="171">
        <f t="shared" si="34"/>
        <v>5970</v>
      </c>
      <c r="H157" s="172">
        <f t="shared" si="35"/>
        <v>4.7631706855487155E-4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f>'[86]Sch C'!D159</f>
        <v>0</v>
      </c>
      <c r="D158" s="501">
        <f>'[86]Sch C'!F159</f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f>'[86]Sch C'!D160</f>
        <v>0</v>
      </c>
      <c r="D159" s="501">
        <f>'[86]Sch C'!F160</f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f>'[86]Sch C'!D161</f>
        <v>26146</v>
      </c>
      <c r="D160" s="501">
        <f>'[86]Sch C'!F161</f>
        <v>2740</v>
      </c>
      <c r="E160" s="171">
        <f t="shared" si="33"/>
        <v>28886</v>
      </c>
      <c r="F160" s="171"/>
      <c r="G160" s="171">
        <f t="shared" si="34"/>
        <v>28886</v>
      </c>
      <c r="H160" s="172">
        <f t="shared" si="35"/>
        <v>2.3046725028938058E-3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f>SUM(C123:C160)</f>
        <v>5493675</v>
      </c>
      <c r="D161" s="501">
        <f>SUM(D123:D160)</f>
        <v>24375</v>
      </c>
      <c r="E161" s="171">
        <f t="shared" ref="E161:F161" si="36">SUM(E123:E160)</f>
        <v>5518050</v>
      </c>
      <c r="F161" s="171">
        <f t="shared" si="36"/>
        <v>17695</v>
      </c>
      <c r="G161" s="171">
        <f>SUM(G123:G160)</f>
        <v>5535745</v>
      </c>
      <c r="H161" s="172">
        <f t="shared" si="35"/>
        <v>0.44166998838648031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f>'[86]Sch C'!D175</f>
        <v>0</v>
      </c>
      <c r="D164" s="501">
        <f>'[86]Sch C'!F175</f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f>'[86]Sch C'!D176</f>
        <v>0</v>
      </c>
      <c r="D165" s="501">
        <f>'[86]Sch C'!F176</f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f>'[86]Sch C'!D177</f>
        <v>0</v>
      </c>
      <c r="D166" s="501">
        <f>'[86]Sch C'!F177</f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f>'[86]Sch C'!D178</f>
        <v>0</v>
      </c>
      <c r="D167" s="501">
        <f>'[86]Sch C'!F178</f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f>'[86]Sch C'!D179</f>
        <v>0</v>
      </c>
      <c r="D168" s="501">
        <f>'[86]Sch C'!F179</f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f>'[86]Sch C'!D180</f>
        <v>0</v>
      </c>
      <c r="D169" s="501">
        <f>'[86]Sch C'!F180</f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f>'[86]Sch C'!D181</f>
        <v>0</v>
      </c>
      <c r="D170" s="501">
        <f>'[86]Sch C'!F181</f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f>'[86]Sch C'!D182</f>
        <v>0</v>
      </c>
      <c r="D171" s="501">
        <f>'[86]Sch C'!F182</f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f>'[86]Sch C'!D183</f>
        <v>0</v>
      </c>
      <c r="D172" s="501">
        <f>'[86]Sch C'!F183</f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f>'[86]Sch C'!D184</f>
        <v>0</v>
      </c>
      <c r="D173" s="501">
        <f>'[86]Sch C'!F184</f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f>'[86]Sch C'!D185</f>
        <v>0</v>
      </c>
      <c r="D174" s="501">
        <f>'[86]Sch C'!F185</f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f>'[86]Sch C'!D186</f>
        <v>0</v>
      </c>
      <c r="D175" s="501">
        <f>'[86]Sch C'!F186</f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f>'[86]Sch C'!D187</f>
        <v>0</v>
      </c>
      <c r="D176" s="501">
        <f>'[86]Sch C'!F187</f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f>'[86]Sch C'!D188</f>
        <v>0</v>
      </c>
      <c r="D177" s="501">
        <f>'[86]Sch C'!F188</f>
        <v>0</v>
      </c>
      <c r="E177" s="171">
        <f t="shared" si="37"/>
        <v>0</v>
      </c>
      <c r="F177" s="216"/>
      <c r="G177" s="171">
        <f t="shared" si="38"/>
        <v>0</v>
      </c>
      <c r="H177" s="172">
        <f t="shared" si="39"/>
        <v>0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f>'[86]Sch C'!D189</f>
        <v>0</v>
      </c>
      <c r="D178" s="501">
        <f>'[86]Sch C'!F189</f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f>'[86]Sch C'!D190</f>
        <v>0</v>
      </c>
      <c r="D179" s="501">
        <f>'[86]Sch C'!F190</f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f>'[86]Sch C'!D191</f>
        <v>46</v>
      </c>
      <c r="D180" s="501">
        <f>'[86]Sch C'!F191</f>
        <v>0</v>
      </c>
      <c r="E180" s="171">
        <f t="shared" si="37"/>
        <v>46</v>
      </c>
      <c r="F180" s="216"/>
      <c r="G180" s="171">
        <f t="shared" si="38"/>
        <v>46</v>
      </c>
      <c r="H180" s="172">
        <f t="shared" si="39"/>
        <v>3.6701147660844375E-6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f>'[86]Sch C'!D192</f>
        <v>0</v>
      </c>
      <c r="D181" s="501">
        <f>'[86]Sch C'!F192</f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f>'[86]Sch C'!D193</f>
        <v>1663</v>
      </c>
      <c r="D182" s="501">
        <f>'[86]Sch C'!F193</f>
        <v>0</v>
      </c>
      <c r="E182" s="171">
        <f t="shared" si="37"/>
        <v>1663</v>
      </c>
      <c r="F182" s="216"/>
      <c r="G182" s="171">
        <f t="shared" si="38"/>
        <v>1663</v>
      </c>
      <c r="H182" s="172">
        <f t="shared" si="39"/>
        <v>1.3268262730431346E-4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f>'[86]Sch C'!D194</f>
        <v>427311</v>
      </c>
      <c r="D183" s="501">
        <f>'[86]Sch C'!F194</f>
        <v>-5623</v>
      </c>
      <c r="E183" s="171">
        <f t="shared" si="37"/>
        <v>421688</v>
      </c>
      <c r="F183" s="216"/>
      <c r="G183" s="171">
        <f t="shared" si="38"/>
        <v>421688</v>
      </c>
      <c r="H183" s="172">
        <f t="shared" si="39"/>
        <v>3.3644420771317705E-2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f>'[86]Sch C'!D195</f>
        <v>85016</v>
      </c>
      <c r="D184" s="501">
        <f>'[86]Sch C'!F195</f>
        <v>-1067</v>
      </c>
      <c r="E184" s="171">
        <f t="shared" si="37"/>
        <v>83949</v>
      </c>
      <c r="F184" s="216"/>
      <c r="G184" s="171">
        <f t="shared" si="38"/>
        <v>83949</v>
      </c>
      <c r="H184" s="172">
        <f t="shared" si="39"/>
        <v>6.6978796630004882E-3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f>'[86]Sch C'!D196</f>
        <v>0</v>
      </c>
      <c r="D185" s="501">
        <f>'[86]Sch C'!F196</f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f>'[86]Sch C'!D197</f>
        <v>331465</v>
      </c>
      <c r="D186" s="501">
        <f>'[86]Sch C'!F197</f>
        <v>-3895</v>
      </c>
      <c r="E186" s="171">
        <f t="shared" si="37"/>
        <v>327570</v>
      </c>
      <c r="F186" s="216"/>
      <c r="G186" s="171">
        <f t="shared" si="38"/>
        <v>327570</v>
      </c>
      <c r="H186" s="172">
        <f t="shared" si="39"/>
        <v>2.6135206389701723E-2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f>'[86]Sch C'!D198</f>
        <v>72655</v>
      </c>
      <c r="D187" s="501">
        <f>'[86]Sch C'!F198</f>
        <v>0</v>
      </c>
      <c r="E187" s="171">
        <f t="shared" si="37"/>
        <v>72655</v>
      </c>
      <c r="F187" s="216"/>
      <c r="G187" s="171">
        <f t="shared" si="38"/>
        <v>72655</v>
      </c>
      <c r="H187" s="172">
        <f t="shared" si="39"/>
        <v>5.7967867028231477E-3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f>'[86]Sch C'!D199</f>
        <v>0</v>
      </c>
      <c r="D188" s="501">
        <f>'[86]Sch C'!F199</f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f>'[86]Sch C'!D200</f>
        <v>0</v>
      </c>
      <c r="D189" s="501">
        <f>'[86]Sch C'!F200</f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f>'[86]Sch C'!D201</f>
        <v>0</v>
      </c>
      <c r="D190" s="501">
        <f>'[86]Sch C'!F201</f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f>'[86]Sch C'!D202</f>
        <v>0</v>
      </c>
      <c r="D191" s="501">
        <f>'[86]Sch C'!F202</f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f>'[86]Sch C'!D203</f>
        <v>0</v>
      </c>
      <c r="D192" s="501">
        <f>'[86]Sch C'!F203</f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f>'[86]Sch C'!D204</f>
        <v>0</v>
      </c>
      <c r="D193" s="501">
        <f>'[86]Sch C'!F204</f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f>'[86]Sch C'!D205</f>
        <v>390044</v>
      </c>
      <c r="D194" s="501">
        <f>'[86]Sch C'!F205</f>
        <v>63986</v>
      </c>
      <c r="E194" s="171">
        <f t="shared" si="37"/>
        <v>454030</v>
      </c>
      <c r="F194" s="216"/>
      <c r="G194" s="171">
        <f t="shared" si="38"/>
        <v>454030</v>
      </c>
      <c r="H194" s="172">
        <f t="shared" si="39"/>
        <v>3.6224830592289502E-2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f>'[86]Sch C'!D206</f>
        <v>49463</v>
      </c>
      <c r="D195" s="501">
        <f>'[86]Sch C'!F206</f>
        <v>0</v>
      </c>
      <c r="E195" s="171">
        <f t="shared" si="37"/>
        <v>49463</v>
      </c>
      <c r="F195" s="216"/>
      <c r="G195" s="171">
        <f t="shared" si="38"/>
        <v>49463</v>
      </c>
      <c r="H195" s="172">
        <f t="shared" si="39"/>
        <v>3.9464105798877073E-3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f>'[86]Sch C'!D207</f>
        <v>6189</v>
      </c>
      <c r="D196" s="501">
        <f>'[86]Sch C'!F207</f>
        <v>0</v>
      </c>
      <c r="E196" s="171">
        <f t="shared" si="37"/>
        <v>6189</v>
      </c>
      <c r="F196" s="216"/>
      <c r="G196" s="171">
        <f t="shared" si="38"/>
        <v>6189</v>
      </c>
      <c r="H196" s="172">
        <f t="shared" si="39"/>
        <v>4.9379000624557787E-4</v>
      </c>
      <c r="I196" s="473"/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f>SUM(C164:C196)</f>
        <v>1363852</v>
      </c>
      <c r="D197" s="501">
        <f>SUM(D164:D196)</f>
        <v>53401</v>
      </c>
      <c r="E197" s="171">
        <f t="shared" ref="E197:F197" si="40">SUM(E164:E196)</f>
        <v>1417253</v>
      </c>
      <c r="F197" s="171">
        <f t="shared" si="40"/>
        <v>0</v>
      </c>
      <c r="G197" s="171">
        <f>SUM(G164:G196)</f>
        <v>1417253</v>
      </c>
      <c r="H197" s="172">
        <f>IF($G$208=0,0,G197/$G$208)</f>
        <v>0.11307567744733625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f>'[86]Sch C'!D211</f>
        <v>152423</v>
      </c>
      <c r="D200" s="501">
        <f>'[86]Sch C'!F211</f>
        <v>0</v>
      </c>
      <c r="E200" s="171">
        <f t="shared" ref="E200:E205" si="41">C200+D200</f>
        <v>152423</v>
      </c>
      <c r="F200" s="171"/>
      <c r="G200" s="171">
        <f t="shared" ref="G200:G205" si="42">E200+F200</f>
        <v>152423</v>
      </c>
      <c r="H200" s="172">
        <f t="shared" ref="H200:H206" si="43">IF($G$208=0,0,G200/$G$208)</f>
        <v>1.2161084847628005E-2</v>
      </c>
      <c r="I200" s="473"/>
      <c r="J200" s="183">
        <v>7541</v>
      </c>
      <c r="K200" s="183">
        <v>8245</v>
      </c>
    </row>
    <row r="201" spans="1:14" s="167" customFormat="1">
      <c r="A201" s="169" t="s">
        <v>86</v>
      </c>
      <c r="B201" s="170" t="s">
        <v>45</v>
      </c>
      <c r="C201" s="501">
        <f>'[86]Sch C'!D212</f>
        <v>29069</v>
      </c>
      <c r="D201" s="501">
        <f>'[86]Sch C'!F212</f>
        <v>0</v>
      </c>
      <c r="E201" s="171">
        <f t="shared" si="41"/>
        <v>29069</v>
      </c>
      <c r="F201" s="171"/>
      <c r="G201" s="171">
        <f t="shared" si="42"/>
        <v>29069</v>
      </c>
      <c r="H201" s="172">
        <f t="shared" si="43"/>
        <v>2.3192731768545329E-3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f>'[86]Sch C'!D213</f>
        <v>9120</v>
      </c>
      <c r="D202" s="501">
        <f>'[86]Sch C'!F213</f>
        <v>0</v>
      </c>
      <c r="E202" s="171">
        <f t="shared" si="41"/>
        <v>9120</v>
      </c>
      <c r="F202" s="171"/>
      <c r="G202" s="171">
        <f t="shared" si="42"/>
        <v>9120</v>
      </c>
      <c r="H202" s="172">
        <f t="shared" si="43"/>
        <v>7.2764014492804503E-4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f>'[86]Sch C'!D214</f>
        <v>0</v>
      </c>
      <c r="D203" s="501">
        <f>'[86]Sch C'!F214</f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f>'[86]Sch C'!D215</f>
        <v>0</v>
      </c>
      <c r="D204" s="501">
        <f>'[86]Sch C'!F215</f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f>'[86]Sch C'!D216</f>
        <v>4522</v>
      </c>
      <c r="D205" s="501">
        <f>'[86]Sch C'!F216</f>
        <v>0</v>
      </c>
      <c r="E205" s="171">
        <f t="shared" si="41"/>
        <v>4522</v>
      </c>
      <c r="F205" s="171"/>
      <c r="G205" s="171">
        <f t="shared" si="42"/>
        <v>4522</v>
      </c>
      <c r="H205" s="172">
        <f t="shared" si="43"/>
        <v>3.6078823852682233E-4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f>SUM(C200:C205)</f>
        <v>195134</v>
      </c>
      <c r="D206" s="501">
        <f>SUM(D200:D205)</f>
        <v>0</v>
      </c>
      <c r="E206" s="171">
        <f t="shared" ref="E206:F206" si="44">SUM(E200:E205)</f>
        <v>195134</v>
      </c>
      <c r="F206" s="171">
        <f t="shared" si="44"/>
        <v>0</v>
      </c>
      <c r="G206" s="171">
        <f>SUM(G200:G205)</f>
        <v>195134</v>
      </c>
      <c r="H206" s="172">
        <f t="shared" si="43"/>
        <v>1.5568786407937405E-2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f>SUM(C25:C206)/2</f>
        <v>12774533</v>
      </c>
      <c r="D208" s="501">
        <f>SUM(D25:D206)/2</f>
        <v>-234933</v>
      </c>
      <c r="E208" s="171">
        <f t="shared" ref="E208:F208" si="45">SUM(E25:E206)/2</f>
        <v>12539600</v>
      </c>
      <c r="F208" s="171">
        <f t="shared" si="45"/>
        <v>-5932</v>
      </c>
      <c r="G208" s="171">
        <f>SUM(G25:G206)/2</f>
        <v>12533668</v>
      </c>
      <c r="H208" s="172">
        <f>IF($G$208=0,0,G208/$G$208)</f>
        <v>1</v>
      </c>
      <c r="I208" s="473"/>
      <c r="J208" s="183">
        <f>SUM(J25:J200)</f>
        <v>185879</v>
      </c>
      <c r="K208" s="183">
        <f>SUM(K25:K200)</f>
        <v>198269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f>'[86]Sch C'!D221</f>
        <v>12774533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f>C208-C211</f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81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f>C21-C208</f>
        <v>-2046347</v>
      </c>
      <c r="D215" s="501">
        <f>D21-D208</f>
        <v>231035</v>
      </c>
      <c r="E215" s="171">
        <f t="shared" ref="E215:F215" si="46">E21-E208</f>
        <v>-1815312</v>
      </c>
      <c r="F215" s="171">
        <f t="shared" si="46"/>
        <v>5932</v>
      </c>
      <c r="G215" s="171">
        <f>G21-G208</f>
        <v>-1809380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f>'[86]Sch D'!C9</f>
        <v>24032</v>
      </c>
      <c r="D219" s="530"/>
      <c r="E219" s="234">
        <f t="shared" ref="E219:G227" si="47">C219+D219</f>
        <v>24032</v>
      </c>
      <c r="F219" s="233"/>
      <c r="G219" s="234">
        <f t="shared" si="47"/>
        <v>24032</v>
      </c>
      <c r="H219" s="172">
        <f t="shared" ref="H219:H228" si="48">IF($G$228=0,0,G219/$G$228)</f>
        <v>0.69350416991313879</v>
      </c>
      <c r="I219" s="473"/>
      <c r="J219" s="168"/>
      <c r="K219" s="168"/>
    </row>
    <row r="220" spans="1:11">
      <c r="A220" s="163"/>
      <c r="B220" s="170" t="s">
        <v>217</v>
      </c>
      <c r="C220" s="530">
        <f>'[86]Sch D'!D9</f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f>'[86]Sch D'!E9</f>
        <v>2771</v>
      </c>
      <c r="D221" s="530"/>
      <c r="E221" s="234">
        <f t="shared" si="49"/>
        <v>2771</v>
      </c>
      <c r="F221" s="233"/>
      <c r="G221" s="234">
        <f t="shared" si="47"/>
        <v>2771</v>
      </c>
      <c r="H221" s="172">
        <f t="shared" si="48"/>
        <v>7.9964216662338036E-2</v>
      </c>
      <c r="I221" s="473"/>
      <c r="J221" s="168"/>
      <c r="K221" s="168"/>
    </row>
    <row r="222" spans="1:11">
      <c r="A222" s="163"/>
      <c r="B222" s="202" t="s">
        <v>334</v>
      </c>
      <c r="C222" s="530">
        <f>'[86]Sch D'!F9</f>
        <v>1889</v>
      </c>
      <c r="D222" s="530"/>
      <c r="E222" s="234">
        <f>C222+D222</f>
        <v>1889</v>
      </c>
      <c r="F222" s="233"/>
      <c r="G222" s="234">
        <f>E222+F222</f>
        <v>1889</v>
      </c>
      <c r="H222" s="172">
        <f t="shared" si="48"/>
        <v>5.4511874873748305E-2</v>
      </c>
      <c r="I222" s="473"/>
      <c r="J222" s="168"/>
      <c r="K222" s="168"/>
    </row>
    <row r="223" spans="1:11">
      <c r="A223" s="163"/>
      <c r="B223" s="170" t="s">
        <v>73</v>
      </c>
      <c r="C223" s="530">
        <f>'[86]Sch D'!G9</f>
        <v>17</v>
      </c>
      <c r="D223" s="530"/>
      <c r="E223" s="234">
        <f t="shared" si="49"/>
        <v>17</v>
      </c>
      <c r="F223" s="233"/>
      <c r="G223" s="234">
        <f t="shared" si="47"/>
        <v>17</v>
      </c>
      <c r="H223" s="172">
        <f t="shared" si="48"/>
        <v>4.9057801633336216E-4</v>
      </c>
      <c r="I223" s="473"/>
      <c r="J223" s="168"/>
      <c r="K223" s="168"/>
    </row>
    <row r="224" spans="1:11">
      <c r="A224" s="163"/>
      <c r="B224" s="170" t="s">
        <v>74</v>
      </c>
      <c r="C224" s="530">
        <f>'[86]Sch D'!H9</f>
        <v>1156</v>
      </c>
      <c r="D224" s="530"/>
      <c r="E224" s="234">
        <f t="shared" si="49"/>
        <v>1156</v>
      </c>
      <c r="F224" s="233"/>
      <c r="G224" s="234">
        <f t="shared" si="47"/>
        <v>1156</v>
      </c>
      <c r="H224" s="172">
        <f t="shared" si="48"/>
        <v>3.3359305110668626E-2</v>
      </c>
      <c r="I224" s="473"/>
      <c r="J224" s="168"/>
      <c r="K224" s="168"/>
    </row>
    <row r="225" spans="1:11">
      <c r="A225" s="163"/>
      <c r="B225" s="170" t="s">
        <v>236</v>
      </c>
      <c r="C225" s="530">
        <f>'[86]Sch D'!I9</f>
        <v>336</v>
      </c>
      <c r="D225" s="530"/>
      <c r="E225" s="234">
        <f t="shared" si="49"/>
        <v>336</v>
      </c>
      <c r="F225" s="233"/>
      <c r="G225" s="234">
        <f t="shared" si="47"/>
        <v>336</v>
      </c>
      <c r="H225" s="172">
        <f t="shared" si="48"/>
        <v>9.696130205177041E-3</v>
      </c>
      <c r="I225" s="473"/>
      <c r="J225" s="168"/>
      <c r="K225" s="168"/>
    </row>
    <row r="226" spans="1:11">
      <c r="A226" s="163"/>
      <c r="B226" s="170" t="s">
        <v>235</v>
      </c>
      <c r="C226" s="530">
        <f>'[86]Sch D'!J9</f>
        <v>2853</v>
      </c>
      <c r="D226" s="530"/>
      <c r="E226" s="234">
        <f>C226+D226</f>
        <v>2853</v>
      </c>
      <c r="F226" s="233"/>
      <c r="G226" s="234">
        <f>E226+F226</f>
        <v>2853</v>
      </c>
      <c r="H226" s="172">
        <f t="shared" si="48"/>
        <v>8.23305341528872E-2</v>
      </c>
      <c r="I226" s="473"/>
      <c r="J226" s="168"/>
      <c r="K226" s="168"/>
    </row>
    <row r="227" spans="1:11">
      <c r="A227" s="163"/>
      <c r="B227" s="170" t="s">
        <v>179</v>
      </c>
      <c r="C227" s="530">
        <f>'[86]Sch D'!K9</f>
        <v>1599</v>
      </c>
      <c r="D227" s="530"/>
      <c r="E227" s="234">
        <f t="shared" si="49"/>
        <v>1599</v>
      </c>
      <c r="F227" s="233"/>
      <c r="G227" s="234">
        <f t="shared" si="47"/>
        <v>1599</v>
      </c>
      <c r="H227" s="172">
        <f t="shared" si="48"/>
        <v>4.6143191065708598E-2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f>SUM(C219:C227)</f>
        <v>34653</v>
      </c>
      <c r="D228" s="530">
        <f>SUM(D219:D227)</f>
        <v>0</v>
      </c>
      <c r="E228" s="236">
        <f>SUM(E219:E227)</f>
        <v>34653</v>
      </c>
      <c r="F228" s="236">
        <f>SUM(F219:F227)</f>
        <v>0</v>
      </c>
      <c r="G228" s="236">
        <f>SUM(G219:G227)</f>
        <v>34653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82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81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f>'[86]Sch D'!N22</f>
        <v>184</v>
      </c>
      <c r="D231" s="502"/>
      <c r="E231" s="234">
        <f>C231+D231</f>
        <v>184</v>
      </c>
      <c r="F231" s="234"/>
      <c r="G231" s="234">
        <f>E231+F231</f>
        <v>184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f>'[86]Sch D'!N24</f>
        <v>184</v>
      </c>
      <c r="D232" s="502"/>
      <c r="E232" s="234">
        <f>C232+D232</f>
        <v>184</v>
      </c>
      <c r="F232" s="234"/>
      <c r="G232" s="234">
        <f>E232+F232</f>
        <v>184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f>$C$4-$C$3+1</f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83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f>'[86]Sch D'!N28</f>
        <v>67160</v>
      </c>
      <c r="D235" s="438"/>
      <c r="E235" s="233">
        <f>E231*E233</f>
        <v>67160</v>
      </c>
      <c r="F235" s="238"/>
      <c r="G235" s="233">
        <f>G231*G233</f>
        <v>67160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f>'[86]Sch D'!N30</f>
        <v>0.5159767718880286</v>
      </c>
      <c r="D236" s="238"/>
      <c r="E236" s="242">
        <f>E228/E235</f>
        <v>0.5159767718880286</v>
      </c>
      <c r="F236" s="243"/>
      <c r="G236" s="242">
        <f>G228/G235</f>
        <v>0.5159767718880286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f>'[86]Sch D'!N32</f>
        <v>0.35783204288266823</v>
      </c>
      <c r="D237" s="238"/>
      <c r="E237" s="242">
        <f>(E219+E220)/E235</f>
        <v>0.35783204288266823</v>
      </c>
      <c r="F237" s="243"/>
      <c r="G237" s="242">
        <f>(G219+G220)/G235</f>
        <v>0.35783204288266823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f>'[86]Sch D'!N34</f>
        <v>0.69350416991313879</v>
      </c>
      <c r="D238" s="238"/>
      <c r="E238" s="242">
        <f>(E237/E236)</f>
        <v>0.69350416991313879</v>
      </c>
      <c r="F238" s="243"/>
      <c r="G238" s="242">
        <f>(G237/G236)</f>
        <v>0.69350416991313879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'[86]Sch B'!C85</f>
        <v>326.84112149532712</v>
      </c>
      <c r="I241" s="475"/>
    </row>
    <row r="242" spans="2:9">
      <c r="F242" s="142" t="s">
        <v>341</v>
      </c>
      <c r="G242" s="501">
        <f>'[86]Sch B'!E85</f>
        <v>326.84324324324325</v>
      </c>
      <c r="I242" s="475"/>
    </row>
    <row r="243" spans="2:9">
      <c r="F243" s="142" t="s">
        <v>342</v>
      </c>
      <c r="G243" s="501">
        <f>'[86]Sch B'!G85</f>
        <v>326.84653465346537</v>
      </c>
      <c r="I243" s="475"/>
    </row>
    <row r="244" spans="2:9">
      <c r="F244" s="142" t="s">
        <v>343</v>
      </c>
      <c r="G244" s="501">
        <f>'[86]Sch B'!I85</f>
        <v>326.84410646387835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0" sqref="F10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41" fitToHeight="4" orientation="landscape" horizontalDpi="300" verticalDpi="300" r:id="rId3"/>
  <headerFooter alignWithMargins="0">
    <oddFooter>&amp;R&amp;D
&amp;T
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pageSetUpPr fitToPage="1"/>
  </sheetPr>
  <dimension ref="A1:R332"/>
  <sheetViews>
    <sheetView showGridLines="0" tabSelected="1" topLeftCell="A219" zoomScaleNormal="100" workbookViewId="0">
      <selection activeCell="H236" sqref="H236"/>
    </sheetView>
  </sheetViews>
  <sheetFormatPr defaultColWidth="9" defaultRowHeight="13"/>
  <cols>
    <col min="1" max="1" width="10.08203125" style="30" bestFit="1" customWidth="1"/>
    <col min="2" max="2" width="43.5" style="30" bestFit="1" customWidth="1"/>
    <col min="3" max="6" width="14.58203125" style="30" customWidth="1"/>
    <col min="7" max="7" width="16" style="30" customWidth="1"/>
    <col min="8" max="8" width="10" style="30" customWidth="1"/>
    <col min="9" max="9" width="9" style="30" bestFit="1"/>
    <col min="10" max="10" width="24.4140625" style="30" customWidth="1"/>
    <col min="11" max="11" width="1.1640625" style="30" customWidth="1"/>
    <col min="12" max="12" width="11.6640625" style="30" customWidth="1"/>
    <col min="13" max="13" width="12.08203125" style="30" customWidth="1"/>
    <col min="14" max="14" width="1.6640625" style="68" customWidth="1"/>
    <col min="15" max="15" width="13.08203125" style="30" customWidth="1"/>
    <col min="16" max="16" width="2" style="30" customWidth="1"/>
    <col min="17" max="17" width="17.6640625" style="30" customWidth="1"/>
    <col min="18" max="18" width="1.1640625" style="30" customWidth="1"/>
    <col min="19" max="16384" width="9" style="30"/>
  </cols>
  <sheetData>
    <row r="1" spans="1:18" ht="44" customHeight="1">
      <c r="A1" s="138" t="str">
        <f>'ALPINE MEADOW'!A1</f>
        <v>schedules revised 7/2017</v>
      </c>
      <c r="B1" s="1"/>
      <c r="C1" s="676" t="s">
        <v>504</v>
      </c>
      <c r="D1" s="676"/>
      <c r="E1" s="676"/>
      <c r="F1" s="43"/>
      <c r="G1" s="88"/>
      <c r="I1" s="44"/>
      <c r="K1" s="103"/>
    </row>
    <row r="2" spans="1:18" ht="15.75" customHeight="1">
      <c r="A2" s="29"/>
      <c r="B2" s="30" t="s">
        <v>79</v>
      </c>
      <c r="C2" s="45">
        <v>42552</v>
      </c>
      <c r="D2" s="680" t="s">
        <v>622</v>
      </c>
      <c r="E2" s="681"/>
      <c r="F2" s="681"/>
      <c r="G2" s="681"/>
      <c r="H2" s="681"/>
      <c r="I2" s="681"/>
      <c r="J2" s="104"/>
    </row>
    <row r="3" spans="1:18" ht="15.75" customHeight="1">
      <c r="A3" s="29"/>
      <c r="B3" s="31" t="s">
        <v>80</v>
      </c>
      <c r="C3" s="45">
        <v>42916</v>
      </c>
      <c r="D3" s="681"/>
      <c r="E3" s="681"/>
      <c r="F3" s="681"/>
      <c r="G3" s="681"/>
      <c r="H3" s="681"/>
      <c r="I3" s="681"/>
      <c r="J3" s="104"/>
    </row>
    <row r="4" spans="1:18" ht="19.5" customHeight="1">
      <c r="A4" s="29"/>
      <c r="B4" s="31"/>
      <c r="D4" s="681"/>
      <c r="E4" s="681"/>
      <c r="F4" s="681"/>
      <c r="G4" s="681"/>
      <c r="H4" s="681"/>
      <c r="I4" s="681"/>
      <c r="J4" s="104"/>
    </row>
    <row r="5" spans="1:18">
      <c r="A5" s="29"/>
      <c r="B5" s="31"/>
      <c r="C5" s="48"/>
      <c r="D5" s="681"/>
      <c r="E5" s="681"/>
      <c r="F5" s="681"/>
      <c r="G5" s="681"/>
      <c r="H5" s="681"/>
      <c r="I5" s="681"/>
      <c r="J5" s="104"/>
    </row>
    <row r="6" spans="1:18" ht="13.25" customHeight="1">
      <c r="A6" s="29"/>
      <c r="B6" s="31"/>
      <c r="C6" s="48"/>
      <c r="D6" s="681"/>
      <c r="E6" s="681"/>
      <c r="F6" s="681"/>
      <c r="G6" s="681"/>
      <c r="H6" s="681"/>
      <c r="I6" s="681"/>
      <c r="J6" s="104"/>
    </row>
    <row r="7" spans="1:18" ht="13.25" customHeight="1">
      <c r="A7" s="29"/>
      <c r="B7" s="31"/>
      <c r="C7" s="48"/>
      <c r="D7" s="681"/>
      <c r="E7" s="681"/>
      <c r="F7" s="681"/>
      <c r="G7" s="681"/>
      <c r="H7" s="681"/>
      <c r="I7" s="681"/>
      <c r="J7" s="104"/>
    </row>
    <row r="8" spans="1:18" ht="13.25" customHeight="1">
      <c r="A8" s="29"/>
      <c r="B8" s="31"/>
      <c r="C8" s="48"/>
      <c r="D8" s="681"/>
      <c r="E8" s="681"/>
      <c r="F8" s="681"/>
      <c r="G8" s="681"/>
      <c r="H8" s="681"/>
      <c r="I8" s="681"/>
      <c r="J8" s="104"/>
    </row>
    <row r="9" spans="1:18" ht="15.5">
      <c r="A9" s="29"/>
      <c r="B9" s="31"/>
      <c r="C9" s="50" t="s">
        <v>37</v>
      </c>
      <c r="D9" s="51" t="s">
        <v>38</v>
      </c>
      <c r="E9" s="47" t="s">
        <v>39</v>
      </c>
      <c r="F9" s="52" t="s">
        <v>40</v>
      </c>
      <c r="G9" s="53" t="s">
        <v>41</v>
      </c>
      <c r="H9" s="47" t="s">
        <v>42</v>
      </c>
      <c r="J9" s="105">
        <v>7</v>
      </c>
      <c r="L9" s="86" t="s">
        <v>174</v>
      </c>
      <c r="M9" s="86" t="s">
        <v>174</v>
      </c>
      <c r="N9" s="106"/>
      <c r="O9" s="77" t="s">
        <v>182</v>
      </c>
      <c r="P9" s="58"/>
      <c r="Q9" s="87" t="s">
        <v>183</v>
      </c>
      <c r="R9" s="59"/>
    </row>
    <row r="10" spans="1:18" ht="15.5">
      <c r="A10" s="29" t="s">
        <v>0</v>
      </c>
      <c r="B10" s="31"/>
      <c r="C10" s="55" t="s">
        <v>1</v>
      </c>
      <c r="D10" s="55" t="s">
        <v>2</v>
      </c>
      <c r="E10" s="55" t="s">
        <v>3</v>
      </c>
      <c r="F10" s="55" t="s">
        <v>4</v>
      </c>
      <c r="G10" s="55" t="s">
        <v>5</v>
      </c>
      <c r="H10" s="56" t="s">
        <v>6</v>
      </c>
      <c r="J10" s="107" t="s">
        <v>249</v>
      </c>
      <c r="L10" s="677" t="s">
        <v>273</v>
      </c>
      <c r="M10" s="677" t="s">
        <v>274</v>
      </c>
      <c r="N10" s="108"/>
      <c r="O10" s="7" t="s">
        <v>186</v>
      </c>
      <c r="P10" s="58"/>
      <c r="Q10" s="7" t="s">
        <v>185</v>
      </c>
      <c r="R10" s="59"/>
    </row>
    <row r="11" spans="1:18" ht="15.5">
      <c r="A11" s="29" t="s">
        <v>7</v>
      </c>
      <c r="B11" s="31"/>
      <c r="C11" s="60"/>
      <c r="D11" s="60"/>
      <c r="E11" s="60" t="s">
        <v>8</v>
      </c>
      <c r="F11" s="60" t="s">
        <v>9</v>
      </c>
      <c r="G11" s="60" t="s">
        <v>10</v>
      </c>
      <c r="H11" s="61" t="s">
        <v>11</v>
      </c>
      <c r="J11" s="109" t="s">
        <v>250</v>
      </c>
      <c r="L11" s="678"/>
      <c r="M11" s="678"/>
      <c r="N11" s="108"/>
      <c r="O11" s="62" t="s">
        <v>184</v>
      </c>
      <c r="P11" s="58"/>
      <c r="Q11" s="62" t="s">
        <v>187</v>
      </c>
      <c r="R11" s="59"/>
    </row>
    <row r="12" spans="1:18" ht="15.5">
      <c r="A12" s="29"/>
      <c r="B12" s="1"/>
      <c r="C12" s="49"/>
      <c r="D12" s="46"/>
      <c r="F12" s="46"/>
      <c r="G12" s="43"/>
      <c r="J12" s="110" t="s">
        <v>251</v>
      </c>
      <c r="L12" s="679"/>
      <c r="M12" s="679"/>
      <c r="N12" s="108"/>
      <c r="O12" s="63" t="s">
        <v>193</v>
      </c>
      <c r="P12" s="58"/>
      <c r="Q12" s="63" t="s">
        <v>188</v>
      </c>
      <c r="R12" s="59"/>
    </row>
    <row r="13" spans="1:18" ht="15.5">
      <c r="A13" s="29"/>
      <c r="B13" s="1" t="s">
        <v>221</v>
      </c>
      <c r="C13" s="49"/>
      <c r="D13" s="46"/>
      <c r="F13" s="46"/>
      <c r="G13" s="43"/>
      <c r="J13" s="110"/>
      <c r="L13" s="12"/>
      <c r="M13" s="12"/>
      <c r="N13" s="21"/>
      <c r="O13" s="57"/>
      <c r="P13" s="58"/>
      <c r="Q13" s="57"/>
      <c r="R13" s="59"/>
    </row>
    <row r="14" spans="1:18" s="25" customFormat="1" ht="15.5">
      <c r="A14" s="32" t="s">
        <v>13</v>
      </c>
      <c r="B14" s="24" t="s">
        <v>213</v>
      </c>
      <c r="C14" s="14">
        <f>SUM('ALPINE MEADOW:WOODLAND'!C11)</f>
        <v>227192432.78999999</v>
      </c>
      <c r="D14" s="14">
        <f>SUM('ALPINE MEADOW:WOODLAND'!D11)</f>
        <v>3460392.87</v>
      </c>
      <c r="E14" s="14">
        <f>SUM('ALPINE MEADOW:WOODLAND'!E11)</f>
        <v>230652825.66</v>
      </c>
      <c r="F14" s="14">
        <f>SUM('ALPINE MEADOW:WOODLAND'!F11)</f>
        <v>38124122.890000001</v>
      </c>
      <c r="G14" s="14">
        <f>SUM('ALPINE MEADOW:WOODLAND'!G11)</f>
        <v>268776948.54999995</v>
      </c>
      <c r="H14" s="26">
        <f t="shared" ref="H14:H24" si="0">G14/$G$24</f>
        <v>0.47078806566563652</v>
      </c>
      <c r="J14" s="111">
        <f>IF(G222=0,0,G14/G222)</f>
        <v>267.13991514996098</v>
      </c>
      <c r="L14" s="245" t="s">
        <v>344</v>
      </c>
      <c r="M14" s="168">
        <f>G24</f>
        <v>570908585.31000006</v>
      </c>
      <c r="N14" s="90"/>
      <c r="O14" s="375"/>
      <c r="P14" s="113"/>
      <c r="Q14" s="112"/>
      <c r="R14" s="113"/>
    </row>
    <row r="15" spans="1:18" s="25" customFormat="1" ht="15.5">
      <c r="A15" s="32" t="s">
        <v>15</v>
      </c>
      <c r="B15" s="24" t="s">
        <v>214</v>
      </c>
      <c r="C15" s="14">
        <f>SUM('ALPINE MEADOW:WOODLAND'!C12)</f>
        <v>2450543.0700000003</v>
      </c>
      <c r="D15" s="14">
        <f>SUM('ALPINE MEADOW:WOODLAND'!D12)</f>
        <v>1618070</v>
      </c>
      <c r="E15" s="14">
        <f>SUM('ALPINE MEADOW:WOODLAND'!E12)</f>
        <v>4068613.0700000003</v>
      </c>
      <c r="F15" s="14">
        <f>SUM('ALPINE MEADOW:WOODLAND'!F12)</f>
        <v>0</v>
      </c>
      <c r="G15" s="14">
        <f>SUM('ALPINE MEADOW:WOODLAND'!G12)</f>
        <v>4068613.0700000003</v>
      </c>
      <c r="H15" s="26">
        <f t="shared" si="0"/>
        <v>7.1265578670370961E-3</v>
      </c>
      <c r="J15" s="111">
        <f>IF(G223=0,0,G15/G223)</f>
        <v>245.73371202512536</v>
      </c>
      <c r="L15" s="245" t="s">
        <v>345</v>
      </c>
      <c r="M15" s="168">
        <f>G211</f>
        <v>516638043.02439934</v>
      </c>
      <c r="N15" s="90"/>
      <c r="O15" s="375"/>
      <c r="P15" s="113"/>
      <c r="Q15" s="112"/>
      <c r="R15" s="113"/>
    </row>
    <row r="16" spans="1:18" s="25" customFormat="1" ht="15.5">
      <c r="A16" s="32" t="s">
        <v>16</v>
      </c>
      <c r="B16" s="24" t="s">
        <v>170</v>
      </c>
      <c r="C16" s="14">
        <f>SUM('ALPINE MEADOW:WOODLAND'!C13)</f>
        <v>136486502.54000002</v>
      </c>
      <c r="D16" s="14">
        <f>SUM('ALPINE MEADOW:WOODLAND'!D13)</f>
        <v>715754.19000000006</v>
      </c>
      <c r="E16" s="14">
        <f>SUM('ALPINE MEADOW:WOODLAND'!E13)</f>
        <v>137202256.73000002</v>
      </c>
      <c r="F16" s="14">
        <f>SUM('ALPINE MEADOW:WOODLAND'!F13)</f>
        <v>2302312.1900000004</v>
      </c>
      <c r="G16" s="14">
        <f>SUM('ALPINE MEADOW:WOODLAND'!G13)</f>
        <v>139504568.91999999</v>
      </c>
      <c r="H16" s="26">
        <f t="shared" si="0"/>
        <v>0.24435535304526873</v>
      </c>
      <c r="J16" s="111">
        <f t="shared" ref="J16:J22" si="1">IF(G224=0,0,G16/G224)</f>
        <v>542.28338109417143</v>
      </c>
      <c r="L16" s="245" t="s">
        <v>346</v>
      </c>
      <c r="M16" s="168">
        <f>G231</f>
        <v>1865024</v>
      </c>
      <c r="N16" s="90"/>
      <c r="O16" s="375"/>
      <c r="P16" s="113"/>
      <c r="Q16" s="112"/>
      <c r="R16" s="113"/>
    </row>
    <row r="17" spans="1:18" s="25" customFormat="1" ht="15.5">
      <c r="A17" s="32" t="s">
        <v>18</v>
      </c>
      <c r="B17" s="24" t="s">
        <v>272</v>
      </c>
      <c r="C17" s="14">
        <f>SUM('ALPINE MEADOW:WOODLAND'!C14)</f>
        <v>43059128.429999992</v>
      </c>
      <c r="D17" s="14">
        <f>SUM('ALPINE MEADOW:WOODLAND'!D14)</f>
        <v>1796067.6672099261</v>
      </c>
      <c r="E17" s="14">
        <f>SUM('ALPINE MEADOW:WOODLAND'!E14)</f>
        <v>44855196.097209916</v>
      </c>
      <c r="F17" s="14">
        <f>SUM('ALPINE MEADOW:WOODLAND'!F14)</f>
        <v>1288797.22</v>
      </c>
      <c r="G17" s="14">
        <f>SUM('ALPINE MEADOW:WOODLAND'!G14)</f>
        <v>46143993.317209914</v>
      </c>
      <c r="H17" s="26">
        <f t="shared" si="0"/>
        <v>8.0825537580861556E-2</v>
      </c>
      <c r="J17" s="111">
        <f t="shared" si="1"/>
        <v>416.92109829604721</v>
      </c>
      <c r="L17" s="245" t="s">
        <v>347</v>
      </c>
      <c r="M17" s="168">
        <f>G234</f>
        <v>8116</v>
      </c>
      <c r="N17" s="90"/>
      <c r="O17" s="375"/>
      <c r="P17" s="113"/>
      <c r="Q17" s="112"/>
      <c r="R17" s="113"/>
    </row>
    <row r="18" spans="1:18" s="25" customFormat="1" ht="15.5">
      <c r="A18" s="32" t="s">
        <v>19</v>
      </c>
      <c r="B18" s="24" t="s">
        <v>171</v>
      </c>
      <c r="C18" s="14">
        <f>SUM('ALPINE MEADOW:WOODLAND'!C15)</f>
        <v>31484128.829999998</v>
      </c>
      <c r="D18" s="14">
        <f>SUM('ALPINE MEADOW:WOODLAND'!D15)</f>
        <v>-9898304</v>
      </c>
      <c r="E18" s="14">
        <f>SUM('ALPINE MEADOW:WOODLAND'!E15)</f>
        <v>21585824.829999998</v>
      </c>
      <c r="F18" s="14">
        <f>SUM('ALPINE MEADOW:WOODLAND'!F15)</f>
        <v>102707</v>
      </c>
      <c r="G18" s="14">
        <f>SUM('ALPINE MEADOW:WOODLAND'!G15)</f>
        <v>21688531.829999998</v>
      </c>
      <c r="H18" s="26">
        <f t="shared" si="0"/>
        <v>3.7989500224844666E-2</v>
      </c>
      <c r="J18" s="111">
        <f t="shared" si="1"/>
        <v>337.80129008644184</v>
      </c>
      <c r="L18" s="245" t="s">
        <v>348</v>
      </c>
      <c r="M18" s="168">
        <f>G238</f>
        <v>2960373</v>
      </c>
      <c r="N18" s="90"/>
      <c r="O18" s="375"/>
      <c r="P18" s="113"/>
      <c r="Q18" s="112"/>
      <c r="R18" s="113"/>
    </row>
    <row r="19" spans="1:18" s="25" customFormat="1" ht="15.5">
      <c r="A19" s="32" t="s">
        <v>21</v>
      </c>
      <c r="B19" s="24" t="s">
        <v>172</v>
      </c>
      <c r="C19" s="14">
        <f>SUM('ALPINE MEADOW:WOODLAND'!C16)</f>
        <v>52254119.819999985</v>
      </c>
      <c r="D19" s="14">
        <f>SUM('ALPINE MEADOW:WOODLAND'!D16)</f>
        <v>9071480.8499999996</v>
      </c>
      <c r="E19" s="14">
        <f>SUM('ALPINE MEADOW:WOODLAND'!E16)</f>
        <v>61325600.670000002</v>
      </c>
      <c r="F19" s="14">
        <f>SUM('ALPINE MEADOW:WOODLAND'!F16)</f>
        <v>932786.59</v>
      </c>
      <c r="G19" s="14">
        <f>SUM('ALPINE MEADOW:WOODLAND'!G16)</f>
        <v>62258387.259999998</v>
      </c>
      <c r="H19" s="26">
        <f t="shared" si="0"/>
        <v>0.10905141184064354</v>
      </c>
      <c r="J19" s="111">
        <f t="shared" si="1"/>
        <v>220.71337452761293</v>
      </c>
      <c r="L19" s="163"/>
      <c r="M19" s="168"/>
      <c r="N19" s="90"/>
      <c r="O19" s="375"/>
      <c r="P19" s="113"/>
      <c r="Q19" s="112"/>
      <c r="R19" s="113"/>
    </row>
    <row r="20" spans="1:18" s="25" customFormat="1" ht="15.5">
      <c r="A20" s="32" t="s">
        <v>215</v>
      </c>
      <c r="B20" s="24" t="s">
        <v>228</v>
      </c>
      <c r="C20" s="14">
        <f>SUM('ALPINE MEADOW:WOODLAND'!C17)</f>
        <v>10482648.990000002</v>
      </c>
      <c r="D20" s="14">
        <f>SUM('ALPINE MEADOW:WOODLAND'!D17)</f>
        <v>2901892.2530564903</v>
      </c>
      <c r="E20" s="14">
        <f>SUM('ALPINE MEADOW:WOODLAND'!E17)</f>
        <v>13384541.243056493</v>
      </c>
      <c r="F20" s="14">
        <f>SUM('ALPINE MEADOW:WOODLAND'!F17)</f>
        <v>324167.19999999995</v>
      </c>
      <c r="G20" s="14">
        <f>SUM('ALPINE MEADOW:WOODLAND'!G17)</f>
        <v>13708708.443056492</v>
      </c>
      <c r="H20" s="26">
        <f t="shared" si="0"/>
        <v>2.4012090194111799E-2</v>
      </c>
      <c r="J20" s="111">
        <f t="shared" si="1"/>
        <v>182.3621305928524</v>
      </c>
      <c r="L20" s="245" t="s">
        <v>156</v>
      </c>
      <c r="M20" s="168">
        <f>L211</f>
        <v>12328071.672639627</v>
      </c>
      <c r="N20" s="90"/>
      <c r="O20" s="375"/>
      <c r="P20" s="113"/>
      <c r="Q20" s="112"/>
      <c r="R20" s="113"/>
    </row>
    <row r="21" spans="1:18" s="25" customFormat="1" ht="15.5">
      <c r="A21" s="32" t="s">
        <v>216</v>
      </c>
      <c r="B21" s="24" t="s">
        <v>229</v>
      </c>
      <c r="C21" s="14">
        <f>SUM('ALPINE MEADOW:WOODLAND'!C18)</f>
        <v>9795652.5</v>
      </c>
      <c r="D21" s="14">
        <f>SUM('ALPINE MEADOW:WOODLAND'!D18)</f>
        <v>-2553839.2476598034</v>
      </c>
      <c r="E21" s="14">
        <f>SUM('ALPINE MEADOW:WOODLAND'!E18)</f>
        <v>7241813.2523401966</v>
      </c>
      <c r="F21" s="14">
        <f>SUM('ALPINE MEADOW:WOODLAND'!F18)</f>
        <v>331829.13</v>
      </c>
      <c r="G21" s="14">
        <f>SUM('ALPINE MEADOW:WOODLAND'!G18)</f>
        <v>7573642.3823401965</v>
      </c>
      <c r="H21" s="26">
        <f t="shared" si="0"/>
        <v>1.3265945857562736E-2</v>
      </c>
      <c r="J21" s="111">
        <f t="shared" si="1"/>
        <v>191.72322057413859</v>
      </c>
      <c r="L21" s="245" t="s">
        <v>252</v>
      </c>
      <c r="M21" s="168">
        <f>M211</f>
        <v>13084338.2690417</v>
      </c>
      <c r="N21" s="90"/>
      <c r="O21" s="375"/>
      <c r="P21" s="113"/>
      <c r="Q21" s="112"/>
      <c r="R21" s="113"/>
    </row>
    <row r="22" spans="1:18" s="25" customFormat="1" ht="15.5">
      <c r="A22" s="32" t="s">
        <v>227</v>
      </c>
      <c r="B22" s="24" t="s">
        <v>230</v>
      </c>
      <c r="C22" s="14">
        <f>SUM('ALPINE MEADOW:WOODLAND'!C19)</f>
        <v>4849573.0300000012</v>
      </c>
      <c r="D22" s="14">
        <f>SUM('ALPINE MEADOW:WOODLAND'!D19)</f>
        <v>-546647.74260661297</v>
      </c>
      <c r="E22" s="14">
        <f>SUM('ALPINE MEADOW:WOODLAND'!E19)</f>
        <v>4302925.2873933874</v>
      </c>
      <c r="F22" s="14">
        <f>SUM('ALPINE MEADOW:WOODLAND'!F19)</f>
        <v>737</v>
      </c>
      <c r="G22" s="14">
        <f>SUM('ALPINE MEADOW:WOODLAND'!G19)</f>
        <v>4303662.2873933874</v>
      </c>
      <c r="H22" s="26">
        <f t="shared" si="0"/>
        <v>7.5382686442813322E-3</v>
      </c>
      <c r="J22" s="111">
        <f t="shared" si="1"/>
        <v>320.02247824162606</v>
      </c>
      <c r="L22" s="90"/>
      <c r="M22" s="90"/>
      <c r="N22" s="90"/>
      <c r="O22" s="112"/>
      <c r="P22" s="113"/>
      <c r="Q22" s="112"/>
      <c r="R22" s="113"/>
    </row>
    <row r="23" spans="1:18" s="25" customFormat="1" ht="15.5">
      <c r="A23" s="32" t="s">
        <v>183</v>
      </c>
      <c r="B23" s="2" t="s">
        <v>180</v>
      </c>
      <c r="C23" s="14">
        <f>SUM('ALPINE MEADOW:WOODLAND'!C20)</f>
        <v>15770217.119999995</v>
      </c>
      <c r="D23" s="14">
        <f>SUM('ALPINE MEADOW:WOODLAND'!D20)</f>
        <v>-11133653.300000003</v>
      </c>
      <c r="E23" s="14">
        <f>SUM('ALPINE MEADOW:WOODLAND'!E20)</f>
        <v>4636563.82</v>
      </c>
      <c r="F23" s="14">
        <f>SUM('ALPINE MEADOW:WOODLAND'!F20)</f>
        <v>-1755034.5699999998</v>
      </c>
      <c r="G23" s="14">
        <f>SUM('ALPINE MEADOW:WOODLAND'!G20)</f>
        <v>2881529.25</v>
      </c>
      <c r="H23" s="26">
        <f t="shared" si="0"/>
        <v>5.0472690797517894E-3</v>
      </c>
      <c r="J23" s="114" t="s">
        <v>200</v>
      </c>
      <c r="L23" s="91"/>
      <c r="M23" s="91"/>
      <c r="N23" s="91"/>
      <c r="O23" s="112"/>
      <c r="P23" s="113"/>
      <c r="Q23" s="112"/>
      <c r="R23" s="113"/>
    </row>
    <row r="24" spans="1:18" s="25" customFormat="1" ht="15.5">
      <c r="A24" s="32"/>
      <c r="B24" s="3" t="s">
        <v>77</v>
      </c>
      <c r="C24" s="14">
        <f>SUM('ALPINE MEADOW:WOODLAND'!C21)</f>
        <v>533824947.12</v>
      </c>
      <c r="D24" s="14">
        <f>SUM('ALPINE MEADOW:WOODLAND'!D21)</f>
        <v>-4568786.4600000018</v>
      </c>
      <c r="E24" s="14">
        <f>SUM('ALPINE MEADOW:WOODLAND'!E21)</f>
        <v>529256160.66000003</v>
      </c>
      <c r="F24" s="14">
        <f>SUM('ALPINE MEADOW:WOODLAND'!F21)</f>
        <v>41652424.649999999</v>
      </c>
      <c r="G24" s="14">
        <f>SUM('ALPINE MEADOW:WOODLAND'!G21)</f>
        <v>570908585.31000006</v>
      </c>
      <c r="H24" s="26">
        <f t="shared" si="0"/>
        <v>1</v>
      </c>
      <c r="J24" s="111">
        <f>IF(G231=0,0,G24/G231)</f>
        <v>306.11326466040117</v>
      </c>
      <c r="L24" s="90"/>
      <c r="M24" s="90"/>
      <c r="N24" s="90"/>
      <c r="O24" s="112"/>
      <c r="P24" s="113"/>
      <c r="Q24" s="112"/>
      <c r="R24" s="113"/>
    </row>
    <row r="25" spans="1:18" ht="15.5">
      <c r="A25" s="29"/>
      <c r="B25" s="1"/>
      <c r="C25" s="17"/>
      <c r="D25" s="17"/>
      <c r="E25" s="17"/>
      <c r="F25" s="17"/>
      <c r="G25" s="17"/>
      <c r="H25" s="59"/>
      <c r="J25" s="115"/>
      <c r="L25" s="12"/>
      <c r="M25" s="12"/>
      <c r="N25" s="21"/>
      <c r="O25" s="57"/>
      <c r="P25" s="58"/>
      <c r="Q25" s="57"/>
      <c r="R25" s="59"/>
    </row>
    <row r="26" spans="1:18" ht="26.5">
      <c r="A26" s="33" t="s">
        <v>231</v>
      </c>
      <c r="B26" s="1" t="s">
        <v>222</v>
      </c>
      <c r="C26" s="49"/>
      <c r="D26" s="46"/>
      <c r="E26" s="46"/>
      <c r="F26" s="46"/>
      <c r="G26" s="46"/>
      <c r="H26" s="59"/>
      <c r="J26" s="115"/>
      <c r="L26" s="12"/>
      <c r="M26" s="12"/>
      <c r="N26" s="21"/>
      <c r="O26" s="57"/>
      <c r="P26" s="58"/>
      <c r="Q26" s="57"/>
      <c r="R26" s="59"/>
    </row>
    <row r="27" spans="1:18" ht="15.5">
      <c r="A27" s="34" t="s">
        <v>161</v>
      </c>
      <c r="B27" s="31" t="s">
        <v>12</v>
      </c>
      <c r="H27" s="59"/>
      <c r="J27" s="116"/>
      <c r="L27" s="66"/>
      <c r="M27" s="66"/>
      <c r="N27" s="117"/>
      <c r="O27" s="58"/>
      <c r="P27" s="58"/>
      <c r="Q27" s="59"/>
      <c r="R27" s="59"/>
    </row>
    <row r="28" spans="1:18" s="25" customFormat="1" ht="15.5">
      <c r="A28" s="32" t="s">
        <v>83</v>
      </c>
      <c r="B28" s="24" t="s">
        <v>14</v>
      </c>
      <c r="C28" s="14">
        <f>SUM('ALPINE MEADOW:WOODLAND'!C25)</f>
        <v>7022497.129999999</v>
      </c>
      <c r="D28" s="14">
        <f>SUM('ALPINE MEADOW:WOODLAND'!D25)</f>
        <v>2929154.9009286724</v>
      </c>
      <c r="E28" s="14">
        <f>SUM('ALPINE MEADOW:WOODLAND'!E25)</f>
        <v>9951652.0309286732</v>
      </c>
      <c r="F28" s="14">
        <f>SUM('ALPINE MEADOW:WOODLAND'!F25)</f>
        <v>622470.88</v>
      </c>
      <c r="G28" s="14">
        <f>SUM('ALPINE MEADOW:WOODLAND'!G25)</f>
        <v>10574122.910928672</v>
      </c>
      <c r="H28" s="92">
        <f>IF($G$211=0,0,G28/$G$211)</f>
        <v>2.0467178237645357E-2</v>
      </c>
      <c r="J28" s="111">
        <f t="shared" ref="J28:J64" si="2">IF(G28=0,0,G28/$G$231)</f>
        <v>5.6696980365553857</v>
      </c>
      <c r="K28" s="25">
        <v>2031.37</v>
      </c>
      <c r="L28" s="118">
        <f>SUM('ALPINE MEADOW:WOODLAND'!J25)</f>
        <v>177658.70234326611</v>
      </c>
      <c r="M28" s="118">
        <f>SUM('ALPINE MEADOW:WOODLAND'!K25)</f>
        <v>187652.62142900654</v>
      </c>
      <c r="N28" s="119"/>
      <c r="O28" s="120">
        <f>IF(L28=0,0,G28/M28)</f>
        <v>56.349454808597571</v>
      </c>
      <c r="P28" s="59"/>
      <c r="Q28" s="121">
        <f>M28/$G$231</f>
        <v>0.10061673277609647</v>
      </c>
      <c r="R28" s="59"/>
    </row>
    <row r="29" spans="1:18" s="25" customFormat="1" ht="15.5">
      <c r="A29" s="32" t="s">
        <v>84</v>
      </c>
      <c r="B29" s="24" t="s">
        <v>176</v>
      </c>
      <c r="C29" s="14">
        <f>SUM('ALPINE MEADOW:WOODLAND'!C26)</f>
        <v>0</v>
      </c>
      <c r="D29" s="14">
        <f>SUM('ALPINE MEADOW:WOODLAND'!D26)</f>
        <v>41530.22</v>
      </c>
      <c r="E29" s="14">
        <f>SUM('ALPINE MEADOW:WOODLAND'!E26)</f>
        <v>41530.22</v>
      </c>
      <c r="F29" s="14">
        <f>SUM('ALPINE MEADOW:WOODLAND'!F26)</f>
        <v>-21224.719999999998</v>
      </c>
      <c r="G29" s="14">
        <f>SUM('ALPINE MEADOW:WOODLAND'!G26)</f>
        <v>20305.5</v>
      </c>
      <c r="H29" s="92">
        <f>IF($G$211=0,0,G29/$G$211)</f>
        <v>3.9303145159678128E-5</v>
      </c>
      <c r="J29" s="111">
        <f t="shared" si="2"/>
        <v>1.088752745272983E-2</v>
      </c>
      <c r="K29" s="25">
        <v>0</v>
      </c>
      <c r="L29" s="118">
        <f>SUM('ALPINE MEADOW:WOODLAND'!J26)</f>
        <v>2392</v>
      </c>
      <c r="M29" s="118">
        <f>SUM('ALPINE MEADOW:WOODLAND'!K26)</f>
        <v>2578</v>
      </c>
      <c r="N29" s="119"/>
      <c r="O29" s="120">
        <f>IF(L29=0,0,G29/M29)</f>
        <v>7.8764546159813813</v>
      </c>
      <c r="P29" s="59"/>
      <c r="Q29" s="121">
        <f>M29/$G$231</f>
        <v>1.3822878418722762E-3</v>
      </c>
      <c r="R29" s="59"/>
    </row>
    <row r="30" spans="1:18" s="25" customFormat="1" ht="15.5">
      <c r="A30" s="32" t="s">
        <v>85</v>
      </c>
      <c r="B30" s="24" t="s">
        <v>17</v>
      </c>
      <c r="C30" s="14">
        <f>SUM('ALPINE MEADOW:WOODLAND'!C27)</f>
        <v>20193572.310000006</v>
      </c>
      <c r="D30" s="14">
        <f>SUM('ALPINE MEADOW:WOODLAND'!D27)</f>
        <v>-6407620.2975719878</v>
      </c>
      <c r="E30" s="14">
        <f>SUM('ALPINE MEADOW:WOODLAND'!E27)</f>
        <v>13785952.012428014</v>
      </c>
      <c r="F30" s="14">
        <f>SUM('ALPINE MEADOW:WOODLAND'!F27)</f>
        <v>-108205.33999999997</v>
      </c>
      <c r="G30" s="14">
        <f>SUM('ALPINE MEADOW:WOODLAND'!G27)</f>
        <v>13677746.672428012</v>
      </c>
      <c r="H30" s="92">
        <f>IF($G$211=0,0,G30/$G$211)</f>
        <v>2.6474524780170032E-2</v>
      </c>
      <c r="J30" s="111">
        <f t="shared" si="2"/>
        <v>7.333818048683562</v>
      </c>
      <c r="K30" s="25">
        <v>1898.21</v>
      </c>
      <c r="L30" s="118">
        <f>SUM('ALPINE MEADOW:WOODLAND'!J27)</f>
        <v>682106.16519349499</v>
      </c>
      <c r="M30" s="118">
        <f>SUM('ALPINE MEADOW:WOODLAND'!K27)</f>
        <v>733927.70138329908</v>
      </c>
      <c r="N30" s="119"/>
      <c r="O30" s="120">
        <f>IF(L30=0,0,G30/M30)</f>
        <v>18.636367923772791</v>
      </c>
      <c r="P30" s="59"/>
      <c r="Q30" s="121">
        <f>M30/$G$231</f>
        <v>0.39352185354360003</v>
      </c>
      <c r="R30" s="59"/>
    </row>
    <row r="31" spans="1:18" s="25" customFormat="1" ht="15.5">
      <c r="A31" s="32" t="s">
        <v>86</v>
      </c>
      <c r="B31" s="24" t="s">
        <v>45</v>
      </c>
      <c r="C31" s="14">
        <f>SUM('ALPINE MEADOW:WOODLAND'!C28)</f>
        <v>22733965.582341529</v>
      </c>
      <c r="D31" s="14">
        <f>SUM('ALPINE MEADOW:WOODLAND'!D28)</f>
        <v>-18449298.660483789</v>
      </c>
      <c r="E31" s="14">
        <f>SUM('ALPINE MEADOW:WOODLAND'!E28)</f>
        <v>4284666.9218577426</v>
      </c>
      <c r="F31" s="14">
        <f>SUM('ALPINE MEADOW:WOODLAND'!F28)</f>
        <v>1419.6500000000087</v>
      </c>
      <c r="G31" s="14">
        <f>SUM('ALPINE MEADOW:WOODLAND'!G28)</f>
        <v>4286086.571857743</v>
      </c>
      <c r="H31" s="92">
        <f>IF($G$211=0,0,G31/$G$211)</f>
        <v>8.296111038914188E-3</v>
      </c>
      <c r="J31" s="111">
        <f t="shared" si="2"/>
        <v>2.2981401697016999</v>
      </c>
      <c r="L31" s="69"/>
      <c r="M31" s="69"/>
      <c r="N31" s="69"/>
      <c r="O31" s="71"/>
      <c r="P31" s="59"/>
      <c r="Q31" s="71"/>
      <c r="R31" s="59"/>
    </row>
    <row r="32" spans="1:18" s="25" customFormat="1" ht="15.5">
      <c r="A32" s="32" t="s">
        <v>175</v>
      </c>
      <c r="B32" s="24" t="s">
        <v>20</v>
      </c>
      <c r="C32" s="14">
        <f>SUM('ALPINE MEADOW:WOODLAND'!C29)</f>
        <v>21013</v>
      </c>
      <c r="D32" s="14">
        <f>SUM('ALPINE MEADOW:WOODLAND'!D29)</f>
        <v>144362</v>
      </c>
      <c r="E32" s="14">
        <f>SUM('ALPINE MEADOW:WOODLAND'!E29)</f>
        <v>165375</v>
      </c>
      <c r="F32" s="14">
        <f>SUM('ALPINE MEADOW:WOODLAND'!F29)</f>
        <v>0</v>
      </c>
      <c r="G32" s="14">
        <f>SUM('ALPINE MEADOW:WOODLAND'!G29)</f>
        <v>165375</v>
      </c>
      <c r="H32" s="92">
        <f t="shared" ref="H32:H64" si="3">IF($G$211=0,0,G32/$G$211)</f>
        <v>3.2009837880287459E-4</v>
      </c>
      <c r="J32" s="111">
        <f t="shared" si="2"/>
        <v>8.8671781167427341E-2</v>
      </c>
      <c r="L32" s="69"/>
      <c r="M32" s="69"/>
      <c r="N32" s="69"/>
      <c r="O32" s="71"/>
      <c r="P32" s="59"/>
      <c r="Q32" s="71"/>
      <c r="R32" s="59"/>
    </row>
    <row r="33" spans="1:18" s="25" customFormat="1" ht="15.5">
      <c r="A33" s="32" t="s">
        <v>88</v>
      </c>
      <c r="B33" s="24" t="s">
        <v>22</v>
      </c>
      <c r="C33" s="14">
        <f>SUM('ALPINE MEADOW:WOODLAND'!C30)</f>
        <v>10096103.829999996</v>
      </c>
      <c r="D33" s="14">
        <f>SUM('ALPINE MEADOW:WOODLAND'!D30)</f>
        <v>-5316957.0411252445</v>
      </c>
      <c r="E33" s="14">
        <f>SUM('ALPINE MEADOW:WOODLAND'!E30)</f>
        <v>4779146.7888747556</v>
      </c>
      <c r="F33" s="14">
        <f>SUM('ALPINE MEADOW:WOODLAND'!F30)</f>
        <v>-39699.109999999986</v>
      </c>
      <c r="G33" s="14">
        <f>SUM('ALPINE MEADOW:WOODLAND'!G30)</f>
        <v>4739447.6788747562</v>
      </c>
      <c r="H33" s="92">
        <f t="shared" si="3"/>
        <v>9.1736327644979989E-3</v>
      </c>
      <c r="J33" s="111">
        <f t="shared" si="2"/>
        <v>2.5412261069427289</v>
      </c>
      <c r="L33" s="69"/>
      <c r="M33" s="69"/>
      <c r="N33" s="69"/>
      <c r="O33" s="71"/>
      <c r="P33" s="59"/>
      <c r="Q33" s="71"/>
      <c r="R33" s="59"/>
    </row>
    <row r="34" spans="1:18" s="25" customFormat="1" ht="15.5">
      <c r="A34" s="32" t="s">
        <v>89</v>
      </c>
      <c r="B34" s="24" t="s">
        <v>148</v>
      </c>
      <c r="C34" s="14">
        <f>SUM('ALPINE MEADOW:WOODLAND'!C31)</f>
        <v>17085352.750000004</v>
      </c>
      <c r="D34" s="14">
        <f>SUM('ALPINE MEADOW:WOODLAND'!D31)</f>
        <v>3198983.7600000007</v>
      </c>
      <c r="E34" s="14">
        <f>SUM('ALPINE MEADOW:WOODLAND'!E31)</f>
        <v>20284336.510000002</v>
      </c>
      <c r="F34" s="14">
        <f>SUM('ALPINE MEADOW:WOODLAND'!F31)</f>
        <v>-38926.125532252598</v>
      </c>
      <c r="G34" s="14">
        <f>SUM('ALPINE MEADOW:WOODLAND'!G31)</f>
        <v>20245410.384467747</v>
      </c>
      <c r="H34" s="92">
        <f t="shared" si="3"/>
        <v>3.9186836234418793E-2</v>
      </c>
      <c r="J34" s="111">
        <f t="shared" si="2"/>
        <v>10.855308234353954</v>
      </c>
      <c r="L34" s="69"/>
      <c r="M34" s="69"/>
      <c r="N34" s="69"/>
      <c r="O34" s="71"/>
      <c r="P34" s="59"/>
      <c r="Q34" s="71"/>
      <c r="R34" s="59"/>
    </row>
    <row r="35" spans="1:18" s="25" customFormat="1" ht="15.5">
      <c r="A35" s="32" t="s">
        <v>90</v>
      </c>
      <c r="B35" s="24" t="s">
        <v>23</v>
      </c>
      <c r="C35" s="14">
        <f>SUM('ALPINE MEADOW:WOODLAND'!C32)</f>
        <v>432948.74</v>
      </c>
      <c r="D35" s="14">
        <f>SUM('ALPINE MEADOW:WOODLAND'!D32)</f>
        <v>-448180.25</v>
      </c>
      <c r="E35" s="14">
        <f>SUM('ALPINE MEADOW:WOODLAND'!E32)</f>
        <v>-15231.510000000007</v>
      </c>
      <c r="F35" s="14">
        <f>SUM('ALPINE MEADOW:WOODLAND'!F32)</f>
        <v>-63126</v>
      </c>
      <c r="G35" s="14">
        <f>SUM('ALPINE MEADOW:WOODLAND'!G32)</f>
        <v>-78357.510000000009</v>
      </c>
      <c r="H35" s="92">
        <f t="shared" si="3"/>
        <v>-1.5166809927758147E-4</v>
      </c>
      <c r="J35" s="111">
        <f t="shared" si="2"/>
        <v>-4.201421000480423E-2</v>
      </c>
      <c r="L35" s="69"/>
      <c r="M35" s="69"/>
      <c r="N35" s="69"/>
      <c r="O35" s="71"/>
      <c r="P35" s="59"/>
      <c r="Q35" s="71"/>
      <c r="R35" s="59"/>
    </row>
    <row r="36" spans="1:18" s="25" customFormat="1" ht="15.5">
      <c r="A36" s="32" t="s">
        <v>91</v>
      </c>
      <c r="B36" s="24" t="s">
        <v>24</v>
      </c>
      <c r="C36" s="14">
        <f>SUM('ALPINE MEADOW:WOODLAND'!C33)</f>
        <v>1500128.4300000004</v>
      </c>
      <c r="D36" s="14">
        <f>SUM('ALPINE MEADOW:WOODLAND'!D33)</f>
        <v>4194</v>
      </c>
      <c r="E36" s="14">
        <f>SUM('ALPINE MEADOW:WOODLAND'!E33)</f>
        <v>1504322.4300000004</v>
      </c>
      <c r="F36" s="14">
        <f>SUM('ALPINE MEADOW:WOODLAND'!F33)</f>
        <v>48661.18</v>
      </c>
      <c r="G36" s="14">
        <f>SUM('ALPINE MEADOW:WOODLAND'!G33)</f>
        <v>1552983.61</v>
      </c>
      <c r="H36" s="92">
        <f t="shared" si="3"/>
        <v>3.0059412599754238E-3</v>
      </c>
      <c r="J36" s="111">
        <f t="shared" si="2"/>
        <v>0.83268827103565424</v>
      </c>
      <c r="L36" s="69"/>
      <c r="M36" s="69"/>
      <c r="N36" s="69"/>
      <c r="O36" s="71"/>
      <c r="P36" s="59"/>
      <c r="Q36" s="71"/>
      <c r="R36" s="59"/>
    </row>
    <row r="37" spans="1:18" s="25" customFormat="1" ht="15.5">
      <c r="A37" s="32" t="s">
        <v>92</v>
      </c>
      <c r="B37" s="24" t="s">
        <v>25</v>
      </c>
      <c r="C37" s="14">
        <f>SUM('ALPINE MEADOW:WOODLAND'!C34)</f>
        <v>1484740.3800000006</v>
      </c>
      <c r="D37" s="14">
        <f>SUM('ALPINE MEADOW:WOODLAND'!D34)</f>
        <v>2915.3093852639067</v>
      </c>
      <c r="E37" s="14">
        <f>SUM('ALPINE MEADOW:WOODLAND'!E34)</f>
        <v>1487655.6893852644</v>
      </c>
      <c r="F37" s="14">
        <f>SUM('ALPINE MEADOW:WOODLAND'!F34)</f>
        <v>38561.81</v>
      </c>
      <c r="G37" s="14">
        <f>SUM('ALPINE MEADOW:WOODLAND'!G34)</f>
        <v>1526217.4993852642</v>
      </c>
      <c r="H37" s="92">
        <f t="shared" si="3"/>
        <v>2.9541330143842801E-3</v>
      </c>
      <c r="J37" s="111">
        <f t="shared" si="2"/>
        <v>0.81833665378314935</v>
      </c>
      <c r="L37" s="69"/>
      <c r="M37" s="69"/>
      <c r="N37" s="69"/>
      <c r="O37" s="71"/>
      <c r="P37" s="59"/>
      <c r="Q37" s="71"/>
      <c r="R37" s="59"/>
    </row>
    <row r="38" spans="1:18" s="25" customFormat="1" ht="15.5">
      <c r="A38" s="32" t="s">
        <v>93</v>
      </c>
      <c r="B38" s="24" t="s">
        <v>26</v>
      </c>
      <c r="C38" s="14">
        <f>SUM('ALPINE MEADOW:WOODLAND'!C35)</f>
        <v>1792219.3000000003</v>
      </c>
      <c r="D38" s="14">
        <f>SUM('ALPINE MEADOW:WOODLAND'!D35)</f>
        <v>-37258.682781450421</v>
      </c>
      <c r="E38" s="14">
        <f>SUM('ALPINE MEADOW:WOODLAND'!E35)</f>
        <v>1754960.6172185498</v>
      </c>
      <c r="F38" s="14">
        <f>SUM('ALPINE MEADOW:WOODLAND'!F35)</f>
        <v>-53148.54</v>
      </c>
      <c r="G38" s="14">
        <f>SUM('ALPINE MEADOW:WOODLAND'!G35)</f>
        <v>1701812.0772185498</v>
      </c>
      <c r="H38" s="92">
        <f t="shared" si="3"/>
        <v>3.2940123171265922E-3</v>
      </c>
      <c r="J38" s="111">
        <f t="shared" si="2"/>
        <v>0.91248803083421437</v>
      </c>
      <c r="L38" s="69"/>
      <c r="M38" s="69"/>
      <c r="N38" s="69"/>
      <c r="O38" s="71"/>
      <c r="P38" s="59"/>
      <c r="Q38" s="71"/>
      <c r="R38" s="59"/>
    </row>
    <row r="39" spans="1:18" s="25" customFormat="1" ht="15.5">
      <c r="A39" s="32" t="s">
        <v>94</v>
      </c>
      <c r="B39" s="24" t="s">
        <v>27</v>
      </c>
      <c r="C39" s="14">
        <f>SUM('ALPINE MEADOW:WOODLAND'!C36)</f>
        <v>2132425.79</v>
      </c>
      <c r="D39" s="14">
        <f>SUM('ALPINE MEADOW:WOODLAND'!D36)</f>
        <v>336815.9</v>
      </c>
      <c r="E39" s="14">
        <f>SUM('ALPINE MEADOW:WOODLAND'!E36)</f>
        <v>2469241.69</v>
      </c>
      <c r="F39" s="14">
        <f>SUM('ALPINE MEADOW:WOODLAND'!F36)</f>
        <v>-249569.94</v>
      </c>
      <c r="G39" s="14">
        <f>SUM('ALPINE MEADOW:WOODLAND'!G36)</f>
        <v>2219671.75</v>
      </c>
      <c r="H39" s="92">
        <f t="shared" si="3"/>
        <v>4.2963768928165657E-3</v>
      </c>
      <c r="J39" s="111">
        <f t="shared" si="2"/>
        <v>1.1901572044113105</v>
      </c>
      <c r="L39" s="69"/>
      <c r="M39" s="69"/>
      <c r="N39" s="69"/>
      <c r="O39" s="71"/>
      <c r="P39" s="59"/>
      <c r="Q39" s="71"/>
      <c r="R39" s="59"/>
    </row>
    <row r="40" spans="1:18" s="25" customFormat="1" ht="15.5">
      <c r="A40" s="35">
        <v>130</v>
      </c>
      <c r="B40" s="24" t="s">
        <v>28</v>
      </c>
      <c r="C40" s="14">
        <f>SUM('ALPINE MEADOW:WOODLAND'!C37)</f>
        <v>4608.28</v>
      </c>
      <c r="D40" s="14">
        <f>SUM('ALPINE MEADOW:WOODLAND'!D37)</f>
        <v>0</v>
      </c>
      <c r="E40" s="14">
        <f>SUM('ALPINE MEADOW:WOODLAND'!E37)</f>
        <v>4608.28</v>
      </c>
      <c r="F40" s="14">
        <f>SUM('ALPINE MEADOW:WOODLAND'!F37)</f>
        <v>0</v>
      </c>
      <c r="G40" s="14">
        <f>SUM('ALPINE MEADOW:WOODLAND'!G37)</f>
        <v>4608.28</v>
      </c>
      <c r="H40" s="92">
        <f t="shared" si="3"/>
        <v>8.9197457721524464E-6</v>
      </c>
      <c r="J40" s="111">
        <f t="shared" si="2"/>
        <v>2.4708958168902918E-3</v>
      </c>
      <c r="L40" s="69"/>
      <c r="M40" s="69"/>
      <c r="N40" s="69"/>
      <c r="O40" s="71"/>
      <c r="P40" s="59"/>
      <c r="Q40" s="71"/>
      <c r="R40" s="59"/>
    </row>
    <row r="41" spans="1:18" s="25" customFormat="1" ht="15.5">
      <c r="A41" s="35">
        <v>140</v>
      </c>
      <c r="B41" s="24" t="s">
        <v>149</v>
      </c>
      <c r="C41" s="14">
        <f>SUM('ALPINE MEADOW:WOODLAND'!C38)</f>
        <v>1307431.4100000004</v>
      </c>
      <c r="D41" s="14">
        <f>SUM('ALPINE MEADOW:WOODLAND'!D38)</f>
        <v>152585.44566492052</v>
      </c>
      <c r="E41" s="14">
        <f>SUM('ALPINE MEADOW:WOODLAND'!E38)</f>
        <v>1460016.8556649208</v>
      </c>
      <c r="F41" s="14">
        <f>SUM('ALPINE MEADOW:WOODLAND'!F38)</f>
        <v>-161276.89000000001</v>
      </c>
      <c r="G41" s="14">
        <f>SUM('ALPINE MEADOW:WOODLAND'!G38)</f>
        <v>1298739.9656649209</v>
      </c>
      <c r="H41" s="92">
        <f t="shared" si="3"/>
        <v>2.5138295237843822E-3</v>
      </c>
      <c r="J41" s="111">
        <f t="shared" si="2"/>
        <v>0.69636635542755532</v>
      </c>
      <c r="L41" s="69"/>
      <c r="M41" s="69"/>
      <c r="N41" s="69"/>
      <c r="O41" s="71"/>
      <c r="P41" s="59"/>
      <c r="Q41" s="71"/>
      <c r="R41" s="59"/>
    </row>
    <row r="42" spans="1:18" s="25" customFormat="1" ht="15.5">
      <c r="A42" s="35">
        <v>150</v>
      </c>
      <c r="B42" s="24" t="s">
        <v>29</v>
      </c>
      <c r="C42" s="14">
        <f>SUM('ALPINE MEADOW:WOODLAND'!C39)</f>
        <v>2441227.0400000005</v>
      </c>
      <c r="D42" s="14">
        <f>SUM('ALPINE MEADOW:WOODLAND'!D39)</f>
        <v>-231496.77000000002</v>
      </c>
      <c r="E42" s="14">
        <f>SUM('ALPINE MEADOW:WOODLAND'!E39)</f>
        <v>2209730.2700000005</v>
      </c>
      <c r="F42" s="14">
        <f>SUM('ALPINE MEADOW:WOODLAND'!F39)</f>
        <v>223355.46</v>
      </c>
      <c r="G42" s="14">
        <f>SUM('ALPINE MEADOW:WOODLAND'!G39)</f>
        <v>2433085.7300000004</v>
      </c>
      <c r="H42" s="92">
        <f t="shared" si="3"/>
        <v>4.7094590939465381E-3</v>
      </c>
      <c r="J42" s="111">
        <f t="shared" si="2"/>
        <v>1.3045868203304625</v>
      </c>
      <c r="L42" s="69"/>
      <c r="M42" s="69"/>
      <c r="N42" s="69"/>
      <c r="O42" s="71"/>
      <c r="P42" s="59"/>
      <c r="Q42" s="71"/>
      <c r="R42" s="59"/>
    </row>
    <row r="43" spans="1:18" s="25" customFormat="1" ht="15.5">
      <c r="A43" s="35">
        <v>160</v>
      </c>
      <c r="B43" s="24" t="s">
        <v>30</v>
      </c>
      <c r="C43" s="14">
        <f>SUM('ALPINE MEADOW:WOODLAND'!C40)</f>
        <v>90269</v>
      </c>
      <c r="D43" s="14">
        <f>SUM('ALPINE MEADOW:WOODLAND'!D40)</f>
        <v>0</v>
      </c>
      <c r="E43" s="14">
        <f>SUM('ALPINE MEADOW:WOODLAND'!E40)</f>
        <v>90269</v>
      </c>
      <c r="F43" s="14">
        <f>SUM('ALPINE MEADOW:WOODLAND'!F40)</f>
        <v>15000</v>
      </c>
      <c r="G43" s="14">
        <f>SUM('ALPINE MEADOW:WOODLAND'!G40)</f>
        <v>105269</v>
      </c>
      <c r="H43" s="92">
        <f t="shared" si="3"/>
        <v>2.0375773991352869E-4</v>
      </c>
      <c r="J43" s="111">
        <f t="shared" si="2"/>
        <v>5.6443777667204285E-2</v>
      </c>
      <c r="L43" s="69"/>
      <c r="M43" s="69"/>
      <c r="N43" s="69"/>
      <c r="O43" s="71"/>
      <c r="P43" s="59"/>
      <c r="Q43" s="71"/>
      <c r="R43" s="59"/>
    </row>
    <row r="44" spans="1:18" s="25" customFormat="1" ht="15.5">
      <c r="A44" s="35">
        <v>170</v>
      </c>
      <c r="B44" s="24" t="s">
        <v>31</v>
      </c>
      <c r="C44" s="14">
        <f>SUM('ALPINE MEADOW:WOODLAND'!C41)</f>
        <v>24645109.010000002</v>
      </c>
      <c r="D44" s="14">
        <f>SUM('ALPINE MEADOW:WOODLAND'!D41)</f>
        <v>112692.08000000003</v>
      </c>
      <c r="E44" s="14">
        <f>SUM('ALPINE MEADOW:WOODLAND'!E41)</f>
        <v>24757801.09</v>
      </c>
      <c r="F44" s="14">
        <f>SUM('ALPINE MEADOW:WOODLAND'!F41)</f>
        <v>738254.96</v>
      </c>
      <c r="G44" s="14">
        <f>SUM('ALPINE MEADOW:WOODLAND'!G41)</f>
        <v>25496056.049999997</v>
      </c>
      <c r="H44" s="92">
        <f t="shared" si="3"/>
        <v>4.9349939274208443E-2</v>
      </c>
      <c r="J44" s="111">
        <f t="shared" si="2"/>
        <v>13.670631611174976</v>
      </c>
      <c r="L44" s="69"/>
      <c r="M44" s="69"/>
      <c r="N44" s="69"/>
      <c r="O44" s="71"/>
      <c r="P44" s="59"/>
      <c r="Q44" s="71"/>
      <c r="R44" s="59"/>
    </row>
    <row r="45" spans="1:18" s="25" customFormat="1" ht="15.5">
      <c r="A45" s="35">
        <v>180</v>
      </c>
      <c r="B45" s="24" t="s">
        <v>32</v>
      </c>
      <c r="C45" s="14">
        <f>SUM('ALPINE MEADOW:WOODLAND'!C42)</f>
        <v>666958.90999999992</v>
      </c>
      <c r="D45" s="14">
        <f>SUM('ALPINE MEADOW:WOODLAND'!D42)</f>
        <v>50772.159021389874</v>
      </c>
      <c r="E45" s="14">
        <f>SUM('ALPINE MEADOW:WOODLAND'!E42)</f>
        <v>717731.06902138994</v>
      </c>
      <c r="F45" s="14">
        <f>SUM('ALPINE MEADOW:WOODLAND'!F42)</f>
        <v>3503</v>
      </c>
      <c r="G45" s="14">
        <f>SUM('ALPINE MEADOW:WOODLAND'!G42)</f>
        <v>721234.06902138994</v>
      </c>
      <c r="H45" s="92">
        <f t="shared" si="3"/>
        <v>1.3960142478073921E-3</v>
      </c>
      <c r="J45" s="111">
        <f t="shared" si="2"/>
        <v>0.38671570393806726</v>
      </c>
      <c r="L45" s="69"/>
      <c r="M45" s="69"/>
      <c r="N45" s="69"/>
      <c r="O45" s="71"/>
      <c r="P45" s="59"/>
      <c r="Q45" s="71"/>
      <c r="R45" s="59"/>
    </row>
    <row r="46" spans="1:18" s="25" customFormat="1" ht="15.5">
      <c r="A46" s="35">
        <v>190</v>
      </c>
      <c r="B46" s="24" t="s">
        <v>33</v>
      </c>
      <c r="C46" s="14">
        <f>SUM('ALPINE MEADOW:WOODLAND'!C43)</f>
        <v>77920.67</v>
      </c>
      <c r="D46" s="14">
        <f>SUM('ALPINE MEADOW:WOODLAND'!D43)</f>
        <v>-77920.67</v>
      </c>
      <c r="E46" s="14">
        <f>SUM('ALPINE MEADOW:WOODLAND'!E43)</f>
        <v>0</v>
      </c>
      <c r="F46" s="14">
        <f>SUM('ALPINE MEADOW:WOODLAND'!F43)</f>
        <v>0</v>
      </c>
      <c r="G46" s="14">
        <f>SUM('ALPINE MEADOW:WOODLAND'!G43)</f>
        <v>0</v>
      </c>
      <c r="H46" s="92">
        <f t="shared" si="3"/>
        <v>0</v>
      </c>
      <c r="J46" s="111">
        <f t="shared" si="2"/>
        <v>0</v>
      </c>
      <c r="L46" s="69"/>
      <c r="M46" s="69"/>
      <c r="N46" s="69"/>
      <c r="O46" s="71"/>
      <c r="P46" s="59"/>
      <c r="Q46" s="71"/>
      <c r="R46" s="59"/>
    </row>
    <row r="47" spans="1:18" s="25" customFormat="1" ht="15.5">
      <c r="A47" s="35">
        <v>200</v>
      </c>
      <c r="B47" s="24" t="s">
        <v>34</v>
      </c>
      <c r="C47" s="14">
        <f>SUM('ALPINE MEADOW:WOODLAND'!C44)</f>
        <v>8179136.120000002</v>
      </c>
      <c r="D47" s="14">
        <f>SUM('ALPINE MEADOW:WOODLAND'!D44)</f>
        <v>-8179136.120000002</v>
      </c>
      <c r="E47" s="14">
        <f>SUM('ALPINE MEADOW:WOODLAND'!E44)</f>
        <v>0</v>
      </c>
      <c r="F47" s="14">
        <f>SUM('ALPINE MEADOW:WOODLAND'!F44)</f>
        <v>0</v>
      </c>
      <c r="G47" s="14">
        <f>SUM('ALPINE MEADOW:WOODLAND'!G44)</f>
        <v>0</v>
      </c>
      <c r="H47" s="92">
        <f t="shared" si="3"/>
        <v>0</v>
      </c>
      <c r="J47" s="111">
        <f t="shared" si="2"/>
        <v>0</v>
      </c>
      <c r="L47" s="69"/>
      <c r="M47" s="69"/>
      <c r="N47" s="69"/>
      <c r="O47" s="71"/>
      <c r="P47" s="59"/>
      <c r="Q47" s="71"/>
      <c r="R47" s="59"/>
    </row>
    <row r="48" spans="1:18" s="25" customFormat="1" ht="15.5">
      <c r="A48" s="35">
        <v>210</v>
      </c>
      <c r="B48" s="24" t="s">
        <v>35</v>
      </c>
      <c r="C48" s="14">
        <f>SUM('ALPINE MEADOW:WOODLAND'!C45)</f>
        <v>1038076.62</v>
      </c>
      <c r="D48" s="14">
        <f>SUM('ALPINE MEADOW:WOODLAND'!D45)</f>
        <v>-1038076.62</v>
      </c>
      <c r="E48" s="14">
        <f>SUM('ALPINE MEADOW:WOODLAND'!E45)</f>
        <v>0</v>
      </c>
      <c r="F48" s="14">
        <f>SUM('ALPINE MEADOW:WOODLAND'!F45)</f>
        <v>0</v>
      </c>
      <c r="G48" s="14">
        <f>SUM('ALPINE MEADOW:WOODLAND'!G45)</f>
        <v>0</v>
      </c>
      <c r="H48" s="92">
        <f t="shared" si="3"/>
        <v>0</v>
      </c>
      <c r="J48" s="111">
        <f t="shared" si="2"/>
        <v>0</v>
      </c>
      <c r="L48" s="69"/>
      <c r="M48" s="69"/>
      <c r="N48" s="69"/>
      <c r="O48" s="71"/>
      <c r="P48" s="59"/>
      <c r="Q48" s="71"/>
      <c r="R48" s="59"/>
    </row>
    <row r="49" spans="1:18" s="25" customFormat="1" ht="15.5">
      <c r="A49" s="35">
        <v>220</v>
      </c>
      <c r="B49" s="24" t="s">
        <v>190</v>
      </c>
      <c r="C49" s="14">
        <f>SUM('ALPINE MEADOW:WOODLAND'!C46)</f>
        <v>2487879.92</v>
      </c>
      <c r="D49" s="14">
        <f>SUM('ALPINE MEADOW:WOODLAND'!D46)</f>
        <v>-73016</v>
      </c>
      <c r="E49" s="14">
        <f>SUM('ALPINE MEADOW:WOODLAND'!E46)</f>
        <v>2414863.92</v>
      </c>
      <c r="F49" s="14">
        <f>SUM('ALPINE MEADOW:WOODLAND'!F46)</f>
        <v>97341.92</v>
      </c>
      <c r="G49" s="14">
        <f>SUM('ALPINE MEADOW:WOODLAND'!G46)</f>
        <v>2512205.84</v>
      </c>
      <c r="H49" s="92">
        <f t="shared" si="3"/>
        <v>4.8626032749999317E-3</v>
      </c>
      <c r="J49" s="111">
        <f t="shared" si="2"/>
        <v>1.3470099258776294</v>
      </c>
      <c r="L49" s="69"/>
      <c r="M49" s="69"/>
      <c r="N49" s="69"/>
      <c r="O49" s="71"/>
      <c r="P49" s="59"/>
      <c r="Q49" s="71"/>
      <c r="R49" s="59"/>
    </row>
    <row r="50" spans="1:18" s="25" customFormat="1" ht="15.5">
      <c r="A50" s="35">
        <v>230</v>
      </c>
      <c r="B50" s="24" t="s">
        <v>191</v>
      </c>
      <c r="C50" s="14">
        <f>SUM('ALPINE MEADOW:WOODLAND'!C47)</f>
        <v>4624039.0200000005</v>
      </c>
      <c r="D50" s="14">
        <f>SUM('ALPINE MEADOW:WOODLAND'!D47)</f>
        <v>-128513.01073307941</v>
      </c>
      <c r="E50" s="14">
        <f>SUM('ALPINE MEADOW:WOODLAND'!E47)</f>
        <v>4495526.0092669213</v>
      </c>
      <c r="F50" s="14">
        <f>SUM('ALPINE MEADOW:WOODLAND'!F47)</f>
        <v>95761.34</v>
      </c>
      <c r="G50" s="14">
        <f>SUM('ALPINE MEADOW:WOODLAND'!G47)</f>
        <v>4591287.3492669212</v>
      </c>
      <c r="H50" s="92">
        <f t="shared" si="3"/>
        <v>8.8868549485622908E-3</v>
      </c>
      <c r="J50" s="111">
        <f t="shared" si="2"/>
        <v>2.4617845932636371</v>
      </c>
      <c r="L50" s="69"/>
      <c r="M50" s="69"/>
      <c r="N50" s="69"/>
      <c r="O50" s="71"/>
      <c r="P50" s="59"/>
      <c r="Q50" s="71"/>
      <c r="R50" s="59"/>
    </row>
    <row r="51" spans="1:18" s="25" customFormat="1" ht="15.5">
      <c r="A51" s="35">
        <v>240</v>
      </c>
      <c r="B51" s="24" t="s">
        <v>201</v>
      </c>
      <c r="C51" s="14">
        <f>SUM('ALPINE MEADOW:WOODLAND'!C48)</f>
        <v>54010.35</v>
      </c>
      <c r="D51" s="14">
        <f>SUM('ALPINE MEADOW:WOODLAND'!D48)</f>
        <v>-54010.35</v>
      </c>
      <c r="E51" s="14">
        <f>SUM('ALPINE MEADOW:WOODLAND'!E48)</f>
        <v>0</v>
      </c>
      <c r="F51" s="14">
        <f>SUM('ALPINE MEADOW:WOODLAND'!F48)</f>
        <v>0</v>
      </c>
      <c r="G51" s="14">
        <f>SUM('ALPINE MEADOW:WOODLAND'!G48)</f>
        <v>0</v>
      </c>
      <c r="H51" s="92">
        <f t="shared" si="3"/>
        <v>0</v>
      </c>
      <c r="J51" s="111">
        <f t="shared" si="2"/>
        <v>0</v>
      </c>
      <c r="L51" s="69"/>
      <c r="M51" s="69"/>
      <c r="N51" s="69"/>
      <c r="O51" s="71"/>
      <c r="P51" s="59"/>
      <c r="Q51" s="71"/>
      <c r="R51" s="59"/>
    </row>
    <row r="52" spans="1:18" s="25" customFormat="1" ht="15.5">
      <c r="A52" s="35">
        <v>250</v>
      </c>
      <c r="B52" s="24" t="s">
        <v>202</v>
      </c>
      <c r="C52" s="14">
        <f>SUM('ALPINE MEADOW:WOODLAND'!C49)</f>
        <v>31680.68</v>
      </c>
      <c r="D52" s="14">
        <f>SUM('ALPINE MEADOW:WOODLAND'!D49)</f>
        <v>5299</v>
      </c>
      <c r="E52" s="14">
        <f>SUM('ALPINE MEADOW:WOODLAND'!E49)</f>
        <v>36979.68</v>
      </c>
      <c r="F52" s="14">
        <f>SUM('ALPINE MEADOW:WOODLAND'!F49)</f>
        <v>0</v>
      </c>
      <c r="G52" s="14">
        <f>SUM('ALPINE MEADOW:WOODLAND'!G49)</f>
        <v>36979.68</v>
      </c>
      <c r="H52" s="92">
        <f t="shared" si="3"/>
        <v>7.157753963204285E-5</v>
      </c>
      <c r="J52" s="111">
        <f t="shared" si="2"/>
        <v>1.9827991489653751E-2</v>
      </c>
      <c r="L52" s="69"/>
      <c r="M52" s="69"/>
      <c r="N52" s="69"/>
      <c r="O52" s="71"/>
      <c r="P52" s="59"/>
      <c r="Q52" s="71"/>
      <c r="R52" s="59"/>
    </row>
    <row r="53" spans="1:18" s="25" customFormat="1" ht="15.5">
      <c r="A53" s="35">
        <v>270</v>
      </c>
      <c r="B53" s="24" t="s">
        <v>203</v>
      </c>
      <c r="C53" s="14">
        <f>SUM('ALPINE MEADOW:WOODLAND'!C50)</f>
        <v>621169.87</v>
      </c>
      <c r="D53" s="14">
        <f>SUM('ALPINE MEADOW:WOODLAND'!D50)</f>
        <v>-621169.87</v>
      </c>
      <c r="E53" s="14">
        <f>SUM('ALPINE MEADOW:WOODLAND'!E50)</f>
        <v>0</v>
      </c>
      <c r="F53" s="14">
        <f>SUM('ALPINE MEADOW:WOODLAND'!F50)</f>
        <v>0</v>
      </c>
      <c r="G53" s="14">
        <f>SUM('ALPINE MEADOW:WOODLAND'!G50)</f>
        <v>0</v>
      </c>
      <c r="H53" s="92">
        <f t="shared" si="3"/>
        <v>0</v>
      </c>
      <c r="J53" s="111">
        <f t="shared" si="2"/>
        <v>0</v>
      </c>
      <c r="L53" s="69"/>
      <c r="M53" s="69"/>
      <c r="N53" s="69"/>
      <c r="O53" s="71"/>
      <c r="P53" s="59"/>
      <c r="Q53" s="71"/>
      <c r="R53" s="59"/>
    </row>
    <row r="54" spans="1:18" s="25" customFormat="1" ht="15.5">
      <c r="A54" s="35">
        <v>280</v>
      </c>
      <c r="B54" s="24" t="s">
        <v>204</v>
      </c>
      <c r="C54" s="14">
        <f>SUM('ALPINE MEADOW:WOODLAND'!C51)</f>
        <v>1170785.4800000002</v>
      </c>
      <c r="D54" s="14">
        <f>SUM('ALPINE MEADOW:WOODLAND'!D51)</f>
        <v>320340.86341387074</v>
      </c>
      <c r="E54" s="14">
        <f>SUM('ALPINE MEADOW:WOODLAND'!E51)</f>
        <v>1491126.3434138708</v>
      </c>
      <c r="F54" s="14">
        <f>SUM('ALPINE MEADOW:WOODLAND'!F51)</f>
        <v>69065.7</v>
      </c>
      <c r="G54" s="14">
        <f>SUM('ALPINE MEADOW:WOODLAND'!G51)</f>
        <v>1560192.043413871</v>
      </c>
      <c r="H54" s="92">
        <f t="shared" si="3"/>
        <v>3.0198938395641678E-3</v>
      </c>
      <c r="J54" s="111">
        <f t="shared" si="2"/>
        <v>0.83655333304765567</v>
      </c>
      <c r="K54" s="25">
        <v>0</v>
      </c>
      <c r="L54" s="118">
        <f>SUM('ALPINE MEADOW:WOODLAND'!J51)</f>
        <v>107232.00799293899</v>
      </c>
      <c r="M54" s="118">
        <f>SUM('ALPINE MEADOW:WOODLAND'!K51)</f>
        <v>114679.50981088472</v>
      </c>
      <c r="N54" s="119"/>
      <c r="O54" s="120">
        <f>IF(L54=0,0,G54/M54)</f>
        <v>13.604802165502338</v>
      </c>
      <c r="P54" s="59"/>
      <c r="Q54" s="121">
        <f>M54/$G$231</f>
        <v>6.1489562499402003E-2</v>
      </c>
      <c r="R54" s="59"/>
    </row>
    <row r="55" spans="1:18" s="25" customFormat="1" ht="15.5">
      <c r="A55" s="35">
        <v>290</v>
      </c>
      <c r="B55" s="24" t="s">
        <v>205</v>
      </c>
      <c r="C55" s="14">
        <f>SUM('ALPINE MEADOW:WOODLAND'!C52)</f>
        <v>75400.66</v>
      </c>
      <c r="D55" s="14">
        <f>SUM('ALPINE MEADOW:WOODLAND'!D52)</f>
        <v>150299.28156803723</v>
      </c>
      <c r="E55" s="14">
        <f>SUM('ALPINE MEADOW:WOODLAND'!E52)</f>
        <v>225699.94156803723</v>
      </c>
      <c r="F55" s="14">
        <f>SUM('ALPINE MEADOW:WOODLAND'!F52)</f>
        <v>4361.92</v>
      </c>
      <c r="G55" s="14">
        <f>SUM('ALPINE MEADOW:WOODLAND'!G52)</f>
        <v>230061.86156803725</v>
      </c>
      <c r="H55" s="92">
        <f t="shared" si="3"/>
        <v>4.4530569259138372E-4</v>
      </c>
      <c r="J55" s="111">
        <f t="shared" si="2"/>
        <v>0.12335597910162939</v>
      </c>
      <c r="L55" s="69"/>
      <c r="M55" s="69"/>
      <c r="N55" s="69"/>
      <c r="O55" s="71"/>
      <c r="P55" s="59"/>
      <c r="Q55" s="122"/>
      <c r="R55" s="59"/>
    </row>
    <row r="56" spans="1:18" s="25" customFormat="1" ht="15.5">
      <c r="A56" s="35">
        <v>300</v>
      </c>
      <c r="B56" s="24" t="s">
        <v>206</v>
      </c>
      <c r="C56" s="14">
        <f>SUM('ALPINE MEADOW:WOODLAND'!C53)</f>
        <v>39698.410000000003</v>
      </c>
      <c r="D56" s="14">
        <f>SUM('ALPINE MEADOW:WOODLAND'!D53)</f>
        <v>-33287</v>
      </c>
      <c r="E56" s="14">
        <f>SUM('ALPINE MEADOW:WOODLAND'!E53)</f>
        <v>6411.4100000000008</v>
      </c>
      <c r="F56" s="14">
        <f>SUM('ALPINE MEADOW:WOODLAND'!F53)</f>
        <v>316.51</v>
      </c>
      <c r="G56" s="14">
        <f>SUM('ALPINE MEADOW:WOODLAND'!G53)</f>
        <v>6727.920000000001</v>
      </c>
      <c r="H56" s="92">
        <f t="shared" si="3"/>
        <v>1.302250209956424E-5</v>
      </c>
      <c r="J56" s="111">
        <f t="shared" si="2"/>
        <v>3.6074173844411659E-3</v>
      </c>
      <c r="L56" s="69"/>
      <c r="M56" s="69"/>
      <c r="N56" s="69"/>
      <c r="O56" s="71"/>
      <c r="P56" s="59"/>
      <c r="Q56" s="122"/>
      <c r="R56" s="59"/>
    </row>
    <row r="57" spans="1:18" s="25" customFormat="1" ht="15.5">
      <c r="A57" s="35">
        <v>310</v>
      </c>
      <c r="B57" s="24" t="s">
        <v>207</v>
      </c>
      <c r="C57" s="14">
        <f>SUM('ALPINE MEADOW:WOODLAND'!C54)</f>
        <v>581561.05000000016</v>
      </c>
      <c r="D57" s="14">
        <f>SUM('ALPINE MEADOW:WOODLAND'!D54)</f>
        <v>25948.400000000001</v>
      </c>
      <c r="E57" s="14">
        <f>SUM('ALPINE MEADOW:WOODLAND'!E54)</f>
        <v>607509.45000000007</v>
      </c>
      <c r="F57" s="14">
        <f>SUM('ALPINE MEADOW:WOODLAND'!F54)</f>
        <v>7604.9400000000005</v>
      </c>
      <c r="G57" s="14">
        <f>SUM('ALPINE MEADOW:WOODLAND'!G54)</f>
        <v>615114.39000000013</v>
      </c>
      <c r="H57" s="92">
        <f t="shared" si="3"/>
        <v>1.1906099411478105E-3</v>
      </c>
      <c r="J57" s="111">
        <f t="shared" si="2"/>
        <v>0.32981580397893012</v>
      </c>
      <c r="L57" s="69"/>
      <c r="M57" s="69"/>
      <c r="N57" s="69"/>
      <c r="O57" s="71"/>
      <c r="P57" s="59"/>
      <c r="Q57" s="122"/>
      <c r="R57" s="59"/>
    </row>
    <row r="58" spans="1:18" s="25" customFormat="1" ht="15.5">
      <c r="A58" s="35">
        <v>320</v>
      </c>
      <c r="B58" s="24" t="s">
        <v>208</v>
      </c>
      <c r="C58" s="14">
        <f>SUM('ALPINE MEADOW:WOODLAND'!C55)</f>
        <v>1022107.4400000001</v>
      </c>
      <c r="D58" s="14">
        <f>SUM('ALPINE MEADOW:WOODLAND'!D55)</f>
        <v>-726856.95</v>
      </c>
      <c r="E58" s="14">
        <f>SUM('ALPINE MEADOW:WOODLAND'!E55)</f>
        <v>295250.49</v>
      </c>
      <c r="F58" s="14">
        <f>SUM('ALPINE MEADOW:WOODLAND'!F55)</f>
        <v>1403.2600000000002</v>
      </c>
      <c r="G58" s="14">
        <f>SUM('ALPINE MEADOW:WOODLAND'!G55)</f>
        <v>296653.75</v>
      </c>
      <c r="H58" s="92">
        <f t="shared" si="3"/>
        <v>5.7420035943034472E-4</v>
      </c>
      <c r="J58" s="111">
        <f t="shared" si="2"/>
        <v>0.15906162601660889</v>
      </c>
      <c r="L58" s="69"/>
      <c r="M58" s="69"/>
      <c r="N58" s="69"/>
      <c r="O58" s="71"/>
      <c r="P58" s="59"/>
      <c r="Q58" s="122"/>
      <c r="R58" s="59"/>
    </row>
    <row r="59" spans="1:18" s="25" customFormat="1" ht="15.5">
      <c r="A59" s="35">
        <v>330</v>
      </c>
      <c r="B59" s="24" t="s">
        <v>48</v>
      </c>
      <c r="C59" s="14">
        <f>SUM('ALPINE MEADOW:WOODLAND'!C56)</f>
        <v>3681024.43</v>
      </c>
      <c r="D59" s="14">
        <f>SUM('ALPINE MEADOW:WOODLAND'!D56)</f>
        <v>161277.99348989248</v>
      </c>
      <c r="E59" s="14">
        <f>SUM('ALPINE MEADOW:WOODLAND'!E56)</f>
        <v>3842302.4234898924</v>
      </c>
      <c r="F59" s="14">
        <f>SUM('ALPINE MEADOW:WOODLAND'!F56)</f>
        <v>55022.619999999995</v>
      </c>
      <c r="G59" s="14">
        <f>SUM('ALPINE MEADOW:WOODLAND'!G56)</f>
        <v>3897325.0434898925</v>
      </c>
      <c r="H59" s="92">
        <f t="shared" si="3"/>
        <v>7.5436276830775952E-3</v>
      </c>
      <c r="J59" s="111">
        <f t="shared" si="2"/>
        <v>2.0896916305044293</v>
      </c>
      <c r="L59" s="69"/>
      <c r="M59" s="69"/>
      <c r="N59" s="69"/>
      <c r="O59" s="71"/>
      <c r="P59" s="59"/>
      <c r="Q59" s="122"/>
      <c r="R59" s="59"/>
    </row>
    <row r="60" spans="1:18" s="25" customFormat="1" ht="15.5">
      <c r="A60" s="35">
        <v>340</v>
      </c>
      <c r="B60" s="24" t="s">
        <v>209</v>
      </c>
      <c r="C60" s="14">
        <f>SUM('ALPINE MEADOW:WOODLAND'!C57)</f>
        <v>376803.53</v>
      </c>
      <c r="D60" s="14">
        <f>SUM('ALPINE MEADOW:WOODLAND'!D57)</f>
        <v>20659</v>
      </c>
      <c r="E60" s="14">
        <f>SUM('ALPINE MEADOW:WOODLAND'!E57)</f>
        <v>397462.53</v>
      </c>
      <c r="F60" s="14">
        <f>SUM('ALPINE MEADOW:WOODLAND'!F57)</f>
        <v>16938.349999999999</v>
      </c>
      <c r="G60" s="14">
        <f>SUM('ALPINE MEADOW:WOODLAND'!G57)</f>
        <v>414400.88</v>
      </c>
      <c r="H60" s="92">
        <f t="shared" si="3"/>
        <v>8.0211065676483498E-4</v>
      </c>
      <c r="J60" s="111">
        <f t="shared" si="2"/>
        <v>0.222196003912014</v>
      </c>
      <c r="L60" s="69"/>
      <c r="M60" s="69"/>
      <c r="N60" s="69"/>
      <c r="O60" s="71"/>
      <c r="P60" s="59"/>
      <c r="Q60" s="122"/>
      <c r="R60" s="59"/>
    </row>
    <row r="61" spans="1:18" s="25" customFormat="1" ht="15.5">
      <c r="A61" s="35">
        <v>350</v>
      </c>
      <c r="B61" s="24" t="s">
        <v>210</v>
      </c>
      <c r="C61" s="14">
        <f>SUM('ALPINE MEADOW:WOODLAND'!C58)</f>
        <v>655150.17000000004</v>
      </c>
      <c r="D61" s="14">
        <f>SUM('ALPINE MEADOW:WOODLAND'!D58)</f>
        <v>-344659.14999999997</v>
      </c>
      <c r="E61" s="14">
        <f>SUM('ALPINE MEADOW:WOODLAND'!E58)</f>
        <v>310491.02</v>
      </c>
      <c r="F61" s="14">
        <f>SUM('ALPINE MEADOW:WOODLAND'!F58)</f>
        <v>-63038.14</v>
      </c>
      <c r="G61" s="14">
        <f>SUM('ALPINE MEADOW:WOODLAND'!G58)</f>
        <v>233233.02999999997</v>
      </c>
      <c r="H61" s="92">
        <f t="shared" si="3"/>
        <v>4.5144377799717129E-4</v>
      </c>
      <c r="J61" s="111">
        <f t="shared" si="2"/>
        <v>0.12505631562918224</v>
      </c>
      <c r="L61" s="69"/>
      <c r="M61" s="69"/>
      <c r="N61" s="69"/>
      <c r="O61" s="71"/>
      <c r="P61" s="59"/>
      <c r="Q61" s="122"/>
      <c r="R61" s="59"/>
    </row>
    <row r="62" spans="1:18" s="25" customFormat="1" ht="15.5">
      <c r="A62" s="35">
        <v>360</v>
      </c>
      <c r="B62" s="24" t="s">
        <v>211</v>
      </c>
      <c r="C62" s="14">
        <f>SUM('ALPINE MEADOW:WOODLAND'!C59)</f>
        <v>58902.29</v>
      </c>
      <c r="D62" s="14">
        <f>SUM('ALPINE MEADOW:WOODLAND'!D59)</f>
        <v>-153</v>
      </c>
      <c r="E62" s="14">
        <f>SUM('ALPINE MEADOW:WOODLAND'!E59)</f>
        <v>58749.29</v>
      </c>
      <c r="F62" s="14">
        <f>SUM('ALPINE MEADOW:WOODLAND'!F59)</f>
        <v>-40391</v>
      </c>
      <c r="G62" s="14">
        <f>SUM('ALPINE MEADOW:WOODLAND'!G59)</f>
        <v>18358.29</v>
      </c>
      <c r="H62" s="92">
        <f t="shared" si="3"/>
        <v>3.5534142806307031E-5</v>
      </c>
      <c r="J62" s="111">
        <f t="shared" si="2"/>
        <v>9.8434604594900658E-3</v>
      </c>
      <c r="L62" s="69"/>
      <c r="M62" s="69"/>
      <c r="N62" s="69"/>
      <c r="O62" s="71"/>
      <c r="P62" s="59"/>
      <c r="Q62" s="122"/>
      <c r="R62" s="59"/>
    </row>
    <row r="63" spans="1:18" s="25" customFormat="1" ht="15.5">
      <c r="A63" s="35">
        <v>490</v>
      </c>
      <c r="B63" s="24" t="s">
        <v>266</v>
      </c>
      <c r="C63" s="14">
        <f>SUM('ALPINE MEADOW:WOODLAND'!C60)</f>
        <v>5333200.72</v>
      </c>
      <c r="D63" s="14">
        <f>SUM('ALPINE MEADOW:WOODLAND'!D60)</f>
        <v>-3772448.47</v>
      </c>
      <c r="E63" s="14">
        <f>SUM('ALPINE MEADOW:WOODLAND'!E60)</f>
        <v>1560752.2500000002</v>
      </c>
      <c r="F63" s="14">
        <f>SUM('ALPINE MEADOW:WOODLAND'!F60)</f>
        <v>-432267.64999999997</v>
      </c>
      <c r="G63" s="14">
        <f>SUM('ALPINE MEADOW:WOODLAND'!G60)</f>
        <v>1128484.6000000003</v>
      </c>
      <c r="H63" s="92">
        <f t="shared" si="3"/>
        <v>2.1842847526168437E-3</v>
      </c>
      <c r="J63" s="111">
        <f t="shared" si="2"/>
        <v>0.60507778988366923</v>
      </c>
      <c r="L63" s="69"/>
      <c r="M63" s="69"/>
      <c r="N63" s="69"/>
      <c r="O63" s="71"/>
      <c r="P63" s="59"/>
      <c r="Q63" s="122"/>
      <c r="R63" s="59"/>
    </row>
    <row r="64" spans="1:18" s="25" customFormat="1" ht="15.5">
      <c r="A64" s="35"/>
      <c r="B64" s="3" t="s">
        <v>177</v>
      </c>
      <c r="C64" s="14">
        <f>SUM('ALPINE MEADOW:WOODLAND'!C61)</f>
        <v>143759118.32234153</v>
      </c>
      <c r="D64" s="14">
        <f>SUM('ALPINE MEADOW:WOODLAND'!D61)</f>
        <v>-38282228.599223509</v>
      </c>
      <c r="E64" s="14">
        <f>SUM('ALPINE MEADOW:WOODLAND'!E61)</f>
        <v>105476889.72311804</v>
      </c>
      <c r="F64" s="14">
        <f>SUM('ALPINE MEADOW:WOODLAND'!F61)</f>
        <v>768170.04446774721</v>
      </c>
      <c r="G64" s="14">
        <f>SUM('ALPINE MEADOW:WOODLAND'!G61)</f>
        <v>106230839.91758579</v>
      </c>
      <c r="H64" s="92">
        <f t="shared" si="3"/>
        <v>0.20561946870135697</v>
      </c>
      <c r="J64" s="111">
        <f t="shared" si="2"/>
        <v>56.959502889821145</v>
      </c>
      <c r="L64" s="69"/>
      <c r="M64" s="69"/>
      <c r="N64" s="69"/>
      <c r="O64" s="71"/>
      <c r="P64" s="58"/>
      <c r="Q64" s="122"/>
      <c r="R64" s="58"/>
    </row>
    <row r="65" spans="1:18" s="25" customFormat="1" ht="15.5">
      <c r="A65" s="35"/>
      <c r="C65" s="17"/>
      <c r="D65" s="17"/>
      <c r="E65" s="17"/>
      <c r="F65" s="17"/>
      <c r="G65" s="17"/>
      <c r="H65" s="22"/>
      <c r="J65" s="123"/>
      <c r="L65" s="68"/>
      <c r="M65" s="68"/>
      <c r="N65" s="68"/>
      <c r="Q65" s="124"/>
    </row>
    <row r="66" spans="1:18" s="25" customFormat="1" ht="15.5">
      <c r="A66" s="32" t="s">
        <v>162</v>
      </c>
      <c r="B66" s="24" t="s">
        <v>178</v>
      </c>
      <c r="C66" s="64"/>
      <c r="D66" s="64"/>
      <c r="E66" s="64"/>
      <c r="F66" s="65"/>
      <c r="G66" s="65"/>
      <c r="H66" s="22"/>
      <c r="J66" s="123"/>
      <c r="L66" s="68"/>
      <c r="M66" s="68"/>
      <c r="N66" s="68"/>
      <c r="Q66" s="124"/>
    </row>
    <row r="67" spans="1:18" s="25" customFormat="1" ht="15.5">
      <c r="A67" s="32">
        <v>230</v>
      </c>
      <c r="B67" s="24" t="s">
        <v>253</v>
      </c>
      <c r="C67" s="14">
        <f>SUM('ALPINE MEADOW:WOODLAND'!C64)</f>
        <v>31629950.890000001</v>
      </c>
      <c r="D67" s="14">
        <f>SUM('ALPINE MEADOW:WOODLAND'!D64)</f>
        <v>-15147571.952411233</v>
      </c>
      <c r="E67" s="14">
        <f>SUM('ALPINE MEADOW:WOODLAND'!E64)</f>
        <v>16482378.937588766</v>
      </c>
      <c r="F67" s="14">
        <f>SUM('ALPINE MEADOW:WOODLAND'!F64)</f>
        <v>-7903325</v>
      </c>
      <c r="G67" s="14">
        <f>SUM('ALPINE MEADOW:WOODLAND'!G64)</f>
        <v>8579053.9375887644</v>
      </c>
      <c r="H67" s="92">
        <f t="shared" ref="H67:H81" si="4">IF($G$211=0,0,G67/$G$211)</f>
        <v>1.6605540481237073E-2</v>
      </c>
      <c r="J67" s="111">
        <f t="shared" ref="J67:J82" si="5">IF(G67=0,0,G67/$G$231)</f>
        <v>4.5999697256382568</v>
      </c>
      <c r="L67" s="90"/>
      <c r="M67" s="90"/>
      <c r="N67" s="90"/>
      <c r="O67" s="112"/>
      <c r="P67" s="113"/>
      <c r="Q67" s="125"/>
      <c r="R67" s="58"/>
    </row>
    <row r="68" spans="1:18" s="25" customFormat="1" ht="15.5">
      <c r="A68" s="32">
        <v>240</v>
      </c>
      <c r="B68" s="24" t="s">
        <v>254</v>
      </c>
      <c r="C68" s="14">
        <f>SUM('ALPINE MEADOW:WOODLAND'!C65)</f>
        <v>4942134.17</v>
      </c>
      <c r="D68" s="14">
        <f>SUM('ALPINE MEADOW:WOODLAND'!D65)</f>
        <v>3423337.7899999996</v>
      </c>
      <c r="E68" s="14">
        <f>SUM('ALPINE MEADOW:WOODLAND'!E65)</f>
        <v>8365471.9600000009</v>
      </c>
      <c r="F68" s="14">
        <f>SUM('ALPINE MEADOW:WOODLAND'!F65)</f>
        <v>3324885.92</v>
      </c>
      <c r="G68" s="14">
        <f>SUM('ALPINE MEADOW:WOODLAND'!G65)</f>
        <v>11690357.880000001</v>
      </c>
      <c r="H68" s="92">
        <f t="shared" si="4"/>
        <v>2.2627752713610946E-2</v>
      </c>
      <c r="J68" s="111">
        <f t="shared" si="5"/>
        <v>6.2682077442435062</v>
      </c>
      <c r="L68" s="90"/>
      <c r="M68" s="90"/>
      <c r="N68" s="90"/>
      <c r="O68" s="112"/>
      <c r="P68" s="113"/>
      <c r="Q68" s="125"/>
      <c r="R68" s="58"/>
    </row>
    <row r="69" spans="1:18" s="25" customFormat="1" ht="15.5">
      <c r="A69" s="32">
        <v>250</v>
      </c>
      <c r="B69" s="24" t="s">
        <v>255</v>
      </c>
      <c r="C69" s="14">
        <f>SUM('ALPINE MEADOW:WOODLAND'!C66)</f>
        <v>3552344.5</v>
      </c>
      <c r="D69" s="14">
        <f>SUM('ALPINE MEADOW:WOODLAND'!D66)</f>
        <v>4308510.1400000006</v>
      </c>
      <c r="E69" s="14">
        <f>SUM('ALPINE MEADOW:WOODLAND'!E66)</f>
        <v>7860854.6399999997</v>
      </c>
      <c r="F69" s="14">
        <f>SUM('ALPINE MEADOW:WOODLAND'!F66)</f>
        <v>2381419.06</v>
      </c>
      <c r="G69" s="14">
        <f>SUM('ALPINE MEADOW:WOODLAND'!G66)</f>
        <v>10242273.699999999</v>
      </c>
      <c r="H69" s="92">
        <f t="shared" si="4"/>
        <v>1.9824853857144789E-2</v>
      </c>
      <c r="J69" s="111">
        <f t="shared" si="5"/>
        <v>5.4917650925671726</v>
      </c>
      <c r="L69" s="90"/>
      <c r="M69" s="90"/>
      <c r="N69" s="90"/>
      <c r="O69" s="112"/>
      <c r="P69" s="113"/>
      <c r="Q69" s="125"/>
      <c r="R69" s="58"/>
    </row>
    <row r="70" spans="1:18" s="25" customFormat="1" ht="15.5">
      <c r="A70" s="32">
        <v>260</v>
      </c>
      <c r="B70" s="24" t="s">
        <v>256</v>
      </c>
      <c r="C70" s="14">
        <f>SUM('ALPINE MEADOW:WOODLAND'!C67)</f>
        <v>2372341.6800000002</v>
      </c>
      <c r="D70" s="14">
        <f>SUM('ALPINE MEADOW:WOODLAND'!D67)</f>
        <v>95770.050682450077</v>
      </c>
      <c r="E70" s="14">
        <f>SUM('ALPINE MEADOW:WOODLAND'!E67)</f>
        <v>2468111.7306824508</v>
      </c>
      <c r="F70" s="14">
        <f>SUM('ALPINE MEADOW:WOODLAND'!F67)</f>
        <v>38073</v>
      </c>
      <c r="G70" s="14">
        <f>SUM('ALPINE MEADOW:WOODLAND'!G67)</f>
        <v>2506184.7306824508</v>
      </c>
      <c r="H70" s="92">
        <f t="shared" si="4"/>
        <v>4.8509488693694418E-3</v>
      </c>
      <c r="J70" s="111">
        <f t="shared" si="5"/>
        <v>1.3437814905773067</v>
      </c>
      <c r="L70" s="90"/>
      <c r="M70" s="90"/>
      <c r="N70" s="90"/>
      <c r="O70" s="112"/>
      <c r="P70" s="113"/>
      <c r="Q70" s="125"/>
      <c r="R70" s="58"/>
    </row>
    <row r="71" spans="1:18" s="25" customFormat="1" ht="15.5">
      <c r="A71" s="32">
        <v>270</v>
      </c>
      <c r="B71" s="24" t="s">
        <v>257</v>
      </c>
      <c r="C71" s="14">
        <f>SUM('ALPINE MEADOW:WOODLAND'!C68)</f>
        <v>895856.8</v>
      </c>
      <c r="D71" s="14">
        <f>SUM('ALPINE MEADOW:WOODLAND'!D68)</f>
        <v>-31195.300000000003</v>
      </c>
      <c r="E71" s="14">
        <f>SUM('ALPINE MEADOW:WOODLAND'!E68)</f>
        <v>864661.5</v>
      </c>
      <c r="F71" s="14">
        <f>SUM('ALPINE MEADOW:WOODLAND'!F68)</f>
        <v>35922.229999999996</v>
      </c>
      <c r="G71" s="14">
        <f>SUM('ALPINE MEADOW:WOODLAND'!G68)</f>
        <v>900583.73</v>
      </c>
      <c r="H71" s="92">
        <f t="shared" si="4"/>
        <v>1.7431618560800951E-3</v>
      </c>
      <c r="J71" s="111">
        <f t="shared" si="5"/>
        <v>0.48288050448680553</v>
      </c>
      <c r="L71" s="90"/>
      <c r="M71" s="90"/>
      <c r="N71" s="90"/>
      <c r="O71" s="112"/>
      <c r="P71" s="113"/>
      <c r="Q71" s="125"/>
      <c r="R71" s="58"/>
    </row>
    <row r="72" spans="1:18" s="25" customFormat="1" ht="15.5">
      <c r="A72" s="32">
        <v>280</v>
      </c>
      <c r="B72" s="24" t="s">
        <v>258</v>
      </c>
      <c r="C72" s="14">
        <f>SUM('ALPINE MEADOW:WOODLAND'!C69)</f>
        <v>390382.50999999995</v>
      </c>
      <c r="D72" s="14">
        <f>SUM('ALPINE MEADOW:WOODLAND'!D69)</f>
        <v>10049.799999999999</v>
      </c>
      <c r="E72" s="14">
        <f>SUM('ALPINE MEADOW:WOODLAND'!E69)</f>
        <v>400432.30999999988</v>
      </c>
      <c r="F72" s="14">
        <f>SUM('ALPINE MEADOW:WOODLAND'!F69)</f>
        <v>7310.46</v>
      </c>
      <c r="G72" s="14">
        <f>SUM('ALPINE MEADOW:WOODLAND'!G69)</f>
        <v>407742.7699999999</v>
      </c>
      <c r="H72" s="92">
        <f t="shared" si="4"/>
        <v>7.8922327828023179E-4</v>
      </c>
      <c r="J72" s="111">
        <f t="shared" si="5"/>
        <v>0.21862601768127377</v>
      </c>
      <c r="L72" s="90"/>
      <c r="M72" s="90"/>
      <c r="N72" s="90"/>
      <c r="O72" s="112"/>
      <c r="P72" s="113"/>
      <c r="Q72" s="125"/>
      <c r="R72" s="58"/>
    </row>
    <row r="73" spans="1:18" s="25" customFormat="1" ht="15.5">
      <c r="A73" s="32">
        <v>290</v>
      </c>
      <c r="B73" s="24" t="s">
        <v>259</v>
      </c>
      <c r="C73" s="14">
        <f>SUM('ALPINE MEADOW:WOODLAND'!C70)</f>
        <v>4282.42</v>
      </c>
      <c r="D73" s="14">
        <f>SUM('ALPINE MEADOW:WOODLAND'!D70)</f>
        <v>0</v>
      </c>
      <c r="E73" s="14">
        <f>SUM('ALPINE MEADOW:WOODLAND'!E70)</f>
        <v>4282.42</v>
      </c>
      <c r="F73" s="14">
        <f>SUM('ALPINE MEADOW:WOODLAND'!F70)</f>
        <v>1111</v>
      </c>
      <c r="G73" s="14">
        <f>SUM('ALPINE MEADOW:WOODLAND'!G70)</f>
        <v>5393.42</v>
      </c>
      <c r="H73" s="92">
        <f t="shared" si="4"/>
        <v>1.0439455771446711E-5</v>
      </c>
      <c r="J73" s="111">
        <f t="shared" si="5"/>
        <v>2.8918769946124018E-3</v>
      </c>
      <c r="L73" s="90"/>
      <c r="M73" s="90"/>
      <c r="N73" s="90"/>
      <c r="O73" s="112"/>
      <c r="P73" s="113"/>
      <c r="Q73" s="125"/>
      <c r="R73" s="58"/>
    </row>
    <row r="74" spans="1:18" s="25" customFormat="1" ht="15.5">
      <c r="A74" s="32">
        <v>300</v>
      </c>
      <c r="B74" s="24" t="s">
        <v>260</v>
      </c>
      <c r="C74" s="14">
        <f>SUM('ALPINE MEADOW:WOODLAND'!C71)</f>
        <v>8549.66</v>
      </c>
      <c r="D74" s="14">
        <f>SUM('ALPINE MEADOW:WOODLAND'!D71)</f>
        <v>0</v>
      </c>
      <c r="E74" s="14">
        <f>SUM('ALPINE MEADOW:WOODLAND'!E71)</f>
        <v>8549.66</v>
      </c>
      <c r="F74" s="14">
        <f>SUM('ALPINE MEADOW:WOODLAND'!F71)</f>
        <v>0</v>
      </c>
      <c r="G74" s="14">
        <f>SUM('ALPINE MEADOW:WOODLAND'!G71)</f>
        <v>8549.66</v>
      </c>
      <c r="H74" s="92">
        <f t="shared" si="4"/>
        <v>1.6548645837132487E-5</v>
      </c>
      <c r="J74" s="111">
        <f t="shared" si="5"/>
        <v>4.58420910401153E-3</v>
      </c>
      <c r="L74" s="90"/>
      <c r="M74" s="90"/>
      <c r="N74" s="90"/>
      <c r="O74" s="112"/>
      <c r="P74" s="113"/>
      <c r="Q74" s="125"/>
      <c r="R74" s="58"/>
    </row>
    <row r="75" spans="1:18" s="25" customFormat="1" ht="15.5">
      <c r="A75" s="32">
        <v>310</v>
      </c>
      <c r="B75" s="2" t="s">
        <v>261</v>
      </c>
      <c r="C75" s="14">
        <f>SUM('ALPINE MEADOW:WOODLAND'!C72)</f>
        <v>256615.06</v>
      </c>
      <c r="D75" s="14">
        <f>SUM('ALPINE MEADOW:WOODLAND'!D72)</f>
        <v>22949.65</v>
      </c>
      <c r="E75" s="14">
        <f>SUM('ALPINE MEADOW:WOODLAND'!E72)</f>
        <v>279564.70999999996</v>
      </c>
      <c r="F75" s="14">
        <f>SUM('ALPINE MEADOW:WOODLAND'!F72)</f>
        <v>6992.9599999999991</v>
      </c>
      <c r="G75" s="14">
        <f>SUM('ALPINE MEADOW:WOODLAND'!G72)</f>
        <v>286557.67</v>
      </c>
      <c r="H75" s="92">
        <f t="shared" si="4"/>
        <v>5.5465847679836205E-4</v>
      </c>
      <c r="J75" s="111">
        <f t="shared" si="5"/>
        <v>0.1536482479582032</v>
      </c>
      <c r="L75" s="90"/>
      <c r="M75" s="90"/>
      <c r="N75" s="90"/>
      <c r="O75" s="112"/>
      <c r="P75" s="113"/>
      <c r="Q75" s="125"/>
      <c r="R75" s="58"/>
    </row>
    <row r="76" spans="1:18" s="25" customFormat="1" ht="15.5">
      <c r="A76" s="32">
        <v>320</v>
      </c>
      <c r="B76" s="2" t="s">
        <v>262</v>
      </c>
      <c r="C76" s="14">
        <f>SUM('ALPINE MEADOW:WOODLAND'!C73)</f>
        <v>1902702.69</v>
      </c>
      <c r="D76" s="14">
        <f>SUM('ALPINE MEADOW:WOODLAND'!D73)</f>
        <v>-5677.0091722062389</v>
      </c>
      <c r="E76" s="14">
        <f>SUM('ALPINE MEADOW:WOODLAND'!E73)</f>
        <v>1897025.6808277937</v>
      </c>
      <c r="F76" s="14">
        <f>SUM('ALPINE MEADOW:WOODLAND'!F73)</f>
        <v>153201</v>
      </c>
      <c r="G76" s="14">
        <f>SUM('ALPINE MEADOW:WOODLAND'!G73)</f>
        <v>2050226.6808277937</v>
      </c>
      <c r="H76" s="92">
        <f t="shared" si="4"/>
        <v>3.968400524331824E-3</v>
      </c>
      <c r="J76" s="111">
        <f t="shared" si="5"/>
        <v>1.099303108607607</v>
      </c>
      <c r="L76" s="90"/>
      <c r="M76" s="90"/>
      <c r="N76" s="90"/>
      <c r="O76" s="112"/>
      <c r="P76" s="113"/>
      <c r="Q76" s="125"/>
      <c r="R76" s="58"/>
    </row>
    <row r="77" spans="1:18" s="25" customFormat="1" ht="15.5">
      <c r="A77" s="32">
        <v>330</v>
      </c>
      <c r="B77" s="2" t="s">
        <v>263</v>
      </c>
      <c r="C77" s="14">
        <f>SUM('ALPINE MEADOW:WOODLAND'!C74)</f>
        <v>3791091.37</v>
      </c>
      <c r="D77" s="14">
        <f>SUM('ALPINE MEADOW:WOODLAND'!D74)</f>
        <v>11027.920000000006</v>
      </c>
      <c r="E77" s="14">
        <f>SUM('ALPINE MEADOW:WOODLAND'!E74)</f>
        <v>3802119.2899999996</v>
      </c>
      <c r="F77" s="14">
        <f>SUM('ALPINE MEADOW:WOODLAND'!F74)</f>
        <v>375193.3</v>
      </c>
      <c r="G77" s="14">
        <f>SUM('ALPINE MEADOW:WOODLAND'!G74)</f>
        <v>4177312.59</v>
      </c>
      <c r="H77" s="92">
        <f t="shared" si="4"/>
        <v>8.0855690872975797E-3</v>
      </c>
      <c r="J77" s="111">
        <f t="shared" si="5"/>
        <v>2.2398170693781956</v>
      </c>
      <c r="L77" s="90"/>
      <c r="M77" s="90"/>
      <c r="N77" s="90"/>
      <c r="O77" s="112"/>
      <c r="P77" s="113"/>
      <c r="Q77" s="125"/>
      <c r="R77" s="58"/>
    </row>
    <row r="78" spans="1:18" s="25" customFormat="1" ht="15.5">
      <c r="A78" s="32">
        <v>340</v>
      </c>
      <c r="B78" s="2" t="s">
        <v>264</v>
      </c>
      <c r="C78" s="14">
        <f>SUM('ALPINE MEADOW:WOODLAND'!C75)</f>
        <v>229709.71</v>
      </c>
      <c r="D78" s="14">
        <f>SUM('ALPINE MEADOW:WOODLAND'!D75)</f>
        <v>98216</v>
      </c>
      <c r="E78" s="14">
        <f>SUM('ALPINE MEADOW:WOODLAND'!E75)</f>
        <v>327925.70999999996</v>
      </c>
      <c r="F78" s="14">
        <f>SUM('ALPINE MEADOW:WOODLAND'!F75)</f>
        <v>-171152</v>
      </c>
      <c r="G78" s="14">
        <f>SUM('ALPINE MEADOW:WOODLAND'!G75)</f>
        <v>156773.71</v>
      </c>
      <c r="H78" s="92">
        <f t="shared" si="4"/>
        <v>3.0344979839704917E-4</v>
      </c>
      <c r="J78" s="111">
        <f t="shared" si="5"/>
        <v>8.4059888773549293E-2</v>
      </c>
      <c r="L78" s="90"/>
      <c r="M78" s="90"/>
      <c r="N78" s="90"/>
      <c r="O78" s="112"/>
      <c r="P78" s="113"/>
      <c r="Q78" s="125"/>
      <c r="R78" s="58"/>
    </row>
    <row r="79" spans="1:18" s="25" customFormat="1" ht="15.5">
      <c r="A79" s="32">
        <v>350</v>
      </c>
      <c r="B79" s="2" t="s">
        <v>265</v>
      </c>
      <c r="C79" s="14">
        <f>SUM('ALPINE MEADOW:WOODLAND'!C76)</f>
        <v>299631.65000000002</v>
      </c>
      <c r="D79" s="14">
        <f>SUM('ALPINE MEADOW:WOODLAND'!D76)</f>
        <v>30812.809999999998</v>
      </c>
      <c r="E79" s="14">
        <f>SUM('ALPINE MEADOW:WOODLAND'!E76)</f>
        <v>330444.46000000002</v>
      </c>
      <c r="F79" s="14">
        <f>SUM('ALPINE MEADOW:WOODLAND'!F76)</f>
        <v>-281</v>
      </c>
      <c r="G79" s="14">
        <f>SUM('ALPINE MEADOW:WOODLAND'!G76)</f>
        <v>330163.46000000002</v>
      </c>
      <c r="H79" s="92">
        <f t="shared" si="4"/>
        <v>6.3906145599968399E-4</v>
      </c>
      <c r="J79" s="111">
        <f t="shared" si="5"/>
        <v>0.17702906772245292</v>
      </c>
      <c r="L79" s="90"/>
      <c r="M79" s="90"/>
      <c r="N79" s="90"/>
      <c r="O79" s="112"/>
      <c r="P79" s="113"/>
      <c r="Q79" s="125"/>
      <c r="R79" s="58"/>
    </row>
    <row r="80" spans="1:18" s="25" customFormat="1" ht="15.5">
      <c r="A80" s="32">
        <v>360</v>
      </c>
      <c r="B80" s="2" t="s">
        <v>192</v>
      </c>
      <c r="C80" s="14">
        <f>SUM('ALPINE MEADOW:WOODLAND'!C77)</f>
        <v>-85480</v>
      </c>
      <c r="D80" s="14">
        <f>SUM('ALPINE MEADOW:WOODLAND'!D77)</f>
        <v>0</v>
      </c>
      <c r="E80" s="14">
        <f>SUM('ALPINE MEADOW:WOODLAND'!E77)</f>
        <v>-85480</v>
      </c>
      <c r="F80" s="14">
        <f>SUM('ALPINE MEADOW:WOODLAND'!F77)</f>
        <v>0</v>
      </c>
      <c r="G80" s="14">
        <f>SUM('ALPINE MEADOW:WOODLAND'!G77)</f>
        <v>-85480</v>
      </c>
      <c r="H80" s="92">
        <f t="shared" si="4"/>
        <v>-1.6545432755900059E-4</v>
      </c>
      <c r="J80" s="111">
        <f t="shared" si="5"/>
        <v>-4.5833190350365462E-2</v>
      </c>
      <c r="L80" s="90"/>
      <c r="M80" s="90"/>
      <c r="N80" s="90"/>
      <c r="O80" s="112"/>
      <c r="P80" s="113"/>
      <c r="Q80" s="125"/>
      <c r="R80" s="58"/>
    </row>
    <row r="81" spans="1:18" s="25" customFormat="1" ht="15.5">
      <c r="A81" s="32">
        <v>490</v>
      </c>
      <c r="B81" s="2" t="s">
        <v>266</v>
      </c>
      <c r="C81" s="14">
        <f>SUM('ALPINE MEADOW:WOODLAND'!C78)</f>
        <v>54563.18</v>
      </c>
      <c r="D81" s="14">
        <f>SUM('ALPINE MEADOW:WOODLAND'!D78)</f>
        <v>-63298.894510987499</v>
      </c>
      <c r="E81" s="14">
        <f>SUM('ALPINE MEADOW:WOODLAND'!E78)</f>
        <v>-8735.7145109874982</v>
      </c>
      <c r="F81" s="14">
        <f>SUM('ALPINE MEADOW:WOODLAND'!F78)</f>
        <v>-1105</v>
      </c>
      <c r="G81" s="14">
        <f>SUM('ALPINE MEADOW:WOODLAND'!G78)</f>
        <v>-9840.7145109874982</v>
      </c>
      <c r="H81" s="92">
        <f t="shared" si="4"/>
        <v>-1.9047599463214036E-5</v>
      </c>
      <c r="J81" s="111">
        <f t="shared" si="5"/>
        <v>-5.2764546252420871E-3</v>
      </c>
      <c r="L81" s="90"/>
      <c r="M81" s="90"/>
      <c r="N81" s="90"/>
      <c r="O81" s="112"/>
      <c r="P81" s="113"/>
      <c r="Q81" s="125"/>
      <c r="R81" s="58"/>
    </row>
    <row r="82" spans="1:18" s="25" customFormat="1" ht="15.5">
      <c r="A82" s="35"/>
      <c r="B82" s="3" t="s">
        <v>150</v>
      </c>
      <c r="C82" s="14">
        <f>SUM('ALPINE MEADOW:WOODLAND'!C79)</f>
        <v>50244676.290000007</v>
      </c>
      <c r="D82" s="14">
        <f>SUM('ALPINE MEADOW:WOODLAND'!D79)</f>
        <v>-7247068.995411979</v>
      </c>
      <c r="E82" s="14">
        <f>SUM('ALPINE MEADOW:WOODLAND'!E79)</f>
        <v>42997607.294588014</v>
      </c>
      <c r="F82" s="14">
        <f>SUM('ALPINE MEADOW:WOODLAND'!F79)</f>
        <v>-1751754.0699999998</v>
      </c>
      <c r="G82" s="14">
        <f>SUM('ALPINE MEADOW:WOODLAND'!G79)</f>
        <v>41245853.224588022</v>
      </c>
      <c r="H82" s="92">
        <f>SUM(H67:H81)</f>
        <v>7.9835106573133446E-2</v>
      </c>
      <c r="J82" s="111">
        <f t="shared" si="5"/>
        <v>22.115454398757347</v>
      </c>
      <c r="L82" s="90"/>
      <c r="M82" s="90"/>
      <c r="N82" s="90"/>
      <c r="O82" s="112"/>
      <c r="P82" s="113"/>
      <c r="Q82" s="125"/>
      <c r="R82" s="58"/>
    </row>
    <row r="83" spans="1:18" s="25" customFormat="1" ht="15.5">
      <c r="A83" s="35"/>
      <c r="B83" s="24"/>
      <c r="C83" s="17"/>
      <c r="D83" s="17"/>
      <c r="E83" s="17"/>
      <c r="F83" s="17"/>
      <c r="G83" s="17"/>
      <c r="H83" s="72"/>
      <c r="J83" s="123"/>
      <c r="L83" s="93"/>
      <c r="M83" s="93"/>
      <c r="N83" s="93"/>
      <c r="O83" s="93"/>
      <c r="P83" s="93"/>
      <c r="Q83" s="126"/>
    </row>
    <row r="84" spans="1:18" s="25" customFormat="1" ht="15.5">
      <c r="A84" s="32" t="s">
        <v>163</v>
      </c>
      <c r="B84" s="24" t="s">
        <v>43</v>
      </c>
      <c r="C84" s="64"/>
      <c r="D84" s="64"/>
      <c r="E84" s="64"/>
      <c r="F84" s="65"/>
      <c r="G84" s="65"/>
      <c r="H84" s="94"/>
      <c r="J84" s="123"/>
      <c r="L84" s="93"/>
      <c r="M84" s="93"/>
      <c r="N84" s="93"/>
      <c r="O84" s="93"/>
      <c r="P84" s="93"/>
      <c r="Q84" s="126"/>
    </row>
    <row r="85" spans="1:18" s="25" customFormat="1" ht="15.5">
      <c r="A85" s="32" t="s">
        <v>85</v>
      </c>
      <c r="B85" s="24" t="s">
        <v>44</v>
      </c>
      <c r="C85" s="14">
        <f>SUM('ALPINE MEADOW:WOODLAND'!C82)</f>
        <v>4456571.3999999994</v>
      </c>
      <c r="D85" s="14">
        <f>SUM('ALPINE MEADOW:WOODLAND'!D82)</f>
        <v>133597.95734049403</v>
      </c>
      <c r="E85" s="14">
        <f>SUM('ALPINE MEADOW:WOODLAND'!E82)</f>
        <v>4590169.3573404932</v>
      </c>
      <c r="F85" s="14">
        <f>SUM('ALPINE MEADOW:WOODLAND'!F82)</f>
        <v>156875.57</v>
      </c>
      <c r="G85" s="14">
        <f>SUM('ALPINE MEADOW:WOODLAND'!G82)</f>
        <v>4747044.9273404935</v>
      </c>
      <c r="H85" s="92">
        <f>IF($G$211=0,0,G85/$G$211)</f>
        <v>9.1883379310421856E-3</v>
      </c>
      <c r="J85" s="111">
        <f t="shared" ref="J85:J96" si="6">IF(G85=0,0,G85/$G$231)</f>
        <v>2.5452996461924853</v>
      </c>
      <c r="K85" s="25">
        <v>1955.33</v>
      </c>
      <c r="L85" s="118">
        <f>SUM('ALPINE MEADOW:WOODLAND'!J82)</f>
        <v>240572.72471746083</v>
      </c>
      <c r="M85" s="118">
        <f>SUM('ALPINE MEADOW:WOODLAND'!K82)</f>
        <v>258762.36839626604</v>
      </c>
      <c r="N85" s="119"/>
      <c r="O85" s="120">
        <f>IF(L85=0,0,G85/M85)</f>
        <v>18.34519044156729</v>
      </c>
      <c r="P85" s="59"/>
      <c r="Q85" s="121">
        <f>M85/$G$231</f>
        <v>0.13874479277278257</v>
      </c>
      <c r="R85" s="58"/>
    </row>
    <row r="86" spans="1:18" s="25" customFormat="1" ht="15.5">
      <c r="A86" s="32" t="s">
        <v>86</v>
      </c>
      <c r="B86" s="24" t="s">
        <v>45</v>
      </c>
      <c r="C86" s="14">
        <f>SUM('ALPINE MEADOW:WOODLAND'!C83)</f>
        <v>512504.48000000004</v>
      </c>
      <c r="D86" s="14">
        <f>SUM('ALPINE MEADOW:WOODLAND'!D83)</f>
        <v>354538.68080262298</v>
      </c>
      <c r="E86" s="14">
        <f>SUM('ALPINE MEADOW:WOODLAND'!E83)</f>
        <v>867043.16080262291</v>
      </c>
      <c r="F86" s="14">
        <f>SUM('ALPINE MEADOW:WOODLAND'!F83)</f>
        <v>26526.23</v>
      </c>
      <c r="G86" s="14">
        <f>SUM('ALPINE MEADOW:WOODLAND'!G83)</f>
        <v>893569.39080262289</v>
      </c>
      <c r="H86" s="92">
        <f t="shared" ref="H86:H96" si="7">IF($G$211=0,0,G86/$G$211)</f>
        <v>1.7295849635301096E-3</v>
      </c>
      <c r="J86" s="111">
        <f t="shared" si="6"/>
        <v>0.47911951310150586</v>
      </c>
      <c r="L86" s="90"/>
      <c r="M86" s="90"/>
      <c r="N86" s="90"/>
      <c r="O86" s="112"/>
      <c r="P86" s="113"/>
      <c r="Q86" s="125"/>
      <c r="R86" s="58"/>
    </row>
    <row r="87" spans="1:18" s="25" customFormat="1" ht="15.5">
      <c r="A87" s="32" t="s">
        <v>93</v>
      </c>
      <c r="B87" s="24" t="s">
        <v>47</v>
      </c>
      <c r="C87" s="14">
        <f>SUM('ALPINE MEADOW:WOODLAND'!C84)</f>
        <v>1243107.55</v>
      </c>
      <c r="D87" s="14">
        <f>SUM('ALPINE MEADOW:WOODLAND'!D84)</f>
        <v>-73.529999999999745</v>
      </c>
      <c r="E87" s="14">
        <f>SUM('ALPINE MEADOW:WOODLAND'!E84)</f>
        <v>1243034.02</v>
      </c>
      <c r="F87" s="14">
        <f>SUM('ALPINE MEADOW:WOODLAND'!F84)</f>
        <v>8616.23</v>
      </c>
      <c r="G87" s="14">
        <f>SUM('ALPINE MEADOW:WOODLAND'!G84)</f>
        <v>1251650.25</v>
      </c>
      <c r="H87" s="92">
        <f t="shared" si="7"/>
        <v>2.4226830890594869E-3</v>
      </c>
      <c r="J87" s="111">
        <f t="shared" si="6"/>
        <v>0.67111750304553719</v>
      </c>
      <c r="L87" s="90"/>
      <c r="M87" s="90"/>
      <c r="N87" s="90"/>
      <c r="O87" s="112"/>
      <c r="P87" s="113"/>
      <c r="Q87" s="125"/>
      <c r="R87" s="58"/>
    </row>
    <row r="88" spans="1:18" s="25" customFormat="1" ht="15.5">
      <c r="A88" s="32">
        <v>230</v>
      </c>
      <c r="B88" s="24" t="s">
        <v>46</v>
      </c>
      <c r="C88" s="14">
        <f>SUM('ALPINE MEADOW:WOODLAND'!C85)</f>
        <v>371299.49000000011</v>
      </c>
      <c r="D88" s="14">
        <f>SUM('ALPINE MEADOW:WOODLAND'!D85)</f>
        <v>9573</v>
      </c>
      <c r="E88" s="14">
        <f>SUM('ALPINE MEADOW:WOODLAND'!E85)</f>
        <v>380872.49000000011</v>
      </c>
      <c r="F88" s="14">
        <f>SUM('ALPINE MEADOW:WOODLAND'!F85)</f>
        <v>25967</v>
      </c>
      <c r="G88" s="14">
        <f>SUM('ALPINE MEADOW:WOODLAND'!G85)</f>
        <v>412700.49000000011</v>
      </c>
      <c r="H88" s="92">
        <f t="shared" si="7"/>
        <v>7.9881939700772182E-4</v>
      </c>
      <c r="J88" s="111">
        <f t="shared" si="6"/>
        <v>0.22128427837925951</v>
      </c>
      <c r="L88" s="90"/>
      <c r="M88" s="90"/>
      <c r="N88" s="90"/>
      <c r="O88" s="112"/>
      <c r="P88" s="113"/>
      <c r="Q88" s="125"/>
      <c r="R88" s="58"/>
    </row>
    <row r="89" spans="1:18" s="25" customFormat="1" ht="15.5">
      <c r="A89" s="32">
        <v>240</v>
      </c>
      <c r="B89" s="24" t="s">
        <v>267</v>
      </c>
      <c r="C89" s="14">
        <f>SUM('ALPINE MEADOW:WOODLAND'!C86)</f>
        <v>764924.03</v>
      </c>
      <c r="D89" s="14">
        <f>SUM('ALPINE MEADOW:WOODLAND'!D86)</f>
        <v>-9511.18</v>
      </c>
      <c r="E89" s="14">
        <f>SUM('ALPINE MEADOW:WOODLAND'!E86)</f>
        <v>755412.85000000009</v>
      </c>
      <c r="F89" s="14">
        <f>SUM('ALPINE MEADOW:WOODLAND'!F86)</f>
        <v>19595.8</v>
      </c>
      <c r="G89" s="14">
        <f>SUM('ALPINE MEADOW:WOODLAND'!G86)</f>
        <v>781064.62000000011</v>
      </c>
      <c r="H89" s="92">
        <f t="shared" si="7"/>
        <v>1.5118217300213656E-3</v>
      </c>
      <c r="J89" s="111">
        <f t="shared" si="6"/>
        <v>0.41879601549363443</v>
      </c>
      <c r="L89" s="90"/>
      <c r="M89" s="90"/>
      <c r="N89" s="90"/>
      <c r="O89" s="112"/>
      <c r="P89" s="113"/>
      <c r="Q89" s="125"/>
      <c r="R89" s="58"/>
    </row>
    <row r="90" spans="1:18" s="25" customFormat="1" ht="15.5">
      <c r="A90" s="32">
        <v>310</v>
      </c>
      <c r="B90" s="24" t="s">
        <v>54</v>
      </c>
      <c r="C90" s="14">
        <f>SUM('ALPINE MEADOW:WOODLAND'!C87)</f>
        <v>1855645.5000000002</v>
      </c>
      <c r="D90" s="14">
        <f>SUM('ALPINE MEADOW:WOODLAND'!D87)</f>
        <v>4850</v>
      </c>
      <c r="E90" s="14">
        <f>SUM('ALPINE MEADOW:WOODLAND'!E87)</f>
        <v>1860495.5000000002</v>
      </c>
      <c r="F90" s="14">
        <f>SUM('ALPINE MEADOW:WOODLAND'!F87)</f>
        <v>24063</v>
      </c>
      <c r="G90" s="14">
        <f>SUM('ALPINE MEADOW:WOODLAND'!G87)</f>
        <v>1884558.5000000002</v>
      </c>
      <c r="H90" s="92">
        <f t="shared" si="7"/>
        <v>3.6477346673268463E-3</v>
      </c>
      <c r="J90" s="111">
        <f t="shared" si="6"/>
        <v>1.0104741279468792</v>
      </c>
      <c r="L90" s="90"/>
      <c r="M90" s="90"/>
      <c r="N90" s="90"/>
      <c r="O90" s="112"/>
      <c r="P90" s="113"/>
      <c r="Q90" s="125"/>
      <c r="R90" s="58"/>
    </row>
    <row r="91" spans="1:18" s="25" customFormat="1" ht="15.5">
      <c r="A91" s="32">
        <v>320</v>
      </c>
      <c r="B91" s="24" t="s">
        <v>270</v>
      </c>
      <c r="C91" s="14">
        <f>SUM('ALPINE MEADOW:WOODLAND'!C88)</f>
        <v>1354840.2420000001</v>
      </c>
      <c r="D91" s="14">
        <f>SUM('ALPINE MEADOW:WOODLAND'!D88)</f>
        <v>-181912.77307901188</v>
      </c>
      <c r="E91" s="14">
        <f>SUM('ALPINE MEADOW:WOODLAND'!E88)</f>
        <v>1172927.468920988</v>
      </c>
      <c r="F91" s="14">
        <f>SUM('ALPINE MEADOW:WOODLAND'!F88)</f>
        <v>35559.85</v>
      </c>
      <c r="G91" s="14">
        <f>SUM('ALPINE MEADOW:WOODLAND'!G88)</f>
        <v>1208487.3189209879</v>
      </c>
      <c r="H91" s="92">
        <f t="shared" si="7"/>
        <v>2.3391373036458999E-3</v>
      </c>
      <c r="J91" s="111">
        <f t="shared" si="6"/>
        <v>0.64797413809205018</v>
      </c>
      <c r="L91" s="90"/>
      <c r="M91" s="90"/>
      <c r="N91" s="90"/>
      <c r="O91" s="112"/>
      <c r="P91" s="113"/>
      <c r="Q91" s="125"/>
      <c r="R91" s="58"/>
    </row>
    <row r="92" spans="1:18" s="25" customFormat="1" ht="15.5">
      <c r="A92" s="32">
        <v>330</v>
      </c>
      <c r="B92" s="24" t="s">
        <v>269</v>
      </c>
      <c r="C92" s="14">
        <f>SUM('ALPINE MEADOW:WOODLAND'!C89)</f>
        <v>783413.94800000009</v>
      </c>
      <c r="D92" s="14">
        <f>SUM('ALPINE MEADOW:WOODLAND'!D89)</f>
        <v>-18381</v>
      </c>
      <c r="E92" s="14">
        <f>SUM('ALPINE MEADOW:WOODLAND'!E89)</f>
        <v>765032.94800000009</v>
      </c>
      <c r="F92" s="14">
        <f>SUM('ALPINE MEADOW:WOODLAND'!F89)</f>
        <v>-7446.05</v>
      </c>
      <c r="G92" s="14">
        <f>SUM('ALPINE MEADOW:WOODLAND'!G89)</f>
        <v>757586.89799999993</v>
      </c>
      <c r="H92" s="92">
        <f t="shared" si="7"/>
        <v>1.4663784601789793E-3</v>
      </c>
      <c r="J92" s="111">
        <f t="shared" si="6"/>
        <v>0.40620758660478362</v>
      </c>
      <c r="L92" s="90"/>
      <c r="M92" s="90"/>
      <c r="N92" s="90"/>
      <c r="O92" s="112"/>
      <c r="P92" s="113"/>
      <c r="Q92" s="125"/>
      <c r="R92" s="58"/>
    </row>
    <row r="93" spans="1:18" s="25" customFormat="1" ht="15.5">
      <c r="A93" s="35">
        <v>340</v>
      </c>
      <c r="B93" s="24" t="s">
        <v>268</v>
      </c>
      <c r="C93" s="14">
        <f>SUM('ALPINE MEADOW:WOODLAND'!C90)</f>
        <v>334395.48000000004</v>
      </c>
      <c r="D93" s="14">
        <f>SUM('ALPINE MEADOW:WOODLAND'!D90)</f>
        <v>-3688</v>
      </c>
      <c r="E93" s="14">
        <f>SUM('ALPINE MEADOW:WOODLAND'!E90)</f>
        <v>330707.48000000004</v>
      </c>
      <c r="F93" s="14">
        <f>SUM('ALPINE MEADOW:WOODLAND'!F90)</f>
        <v>5398</v>
      </c>
      <c r="G93" s="14">
        <f>SUM('ALPINE MEADOW:WOODLAND'!G90)</f>
        <v>336105.48000000004</v>
      </c>
      <c r="H93" s="92">
        <f t="shared" si="7"/>
        <v>6.5056277705071504E-4</v>
      </c>
      <c r="J93" s="111">
        <f t="shared" si="6"/>
        <v>0.18021509642771355</v>
      </c>
      <c r="L93" s="90"/>
      <c r="M93" s="90"/>
      <c r="N93" s="90"/>
      <c r="O93" s="112"/>
      <c r="P93" s="113"/>
      <c r="Q93" s="125"/>
      <c r="R93" s="58"/>
    </row>
    <row r="94" spans="1:18" s="25" customFormat="1" ht="15.5">
      <c r="A94" s="35">
        <v>350</v>
      </c>
      <c r="B94" s="24" t="s">
        <v>49</v>
      </c>
      <c r="C94" s="14">
        <f>SUM('ALPINE MEADOW:WOODLAND'!C91)</f>
        <v>8573598.4399999976</v>
      </c>
      <c r="D94" s="14">
        <f>SUM('ALPINE MEADOW:WOODLAND'!D91)</f>
        <v>6436.5317736766965</v>
      </c>
      <c r="E94" s="14">
        <f>SUM('ALPINE MEADOW:WOODLAND'!E91)</f>
        <v>8580034.9717736766</v>
      </c>
      <c r="F94" s="14">
        <f>SUM('ALPINE MEADOW:WOODLAND'!F91)</f>
        <v>188441.72</v>
      </c>
      <c r="G94" s="14">
        <f>SUM('ALPINE MEADOW:WOODLAND'!G91)</f>
        <v>8768476.6917736772</v>
      </c>
      <c r="H94" s="92">
        <f t="shared" si="7"/>
        <v>1.6972185479108372E-2</v>
      </c>
      <c r="J94" s="111">
        <f t="shared" si="6"/>
        <v>4.7015355790454585</v>
      </c>
      <c r="L94" s="90"/>
      <c r="M94" s="90"/>
      <c r="N94" s="90"/>
      <c r="O94" s="112"/>
      <c r="P94" s="113"/>
      <c r="Q94" s="125"/>
      <c r="R94" s="58"/>
    </row>
    <row r="95" spans="1:18" s="25" customFormat="1" ht="15.5">
      <c r="A95" s="35">
        <v>490</v>
      </c>
      <c r="B95" s="2" t="s">
        <v>271</v>
      </c>
      <c r="C95" s="14">
        <f>SUM('ALPINE MEADOW:WOODLAND'!C92)</f>
        <v>185427.52</v>
      </c>
      <c r="D95" s="14">
        <f>SUM('ALPINE MEADOW:WOODLAND'!D92)</f>
        <v>52492.520000000004</v>
      </c>
      <c r="E95" s="14">
        <f>SUM('ALPINE MEADOW:WOODLAND'!E92)</f>
        <v>237920.03999999998</v>
      </c>
      <c r="F95" s="14">
        <f>SUM('ALPINE MEADOW:WOODLAND'!F92)</f>
        <v>1929</v>
      </c>
      <c r="G95" s="14">
        <f>SUM('ALPINE MEADOW:WOODLAND'!G92)</f>
        <v>239849.03999999998</v>
      </c>
      <c r="H95" s="92">
        <f t="shared" si="7"/>
        <v>4.6424966809630123E-4</v>
      </c>
      <c r="J95" s="111">
        <f t="shared" si="6"/>
        <v>0.12860372842387013</v>
      </c>
      <c r="L95" s="90"/>
      <c r="M95" s="90"/>
      <c r="N95" s="90"/>
      <c r="O95" s="112"/>
      <c r="P95" s="113"/>
      <c r="Q95" s="125"/>
      <c r="R95" s="58"/>
    </row>
    <row r="96" spans="1:18" s="25" customFormat="1" ht="15.5">
      <c r="A96" s="35"/>
      <c r="B96" s="3" t="s">
        <v>288</v>
      </c>
      <c r="C96" s="14">
        <f>SUM('ALPINE MEADOW:WOODLAND'!C93)</f>
        <v>20435728.080000006</v>
      </c>
      <c r="D96" s="14">
        <f>SUM('ALPINE MEADOW:WOODLAND'!D93)</f>
        <v>347922.20683778188</v>
      </c>
      <c r="E96" s="14">
        <f>SUM('ALPINE MEADOW:WOODLAND'!E93)</f>
        <v>20783650.286837786</v>
      </c>
      <c r="F96" s="14">
        <f>SUM('ALPINE MEADOW:WOODLAND'!F93)</f>
        <v>485526.35000000003</v>
      </c>
      <c r="G96" s="14">
        <f>SUM('ALPINE MEADOW:WOODLAND'!G93)</f>
        <v>21281093.606837787</v>
      </c>
      <c r="H96" s="92">
        <f t="shared" si="7"/>
        <v>4.1191495466067991E-2</v>
      </c>
      <c r="J96" s="111">
        <f t="shared" si="6"/>
        <v>11.41062721275318</v>
      </c>
      <c r="L96" s="90"/>
      <c r="M96" s="90"/>
      <c r="N96" s="90"/>
      <c r="O96" s="112"/>
      <c r="P96" s="113"/>
      <c r="Q96" s="125"/>
      <c r="R96" s="58"/>
    </row>
    <row r="97" spans="1:18" s="25" customFormat="1" ht="15.5">
      <c r="A97" s="35"/>
      <c r="C97" s="17"/>
      <c r="D97" s="17"/>
      <c r="E97" s="17"/>
      <c r="F97" s="17"/>
      <c r="G97" s="17"/>
      <c r="H97" s="94"/>
      <c r="J97" s="123"/>
      <c r="L97" s="93"/>
      <c r="M97" s="93"/>
      <c r="N97" s="93"/>
      <c r="O97" s="93"/>
      <c r="P97" s="93"/>
      <c r="Q97" s="126"/>
    </row>
    <row r="98" spans="1:18" s="25" customFormat="1" ht="15.5">
      <c r="A98" s="32" t="s">
        <v>164</v>
      </c>
      <c r="B98" s="24" t="s">
        <v>51</v>
      </c>
      <c r="C98" s="64"/>
      <c r="D98" s="64"/>
      <c r="E98" s="64"/>
      <c r="F98" s="65"/>
      <c r="G98" s="65"/>
      <c r="H98" s="94"/>
      <c r="J98" s="123"/>
      <c r="L98" s="93"/>
      <c r="M98" s="93"/>
      <c r="N98" s="93"/>
      <c r="O98" s="93"/>
      <c r="P98" s="93"/>
      <c r="Q98" s="126"/>
    </row>
    <row r="99" spans="1:18" s="25" customFormat="1" ht="15.5">
      <c r="A99" s="32" t="s">
        <v>85</v>
      </c>
      <c r="B99" s="24" t="s">
        <v>44</v>
      </c>
      <c r="C99" s="14">
        <f>SUM('ALPINE MEADOW:WOODLAND'!C96)</f>
        <v>14115990.069999998</v>
      </c>
      <c r="D99" s="14">
        <f>SUM('ALPINE MEADOW:WOODLAND'!D96)</f>
        <v>373874.54978622822</v>
      </c>
      <c r="E99" s="14">
        <f>SUM('ALPINE MEADOW:WOODLAND'!E96)</f>
        <v>14489864.619786225</v>
      </c>
      <c r="F99" s="14">
        <f>SUM('ALPINE MEADOW:WOODLAND'!F96)</f>
        <v>378979.64</v>
      </c>
      <c r="G99" s="14">
        <f>SUM('ALPINE MEADOW:WOODLAND'!G96)</f>
        <v>14868844.259786226</v>
      </c>
      <c r="H99" s="92">
        <f t="shared" ref="H99:H105" si="8">IF($G$211=0,0,G99/$G$211)</f>
        <v>2.8780002674104303E-2</v>
      </c>
      <c r="J99" s="111">
        <f t="shared" ref="J99:J105" si="9">IF(G99=0,0,G99/$G$231)</f>
        <v>7.9724680539157813</v>
      </c>
      <c r="K99" s="25">
        <v>10822.02</v>
      </c>
      <c r="L99" s="118">
        <f>SUM('ALPINE MEADOW:WOODLAND'!J96)</f>
        <v>1129204.6182793663</v>
      </c>
      <c r="M99" s="118">
        <f>SUM('ALPINE MEADOW:WOODLAND'!K96)</f>
        <v>1186720.7555239378</v>
      </c>
      <c r="N99" s="119"/>
      <c r="O99" s="120">
        <f>IF(L99=0,0,G99/M99)</f>
        <v>12.529353843838035</v>
      </c>
      <c r="P99" s="59"/>
      <c r="Q99" s="121">
        <f>M99/$G$231</f>
        <v>0.63630320871148993</v>
      </c>
      <c r="R99" s="58"/>
    </row>
    <row r="100" spans="1:18" s="25" customFormat="1" ht="15.5">
      <c r="A100" s="32" t="s">
        <v>86</v>
      </c>
      <c r="B100" s="24" t="s">
        <v>45</v>
      </c>
      <c r="C100" s="14">
        <f>SUM('ALPINE MEADOW:WOODLAND'!C97)</f>
        <v>1403375.4400000002</v>
      </c>
      <c r="D100" s="14">
        <f>SUM('ALPINE MEADOW:WOODLAND'!D97)</f>
        <v>1150685.7119183005</v>
      </c>
      <c r="E100" s="14">
        <f>SUM('ALPINE MEADOW:WOODLAND'!E97)</f>
        <v>2554061.1519183</v>
      </c>
      <c r="F100" s="14">
        <f>SUM('ALPINE MEADOW:WOODLAND'!F97)</f>
        <v>60499.960000000006</v>
      </c>
      <c r="G100" s="14">
        <f>SUM('ALPINE MEADOW:WOODLAND'!G97)</f>
        <v>2614561.1119182999</v>
      </c>
      <c r="H100" s="92">
        <f t="shared" si="8"/>
        <v>5.0607212287594192E-3</v>
      </c>
      <c r="J100" s="111">
        <f t="shared" si="9"/>
        <v>1.4018914029622676</v>
      </c>
      <c r="L100" s="90"/>
      <c r="M100" s="90"/>
      <c r="N100" s="90"/>
      <c r="O100" s="112"/>
      <c r="P100" s="113"/>
      <c r="Q100" s="125"/>
      <c r="R100" s="58"/>
    </row>
    <row r="101" spans="1:18" s="25" customFormat="1" ht="15.5">
      <c r="A101" s="32">
        <v>310</v>
      </c>
      <c r="B101" s="24" t="s">
        <v>54</v>
      </c>
      <c r="C101" s="14">
        <f>SUM('ALPINE MEADOW:WOODLAND'!C98)</f>
        <v>7772289.8400000008</v>
      </c>
      <c r="D101" s="14">
        <f>SUM('ALPINE MEADOW:WOODLAND'!D98)</f>
        <v>-390268</v>
      </c>
      <c r="E101" s="14">
        <f>SUM('ALPINE MEADOW:WOODLAND'!E98)</f>
        <v>7382021.8399999999</v>
      </c>
      <c r="F101" s="14">
        <f>SUM('ALPINE MEADOW:WOODLAND'!F98)</f>
        <v>38105.54</v>
      </c>
      <c r="G101" s="14">
        <f>SUM('ALPINE MEADOW:WOODLAND'!G98)</f>
        <v>7420127.3799999999</v>
      </c>
      <c r="H101" s="92">
        <f t="shared" si="8"/>
        <v>1.4362332546326961E-2</v>
      </c>
      <c r="J101" s="111">
        <f t="shared" si="9"/>
        <v>3.9785693803404136</v>
      </c>
      <c r="L101" s="90"/>
      <c r="M101" s="90"/>
      <c r="N101" s="90"/>
      <c r="O101" s="112"/>
      <c r="P101" s="113"/>
      <c r="Q101" s="125"/>
      <c r="R101" s="58"/>
    </row>
    <row r="102" spans="1:18" s="25" customFormat="1" ht="15.5">
      <c r="A102" s="32">
        <v>380</v>
      </c>
      <c r="B102" s="24" t="s">
        <v>52</v>
      </c>
      <c r="C102" s="14">
        <f>SUM('ALPINE MEADOW:WOODLAND'!C99)</f>
        <v>11438126.580000002</v>
      </c>
      <c r="D102" s="14">
        <f>SUM('ALPINE MEADOW:WOODLAND'!D99)</f>
        <v>343817.72000000003</v>
      </c>
      <c r="E102" s="14">
        <f>SUM('ALPINE MEADOW:WOODLAND'!E99)</f>
        <v>11781944.300000001</v>
      </c>
      <c r="F102" s="14">
        <f>SUM('ALPINE MEADOW:WOODLAND'!F99)</f>
        <v>276169.91000000003</v>
      </c>
      <c r="G102" s="14">
        <f>SUM('ALPINE MEADOW:WOODLAND'!G99)</f>
        <v>12058114.210000001</v>
      </c>
      <c r="H102" s="92">
        <f t="shared" si="8"/>
        <v>2.3339578594351658E-2</v>
      </c>
      <c r="J102" s="111">
        <f t="shared" si="9"/>
        <v>6.4653935874283661</v>
      </c>
      <c r="L102" s="90"/>
      <c r="M102" s="90"/>
      <c r="N102" s="90"/>
      <c r="O102" s="112"/>
      <c r="P102" s="113"/>
      <c r="Q102" s="125"/>
      <c r="R102" s="58"/>
    </row>
    <row r="103" spans="1:18" s="25" customFormat="1" ht="15.5">
      <c r="A103" s="32">
        <v>390</v>
      </c>
      <c r="B103" s="24" t="s">
        <v>53</v>
      </c>
      <c r="C103" s="14">
        <f>SUM('ALPINE MEADOW:WOODLAND'!C100)</f>
        <v>1220386.6599999997</v>
      </c>
      <c r="D103" s="14">
        <f>SUM('ALPINE MEADOW:WOODLAND'!D100)</f>
        <v>6748.26</v>
      </c>
      <c r="E103" s="14">
        <f>SUM('ALPINE MEADOW:WOODLAND'!E100)</f>
        <v>1227134.9199999997</v>
      </c>
      <c r="F103" s="14">
        <f>SUM('ALPINE MEADOW:WOODLAND'!F100)</f>
        <v>19184.82</v>
      </c>
      <c r="G103" s="14">
        <f>SUM('ALPINE MEADOW:WOODLAND'!G100)</f>
        <v>1246319.7399999995</v>
      </c>
      <c r="H103" s="92">
        <f t="shared" si="8"/>
        <v>2.412365401324384E-3</v>
      </c>
      <c r="J103" s="111">
        <f t="shared" si="9"/>
        <v>0.66825935752033194</v>
      </c>
      <c r="L103" s="90"/>
      <c r="M103" s="90"/>
      <c r="N103" s="90"/>
      <c r="O103" s="112"/>
      <c r="P103" s="113"/>
      <c r="Q103" s="125"/>
      <c r="R103" s="58"/>
    </row>
    <row r="104" spans="1:18" s="25" customFormat="1" ht="15.5">
      <c r="A104" s="32">
        <v>490</v>
      </c>
      <c r="B104" s="2" t="s">
        <v>266</v>
      </c>
      <c r="C104" s="14">
        <f>SUM('ALPINE MEADOW:WOODLAND'!C101)</f>
        <v>107474.09</v>
      </c>
      <c r="D104" s="14">
        <f>SUM('ALPINE MEADOW:WOODLAND'!D101)</f>
        <v>-75535</v>
      </c>
      <c r="E104" s="14">
        <f>SUM('ALPINE MEADOW:WOODLAND'!E101)</f>
        <v>31939.089999999989</v>
      </c>
      <c r="F104" s="14">
        <f>SUM('ALPINE MEADOW:WOODLAND'!F101)</f>
        <v>0</v>
      </c>
      <c r="G104" s="14">
        <f>SUM('ALPINE MEADOW:WOODLAND'!G101)</f>
        <v>31939.089999999989</v>
      </c>
      <c r="H104" s="92">
        <f t="shared" si="8"/>
        <v>6.1821018469775354E-5</v>
      </c>
      <c r="J104" s="111">
        <f t="shared" si="9"/>
        <v>1.7125297047115743E-2</v>
      </c>
      <c r="L104" s="90"/>
      <c r="M104" s="90"/>
      <c r="N104" s="90"/>
      <c r="O104" s="112"/>
      <c r="P104" s="113"/>
      <c r="Q104" s="125"/>
      <c r="R104" s="58"/>
    </row>
    <row r="105" spans="1:18" s="25" customFormat="1" ht="15.5">
      <c r="A105" s="32"/>
      <c r="B105" s="3" t="s">
        <v>55</v>
      </c>
      <c r="C105" s="14">
        <f>SUM('ALPINE MEADOW:WOODLAND'!C102)</f>
        <v>36057642.680000007</v>
      </c>
      <c r="D105" s="14">
        <f>SUM('ALPINE MEADOW:WOODLAND'!D102)</f>
        <v>1409323.2417045287</v>
      </c>
      <c r="E105" s="14">
        <f>SUM('ALPINE MEADOW:WOODLAND'!E102)</f>
        <v>37466965.921704523</v>
      </c>
      <c r="F105" s="14">
        <f>SUM('ALPINE MEADOW:WOODLAND'!F102)</f>
        <v>772939.87</v>
      </c>
      <c r="G105" s="14">
        <f>SUM('ALPINE MEADOW:WOODLAND'!G102)</f>
        <v>38239905.791704528</v>
      </c>
      <c r="H105" s="92">
        <f t="shared" si="8"/>
        <v>7.4016821463336505E-2</v>
      </c>
      <c r="J105" s="111">
        <f t="shared" si="9"/>
        <v>20.503707079214276</v>
      </c>
      <c r="L105" s="90"/>
      <c r="M105" s="90"/>
      <c r="N105" s="90"/>
      <c r="O105" s="112"/>
      <c r="P105" s="113"/>
      <c r="Q105" s="125"/>
      <c r="R105" s="58"/>
    </row>
    <row r="106" spans="1:18" s="25" customFormat="1" ht="15.5">
      <c r="A106" s="35"/>
      <c r="C106" s="17"/>
      <c r="D106" s="17"/>
      <c r="E106" s="17"/>
      <c r="F106" s="17"/>
      <c r="G106" s="17"/>
      <c r="H106" s="94"/>
      <c r="J106" s="123"/>
      <c r="L106" s="93"/>
      <c r="M106" s="93"/>
      <c r="N106" s="93"/>
      <c r="O106" s="93"/>
      <c r="P106" s="93"/>
      <c r="Q106" s="126"/>
    </row>
    <row r="107" spans="1:18" s="25" customFormat="1" ht="15.5">
      <c r="A107" s="32" t="s">
        <v>165</v>
      </c>
      <c r="B107" s="24" t="s">
        <v>56</v>
      </c>
      <c r="C107" s="64"/>
      <c r="D107" s="64"/>
      <c r="E107" s="64"/>
      <c r="F107" s="65"/>
      <c r="G107" s="65"/>
      <c r="H107" s="94"/>
      <c r="J107" s="123"/>
      <c r="L107" s="93"/>
      <c r="M107" s="93"/>
      <c r="N107" s="93"/>
      <c r="O107" s="93"/>
      <c r="P107" s="93"/>
      <c r="Q107" s="126"/>
    </row>
    <row r="108" spans="1:18" s="25" customFormat="1" ht="15.5">
      <c r="A108" s="32" t="s">
        <v>85</v>
      </c>
      <c r="B108" s="24" t="s">
        <v>44</v>
      </c>
      <c r="C108" s="14">
        <f>SUM('ALPINE MEADOW:WOODLAND'!C105)</f>
        <v>1905012.5900000003</v>
      </c>
      <c r="D108" s="14">
        <f>SUM('ALPINE MEADOW:WOODLAND'!D105)</f>
        <v>28612.48325198605</v>
      </c>
      <c r="E108" s="14">
        <f>SUM('ALPINE MEADOW:WOODLAND'!E105)</f>
        <v>1933625.0732519864</v>
      </c>
      <c r="F108" s="14">
        <f>SUM('ALPINE MEADOW:WOODLAND'!F105)</f>
        <v>33799.620000000003</v>
      </c>
      <c r="G108" s="14">
        <f>SUM('ALPINE MEADOW:WOODLAND'!G105)</f>
        <v>1967424.6932519863</v>
      </c>
      <c r="H108" s="92">
        <f t="shared" ref="H108:H114" si="10">IF($G$211=0,0,G108/$G$211)</f>
        <v>3.8081297337971497E-3</v>
      </c>
      <c r="J108" s="111">
        <f t="shared" ref="J108:J114" si="11">IF(G108=0,0,G108/$G$231)</f>
        <v>1.0549058313737445</v>
      </c>
      <c r="K108" s="25">
        <v>2573.69</v>
      </c>
      <c r="L108" s="118">
        <f>SUM('ALPINE MEADOW:WOODLAND'!J105 )</f>
        <v>178688.71274725272</v>
      </c>
      <c r="M108" s="118">
        <f>SUM('ALPINE MEADOW:WOODLAND'!K105 )</f>
        <v>192026.29709257139</v>
      </c>
      <c r="N108" s="119"/>
      <c r="O108" s="120">
        <f>IF(L108=0,0,G108/M108)</f>
        <v>10.24560033203961</v>
      </c>
      <c r="P108" s="59"/>
      <c r="Q108" s="121">
        <f>M108/$G$231</f>
        <v>0.10296183700186774</v>
      </c>
      <c r="R108" s="58"/>
    </row>
    <row r="109" spans="1:18" s="25" customFormat="1" ht="15.5">
      <c r="A109" s="32" t="s">
        <v>86</v>
      </c>
      <c r="B109" s="24" t="s">
        <v>45</v>
      </c>
      <c r="C109" s="14">
        <f>SUM('ALPINE MEADOW:WOODLAND'!C106)</f>
        <v>252154</v>
      </c>
      <c r="D109" s="14">
        <f>SUM('ALPINE MEADOW:WOODLAND'!D106)</f>
        <v>128801.30522822549</v>
      </c>
      <c r="E109" s="14">
        <f>SUM('ALPINE MEADOW:WOODLAND'!E106)</f>
        <v>380955.30522822548</v>
      </c>
      <c r="F109" s="14">
        <f>SUM('ALPINE MEADOW:WOODLAND'!F106)</f>
        <v>5492.5</v>
      </c>
      <c r="G109" s="14">
        <f>SUM('ALPINE MEADOW:WOODLAND'!G106)</f>
        <v>386447.80522822548</v>
      </c>
      <c r="H109" s="92">
        <f t="shared" si="10"/>
        <v>7.4800493391071214E-4</v>
      </c>
      <c r="J109" s="111">
        <f t="shared" si="11"/>
        <v>0.20720795294228142</v>
      </c>
      <c r="L109" s="90"/>
      <c r="M109" s="90"/>
      <c r="N109" s="90"/>
      <c r="O109" s="112"/>
      <c r="P109" s="113"/>
      <c r="Q109" s="125"/>
      <c r="R109" s="58"/>
    </row>
    <row r="110" spans="1:18" s="25" customFormat="1" ht="15.5">
      <c r="A110" s="32">
        <v>110</v>
      </c>
      <c r="B110" s="24" t="s">
        <v>47</v>
      </c>
      <c r="C110" s="14">
        <f>SUM('ALPINE MEADOW:WOODLAND'!C107)</f>
        <v>362599.77999999997</v>
      </c>
      <c r="D110" s="14">
        <f>SUM('ALPINE MEADOW:WOODLAND'!D107)</f>
        <v>947.7700000000001</v>
      </c>
      <c r="E110" s="14">
        <f>SUM('ALPINE MEADOW:WOODLAND'!E107)</f>
        <v>363547.55</v>
      </c>
      <c r="F110" s="14">
        <f>SUM('ALPINE MEADOW:WOODLAND'!F107)</f>
        <v>6932.67</v>
      </c>
      <c r="G110" s="14">
        <f>SUM('ALPINE MEADOW:WOODLAND'!G107)</f>
        <v>370480.22</v>
      </c>
      <c r="H110" s="92">
        <f t="shared" si="10"/>
        <v>7.1709821799263674E-4</v>
      </c>
      <c r="J110" s="111">
        <f t="shared" si="11"/>
        <v>0.19864635522116603</v>
      </c>
      <c r="L110" s="90"/>
      <c r="M110" s="90"/>
      <c r="N110" s="90"/>
      <c r="O110" s="112"/>
      <c r="P110" s="113"/>
      <c r="Q110" s="125"/>
      <c r="R110" s="58"/>
    </row>
    <row r="111" spans="1:18" s="25" customFormat="1" ht="15.5">
      <c r="A111" s="32">
        <v>310</v>
      </c>
      <c r="B111" s="24" t="s">
        <v>54</v>
      </c>
      <c r="C111" s="14">
        <f>SUM('ALPINE MEADOW:WOODLAND'!C108)</f>
        <v>1268553.6599999999</v>
      </c>
      <c r="D111" s="14">
        <f>SUM('ALPINE MEADOW:WOODLAND'!D108)</f>
        <v>0</v>
      </c>
      <c r="E111" s="14">
        <f>SUM('ALPINE MEADOW:WOODLAND'!E108)</f>
        <v>1268553.6599999999</v>
      </c>
      <c r="F111" s="14">
        <f>SUM('ALPINE MEADOW:WOODLAND'!F108)</f>
        <v>9299.15</v>
      </c>
      <c r="G111" s="14">
        <f>SUM('ALPINE MEADOW:WOODLAND'!G108)</f>
        <v>1277852.8099999998</v>
      </c>
      <c r="H111" s="92">
        <f t="shared" si="10"/>
        <v>2.4734005310941658E-3</v>
      </c>
      <c r="J111" s="111">
        <f t="shared" si="11"/>
        <v>0.6851669522751449</v>
      </c>
      <c r="L111" s="90"/>
      <c r="M111" s="90"/>
      <c r="N111" s="90"/>
      <c r="O111" s="112"/>
      <c r="P111" s="113"/>
      <c r="Q111" s="125"/>
      <c r="R111" s="58"/>
    </row>
    <row r="112" spans="1:18" s="25" customFormat="1" ht="15.5">
      <c r="A112" s="32">
        <v>410</v>
      </c>
      <c r="B112" s="24" t="s">
        <v>57</v>
      </c>
      <c r="C112" s="14">
        <f>SUM('ALPINE MEADOW:WOODLAND'!C109)</f>
        <v>411329.23000000004</v>
      </c>
      <c r="D112" s="14">
        <f>SUM('ALPINE MEADOW:WOODLAND'!D109)</f>
        <v>0</v>
      </c>
      <c r="E112" s="14">
        <f>SUM('ALPINE MEADOW:WOODLAND'!E109)</f>
        <v>411329.23000000004</v>
      </c>
      <c r="F112" s="14">
        <f>SUM('ALPINE MEADOW:WOODLAND'!F109)</f>
        <v>6015.38</v>
      </c>
      <c r="G112" s="14">
        <f>SUM('ALPINE MEADOW:WOODLAND'!G109)</f>
        <v>417344.61000000004</v>
      </c>
      <c r="H112" s="92">
        <f t="shared" si="10"/>
        <v>8.0780851436503692E-4</v>
      </c>
      <c r="J112" s="111">
        <f t="shared" si="11"/>
        <v>0.22377439110703135</v>
      </c>
      <c r="L112" s="90"/>
      <c r="M112" s="90"/>
      <c r="N112" s="90"/>
      <c r="O112" s="112"/>
      <c r="P112" s="113"/>
      <c r="Q112" s="125"/>
      <c r="R112" s="58"/>
    </row>
    <row r="113" spans="1:18" s="25" customFormat="1" ht="15.5">
      <c r="A113" s="32">
        <v>490</v>
      </c>
      <c r="B113" s="2" t="s">
        <v>266</v>
      </c>
      <c r="C113" s="14">
        <f>SUM('ALPINE MEADOW:WOODLAND'!C110)</f>
        <v>13471.16</v>
      </c>
      <c r="D113" s="14">
        <f>SUM('ALPINE MEADOW:WOODLAND'!D110)</f>
        <v>2</v>
      </c>
      <c r="E113" s="14">
        <f>SUM('ALPINE MEADOW:WOODLAND'!E110)</f>
        <v>13473.16</v>
      </c>
      <c r="F113" s="14">
        <f>SUM('ALPINE MEADOW:WOODLAND'!F110)</f>
        <v>122.04</v>
      </c>
      <c r="G113" s="14">
        <f>SUM('ALPINE MEADOW:WOODLAND'!G110)</f>
        <v>13595.2</v>
      </c>
      <c r="H113" s="92">
        <f t="shared" si="10"/>
        <v>2.6314748175364116E-5</v>
      </c>
      <c r="J113" s="111">
        <f t="shared" si="11"/>
        <v>7.2895576678906017E-3</v>
      </c>
      <c r="L113" s="90"/>
      <c r="M113" s="90"/>
      <c r="N113" s="90"/>
      <c r="O113" s="112"/>
      <c r="P113" s="113"/>
      <c r="Q113" s="125"/>
      <c r="R113" s="58"/>
    </row>
    <row r="114" spans="1:18" s="25" customFormat="1" ht="15.5">
      <c r="A114" s="35"/>
      <c r="B114" s="3" t="s">
        <v>58</v>
      </c>
      <c r="C114" s="14">
        <f>SUM('ALPINE MEADOW:WOODLAND'!C111)</f>
        <v>4213120.42</v>
      </c>
      <c r="D114" s="14">
        <f>SUM('ALPINE MEADOW:WOODLAND'!D111)</f>
        <v>158363.5584802115</v>
      </c>
      <c r="E114" s="14">
        <f>SUM('ALPINE MEADOW:WOODLAND'!E111)</f>
        <v>4371483.9784802105</v>
      </c>
      <c r="F114" s="14">
        <f>SUM('ALPINE MEADOW:WOODLAND'!F111)</f>
        <v>61661.36</v>
      </c>
      <c r="G114" s="14">
        <f>SUM('ALPINE MEADOW:WOODLAND'!G111)</f>
        <v>4433145.3384802109</v>
      </c>
      <c r="H114" s="92">
        <f t="shared" si="10"/>
        <v>8.580756679335064E-3</v>
      </c>
      <c r="J114" s="111">
        <f t="shared" si="11"/>
        <v>2.3769910405872583</v>
      </c>
      <c r="L114" s="90"/>
      <c r="M114" s="90"/>
      <c r="N114" s="90"/>
      <c r="O114" s="112"/>
      <c r="P114" s="113"/>
      <c r="Q114" s="125"/>
      <c r="R114" s="58"/>
    </row>
    <row r="115" spans="1:18" s="25" customFormat="1" ht="15.5">
      <c r="A115" s="35"/>
      <c r="C115" s="17"/>
      <c r="D115" s="17"/>
      <c r="E115" s="17"/>
      <c r="F115" s="17"/>
      <c r="G115" s="17"/>
      <c r="H115" s="94"/>
      <c r="J115" s="123"/>
      <c r="L115" s="93"/>
      <c r="M115" s="93"/>
      <c r="N115" s="93"/>
      <c r="O115" s="93"/>
      <c r="P115" s="93"/>
      <c r="Q115" s="126"/>
    </row>
    <row r="116" spans="1:18" s="25" customFormat="1" ht="15.5">
      <c r="A116" s="32" t="s">
        <v>166</v>
      </c>
      <c r="B116" s="24" t="s">
        <v>59</v>
      </c>
      <c r="C116" s="64"/>
      <c r="D116" s="64"/>
      <c r="E116" s="64"/>
      <c r="F116" s="65"/>
      <c r="G116" s="65"/>
      <c r="H116" s="94"/>
      <c r="J116" s="123"/>
      <c r="L116" s="93"/>
      <c r="M116" s="93"/>
      <c r="N116" s="93"/>
      <c r="O116" s="93"/>
      <c r="P116" s="93"/>
      <c r="Q116" s="126"/>
    </row>
    <row r="117" spans="1:18" s="25" customFormat="1" ht="15.5">
      <c r="A117" s="32" t="s">
        <v>85</v>
      </c>
      <c r="B117" s="24" t="s">
        <v>44</v>
      </c>
      <c r="C117" s="14">
        <f>SUM('ALPINE MEADOW:WOODLAND'!C114)</f>
        <v>6209059.9799999986</v>
      </c>
      <c r="D117" s="14">
        <f>SUM('ALPINE MEADOW:WOODLAND'!D114)</f>
        <v>214397.50579322813</v>
      </c>
      <c r="E117" s="14">
        <f>SUM('ALPINE MEADOW:WOODLAND'!E114)</f>
        <v>6423457.4857932264</v>
      </c>
      <c r="F117" s="14">
        <f>SUM('ALPINE MEADOW:WOODLAND'!F114)</f>
        <v>138616.95000000001</v>
      </c>
      <c r="G117" s="14">
        <f>SUM('ALPINE MEADOW:WOODLAND'!G114)</f>
        <v>6562074.4357932257</v>
      </c>
      <c r="H117" s="92">
        <f t="shared" ref="H117:H122" si="12">IF($G$211=0,0,G117/$G$211)</f>
        <v>1.2701492900868932E-2</v>
      </c>
      <c r="J117" s="111">
        <f t="shared" ref="J117:J122" si="13">IF(G117=0,0,G117/$G$231)</f>
        <v>3.5184932932730226</v>
      </c>
      <c r="K117" s="25">
        <v>5281.71</v>
      </c>
      <c r="L117" s="118">
        <f>SUM('ALPINE MEADOW:WOODLAND'!J114)</f>
        <v>594635.50772427884</v>
      </c>
      <c r="M117" s="118">
        <f>SUM('ALPINE MEADOW:WOODLAND'!K114)</f>
        <v>632114.14120931178</v>
      </c>
      <c r="N117" s="119"/>
      <c r="O117" s="120">
        <f>IF(L117=0,0,G117/M117)</f>
        <v>10.381154301087417</v>
      </c>
      <c r="P117" s="59"/>
      <c r="Q117" s="121">
        <f>M117/$G$231</f>
        <v>0.33893083478245417</v>
      </c>
      <c r="R117" s="58"/>
    </row>
    <row r="118" spans="1:18" s="25" customFormat="1" ht="15.5">
      <c r="A118" s="32" t="s">
        <v>86</v>
      </c>
      <c r="B118" s="24" t="s">
        <v>151</v>
      </c>
      <c r="C118" s="14">
        <f>SUM('ALPINE MEADOW:WOODLAND'!C115)</f>
        <v>687628.17</v>
      </c>
      <c r="D118" s="14">
        <f>SUM('ALPINE MEADOW:WOODLAND'!D115)</f>
        <v>539840.25819996442</v>
      </c>
      <c r="E118" s="14">
        <f>SUM('ALPINE MEADOW:WOODLAND'!E115)</f>
        <v>1227468.4281999646</v>
      </c>
      <c r="F118" s="14">
        <f>SUM('ALPINE MEADOW:WOODLAND'!F115)</f>
        <v>20161.63</v>
      </c>
      <c r="G118" s="14">
        <f>SUM('ALPINE MEADOW:WOODLAND'!G115)</f>
        <v>1247630.0581999642</v>
      </c>
      <c r="H118" s="92">
        <f t="shared" si="12"/>
        <v>2.4149016415754778E-3</v>
      </c>
      <c r="J118" s="111">
        <f t="shared" si="13"/>
        <v>0.66896193196439524</v>
      </c>
      <c r="L118" s="90"/>
      <c r="M118" s="90"/>
      <c r="N118" s="90"/>
      <c r="O118" s="112"/>
      <c r="P118" s="113"/>
      <c r="Q118" s="112"/>
      <c r="R118" s="58"/>
    </row>
    <row r="119" spans="1:18" s="25" customFormat="1" ht="15.5">
      <c r="A119" s="32" t="s">
        <v>93</v>
      </c>
      <c r="B119" s="24" t="s">
        <v>47</v>
      </c>
      <c r="C119" s="14">
        <f>SUM('ALPINE MEADOW:WOODLAND'!C116)</f>
        <v>1646507.2699999998</v>
      </c>
      <c r="D119" s="14">
        <f>SUM('ALPINE MEADOW:WOODLAND'!D116)</f>
        <v>4979.3324390728867</v>
      </c>
      <c r="E119" s="14">
        <f>SUM('ALPINE MEADOW:WOODLAND'!E116)</f>
        <v>1651486.6024390727</v>
      </c>
      <c r="F119" s="14">
        <f>SUM('ALPINE MEADOW:WOODLAND'!F116)</f>
        <v>31573.219999999998</v>
      </c>
      <c r="G119" s="14">
        <f>SUM('ALPINE MEADOW:WOODLAND'!G116)</f>
        <v>1683059.8224390727</v>
      </c>
      <c r="H119" s="92">
        <f t="shared" si="12"/>
        <v>3.2577156195978904E-3</v>
      </c>
      <c r="J119" s="111">
        <f t="shared" si="13"/>
        <v>0.90243333192445385</v>
      </c>
      <c r="L119" s="90"/>
      <c r="M119" s="90"/>
      <c r="N119" s="90"/>
      <c r="O119" s="112"/>
      <c r="P119" s="113"/>
      <c r="Q119" s="112"/>
      <c r="R119" s="58"/>
    </row>
    <row r="120" spans="1:18" s="25" customFormat="1" ht="15.5">
      <c r="A120" s="32">
        <v>310</v>
      </c>
      <c r="B120" s="24" t="s">
        <v>60</v>
      </c>
      <c r="C120" s="14">
        <f>SUM('ALPINE MEADOW:WOODLAND'!C117)</f>
        <v>2158899.4</v>
      </c>
      <c r="D120" s="14">
        <f>SUM('ALPINE MEADOW:WOODLAND'!D117)</f>
        <v>0</v>
      </c>
      <c r="E120" s="14">
        <f>SUM('ALPINE MEADOW:WOODLAND'!E117)</f>
        <v>2158899.4</v>
      </c>
      <c r="F120" s="14">
        <f>SUM('ALPINE MEADOW:WOODLAND'!F117)</f>
        <v>28787</v>
      </c>
      <c r="G120" s="14">
        <f>SUM('ALPINE MEADOW:WOODLAND'!G117)</f>
        <v>2187686.4</v>
      </c>
      <c r="H120" s="92">
        <f t="shared" si="12"/>
        <v>4.2344663339023252E-3</v>
      </c>
      <c r="J120" s="111">
        <f t="shared" si="13"/>
        <v>1.1730071033938436</v>
      </c>
      <c r="L120" s="90"/>
      <c r="M120" s="90"/>
      <c r="N120" s="90"/>
      <c r="O120" s="112"/>
      <c r="P120" s="113"/>
      <c r="Q120" s="112"/>
      <c r="R120" s="58"/>
    </row>
    <row r="121" spans="1:18" s="25" customFormat="1" ht="15.5">
      <c r="A121" s="32">
        <v>490</v>
      </c>
      <c r="B121" s="2" t="s">
        <v>266</v>
      </c>
      <c r="C121" s="14">
        <f>SUM('ALPINE MEADOW:WOODLAND'!C118)</f>
        <v>27233.47</v>
      </c>
      <c r="D121" s="14">
        <f>SUM('ALPINE MEADOW:WOODLAND'!D118)</f>
        <v>1</v>
      </c>
      <c r="E121" s="14">
        <f>SUM('ALPINE MEADOW:WOODLAND'!E118)</f>
        <v>27234.47</v>
      </c>
      <c r="F121" s="14">
        <f>SUM('ALPINE MEADOW:WOODLAND'!F118)</f>
        <v>638</v>
      </c>
      <c r="G121" s="14">
        <f>SUM('ALPINE MEADOW:WOODLAND'!G118)</f>
        <v>27872.47</v>
      </c>
      <c r="H121" s="92">
        <f t="shared" si="12"/>
        <v>5.3949704974946381E-5</v>
      </c>
      <c r="J121" s="111">
        <f t="shared" si="13"/>
        <v>1.4944831809134897E-2</v>
      </c>
      <c r="L121" s="90"/>
      <c r="M121" s="90"/>
      <c r="N121" s="90"/>
      <c r="O121" s="112"/>
      <c r="P121" s="113"/>
      <c r="Q121" s="112"/>
      <c r="R121" s="58"/>
    </row>
    <row r="122" spans="1:18" s="25" customFormat="1" ht="15.5">
      <c r="A122" s="35"/>
      <c r="B122" s="3" t="s">
        <v>61</v>
      </c>
      <c r="C122" s="14">
        <f>SUM('ALPINE MEADOW:WOODLAND'!C119)</f>
        <v>10729328.290000001</v>
      </c>
      <c r="D122" s="14">
        <f>SUM('ALPINE MEADOW:WOODLAND'!D119)</f>
        <v>759218.09643226548</v>
      </c>
      <c r="E122" s="14">
        <f>SUM('ALPINE MEADOW:WOODLAND'!E119)</f>
        <v>11488546.386432266</v>
      </c>
      <c r="F122" s="14">
        <f>SUM('ALPINE MEADOW:WOODLAND'!F119)</f>
        <v>219776.8</v>
      </c>
      <c r="G122" s="14">
        <f>SUM('ALPINE MEADOW:WOODLAND'!G119)</f>
        <v>11708323.186432267</v>
      </c>
      <c r="H122" s="92">
        <f t="shared" si="12"/>
        <v>2.2662526200919578E-2</v>
      </c>
      <c r="J122" s="111">
        <f t="shared" si="13"/>
        <v>6.2778404923648523</v>
      </c>
      <c r="L122" s="90"/>
      <c r="M122" s="90"/>
      <c r="N122" s="90"/>
      <c r="O122" s="112"/>
      <c r="P122" s="113"/>
      <c r="Q122" s="112"/>
      <c r="R122" s="58"/>
    </row>
    <row r="123" spans="1:18" s="25" customFormat="1" ht="16.25" customHeight="1">
      <c r="A123" s="35"/>
      <c r="B123" s="24"/>
      <c r="C123" s="17"/>
      <c r="D123" s="17"/>
      <c r="E123" s="17"/>
      <c r="F123" s="17"/>
      <c r="G123" s="17"/>
      <c r="H123" s="72"/>
      <c r="J123" s="123"/>
      <c r="L123" s="95"/>
      <c r="M123" s="95"/>
      <c r="N123" s="95"/>
      <c r="O123" s="95"/>
      <c r="P123" s="95"/>
      <c r="Q123" s="95"/>
      <c r="R123" s="68"/>
    </row>
    <row r="124" spans="1:18" s="25" customFormat="1" ht="16.25" customHeight="1">
      <c r="A124" s="32" t="s">
        <v>167</v>
      </c>
      <c r="B124" s="24" t="s">
        <v>62</v>
      </c>
      <c r="C124" s="64"/>
      <c r="D124" s="64"/>
      <c r="E124" s="64"/>
      <c r="F124" s="65"/>
      <c r="G124" s="65"/>
      <c r="H124" s="94"/>
      <c r="J124" s="123"/>
      <c r="L124" s="95"/>
      <c r="M124" s="95"/>
      <c r="N124" s="95"/>
      <c r="O124" s="95"/>
      <c r="P124" s="95"/>
      <c r="Q124" s="95"/>
      <c r="R124" s="68"/>
    </row>
    <row r="125" spans="1:18" s="25" customFormat="1" ht="15.5">
      <c r="A125" s="32" t="s">
        <v>85</v>
      </c>
      <c r="B125" s="24" t="s">
        <v>63</v>
      </c>
      <c r="C125" s="9"/>
      <c r="D125" s="9"/>
      <c r="E125" s="9"/>
      <c r="F125" s="9"/>
      <c r="G125" s="9"/>
      <c r="H125" s="72"/>
      <c r="I125" s="68"/>
      <c r="J125" s="127"/>
      <c r="L125" s="96"/>
      <c r="M125" s="96"/>
      <c r="N125" s="96"/>
      <c r="O125" s="96"/>
      <c r="P125" s="113"/>
      <c r="Q125" s="128"/>
      <c r="R125" s="70"/>
    </row>
    <row r="126" spans="1:18" s="25" customFormat="1" ht="15.5">
      <c r="A126" s="32"/>
      <c r="B126" s="35" t="s">
        <v>232</v>
      </c>
      <c r="C126" s="14">
        <f>SUM('ALPINE MEADOW:WOODLAND'!C123)</f>
        <v>1673113.46</v>
      </c>
      <c r="D126" s="14">
        <f>SUM('ALPINE MEADOW:WOODLAND'!D123)</f>
        <v>261084.07</v>
      </c>
      <c r="E126" s="14">
        <f>SUM('ALPINE MEADOW:WOODLAND'!E123)</f>
        <v>1934197.53</v>
      </c>
      <c r="F126" s="14">
        <f>SUM('ALPINE MEADOW:WOODLAND'!F123)</f>
        <v>-22095.399999999994</v>
      </c>
      <c r="G126" s="14">
        <f>SUM('ALPINE MEADOW:WOODLAND'!G123)</f>
        <v>1912102.1300000001</v>
      </c>
      <c r="H126" s="92">
        <f>IF($G$211=0,0,G126/$G$211)</f>
        <v>3.701047872523195E-3</v>
      </c>
      <c r="J126" s="111">
        <f>IF(G126=0,0,G126/$G$231)</f>
        <v>1.0252426403091863</v>
      </c>
      <c r="K126" s="25">
        <v>0</v>
      </c>
      <c r="L126" s="118">
        <f>SUM('ALPINE MEADOW:WOODLAND'!J123)</f>
        <v>44535.953585000003</v>
      </c>
      <c r="M126" s="118">
        <f>SUM('ALPINE MEADOW:WOODLAND'!K123)</f>
        <v>46317.083585</v>
      </c>
      <c r="N126" s="119"/>
      <c r="O126" s="120">
        <f>IF(L126=0,0,G126/M126)</f>
        <v>41.282869775057321</v>
      </c>
      <c r="P126" s="59"/>
      <c r="Q126" s="121">
        <f>M126/$G$231</f>
        <v>2.4834577777551388E-2</v>
      </c>
      <c r="R126" s="70"/>
    </row>
    <row r="127" spans="1:18" s="25" customFormat="1" ht="15.5">
      <c r="A127" s="32"/>
      <c r="B127" s="35" t="s">
        <v>194</v>
      </c>
      <c r="C127" s="14">
        <f>SUM('ALPINE MEADOW:WOODLAND'!C124)</f>
        <v>14987177.899999999</v>
      </c>
      <c r="D127" s="14">
        <f>SUM('ALPINE MEADOW:WOODLAND'!D124)</f>
        <v>975670.06334152026</v>
      </c>
      <c r="E127" s="14">
        <f>SUM('ALPINE MEADOW:WOODLAND'!E124)</f>
        <v>15962847.963341519</v>
      </c>
      <c r="F127" s="14">
        <f>SUM('ALPINE MEADOW:WOODLAND'!F124)</f>
        <v>989474.7140143608</v>
      </c>
      <c r="G127" s="14">
        <f>SUM('ALPINE MEADOW:WOODLAND'!G124)</f>
        <v>16952322.677355878</v>
      </c>
      <c r="H127" s="92">
        <f>IF($G$211=0,0,G127/$G$211)</f>
        <v>3.281276496426197E-2</v>
      </c>
      <c r="J127" s="111">
        <f>IF(G127=0,0,G127/$G$231)</f>
        <v>9.0896002825464333</v>
      </c>
      <c r="K127" s="25">
        <v>2044.34</v>
      </c>
      <c r="L127" s="118">
        <f>SUM('ALPINE MEADOW:WOODLAND'!J124)</f>
        <v>395817.32950995502</v>
      </c>
      <c r="M127" s="118">
        <f>SUM('ALPINE MEADOW:WOODLAND'!K124)</f>
        <v>424809.02285568381</v>
      </c>
      <c r="N127" s="119"/>
      <c r="O127" s="120">
        <f>IF(L127=0,0,G127/M127)</f>
        <v>39.905750031855902</v>
      </c>
      <c r="P127" s="59"/>
      <c r="Q127" s="121">
        <f>M127/$G$231</f>
        <v>0.22777670574517209</v>
      </c>
      <c r="R127" s="70"/>
    </row>
    <row r="128" spans="1:18" s="25" customFormat="1" ht="15.5">
      <c r="A128" s="32"/>
      <c r="B128" s="35" t="s">
        <v>195</v>
      </c>
      <c r="C128" s="14">
        <f>SUM('ALPINE MEADOW:WOODLAND'!C125)</f>
        <v>912231.84000000008</v>
      </c>
      <c r="D128" s="14">
        <f>SUM('ALPINE MEADOW:WOODLAND'!D125)</f>
        <v>206080.11681409774</v>
      </c>
      <c r="E128" s="14">
        <f>SUM('ALPINE MEADOW:WOODLAND'!E125)</f>
        <v>1118311.9568140977</v>
      </c>
      <c r="F128" s="14">
        <f>SUM('ALPINE MEADOW:WOODLAND'!F125)</f>
        <v>54367</v>
      </c>
      <c r="G128" s="14">
        <f>SUM('ALPINE MEADOW:WOODLAND'!G125)</f>
        <v>1172678.9568140977</v>
      </c>
      <c r="H128" s="92">
        <f>IF($G$211=0,0,G128/$G$211)</f>
        <v>2.2698269565075667E-3</v>
      </c>
      <c r="J128" s="111">
        <f>IF(G128=0,0,G128/$G$231)</f>
        <v>0.62877419100992682</v>
      </c>
      <c r="K128" s="25">
        <v>0</v>
      </c>
      <c r="L128" s="118">
        <f>SUM('ALPINE MEADOW:WOODLAND'!J125)</f>
        <v>31837.610714285714</v>
      </c>
      <c r="M128" s="118">
        <f>SUM('ALPINE MEADOW:WOODLAND'!K125)</f>
        <v>33868.655714285713</v>
      </c>
      <c r="N128" s="119"/>
      <c r="O128" s="120">
        <f>IF(L128=0,0,G128/M128)</f>
        <v>34.62431360449493</v>
      </c>
      <c r="P128" s="59"/>
      <c r="Q128" s="121">
        <f>M128/$G$231</f>
        <v>1.8159903419090431E-2</v>
      </c>
      <c r="R128" s="70"/>
    </row>
    <row r="129" spans="1:18" s="25" customFormat="1" ht="15.5">
      <c r="A129" s="32"/>
      <c r="B129" s="35" t="s">
        <v>196</v>
      </c>
      <c r="C129" s="14">
        <f>SUM('ALPINE MEADOW:WOODLAND'!C126)</f>
        <v>201524.23999999996</v>
      </c>
      <c r="D129" s="14">
        <f>SUM('ALPINE MEADOW:WOODLAND'!D126)</f>
        <v>29436.7</v>
      </c>
      <c r="E129" s="14">
        <f>SUM('ALPINE MEADOW:WOODLAND'!E126)</f>
        <v>230960.93999999997</v>
      </c>
      <c r="F129" s="14">
        <f>SUM('ALPINE MEADOW:WOODLAND'!F126)</f>
        <v>4316.37</v>
      </c>
      <c r="G129" s="14">
        <f>SUM('ALPINE MEADOW:WOODLAND'!G126)</f>
        <v>235277.30999999997</v>
      </c>
      <c r="H129" s="92">
        <f>IF($G$211=0,0,G129/$G$211)</f>
        <v>4.5540066817899527E-4</v>
      </c>
      <c r="J129" s="111">
        <f>IF(G129=0,0,G129/$G$231)</f>
        <v>0.12615243021001338</v>
      </c>
      <c r="K129" s="25">
        <v>0</v>
      </c>
      <c r="L129" s="118">
        <f>SUM('ALPINE MEADOW:WOODLAND'!J126)</f>
        <v>14660.520000000002</v>
      </c>
      <c r="M129" s="118">
        <f>SUM('ALPINE MEADOW:WOODLAND'!K126)</f>
        <v>15880.5</v>
      </c>
      <c r="N129" s="119"/>
      <c r="O129" s="120">
        <f>IF(L129=0,0,G129/M129)</f>
        <v>14.815485028808915</v>
      </c>
      <c r="P129" s="59"/>
      <c r="Q129" s="121">
        <f>M129/$G$231</f>
        <v>8.5149038296558118E-3</v>
      </c>
      <c r="R129" s="70"/>
    </row>
    <row r="130" spans="1:18" s="25" customFormat="1" ht="15.5">
      <c r="A130" s="32"/>
      <c r="B130" s="35" t="s">
        <v>197</v>
      </c>
      <c r="C130" s="14">
        <f>SUM('ALPINE MEADOW:WOODLAND'!C127)</f>
        <v>5536072.290000001</v>
      </c>
      <c r="D130" s="14">
        <f>SUM('ALPINE MEADOW:WOODLAND'!D127)</f>
        <v>-835314.84033085022</v>
      </c>
      <c r="E130" s="14">
        <f>SUM('ALPINE MEADOW:WOODLAND'!E127)</f>
        <v>4700757.4496691488</v>
      </c>
      <c r="F130" s="14">
        <f>SUM('ALPINE MEADOW:WOODLAND'!F127)</f>
        <v>64368.35</v>
      </c>
      <c r="G130" s="14">
        <f>SUM('ALPINE MEADOW:WOODLAND'!G127)</f>
        <v>4765125.7996691503</v>
      </c>
      <c r="H130" s="92">
        <f>IF($G$211=0,0,G130/$G$211)</f>
        <v>9.2233351066717852E-3</v>
      </c>
      <c r="J130" s="111">
        <f>IF(G130=0,0,G130/$G$231)</f>
        <v>2.5549943591445206</v>
      </c>
      <c r="K130" s="25">
        <v>1679.72</v>
      </c>
      <c r="L130" s="118">
        <f>SUM('ALPINE MEADOW:WOODLAND'!J127)</f>
        <v>239344.95820002776</v>
      </c>
      <c r="M130" s="118">
        <f>SUM('ALPINE MEADOW:WOODLAND'!K127)</f>
        <v>260796.95442344132</v>
      </c>
      <c r="N130" s="119"/>
      <c r="O130" s="120">
        <f>IF(L130=0,0,G130/M130)</f>
        <v>18.271401252379214</v>
      </c>
      <c r="P130" s="59"/>
      <c r="Q130" s="121">
        <f>M130/$G$231</f>
        <v>0.13983570957984526</v>
      </c>
      <c r="R130" s="70"/>
    </row>
    <row r="131" spans="1:18" s="25" customFormat="1" ht="15.5">
      <c r="A131" s="32" t="s">
        <v>95</v>
      </c>
      <c r="B131" s="24" t="s">
        <v>152</v>
      </c>
      <c r="C131" s="9"/>
      <c r="D131" s="9"/>
      <c r="E131" s="9"/>
      <c r="F131" s="9"/>
      <c r="G131" s="9"/>
      <c r="H131" s="72"/>
      <c r="I131" s="68"/>
      <c r="J131" s="127"/>
      <c r="L131" s="90"/>
      <c r="M131" s="90"/>
      <c r="N131" s="90"/>
      <c r="O131" s="112"/>
      <c r="P131" s="113"/>
      <c r="Q131" s="125"/>
      <c r="R131" s="70"/>
    </row>
    <row r="132" spans="1:18" s="25" customFormat="1" ht="15.5">
      <c r="A132" s="32"/>
      <c r="B132" s="35" t="s">
        <v>232</v>
      </c>
      <c r="C132" s="14">
        <f>SUM('ALPINE MEADOW:WOODLAND'!C129)</f>
        <v>254176.13467126322</v>
      </c>
      <c r="D132" s="14">
        <f>SUM('ALPINE MEADOW:WOODLAND'!D129)</f>
        <v>75012</v>
      </c>
      <c r="E132" s="14">
        <f>SUM('ALPINE MEADOW:WOODLAND'!E129)</f>
        <v>329188.13467126322</v>
      </c>
      <c r="F132" s="14">
        <f>SUM('ALPINE MEADOW:WOODLAND'!F129)</f>
        <v>-16714.357341044801</v>
      </c>
      <c r="G132" s="14">
        <f>SUM('ALPINE MEADOW:WOODLAND'!G129)</f>
        <v>312473.77733021841</v>
      </c>
      <c r="H132" s="92">
        <f>IF($G$211=0,0,G132/$G$211)</f>
        <v>6.048214635937314E-4</v>
      </c>
      <c r="J132" s="111">
        <f>IF(G132=0,0,G132/$G$231)</f>
        <v>0.16754410523951349</v>
      </c>
      <c r="L132" s="90"/>
      <c r="M132" s="90"/>
      <c r="N132" s="90"/>
      <c r="O132" s="112"/>
      <c r="P132" s="113"/>
      <c r="Q132" s="125"/>
      <c r="R132" s="70"/>
    </row>
    <row r="133" spans="1:18" s="25" customFormat="1" ht="15.5">
      <c r="A133" s="32"/>
      <c r="B133" s="35" t="s">
        <v>194</v>
      </c>
      <c r="C133" s="14">
        <f>SUM('ALPINE MEADOW:WOODLAND'!C130)</f>
        <v>2042611.1612161363</v>
      </c>
      <c r="D133" s="14">
        <f>SUM('ALPINE MEADOW:WOODLAND'!D130)</f>
        <v>730561.97050995426</v>
      </c>
      <c r="E133" s="14">
        <f>SUM('ALPINE MEADOW:WOODLAND'!E130)</f>
        <v>2773173.1317260903</v>
      </c>
      <c r="F133" s="14">
        <f>SUM('ALPINE MEADOW:WOODLAND'!F130)</f>
        <v>139652.24024006439</v>
      </c>
      <c r="G133" s="14">
        <f>SUM('ALPINE MEADOW:WOODLAND'!G130)</f>
        <v>2912825.3719661548</v>
      </c>
      <c r="H133" s="92">
        <f>IF($G$211=0,0,G133/$G$211)</f>
        <v>5.6380388771110884E-3</v>
      </c>
      <c r="J133" s="111">
        <f>IF(G133=0,0,G133/$G$231)</f>
        <v>1.5618165621279698</v>
      </c>
      <c r="L133" s="90"/>
      <c r="M133" s="90"/>
      <c r="N133" s="90"/>
      <c r="O133" s="112"/>
      <c r="P133" s="113"/>
      <c r="Q133" s="125"/>
      <c r="R133" s="70"/>
    </row>
    <row r="134" spans="1:18" s="25" customFormat="1" ht="15.5">
      <c r="A134" s="32"/>
      <c r="B134" s="35" t="s">
        <v>195</v>
      </c>
      <c r="C134" s="14">
        <f>SUM('ALPINE MEADOW:WOODLAND'!C131)</f>
        <v>8786</v>
      </c>
      <c r="D134" s="14">
        <f>SUM('ALPINE MEADOW:WOODLAND'!D131)</f>
        <v>164264.76676714839</v>
      </c>
      <c r="E134" s="14">
        <f>SUM('ALPINE MEADOW:WOODLAND'!E131)</f>
        <v>173050.76676714839</v>
      </c>
      <c r="F134" s="14">
        <f>SUM('ALPINE MEADOW:WOODLAND'!F131)</f>
        <v>8005</v>
      </c>
      <c r="G134" s="14">
        <f>SUM('ALPINE MEADOW:WOODLAND'!G131)</f>
        <v>181055.76676714839</v>
      </c>
      <c r="H134" s="92">
        <f>IF($G$211=0,0,G134/$G$211)</f>
        <v>3.5044993145926277E-4</v>
      </c>
      <c r="J134" s="111">
        <f>IF(G134=0,0,G134/$G$231)</f>
        <v>9.7079590808026278E-2</v>
      </c>
      <c r="L134" s="90"/>
      <c r="M134" s="90"/>
      <c r="N134" s="90"/>
      <c r="O134" s="112"/>
      <c r="P134" s="113"/>
      <c r="Q134" s="125"/>
      <c r="R134" s="70"/>
    </row>
    <row r="135" spans="1:18" s="25" customFormat="1" ht="15.5">
      <c r="A135" s="32"/>
      <c r="B135" s="35" t="s">
        <v>196</v>
      </c>
      <c r="C135" s="14">
        <f>SUM('ALPINE MEADOW:WOODLAND'!C132)</f>
        <v>62420.22</v>
      </c>
      <c r="D135" s="14">
        <f>SUM('ALPINE MEADOW:WOODLAND'!D132)</f>
        <v>70708.040000000008</v>
      </c>
      <c r="E135" s="14">
        <f>SUM('ALPINE MEADOW:WOODLAND'!E132)</f>
        <v>133128.26</v>
      </c>
      <c r="F135" s="14">
        <f>SUM('ALPINE MEADOW:WOODLAND'!F132)</f>
        <v>466.26</v>
      </c>
      <c r="G135" s="14">
        <f>SUM('ALPINE MEADOW:WOODLAND'!G132)</f>
        <v>133594.51999999999</v>
      </c>
      <c r="H135" s="92">
        <f>IF($G$211=0,0,G135/$G$211)</f>
        <v>2.5858436443808438E-4</v>
      </c>
      <c r="J135" s="111">
        <f>IF(G135=0,0,G135/$G$231)</f>
        <v>7.163152860231288E-2</v>
      </c>
      <c r="L135" s="90"/>
      <c r="M135" s="90"/>
      <c r="N135" s="90"/>
      <c r="O135" s="112"/>
      <c r="P135" s="113"/>
      <c r="Q135" s="125"/>
      <c r="R135" s="70"/>
    </row>
    <row r="136" spans="1:18" s="25" customFormat="1" ht="15.5">
      <c r="A136" s="32"/>
      <c r="B136" s="35" t="s">
        <v>197</v>
      </c>
      <c r="C136" s="14">
        <f>SUM('ALPINE MEADOW:WOODLAND'!C133)</f>
        <v>596171.77</v>
      </c>
      <c r="D136" s="14">
        <f>SUM('ALPINE MEADOW:WOODLAND'!D133)</f>
        <v>382057.38150027709</v>
      </c>
      <c r="E136" s="14">
        <f>SUM('ALPINE MEADOW:WOODLAND'!E133)</f>
        <v>978229.1515002771</v>
      </c>
      <c r="F136" s="14">
        <f>SUM('ALPINE MEADOW:WOODLAND'!F133)</f>
        <v>10187.18</v>
      </c>
      <c r="G136" s="14">
        <f>SUM('ALPINE MEADOW:WOODLAND'!G133)</f>
        <v>988416.33150027716</v>
      </c>
      <c r="H136" s="92">
        <f>IF($G$211=0,0,G136/$G$211)</f>
        <v>1.9131698581739886E-3</v>
      </c>
      <c r="J136" s="111">
        <f>IF(G136=0,0,G136/$G$231)</f>
        <v>0.52997512712987993</v>
      </c>
      <c r="L136" s="90"/>
      <c r="M136" s="90"/>
      <c r="N136" s="90"/>
      <c r="O136" s="112"/>
      <c r="P136" s="113"/>
      <c r="Q136" s="125"/>
      <c r="R136" s="70"/>
    </row>
    <row r="137" spans="1:18" s="25" customFormat="1" ht="15.5">
      <c r="A137" s="32" t="s">
        <v>86</v>
      </c>
      <c r="B137" s="24" t="s">
        <v>64</v>
      </c>
      <c r="C137" s="9"/>
      <c r="D137" s="9"/>
      <c r="E137" s="9"/>
      <c r="F137" s="9"/>
      <c r="G137" s="9"/>
      <c r="H137" s="72"/>
      <c r="I137" s="68"/>
      <c r="J137" s="127"/>
      <c r="L137" s="96"/>
      <c r="M137" s="96"/>
      <c r="N137" s="96"/>
      <c r="O137" s="96"/>
      <c r="P137" s="113"/>
      <c r="Q137" s="122"/>
      <c r="R137" s="70"/>
    </row>
    <row r="138" spans="1:18" s="25" customFormat="1" ht="15.5">
      <c r="A138" s="32"/>
      <c r="B138" s="35" t="s">
        <v>194</v>
      </c>
      <c r="C138" s="14">
        <f>SUM('ALPINE MEADOW:WOODLAND'!C135)</f>
        <v>40760997.610000007</v>
      </c>
      <c r="D138" s="14">
        <f>SUM('ALPINE MEADOW:WOODLAND'!D135)</f>
        <v>2436823.8573025954</v>
      </c>
      <c r="E138" s="14">
        <f>SUM('ALPINE MEADOW:WOODLAND'!E135)</f>
        <v>43197821.467302591</v>
      </c>
      <c r="F138" s="14">
        <f>SUM('ALPINE MEADOW:WOODLAND'!F135)</f>
        <v>602311.71</v>
      </c>
      <c r="G138" s="14">
        <f>SUM('ALPINE MEADOW:WOODLAND'!G135)</f>
        <v>43800133.177302599</v>
      </c>
      <c r="H138" s="92">
        <f>IF($G$211=0,0,G138/$G$211)</f>
        <v>8.4779148126407022E-2</v>
      </c>
      <c r="J138" s="111">
        <f>IF(G138=0,0,G138/$G$231)</f>
        <v>23.485023880283901</v>
      </c>
      <c r="K138" s="25">
        <v>4815.4449999999997</v>
      </c>
      <c r="L138" s="118">
        <f>SUM('ALPINE MEADOW:WOODLAND'!J135)</f>
        <v>1452381.5806868223</v>
      </c>
      <c r="M138" s="118">
        <f>SUM('ALPINE MEADOW:WOODLAND'!K135)</f>
        <v>1540988.6188718199</v>
      </c>
      <c r="N138" s="119"/>
      <c r="O138" s="120">
        <f>IF(L138=0,0,G138/M138)</f>
        <v>28.423398226892363</v>
      </c>
      <c r="P138" s="59"/>
      <c r="Q138" s="121">
        <f>M138/$G$231</f>
        <v>0.82625672316914955</v>
      </c>
      <c r="R138" s="70"/>
    </row>
    <row r="139" spans="1:18" s="25" customFormat="1" ht="15.5">
      <c r="A139" s="32"/>
      <c r="B139" s="35" t="s">
        <v>195</v>
      </c>
      <c r="C139" s="14">
        <f>SUM('ALPINE MEADOW:WOODLAND'!C136)</f>
        <v>22178311.77</v>
      </c>
      <c r="D139" s="14">
        <f>SUM('ALPINE MEADOW:WOODLAND'!D136)</f>
        <v>1647007.2958344314</v>
      </c>
      <c r="E139" s="14">
        <f>SUM('ALPINE MEADOW:WOODLAND'!E136)</f>
        <v>23825319.065834433</v>
      </c>
      <c r="F139" s="14">
        <f>SUM('ALPINE MEADOW:WOODLAND'!F136)</f>
        <v>781629.67999999993</v>
      </c>
      <c r="G139" s="14">
        <f>SUM('ALPINE MEADOW:WOODLAND'!G136)</f>
        <v>24606948.745834433</v>
      </c>
      <c r="H139" s="92">
        <f>IF($G$211=0,0,G139/$G$211)</f>
        <v>4.7628991085877731E-2</v>
      </c>
      <c r="J139" s="111">
        <f>IF(G139=0,0,G139/$G$231)</f>
        <v>13.193904607036924</v>
      </c>
      <c r="K139" s="25">
        <v>6591.04</v>
      </c>
      <c r="L139" s="118">
        <f>SUM('ALPINE MEADOW:WOODLAND'!J136)</f>
        <v>1026388.080065189</v>
      </c>
      <c r="M139" s="118">
        <f>SUM('ALPINE MEADOW:WOODLAND'!K136)</f>
        <v>1086829.5962131338</v>
      </c>
      <c r="N139" s="119"/>
      <c r="O139" s="120">
        <f>IF(L139=0,0,G139/M139)</f>
        <v>22.641036673617474</v>
      </c>
      <c r="P139" s="59"/>
      <c r="Q139" s="121">
        <f>M139/$G$231</f>
        <v>0.58274295462853765</v>
      </c>
      <c r="R139" s="70"/>
    </row>
    <row r="140" spans="1:18" s="25" customFormat="1" ht="15.5">
      <c r="A140" s="32"/>
      <c r="B140" s="35" t="s">
        <v>196</v>
      </c>
      <c r="C140" s="14">
        <f>SUM('ALPINE MEADOW:WOODLAND'!C137)</f>
        <v>53414482.129999995</v>
      </c>
      <c r="D140" s="14">
        <f>SUM('ALPINE MEADOW:WOODLAND'!D137)</f>
        <v>3657201.369520504</v>
      </c>
      <c r="E140" s="14">
        <f>SUM('ALPINE MEADOW:WOODLAND'!E137)</f>
        <v>57071683.49952051</v>
      </c>
      <c r="F140" s="14">
        <f>SUM('ALPINE MEADOW:WOODLAND'!F137)</f>
        <v>1293012.6299999999</v>
      </c>
      <c r="G140" s="14">
        <f>SUM('ALPINE MEADOW:WOODLAND'!G137)</f>
        <v>58364696.129520506</v>
      </c>
      <c r="H140" s="92">
        <f>IF($G$211=0,0,G140/$G$211)</f>
        <v>0.11297018660850747</v>
      </c>
      <c r="J140" s="111">
        <f>IF(G140=0,0,G140/$G$231)</f>
        <v>31.294340517612913</v>
      </c>
      <c r="K140" s="25">
        <v>37934.71</v>
      </c>
      <c r="L140" s="118">
        <f>SUM('ALPINE MEADOW:WOODLAND'!J137)</f>
        <v>4499626.6366113732</v>
      </c>
      <c r="M140" s="118">
        <f>SUM('ALPINE MEADOW:WOODLAND'!K137)</f>
        <v>4754172.1542284787</v>
      </c>
      <c r="N140" s="119"/>
      <c r="O140" s="120">
        <f>IF(L140=0,0,G140/M140)</f>
        <v>12.276521387137716</v>
      </c>
      <c r="P140" s="59"/>
      <c r="Q140" s="121">
        <f>M140/$G$231</f>
        <v>2.5491211663916813</v>
      </c>
      <c r="R140" s="70"/>
    </row>
    <row r="141" spans="1:18" s="25" customFormat="1" ht="15.5">
      <c r="A141" s="32"/>
      <c r="B141" s="35" t="s">
        <v>197</v>
      </c>
      <c r="C141" s="14">
        <f>SUM('ALPINE MEADOW:WOODLAND'!C138)</f>
        <v>9626320.2499999981</v>
      </c>
      <c r="D141" s="14">
        <f>SUM('ALPINE MEADOW:WOODLAND'!D138)</f>
        <v>-4504438.0338771325</v>
      </c>
      <c r="E141" s="14">
        <f>SUM('ALPINE MEADOW:WOODLAND'!E138)</f>
        <v>5121882.2161228675</v>
      </c>
      <c r="F141" s="14">
        <f>SUM('ALPINE MEADOW:WOODLAND'!F138)</f>
        <v>28909.120000000003</v>
      </c>
      <c r="G141" s="14">
        <f>SUM('ALPINE MEADOW:WOODLAND'!G138)</f>
        <v>5150791.3361228667</v>
      </c>
      <c r="H141" s="92">
        <f>IF($G$211=0,0,G141/$G$211)</f>
        <v>9.9698258881017205E-3</v>
      </c>
      <c r="J141" s="111">
        <f>IF(G141=0,0,G141/$G$231)</f>
        <v>2.7617828704203626</v>
      </c>
      <c r="K141" s="25">
        <v>0</v>
      </c>
      <c r="L141" s="118">
        <f>SUM('ALPINE MEADOW:WOODLAND'!J138)</f>
        <v>287515.70214285713</v>
      </c>
      <c r="M141" s="118">
        <f>SUM('ALPINE MEADOW:WOODLAND'!K138)</f>
        <v>305340.42857142852</v>
      </c>
      <c r="N141" s="119"/>
      <c r="O141" s="120">
        <f>IF(L141=0,0,G141/M141)</f>
        <v>16.869011942576542</v>
      </c>
      <c r="P141" s="59"/>
      <c r="Q141" s="121">
        <f>M141/$G$231</f>
        <v>0.16371930257810544</v>
      </c>
      <c r="R141" s="70"/>
    </row>
    <row r="142" spans="1:18" s="25" customFormat="1" ht="15.5">
      <c r="A142" s="32" t="s">
        <v>96</v>
      </c>
      <c r="B142" s="24" t="s">
        <v>153</v>
      </c>
      <c r="C142" s="9"/>
      <c r="D142" s="9"/>
      <c r="E142" s="9"/>
      <c r="F142" s="9"/>
      <c r="G142" s="9"/>
      <c r="H142" s="72"/>
      <c r="I142" s="68"/>
      <c r="J142" s="127"/>
      <c r="L142" s="90"/>
      <c r="M142" s="90"/>
      <c r="N142" s="90"/>
      <c r="O142" s="112"/>
      <c r="P142" s="113"/>
      <c r="Q142" s="125"/>
      <c r="R142" s="70"/>
    </row>
    <row r="143" spans="1:18" s="25" customFormat="1" ht="15.5">
      <c r="A143" s="32"/>
      <c r="B143" s="35" t="s">
        <v>194</v>
      </c>
      <c r="C143" s="14">
        <f>SUM('ALPINE MEADOW:WOODLAND'!C140)</f>
        <v>8926878.4384090453</v>
      </c>
      <c r="D143" s="14">
        <f>SUM('ALPINE MEADOW:WOODLAND'!D140)</f>
        <v>-1086105.6236135419</v>
      </c>
      <c r="E143" s="14">
        <f>SUM('ALPINE MEADOW:WOODLAND'!E140)</f>
        <v>7840772.8147955043</v>
      </c>
      <c r="F143" s="14">
        <f>SUM('ALPINE MEADOW:WOODLAND'!F140)</f>
        <v>94070.17</v>
      </c>
      <c r="G143" s="14">
        <f>SUM('ALPINE MEADOW:WOODLAND'!G140)</f>
        <v>7934842.9847955033</v>
      </c>
      <c r="H143" s="92">
        <f>IF($G$211=0,0,G143/$G$211)</f>
        <v>1.5358611491993367E-2</v>
      </c>
      <c r="J143" s="111">
        <f>IF(G143=0,0,G143/$G$231)</f>
        <v>4.2545527482732144</v>
      </c>
      <c r="L143" s="90"/>
      <c r="M143" s="90"/>
      <c r="N143" s="90"/>
      <c r="O143" s="112"/>
      <c r="P143" s="113"/>
      <c r="Q143" s="125"/>
      <c r="R143" s="70"/>
    </row>
    <row r="144" spans="1:18" s="25" customFormat="1" ht="15.5">
      <c r="A144" s="32"/>
      <c r="B144" s="35" t="s">
        <v>195</v>
      </c>
      <c r="C144" s="14">
        <f>SUM('ALPINE MEADOW:WOODLAND'!C141)</f>
        <v>983195.77073199488</v>
      </c>
      <c r="D144" s="14">
        <f>SUM('ALPINE MEADOW:WOODLAND'!D141)</f>
        <v>3321139.5438263156</v>
      </c>
      <c r="E144" s="14">
        <f>SUM('ALPINE MEADOW:WOODLAND'!E141)</f>
        <v>4304335.3145583104</v>
      </c>
      <c r="F144" s="14">
        <f>SUM('ALPINE MEADOW:WOODLAND'!F141)</f>
        <v>115671.65000000001</v>
      </c>
      <c r="G144" s="14">
        <f>SUM('ALPINE MEADOW:WOODLAND'!G141)</f>
        <v>4420006.9645583108</v>
      </c>
      <c r="H144" s="92">
        <f>IF($G$211=0,0,G144/$G$211)</f>
        <v>8.5553261596524877E-3</v>
      </c>
      <c r="J144" s="111">
        <f>IF(G144=0,0,G144/$G$231)</f>
        <v>2.3699464267260426</v>
      </c>
      <c r="L144" s="90"/>
      <c r="M144" s="90"/>
      <c r="N144" s="90"/>
      <c r="O144" s="112"/>
      <c r="P144" s="113"/>
      <c r="Q144" s="125"/>
      <c r="R144" s="70"/>
    </row>
    <row r="145" spans="1:18" s="25" customFormat="1" ht="15.5">
      <c r="A145" s="32"/>
      <c r="B145" s="35" t="s">
        <v>196</v>
      </c>
      <c r="C145" s="14">
        <f>SUM('ALPINE MEADOW:WOODLAND'!C142)</f>
        <v>2792987.4758995366</v>
      </c>
      <c r="D145" s="14">
        <f>SUM('ALPINE MEADOW:WOODLAND'!D142)</f>
        <v>7492036.1775672566</v>
      </c>
      <c r="E145" s="14">
        <f>SUM('ALPINE MEADOW:WOODLAND'!E142)</f>
        <v>10285023.653466793</v>
      </c>
      <c r="F145" s="14">
        <f>SUM('ALPINE MEADOW:WOODLAND'!F142)</f>
        <v>200332.37999999998</v>
      </c>
      <c r="G145" s="14">
        <f>SUM('ALPINE MEADOW:WOODLAND'!G142)</f>
        <v>10485356.033466792</v>
      </c>
      <c r="H145" s="92">
        <f>IF($G$211=0,0,G145/$G$211)</f>
        <v>2.0295361859311623E-2</v>
      </c>
      <c r="J145" s="111">
        <f>IF(G145=0,0,G145/$G$231)</f>
        <v>5.6221024681005671</v>
      </c>
      <c r="L145" s="90"/>
      <c r="M145" s="90"/>
      <c r="N145" s="90"/>
      <c r="O145" s="112"/>
      <c r="P145" s="113"/>
      <c r="Q145" s="125"/>
      <c r="R145" s="70"/>
    </row>
    <row r="146" spans="1:18" s="25" customFormat="1" ht="15.5">
      <c r="A146" s="32"/>
      <c r="B146" s="35" t="s">
        <v>197</v>
      </c>
      <c r="C146" s="14">
        <f>SUM('ALPINE MEADOW:WOODLAND'!C143)</f>
        <v>1084473.343719848</v>
      </c>
      <c r="D146" s="14">
        <f>SUM('ALPINE MEADOW:WOODLAND'!D143)</f>
        <v>-211488.93773598154</v>
      </c>
      <c r="E146" s="14">
        <f>SUM('ALPINE MEADOW:WOODLAND'!E143)</f>
        <v>872984.40598386619</v>
      </c>
      <c r="F146" s="14">
        <f>SUM('ALPINE MEADOW:WOODLAND'!F143)</f>
        <v>7123.33</v>
      </c>
      <c r="G146" s="14">
        <f>SUM('ALPINE MEADOW:WOODLAND'!G143)</f>
        <v>880107.73598386615</v>
      </c>
      <c r="H146" s="92">
        <f>IF($G$211=0,0,G146/$G$211)</f>
        <v>1.7035287042195249E-3</v>
      </c>
      <c r="J146" s="111">
        <f>IF(G146=0,0,G146/$G$231)</f>
        <v>0.47190156050746057</v>
      </c>
      <c r="L146" s="90"/>
      <c r="M146" s="90"/>
      <c r="N146" s="90"/>
      <c r="O146" s="112"/>
      <c r="P146" s="113"/>
      <c r="Q146" s="125"/>
      <c r="R146" s="70"/>
    </row>
    <row r="147" spans="1:18" s="25" customFormat="1" ht="15.5">
      <c r="A147" s="32" t="s">
        <v>87</v>
      </c>
      <c r="B147" s="24" t="s">
        <v>98</v>
      </c>
      <c r="C147" s="9"/>
      <c r="D147" s="9"/>
      <c r="E147" s="9"/>
      <c r="F147" s="9"/>
      <c r="G147" s="9"/>
      <c r="H147" s="72"/>
      <c r="I147" s="68"/>
      <c r="J147" s="127"/>
      <c r="L147" s="96"/>
      <c r="M147" s="96"/>
      <c r="N147" s="96"/>
      <c r="O147" s="96"/>
      <c r="P147" s="113"/>
      <c r="Q147" s="122"/>
      <c r="R147" s="70"/>
    </row>
    <row r="148" spans="1:18" s="25" customFormat="1" ht="15.5">
      <c r="A148" s="32"/>
      <c r="B148" s="35" t="s">
        <v>232</v>
      </c>
      <c r="C148" s="14">
        <f>SUM('ALPINE MEADOW:WOODLAND'!C145)</f>
        <v>3187345.6399999997</v>
      </c>
      <c r="D148" s="14">
        <f>SUM('ALPINE MEADOW:WOODLAND'!D145)</f>
        <v>99400</v>
      </c>
      <c r="E148" s="14">
        <f>SUM('ALPINE MEADOW:WOODLAND'!E145)</f>
        <v>3286745.6399999997</v>
      </c>
      <c r="F148" s="14">
        <f>SUM('ALPINE MEADOW:WOODLAND'!F145)</f>
        <v>87760</v>
      </c>
      <c r="G148" s="14">
        <f>SUM('ALPINE MEADOW:WOODLAND'!G145)</f>
        <v>3374505.6399999997</v>
      </c>
      <c r="H148" s="92">
        <f t="shared" ref="H148:H156" si="14">IF($G$211=0,0,G148/$G$211)</f>
        <v>6.5316630967507585E-3</v>
      </c>
      <c r="J148" s="111">
        <f t="shared" ref="J148:J156" si="15">IF(G148=0,0,G148/$G$231)</f>
        <v>1.80936311811537</v>
      </c>
      <c r="K148" s="25">
        <v>0</v>
      </c>
      <c r="L148" s="118">
        <f>SUM('ALPINE MEADOW:WOODLAND'!J145)</f>
        <v>7739.95</v>
      </c>
      <c r="M148" s="118">
        <f>SUM('ALPINE MEADOW:WOODLAND'!K145)</f>
        <v>7739.95</v>
      </c>
      <c r="N148" s="119"/>
      <c r="O148" s="120">
        <f>IF(L148=0,0,G148/M148)</f>
        <v>435.98545727039578</v>
      </c>
      <c r="P148" s="59"/>
      <c r="Q148" s="121">
        <f>M148/$G$231</f>
        <v>4.1500538330874028E-3</v>
      </c>
      <c r="R148" s="70"/>
    </row>
    <row r="149" spans="1:18" s="25" customFormat="1" ht="15.5">
      <c r="A149" s="32"/>
      <c r="B149" s="35" t="s">
        <v>194</v>
      </c>
      <c r="C149" s="14">
        <f>SUM('ALPINE MEADOW:WOODLAND'!C146)</f>
        <v>1337406.5799999996</v>
      </c>
      <c r="D149" s="14">
        <f>SUM('ALPINE MEADOW:WOODLAND'!D146)</f>
        <v>4676</v>
      </c>
      <c r="E149" s="14">
        <f>SUM('ALPINE MEADOW:WOODLAND'!E146)</f>
        <v>1342082.5799999996</v>
      </c>
      <c r="F149" s="14">
        <f>SUM('ALPINE MEADOW:WOODLAND'!F146)</f>
        <v>7626</v>
      </c>
      <c r="G149" s="14">
        <f>SUM('ALPINE MEADOW:WOODLAND'!G146)</f>
        <v>1349708.5799999996</v>
      </c>
      <c r="H149" s="92">
        <f t="shared" si="14"/>
        <v>2.6124839202680563E-3</v>
      </c>
      <c r="J149" s="111">
        <f t="shared" si="15"/>
        <v>0.72369501947428005</v>
      </c>
      <c r="K149" s="25">
        <v>433</v>
      </c>
      <c r="L149" s="118">
        <f>SUM('ALPINE MEADOW:WOODLAND'!J146)</f>
        <v>19579.439999999999</v>
      </c>
      <c r="M149" s="118">
        <f>SUM('ALPINE MEADOW:WOODLAND'!K146)</f>
        <v>19579.439999999999</v>
      </c>
      <c r="N149" s="119"/>
      <c r="O149" s="120">
        <f>IF(L149=0,0,G149/M149)</f>
        <v>68.93499405498828</v>
      </c>
      <c r="P149" s="59"/>
      <c r="Q149" s="121">
        <f>M149/$G$231</f>
        <v>1.0498224151539068E-2</v>
      </c>
      <c r="R149" s="70"/>
    </row>
    <row r="150" spans="1:18" s="25" customFormat="1" ht="15.5">
      <c r="A150" s="32"/>
      <c r="B150" s="35" t="s">
        <v>195</v>
      </c>
      <c r="C150" s="14">
        <f>SUM('ALPINE MEADOW:WOODLAND'!C147)</f>
        <v>437018.36</v>
      </c>
      <c r="D150" s="14">
        <f>SUM('ALPINE MEADOW:WOODLAND'!D147)</f>
        <v>0</v>
      </c>
      <c r="E150" s="14">
        <f>SUM('ALPINE MEADOW:WOODLAND'!E147)</f>
        <v>437018.36</v>
      </c>
      <c r="F150" s="14">
        <f>SUM('ALPINE MEADOW:WOODLAND'!F147)</f>
        <v>532</v>
      </c>
      <c r="G150" s="14">
        <f>SUM('ALPINE MEADOW:WOODLAND'!G147)</f>
        <v>437550.36</v>
      </c>
      <c r="H150" s="92">
        <f t="shared" si="14"/>
        <v>8.4691858431210369E-4</v>
      </c>
      <c r="J150" s="111">
        <f t="shared" si="15"/>
        <v>0.23460843399334272</v>
      </c>
      <c r="K150" s="25">
        <v>36</v>
      </c>
      <c r="L150" s="118">
        <f>SUM('ALPINE MEADOW:WOODLAND'!J147)</f>
        <v>13346.775</v>
      </c>
      <c r="M150" s="118">
        <f>SUM('ALPINE MEADOW:WOODLAND'!K147)</f>
        <v>13346.775</v>
      </c>
      <c r="N150" s="119"/>
      <c r="O150" s="120">
        <f>IF(L150=0,0,G150/M150)</f>
        <v>32.783227408868434</v>
      </c>
      <c r="P150" s="59"/>
      <c r="Q150" s="121">
        <f>M150/$G$231</f>
        <v>7.1563556286675127E-3</v>
      </c>
      <c r="R150" s="70"/>
    </row>
    <row r="151" spans="1:18" s="25" customFormat="1" ht="15.5">
      <c r="A151" s="32"/>
      <c r="B151" s="35" t="s">
        <v>196</v>
      </c>
      <c r="C151" s="14">
        <f>SUM('ALPINE MEADOW:WOODLAND'!C148)</f>
        <v>2497097.9000000004</v>
      </c>
      <c r="D151" s="14">
        <f>SUM('ALPINE MEADOW:WOODLAND'!D148)</f>
        <v>1111.9417465513266</v>
      </c>
      <c r="E151" s="14">
        <f>SUM('ALPINE MEADOW:WOODLAND'!E148)</f>
        <v>2498209.8417465519</v>
      </c>
      <c r="F151" s="14">
        <f>SUM('ALPINE MEADOW:WOODLAND'!F148)</f>
        <v>-6397</v>
      </c>
      <c r="G151" s="14">
        <f>SUM('ALPINE MEADOW:WOODLAND'!G148)</f>
        <v>2491812.8417465519</v>
      </c>
      <c r="H151" s="92">
        <f t="shared" si="14"/>
        <v>4.823130768999275E-3</v>
      </c>
      <c r="J151" s="111">
        <f t="shared" si="15"/>
        <v>1.3360754830750445</v>
      </c>
      <c r="K151" s="25">
        <v>314</v>
      </c>
      <c r="L151" s="118">
        <f>SUM('ALPINE MEADOW:WOODLAND'!J148)</f>
        <v>92014.766768627451</v>
      </c>
      <c r="M151" s="118">
        <f>SUM('ALPINE MEADOW:WOODLAND'!K148)</f>
        <v>92014.766768627451</v>
      </c>
      <c r="N151" s="119"/>
      <c r="O151" s="120">
        <f>IF(L151=0,0,G151/M151)</f>
        <v>27.080575534275425</v>
      </c>
      <c r="P151" s="59"/>
      <c r="Q151" s="121">
        <f>M151/$G$231</f>
        <v>4.933704165127497E-2</v>
      </c>
      <c r="R151" s="70"/>
    </row>
    <row r="152" spans="1:18" s="25" customFormat="1" ht="15.5">
      <c r="A152" s="32"/>
      <c r="B152" s="35" t="s">
        <v>197</v>
      </c>
      <c r="C152" s="14">
        <f>SUM('ALPINE MEADOW:WOODLAND'!C149)</f>
        <v>1605579.89</v>
      </c>
      <c r="D152" s="14">
        <f>SUM('ALPINE MEADOW:WOODLAND'!D149)</f>
        <v>93343</v>
      </c>
      <c r="E152" s="14">
        <f>SUM('ALPINE MEADOW:WOODLAND'!E149)</f>
        <v>1698922.89</v>
      </c>
      <c r="F152" s="14">
        <f>SUM('ALPINE MEADOW:WOODLAND'!F149)</f>
        <v>11523.4</v>
      </c>
      <c r="G152" s="14">
        <f>SUM('ALPINE MEADOW:WOODLAND'!G149)</f>
        <v>1710446.2899999998</v>
      </c>
      <c r="H152" s="92">
        <f t="shared" si="14"/>
        <v>3.310724622575307E-3</v>
      </c>
      <c r="J152" s="111">
        <f t="shared" si="15"/>
        <v>0.91711757596685073</v>
      </c>
      <c r="K152" s="25">
        <v>0</v>
      </c>
      <c r="L152" s="118">
        <f>SUM('ALPINE MEADOW:WOODLAND'!J149)</f>
        <v>13486.25</v>
      </c>
      <c r="M152" s="118">
        <f>SUM('ALPINE MEADOW:WOODLAND'!K149)</f>
        <v>13486.25</v>
      </c>
      <c r="N152" s="119"/>
      <c r="O152" s="120">
        <f>IF(L152=0,0,G152/M152)</f>
        <v>126.82890277134116</v>
      </c>
      <c r="P152" s="59"/>
      <c r="Q152" s="121">
        <f>M152/$G$231</f>
        <v>7.2311401890806769E-3</v>
      </c>
      <c r="R152" s="70"/>
    </row>
    <row r="153" spans="1:18" s="25" customFormat="1" ht="15.5">
      <c r="A153" s="32">
        <v>110</v>
      </c>
      <c r="B153" s="25" t="s">
        <v>65</v>
      </c>
      <c r="C153" s="14">
        <f>SUM('ALPINE MEADOW:WOODLAND'!C150)</f>
        <v>10049225.510000002</v>
      </c>
      <c r="D153" s="14">
        <f>SUM('ALPINE MEADOW:WOODLAND'!D150)</f>
        <v>77859.62</v>
      </c>
      <c r="E153" s="14">
        <f>SUM('ALPINE MEADOW:WOODLAND'!E150)</f>
        <v>10127085.129999999</v>
      </c>
      <c r="F153" s="14">
        <f>SUM('ALPINE MEADOW:WOODLAND'!F150)</f>
        <v>110962.41</v>
      </c>
      <c r="G153" s="14">
        <f>SUM('ALPINE MEADOW:WOODLAND'!G150)</f>
        <v>10226130.57</v>
      </c>
      <c r="H153" s="92">
        <f t="shared" si="14"/>
        <v>1.9793607358328139E-2</v>
      </c>
      <c r="J153" s="111">
        <f t="shared" si="15"/>
        <v>5.4831093701743248</v>
      </c>
      <c r="L153" s="90"/>
      <c r="M153" s="90"/>
      <c r="N153" s="90"/>
      <c r="O153" s="112"/>
      <c r="P153" s="113"/>
      <c r="Q153" s="125"/>
      <c r="R153" s="58"/>
    </row>
    <row r="154" spans="1:18" s="25" customFormat="1" ht="15.5">
      <c r="A154" s="32">
        <v>111</v>
      </c>
      <c r="B154" s="24" t="s">
        <v>97</v>
      </c>
      <c r="C154" s="14">
        <f>SUM('ALPINE MEADOW:WOODLAND'!C151)</f>
        <v>648536.74999999988</v>
      </c>
      <c r="D154" s="14">
        <f>SUM('ALPINE MEADOW:WOODLAND'!D151)</f>
        <v>6355</v>
      </c>
      <c r="E154" s="14">
        <f>SUM('ALPINE MEADOW:WOODLAND'!E151)</f>
        <v>654891.74999999988</v>
      </c>
      <c r="F154" s="14">
        <f>SUM('ALPINE MEADOW:WOODLAND'!F151)</f>
        <v>-3059</v>
      </c>
      <c r="G154" s="14">
        <f>SUM('ALPINE MEADOW:WOODLAND'!G151)</f>
        <v>651832.74999999988</v>
      </c>
      <c r="H154" s="92">
        <f t="shared" si="14"/>
        <v>1.2616816721125891E-3</v>
      </c>
      <c r="J154" s="111">
        <f t="shared" si="15"/>
        <v>0.34950367930922061</v>
      </c>
      <c r="L154" s="90"/>
      <c r="M154" s="90"/>
      <c r="N154" s="90"/>
      <c r="O154" s="112"/>
      <c r="P154" s="113"/>
      <c r="Q154" s="125"/>
      <c r="R154" s="58"/>
    </row>
    <row r="155" spans="1:18" s="25" customFormat="1" ht="15.5">
      <c r="A155" s="32">
        <v>230</v>
      </c>
      <c r="B155" s="24" t="s">
        <v>66</v>
      </c>
      <c r="C155" s="14">
        <f>SUM('ALPINE MEADOW:WOODLAND'!C152)</f>
        <v>139809.09</v>
      </c>
      <c r="D155" s="14">
        <f>SUM('ALPINE MEADOW:WOODLAND'!D152)</f>
        <v>0</v>
      </c>
      <c r="E155" s="14">
        <f>SUM('ALPINE MEADOW:WOODLAND'!E152)</f>
        <v>139809.09</v>
      </c>
      <c r="F155" s="14">
        <f>SUM('ALPINE MEADOW:WOODLAND'!F152)</f>
        <v>8032</v>
      </c>
      <c r="G155" s="14">
        <f>SUM('ALPINE MEADOW:WOODLAND'!G152)</f>
        <v>147841.09</v>
      </c>
      <c r="H155" s="92">
        <f t="shared" si="14"/>
        <v>2.8615989859077776E-4</v>
      </c>
      <c r="J155" s="111">
        <f t="shared" si="15"/>
        <v>7.927034182938128E-2</v>
      </c>
      <c r="L155" s="90"/>
      <c r="M155" s="90"/>
      <c r="N155" s="90"/>
      <c r="O155" s="112"/>
      <c r="P155" s="113"/>
      <c r="Q155" s="125"/>
      <c r="R155" s="58"/>
    </row>
    <row r="156" spans="1:18" s="25" customFormat="1" ht="15.5">
      <c r="A156" s="32">
        <v>430</v>
      </c>
      <c r="B156" s="24" t="s">
        <v>99</v>
      </c>
      <c r="C156" s="14">
        <f>SUM('ALPINE MEADOW:WOODLAND'!C153)</f>
        <v>1845520.89</v>
      </c>
      <c r="D156" s="14">
        <f>SUM('ALPINE MEADOW:WOODLAND'!D153)</f>
        <v>960450.05875856814</v>
      </c>
      <c r="E156" s="14">
        <f>SUM('ALPINE MEADOW:WOODLAND'!E153)</f>
        <v>2805970.9487585677</v>
      </c>
      <c r="F156" s="14">
        <f>SUM('ALPINE MEADOW:WOODLAND'!F153)</f>
        <v>701676.64</v>
      </c>
      <c r="G156" s="14">
        <f>SUM('ALPINE MEADOW:WOODLAND'!G153)</f>
        <v>3507647.5887585678</v>
      </c>
      <c r="H156" s="92">
        <f t="shared" si="14"/>
        <v>6.7893714683200587E-3</v>
      </c>
      <c r="J156" s="111">
        <f t="shared" si="15"/>
        <v>1.8807519842954128</v>
      </c>
      <c r="L156" s="90"/>
      <c r="M156" s="90"/>
      <c r="N156" s="90"/>
      <c r="O156" s="112"/>
      <c r="P156" s="113"/>
      <c r="Q156" s="125"/>
      <c r="R156" s="58"/>
    </row>
    <row r="157" spans="1:18" s="25" customFormat="1" ht="15.5">
      <c r="A157" s="32"/>
      <c r="B157" s="73" t="s">
        <v>302</v>
      </c>
      <c r="C157" s="13"/>
      <c r="D157" s="13"/>
      <c r="E157" s="13"/>
      <c r="F157" s="13"/>
      <c r="G157" s="13"/>
      <c r="H157" s="74"/>
      <c r="I157" s="68"/>
      <c r="J157" s="129"/>
      <c r="K157" s="68"/>
      <c r="L157" s="90"/>
      <c r="M157" s="90"/>
      <c r="N157" s="90"/>
      <c r="O157" s="112"/>
      <c r="P157" s="113"/>
      <c r="Q157" s="125"/>
      <c r="R157" s="70"/>
    </row>
    <row r="158" spans="1:18" s="25" customFormat="1" ht="15.5">
      <c r="A158" s="32">
        <v>440.1</v>
      </c>
      <c r="B158" s="35" t="s">
        <v>223</v>
      </c>
      <c r="C158" s="14">
        <f>SUM('ALPINE MEADOW:WOODLAND'!C155)</f>
        <v>32</v>
      </c>
      <c r="D158" s="14">
        <f>SUM('ALPINE MEADOW:WOODLAND'!D155)</f>
        <v>0</v>
      </c>
      <c r="E158" s="14">
        <f>SUM('ALPINE MEADOW:WOODLAND'!E155)</f>
        <v>32</v>
      </c>
      <c r="F158" s="14">
        <f>SUM('ALPINE MEADOW:WOODLAND'!F155)</f>
        <v>0</v>
      </c>
      <c r="G158" s="14">
        <f>SUM('ALPINE MEADOW:WOODLAND'!G155)</f>
        <v>32</v>
      </c>
      <c r="H158" s="92">
        <f t="shared" ref="H158:H164" si="16">IF($G$211=0,0,G158/$G$211)</f>
        <v>6.1938915323912247E-8</v>
      </c>
      <c r="J158" s="111">
        <f>IF(G158=0,0,G158/$G$231)</f>
        <v>1.7157956144264094E-5</v>
      </c>
      <c r="L158" s="90"/>
      <c r="M158" s="90"/>
      <c r="N158" s="90"/>
      <c r="O158" s="112"/>
      <c r="P158" s="113"/>
      <c r="Q158" s="125"/>
      <c r="R158" s="58"/>
    </row>
    <row r="159" spans="1:18" s="25" customFormat="1" ht="15.5">
      <c r="A159" s="32">
        <v>440.2</v>
      </c>
      <c r="B159" s="35" t="s">
        <v>224</v>
      </c>
      <c r="C159" s="14">
        <f>SUM('ALPINE MEADOW:WOODLAND'!C156)</f>
        <v>13100.84</v>
      </c>
      <c r="D159" s="14">
        <f>SUM('ALPINE MEADOW:WOODLAND'!D156)</f>
        <v>26233.530000000006</v>
      </c>
      <c r="E159" s="14">
        <f>SUM('ALPINE MEADOW:WOODLAND'!E156)</f>
        <v>39334.37000000001</v>
      </c>
      <c r="F159" s="14">
        <f>SUM('ALPINE MEADOW:WOODLAND'!F156)</f>
        <v>0</v>
      </c>
      <c r="G159" s="14">
        <f>SUM('ALPINE MEADOW:WOODLAND'!G156)</f>
        <v>39334.37000000001</v>
      </c>
      <c r="H159" s="92">
        <f t="shared" si="16"/>
        <v>7.6135256648419831E-5</v>
      </c>
      <c r="J159" s="111">
        <f t="shared" ref="J159:J164" si="17">IF(G159=0,0,G159/$G$231)</f>
        <v>2.1090543606945546E-2</v>
      </c>
      <c r="L159" s="90"/>
      <c r="M159" s="90"/>
      <c r="N159" s="90"/>
      <c r="O159" s="112"/>
      <c r="P159" s="113"/>
      <c r="Q159" s="125"/>
      <c r="R159" s="58"/>
    </row>
    <row r="160" spans="1:18" s="25" customFormat="1" ht="15.5">
      <c r="A160" s="32">
        <v>440.3</v>
      </c>
      <c r="B160" s="35" t="s">
        <v>225</v>
      </c>
      <c r="C160" s="14">
        <f>SUM('ALPINE MEADOW:WOODLAND'!C157)</f>
        <v>22407</v>
      </c>
      <c r="D160" s="14">
        <f>SUM('ALPINE MEADOW:WOODLAND'!D157)</f>
        <v>0</v>
      </c>
      <c r="E160" s="14">
        <f>SUM('ALPINE MEADOW:WOODLAND'!E157)</f>
        <v>22407</v>
      </c>
      <c r="F160" s="14">
        <f>SUM('ALPINE MEADOW:WOODLAND'!F157)</f>
        <v>0</v>
      </c>
      <c r="G160" s="14">
        <f>SUM('ALPINE MEADOW:WOODLAND'!G157)</f>
        <v>22407</v>
      </c>
      <c r="H160" s="92">
        <f t="shared" si="16"/>
        <v>4.3370789864465676E-5</v>
      </c>
      <c r="J160" s="111">
        <f t="shared" si="17"/>
        <v>1.2014322603891424E-2</v>
      </c>
      <c r="L160" s="90"/>
      <c r="M160" s="90"/>
      <c r="N160" s="90"/>
      <c r="O160" s="112"/>
      <c r="P160" s="113"/>
      <c r="Q160" s="125"/>
      <c r="R160" s="58"/>
    </row>
    <row r="161" spans="1:18" s="25" customFormat="1" ht="15.5">
      <c r="A161" s="32">
        <v>440.4</v>
      </c>
      <c r="B161" s="35" t="s">
        <v>226</v>
      </c>
      <c r="C161" s="14">
        <f>SUM('ALPINE MEADOW:WOODLAND'!C158)</f>
        <v>1979.01</v>
      </c>
      <c r="D161" s="14">
        <f>SUM('ALPINE MEADOW:WOODLAND'!D158)</f>
        <v>0</v>
      </c>
      <c r="E161" s="14">
        <f>SUM('ALPINE MEADOW:WOODLAND'!E158)</f>
        <v>1979.01</v>
      </c>
      <c r="F161" s="14">
        <f>SUM('ALPINE MEADOW:WOODLAND'!F158)</f>
        <v>0</v>
      </c>
      <c r="G161" s="14">
        <f>SUM('ALPINE MEADOW:WOODLAND'!G158)</f>
        <v>1979.01</v>
      </c>
      <c r="H161" s="92">
        <f t="shared" si="16"/>
        <v>3.8305541504742361E-6</v>
      </c>
      <c r="J161" s="111">
        <f t="shared" si="17"/>
        <v>1.0611177121581277E-3</v>
      </c>
      <c r="L161" s="90"/>
      <c r="M161" s="90"/>
      <c r="N161" s="90"/>
      <c r="O161" s="112"/>
      <c r="P161" s="113"/>
      <c r="Q161" s="125"/>
      <c r="R161" s="58"/>
    </row>
    <row r="162" spans="1:18" s="25" customFormat="1" ht="15.5">
      <c r="A162" s="32">
        <v>440.5</v>
      </c>
      <c r="B162" s="35" t="s">
        <v>301</v>
      </c>
      <c r="C162" s="14">
        <f>SUM('ALPINE MEADOW:WOODLAND'!C159)</f>
        <v>21840.7</v>
      </c>
      <c r="D162" s="14">
        <f>SUM('ALPINE MEADOW:WOODLAND'!D159)</f>
        <v>-15720</v>
      </c>
      <c r="E162" s="14">
        <f>SUM('ALPINE MEADOW:WOODLAND'!E159)</f>
        <v>6120.7000000000007</v>
      </c>
      <c r="F162" s="14">
        <f>SUM('ALPINE MEADOW:WOODLAND'!F159)</f>
        <v>916</v>
      </c>
      <c r="G162" s="14">
        <f>SUM('ALPINE MEADOW:WOODLAND'!G159)</f>
        <v>7036.7000000000007</v>
      </c>
      <c r="H162" s="92">
        <f t="shared" si="16"/>
        <v>1.3620173920617916E-5</v>
      </c>
      <c r="J162" s="111">
        <f t="shared" si="17"/>
        <v>3.772980937510724E-3</v>
      </c>
      <c r="L162" s="90"/>
      <c r="M162" s="90"/>
      <c r="N162" s="90"/>
      <c r="O162" s="112"/>
      <c r="P162" s="113"/>
      <c r="Q162" s="125"/>
      <c r="R162" s="58"/>
    </row>
    <row r="163" spans="1:18" s="25" customFormat="1" ht="15.5">
      <c r="A163" s="32">
        <v>490</v>
      </c>
      <c r="B163" s="2" t="s">
        <v>303</v>
      </c>
      <c r="C163" s="14">
        <f>SUM('ALPINE MEADOW:WOODLAND'!C160)</f>
        <v>1327622.7500000002</v>
      </c>
      <c r="D163" s="14">
        <f>SUM('ALPINE MEADOW:WOODLAND'!D160)</f>
        <v>159853.20000000001</v>
      </c>
      <c r="E163" s="14">
        <f>SUM('ALPINE MEADOW:WOODLAND'!E160)</f>
        <v>1487475.9500000002</v>
      </c>
      <c r="F163" s="14">
        <f>SUM('ALPINE MEADOW:WOODLAND'!F160)</f>
        <v>-19596.790000000005</v>
      </c>
      <c r="G163" s="14">
        <f>SUM('ALPINE MEADOW:WOODLAND'!G160)</f>
        <v>1467879.1600000004</v>
      </c>
      <c r="H163" s="92">
        <f t="shared" si="16"/>
        <v>2.8412138436554827E-3</v>
      </c>
      <c r="J163" s="111">
        <f t="shared" si="17"/>
        <v>0.78705644538622577</v>
      </c>
      <c r="L163" s="90"/>
      <c r="M163" s="90"/>
      <c r="N163" s="90"/>
      <c r="O163" s="112"/>
      <c r="P163" s="113"/>
      <c r="Q163" s="125"/>
      <c r="R163" s="58"/>
    </row>
    <row r="164" spans="1:18" s="25" customFormat="1" ht="15.5">
      <c r="A164" s="32"/>
      <c r="B164" s="3" t="s">
        <v>233</v>
      </c>
      <c r="C164" s="14">
        <f>SUM('ALPINE MEADOW:WOODLAND'!C161)</f>
        <v>189176454.71464786</v>
      </c>
      <c r="D164" s="14">
        <f>SUM('ALPINE MEADOW:WOODLAND'!D161)</f>
        <v>16225298.267931713</v>
      </c>
      <c r="E164" s="14">
        <f>SUM('ALPINE MEADOW:WOODLAND'!E161)</f>
        <v>205401752.98257959</v>
      </c>
      <c r="F164" s="14">
        <f>SUM('ALPINE MEADOW:WOODLAND'!F161)</f>
        <v>5258173.0569133796</v>
      </c>
      <c r="G164" s="14">
        <f>SUM('ALPINE MEADOW:WOODLAND'!G161)</f>
        <v>210644899.69949293</v>
      </c>
      <c r="H164" s="92">
        <f t="shared" si="16"/>
        <v>0.40772239393440252</v>
      </c>
      <c r="J164" s="111">
        <f t="shared" si="17"/>
        <v>112.94487347052528</v>
      </c>
      <c r="L164" s="90"/>
      <c r="M164" s="90"/>
      <c r="N164" s="90"/>
      <c r="O164" s="112"/>
      <c r="P164" s="113"/>
      <c r="Q164" s="125"/>
      <c r="R164" s="58"/>
    </row>
    <row r="165" spans="1:18" s="25" customFormat="1" ht="15.5">
      <c r="A165" s="32"/>
      <c r="B165" s="24"/>
      <c r="C165" s="17"/>
      <c r="D165" s="17"/>
      <c r="E165" s="17"/>
      <c r="F165" s="17"/>
      <c r="G165" s="17"/>
      <c r="H165" s="72"/>
      <c r="J165" s="123"/>
      <c r="L165" s="93"/>
      <c r="M165" s="93"/>
      <c r="N165" s="93"/>
      <c r="O165" s="93"/>
      <c r="P165" s="93"/>
      <c r="Q165" s="126"/>
    </row>
    <row r="166" spans="1:18" s="25" customFormat="1" ht="15.5">
      <c r="A166" s="32" t="s">
        <v>168</v>
      </c>
      <c r="B166" s="36" t="s">
        <v>100</v>
      </c>
      <c r="C166" s="75"/>
      <c r="D166" s="75"/>
      <c r="E166" s="75"/>
      <c r="F166" s="76"/>
      <c r="G166" s="76"/>
      <c r="H166" s="72"/>
      <c r="J166" s="123"/>
      <c r="L166" s="93"/>
      <c r="M166" s="93"/>
      <c r="N166" s="93"/>
      <c r="O166" s="93"/>
      <c r="P166" s="93"/>
      <c r="Q166" s="126"/>
    </row>
    <row r="167" spans="1:18" s="25" customFormat="1" ht="15.5">
      <c r="A167" s="32" t="s">
        <v>95</v>
      </c>
      <c r="B167" s="24" t="s">
        <v>102</v>
      </c>
      <c r="C167" s="14">
        <f>SUM('ALPINE MEADOW:WOODLAND'!C164)</f>
        <v>33687.129999999997</v>
      </c>
      <c r="D167" s="14">
        <f>SUM('ALPINE MEADOW:WOODLAND'!D164)</f>
        <v>0</v>
      </c>
      <c r="E167" s="14">
        <f>SUM('ALPINE MEADOW:WOODLAND'!E164)</f>
        <v>33687.129999999997</v>
      </c>
      <c r="F167" s="14">
        <f>SUM('ALPINE MEADOW:WOODLAND'!F164)</f>
        <v>0</v>
      </c>
      <c r="G167" s="14">
        <f>SUM('ALPINE MEADOW:WOODLAND'!G164)</f>
        <v>33687.129999999997</v>
      </c>
      <c r="H167" s="92">
        <f t="shared" ref="H167:H190" si="18">IF($G$211=0,0,G167/$G$211)</f>
        <v>6.5204509142988235E-5</v>
      </c>
      <c r="J167" s="111">
        <f t="shared" ref="J167:J200" si="19">IF(G167=0,0,G167/$G$231)</f>
        <v>1.8062571848941354E-2</v>
      </c>
      <c r="K167" s="25">
        <v>0</v>
      </c>
      <c r="L167" s="118">
        <f>SUM('ALPINE MEADOW:WOODLAND'!J164)</f>
        <v>0</v>
      </c>
      <c r="M167" s="118">
        <f>SUM('ALPINE MEADOW:WOODLAND'!K164)</f>
        <v>0</v>
      </c>
      <c r="N167" s="119"/>
      <c r="O167" s="120">
        <f>IF(L167=0,0,G167/M167)</f>
        <v>0</v>
      </c>
      <c r="P167" s="59"/>
      <c r="Q167" s="121">
        <f>M167/$G$231</f>
        <v>0</v>
      </c>
      <c r="R167" s="58"/>
    </row>
    <row r="168" spans="1:18" s="25" customFormat="1" ht="15.5">
      <c r="A168" s="32" t="s">
        <v>123</v>
      </c>
      <c r="B168" s="24" t="s">
        <v>103</v>
      </c>
      <c r="C168" s="14">
        <f>SUM('ALPINE MEADOW:WOODLAND'!C165)</f>
        <v>0</v>
      </c>
      <c r="D168" s="14">
        <f>SUM('ALPINE MEADOW:WOODLAND'!D165)</f>
        <v>0</v>
      </c>
      <c r="E168" s="14">
        <f>SUM('ALPINE MEADOW:WOODLAND'!E165)</f>
        <v>0</v>
      </c>
      <c r="F168" s="14">
        <f>SUM('ALPINE MEADOW:WOODLAND'!F165)</f>
        <v>0</v>
      </c>
      <c r="G168" s="14">
        <f>SUM('ALPINE MEADOW:WOODLAND'!G165)</f>
        <v>0</v>
      </c>
      <c r="H168" s="92">
        <f t="shared" si="18"/>
        <v>0</v>
      </c>
      <c r="J168" s="111">
        <f t="shared" si="19"/>
        <v>0</v>
      </c>
      <c r="L168" s="90"/>
      <c r="M168" s="90"/>
      <c r="N168" s="90"/>
      <c r="O168" s="130"/>
      <c r="P168" s="113"/>
      <c r="Q168" s="125"/>
      <c r="R168" s="58"/>
    </row>
    <row r="169" spans="1:18" s="25" customFormat="1" ht="15.5">
      <c r="A169" s="32" t="s">
        <v>124</v>
      </c>
      <c r="B169" s="24" t="s">
        <v>104</v>
      </c>
      <c r="C169" s="14">
        <f>SUM('ALPINE MEADOW:WOODLAND'!C166)</f>
        <v>8532441.040000001</v>
      </c>
      <c r="D169" s="14">
        <f>SUM('ALPINE MEADOW:WOODLAND'!D166)</f>
        <v>447889.40206366882</v>
      </c>
      <c r="E169" s="14">
        <f>SUM('ALPINE MEADOW:WOODLAND'!E166)</f>
        <v>8980330.4420636687</v>
      </c>
      <c r="F169" s="14">
        <f>SUM('ALPINE MEADOW:WOODLAND'!F166)</f>
        <v>181221</v>
      </c>
      <c r="G169" s="14">
        <f>SUM('ALPINE MEADOW:WOODLAND'!G166)</f>
        <v>9161551.4420636687</v>
      </c>
      <c r="H169" s="92">
        <f t="shared" si="18"/>
        <v>1.7733017468926488E-2</v>
      </c>
      <c r="J169" s="111">
        <f t="shared" si="19"/>
        <v>4.912296808010872</v>
      </c>
      <c r="K169" s="25">
        <v>0</v>
      </c>
      <c r="L169" s="118">
        <f>SUM('ALPINE MEADOW:WOODLAND'!J166)</f>
        <v>303926.19127251697</v>
      </c>
      <c r="M169" s="118">
        <f>SUM('ALPINE MEADOW:WOODLAND'!K166)</f>
        <v>323038.10353663022</v>
      </c>
      <c r="N169" s="119"/>
      <c r="O169" s="120">
        <f>IF(L169=0,0,G169/M169)</f>
        <v>28.360590722155518</v>
      </c>
      <c r="P169" s="59"/>
      <c r="Q169" s="121">
        <f>M169/$G$231</f>
        <v>0.17320855041899205</v>
      </c>
      <c r="R169" s="58"/>
    </row>
    <row r="170" spans="1:18" s="25" customFormat="1" ht="15.5">
      <c r="A170" s="32" t="s">
        <v>157</v>
      </c>
      <c r="B170" s="24" t="s">
        <v>105</v>
      </c>
      <c r="C170" s="14">
        <f>SUM('ALPINE MEADOW:WOODLAND'!C167)</f>
        <v>683050.67999999993</v>
      </c>
      <c r="D170" s="14">
        <f>SUM('ALPINE MEADOW:WOODLAND'!D167)</f>
        <v>877684.25115007325</v>
      </c>
      <c r="E170" s="14">
        <f>SUM('ALPINE MEADOW:WOODLAND'!E167)</f>
        <v>1560734.9311500732</v>
      </c>
      <c r="F170" s="14">
        <f>SUM('ALPINE MEADOW:WOODLAND'!F167)</f>
        <v>27425</v>
      </c>
      <c r="G170" s="14">
        <f>SUM('ALPINE MEADOW:WOODLAND'!G167)</f>
        <v>1588159.9311500734</v>
      </c>
      <c r="H170" s="92">
        <f t="shared" si="18"/>
        <v>3.074028234260459E-3</v>
      </c>
      <c r="J170" s="111">
        <f t="shared" si="19"/>
        <v>0.85154932652345139</v>
      </c>
      <c r="L170" s="90"/>
      <c r="M170" s="90"/>
      <c r="N170" s="90"/>
      <c r="O170" s="130"/>
      <c r="P170" s="113"/>
      <c r="Q170" s="125"/>
      <c r="R170" s="58"/>
    </row>
    <row r="171" spans="1:18" s="25" customFormat="1" ht="15.5">
      <c r="A171" s="32" t="s">
        <v>158</v>
      </c>
      <c r="B171" s="25" t="s">
        <v>106</v>
      </c>
      <c r="C171" s="14">
        <f>SUM('ALPINE MEADOW:WOODLAND'!C168)</f>
        <v>1285295.75</v>
      </c>
      <c r="D171" s="14">
        <f>SUM('ALPINE MEADOW:WOODLAND'!D168)</f>
        <v>98012.218660273938</v>
      </c>
      <c r="E171" s="14">
        <f>SUM('ALPINE MEADOW:WOODLAND'!E168)</f>
        <v>1383307.9686602736</v>
      </c>
      <c r="F171" s="14">
        <f>SUM('ALPINE MEADOW:WOODLAND'!F168)</f>
        <v>19893</v>
      </c>
      <c r="G171" s="14">
        <f>SUM('ALPINE MEADOW:WOODLAND'!G168)</f>
        <v>1403200.9686602736</v>
      </c>
      <c r="H171" s="92">
        <f t="shared" si="18"/>
        <v>2.7160233118837598E-3</v>
      </c>
      <c r="J171" s="111">
        <f t="shared" si="19"/>
        <v>0.7523768963081835</v>
      </c>
      <c r="K171" s="25">
        <v>0</v>
      </c>
      <c r="L171" s="118">
        <f>SUM('ALPINE MEADOW:WOODLAND'!J168)</f>
        <v>33978.658765483066</v>
      </c>
      <c r="M171" s="118">
        <f>SUM('ALPINE MEADOW:WOODLAND'!K168)</f>
        <v>36352.239261363589</v>
      </c>
      <c r="N171" s="119"/>
      <c r="O171" s="120">
        <f>IF(L171=0,0,G171/M171)</f>
        <v>38.600124701303997</v>
      </c>
      <c r="P171" s="59"/>
      <c r="Q171" s="121">
        <f>M171/$G$231</f>
        <v>1.9491566468508498E-2</v>
      </c>
      <c r="R171" s="58"/>
    </row>
    <row r="172" spans="1:18" s="25" customFormat="1" ht="15.5">
      <c r="A172" s="32" t="s">
        <v>86</v>
      </c>
      <c r="B172" s="25" t="s">
        <v>107</v>
      </c>
      <c r="C172" s="14">
        <f>SUM('ALPINE MEADOW:WOODLAND'!C169)</f>
        <v>116288.84</v>
      </c>
      <c r="D172" s="14">
        <f>SUM('ALPINE MEADOW:WOODLAND'!D169)</f>
        <v>114865.49191478349</v>
      </c>
      <c r="E172" s="14">
        <f>SUM('ALPINE MEADOW:WOODLAND'!E169)</f>
        <v>231154.33191478348</v>
      </c>
      <c r="F172" s="14">
        <f>SUM('ALPINE MEADOW:WOODLAND'!F169)</f>
        <v>2801</v>
      </c>
      <c r="G172" s="14">
        <f>SUM('ALPINE MEADOW:WOODLAND'!G169)</f>
        <v>233955.33191478348</v>
      </c>
      <c r="H172" s="92">
        <f t="shared" si="18"/>
        <v>4.5284185915773616E-4</v>
      </c>
      <c r="J172" s="111">
        <f t="shared" si="19"/>
        <v>0.12544360389720641</v>
      </c>
      <c r="L172" s="90"/>
      <c r="M172" s="90"/>
      <c r="N172" s="90"/>
      <c r="O172" s="130"/>
      <c r="P172" s="113"/>
      <c r="Q172" s="125"/>
      <c r="R172" s="58"/>
    </row>
    <row r="173" spans="1:18" s="25" customFormat="1" ht="15.5">
      <c r="A173" s="32" t="s">
        <v>96</v>
      </c>
      <c r="B173" s="24" t="s">
        <v>108</v>
      </c>
      <c r="C173" s="14">
        <f>SUM('ALPINE MEADOW:WOODLAND'!C170)</f>
        <v>0</v>
      </c>
      <c r="D173" s="14">
        <f>SUM('ALPINE MEADOW:WOODLAND'!D170)</f>
        <v>0</v>
      </c>
      <c r="E173" s="14">
        <f>SUM('ALPINE MEADOW:WOODLAND'!E170)</f>
        <v>0</v>
      </c>
      <c r="F173" s="14">
        <f>SUM('ALPINE MEADOW:WOODLAND'!F170)</f>
        <v>0</v>
      </c>
      <c r="G173" s="14">
        <f>SUM('ALPINE MEADOW:WOODLAND'!G170)</f>
        <v>0</v>
      </c>
      <c r="H173" s="92">
        <f t="shared" si="18"/>
        <v>0</v>
      </c>
      <c r="J173" s="111">
        <f t="shared" si="19"/>
        <v>0</v>
      </c>
      <c r="K173" s="25">
        <v>0</v>
      </c>
      <c r="L173" s="118">
        <f>SUM('ALPINE MEADOW:WOODLAND'!J170)</f>
        <v>0</v>
      </c>
      <c r="M173" s="118">
        <f>SUM('ALPINE MEADOW:WOODLAND'!K170)</f>
        <v>0</v>
      </c>
      <c r="N173" s="119"/>
      <c r="O173" s="120">
        <f>IF(L173=0,0,G173/M173)</f>
        <v>0</v>
      </c>
      <c r="P173" s="59"/>
      <c r="Q173" s="121">
        <f>M173/$G$231</f>
        <v>0</v>
      </c>
      <c r="R173" s="58"/>
    </row>
    <row r="174" spans="1:18" s="25" customFormat="1" ht="15.5">
      <c r="A174" s="32" t="s">
        <v>125</v>
      </c>
      <c r="B174" s="24" t="s">
        <v>109</v>
      </c>
      <c r="C174" s="14">
        <f>SUM('ALPINE MEADOW:WOODLAND'!C171)</f>
        <v>0</v>
      </c>
      <c r="D174" s="14">
        <f>SUM('ALPINE MEADOW:WOODLAND'!D171)</f>
        <v>0</v>
      </c>
      <c r="E174" s="14">
        <f>SUM('ALPINE MEADOW:WOODLAND'!E171)</f>
        <v>0</v>
      </c>
      <c r="F174" s="14">
        <f>SUM('ALPINE MEADOW:WOODLAND'!F171)</f>
        <v>0</v>
      </c>
      <c r="G174" s="14">
        <f>SUM('ALPINE MEADOW:WOODLAND'!G171)</f>
        <v>0</v>
      </c>
      <c r="H174" s="92">
        <f t="shared" si="18"/>
        <v>0</v>
      </c>
      <c r="J174" s="111">
        <f t="shared" si="19"/>
        <v>0</v>
      </c>
      <c r="L174" s="90"/>
      <c r="M174" s="90"/>
      <c r="N174" s="90"/>
      <c r="O174" s="130"/>
      <c r="P174" s="113"/>
      <c r="Q174" s="125"/>
      <c r="R174" s="58"/>
    </row>
    <row r="175" spans="1:18" s="25" customFormat="1" ht="15.5">
      <c r="A175" s="32" t="s">
        <v>126</v>
      </c>
      <c r="B175" s="24" t="s">
        <v>110</v>
      </c>
      <c r="C175" s="14">
        <f>SUM('ALPINE MEADOW:WOODLAND'!C172)</f>
        <v>5302480.57</v>
      </c>
      <c r="D175" s="14">
        <f>SUM('ALPINE MEADOW:WOODLAND'!D172)</f>
        <v>381189.21243218018</v>
      </c>
      <c r="E175" s="14">
        <f>SUM('ALPINE MEADOW:WOODLAND'!E172)</f>
        <v>5683669.7824321799</v>
      </c>
      <c r="F175" s="14">
        <f>SUM('ALPINE MEADOW:WOODLAND'!F172)</f>
        <v>159360</v>
      </c>
      <c r="G175" s="14">
        <f>SUM('ALPINE MEADOW:WOODLAND'!G172)</f>
        <v>5843029.7824321799</v>
      </c>
      <c r="H175" s="92">
        <f t="shared" si="18"/>
        <v>1.130971646653638E-2</v>
      </c>
      <c r="J175" s="111">
        <f t="shared" si="19"/>
        <v>3.1329515236437602</v>
      </c>
      <c r="K175" s="25">
        <v>0</v>
      </c>
      <c r="L175" s="118">
        <f>SUM('ALPINE MEADOW:WOODLAND'!J172)</f>
        <v>178469.03406066535</v>
      </c>
      <c r="M175" s="118">
        <f>SUM('ALPINE MEADOW:WOODLAND'!K172)</f>
        <v>193315.30975538158</v>
      </c>
      <c r="N175" s="119"/>
      <c r="O175" s="120">
        <f>IF(L175=0,0,G175/M175)</f>
        <v>30.225385613927145</v>
      </c>
      <c r="P175" s="59"/>
      <c r="Q175" s="121">
        <f>M175/$G$231</f>
        <v>0.10365298771242706</v>
      </c>
      <c r="R175" s="58"/>
    </row>
    <row r="176" spans="1:18" s="25" customFormat="1" ht="15.5">
      <c r="A176" s="32" t="s">
        <v>127</v>
      </c>
      <c r="B176" s="24" t="s">
        <v>111</v>
      </c>
      <c r="C176" s="14">
        <f>SUM('ALPINE MEADOW:WOODLAND'!C173)</f>
        <v>357712.57999999996</v>
      </c>
      <c r="D176" s="14">
        <f>SUM('ALPINE MEADOW:WOODLAND'!D173)</f>
        <v>600425.97318969434</v>
      </c>
      <c r="E176" s="14">
        <f>SUM('ALPINE MEADOW:WOODLAND'!E173)</f>
        <v>958138.5531896943</v>
      </c>
      <c r="F176" s="14">
        <f>SUM('ALPINE MEADOW:WOODLAND'!F173)</f>
        <v>23979</v>
      </c>
      <c r="G176" s="14">
        <f>SUM('ALPINE MEADOW:WOODLAND'!G173)</f>
        <v>982117.5531896943</v>
      </c>
      <c r="H176" s="92">
        <f t="shared" si="18"/>
        <v>1.9009779989107611E-3</v>
      </c>
      <c r="J176" s="111">
        <f t="shared" si="19"/>
        <v>0.52659780956689795</v>
      </c>
      <c r="L176" s="90"/>
      <c r="M176" s="90"/>
      <c r="N176" s="90"/>
      <c r="O176" s="130"/>
      <c r="P176" s="113"/>
      <c r="Q176" s="125"/>
      <c r="R176" s="58"/>
    </row>
    <row r="177" spans="1:18" s="25" customFormat="1" ht="15.5">
      <c r="A177" s="32" t="s">
        <v>128</v>
      </c>
      <c r="B177" s="24" t="s">
        <v>112</v>
      </c>
      <c r="C177" s="14">
        <f>SUM('ALPINE MEADOW:WOODLAND'!C174)</f>
        <v>0</v>
      </c>
      <c r="D177" s="14">
        <f>SUM('ALPINE MEADOW:WOODLAND'!D174)</f>
        <v>0</v>
      </c>
      <c r="E177" s="14">
        <f>SUM('ALPINE MEADOW:WOODLAND'!E174)</f>
        <v>0</v>
      </c>
      <c r="F177" s="14">
        <f>SUM('ALPINE MEADOW:WOODLAND'!F174)</f>
        <v>0</v>
      </c>
      <c r="G177" s="14">
        <f>SUM('ALPINE MEADOW:WOODLAND'!G174)</f>
        <v>0</v>
      </c>
      <c r="H177" s="92">
        <f t="shared" si="18"/>
        <v>0</v>
      </c>
      <c r="J177" s="111">
        <f t="shared" si="19"/>
        <v>0</v>
      </c>
      <c r="K177" s="25">
        <v>0</v>
      </c>
      <c r="L177" s="118">
        <f>SUM('ALPINE MEADOW:WOODLAND'!J174)</f>
        <v>9539.4500000000007</v>
      </c>
      <c r="M177" s="118">
        <f>SUM('ALPINE MEADOW:WOODLAND'!K174)</f>
        <v>10066.552576000002</v>
      </c>
      <c r="N177" s="119"/>
      <c r="O177" s="120">
        <f>IF(L177=0,0,G177/M177)</f>
        <v>0</v>
      </c>
      <c r="P177" s="59"/>
      <c r="Q177" s="121">
        <f>M177/$G$231</f>
        <v>5.3975458632167742E-3</v>
      </c>
      <c r="R177" s="58"/>
    </row>
    <row r="178" spans="1:18" s="25" customFormat="1" ht="15.5">
      <c r="A178" s="32" t="s">
        <v>129</v>
      </c>
      <c r="B178" s="2" t="s">
        <v>113</v>
      </c>
      <c r="C178" s="14">
        <f>SUM('ALPINE MEADOW:WOODLAND'!C175)</f>
        <v>0</v>
      </c>
      <c r="D178" s="14">
        <f>SUM('ALPINE MEADOW:WOODLAND'!D175)</f>
        <v>0</v>
      </c>
      <c r="E178" s="14">
        <f>SUM('ALPINE MEADOW:WOODLAND'!E175)</f>
        <v>0</v>
      </c>
      <c r="F178" s="14">
        <f>SUM('ALPINE MEADOW:WOODLAND'!F175)</f>
        <v>0</v>
      </c>
      <c r="G178" s="14">
        <f>SUM('ALPINE MEADOW:WOODLAND'!G175)</f>
        <v>0</v>
      </c>
      <c r="H178" s="92">
        <f t="shared" si="18"/>
        <v>0</v>
      </c>
      <c r="J178" s="111">
        <f t="shared" si="19"/>
        <v>0</v>
      </c>
      <c r="L178" s="96"/>
      <c r="M178" s="96"/>
      <c r="N178" s="96"/>
      <c r="O178" s="112"/>
      <c r="P178" s="113"/>
      <c r="Q178" s="112"/>
      <c r="R178" s="58"/>
    </row>
    <row r="179" spans="1:18" s="25" customFormat="1" ht="15.5">
      <c r="A179" s="32">
        <v>112</v>
      </c>
      <c r="B179" s="2" t="s">
        <v>154</v>
      </c>
      <c r="C179" s="14">
        <f>SUM('ALPINE MEADOW:WOODLAND'!C176)</f>
        <v>0</v>
      </c>
      <c r="D179" s="14">
        <f>SUM('ALPINE MEADOW:WOODLAND'!D176)</f>
        <v>0</v>
      </c>
      <c r="E179" s="14">
        <f>SUM('ALPINE MEADOW:WOODLAND'!E176)</f>
        <v>0</v>
      </c>
      <c r="F179" s="14">
        <f>SUM('ALPINE MEADOW:WOODLAND'!F176)</f>
        <v>0</v>
      </c>
      <c r="G179" s="14">
        <f>SUM('ALPINE MEADOW:WOODLAND'!G176)</f>
        <v>0</v>
      </c>
      <c r="H179" s="92">
        <f t="shared" si="18"/>
        <v>0</v>
      </c>
      <c r="J179" s="111">
        <f t="shared" si="19"/>
        <v>0</v>
      </c>
      <c r="L179" s="90"/>
      <c r="M179" s="90"/>
      <c r="N179" s="90"/>
      <c r="O179" s="112"/>
      <c r="P179" s="113"/>
      <c r="Q179" s="112"/>
      <c r="R179" s="58"/>
    </row>
    <row r="180" spans="1:18" s="25" customFormat="1" ht="15.5">
      <c r="A180" s="32">
        <v>113</v>
      </c>
      <c r="B180" s="2" t="s">
        <v>114</v>
      </c>
      <c r="C180" s="14">
        <f>SUM('ALPINE MEADOW:WOODLAND'!C177)</f>
        <v>774913</v>
      </c>
      <c r="D180" s="14">
        <f>SUM('ALPINE MEADOW:WOODLAND'!D177)</f>
        <v>4</v>
      </c>
      <c r="E180" s="14">
        <f>SUM('ALPINE MEADOW:WOODLAND'!E177)</f>
        <v>774917</v>
      </c>
      <c r="F180" s="14">
        <f>SUM('ALPINE MEADOW:WOODLAND'!F177)</f>
        <v>1071</v>
      </c>
      <c r="G180" s="14">
        <f>SUM('ALPINE MEADOW:WOODLAND'!G177)</f>
        <v>775988</v>
      </c>
      <c r="H180" s="92">
        <f t="shared" si="18"/>
        <v>1.5019954695116254E-3</v>
      </c>
      <c r="J180" s="111">
        <f t="shared" si="19"/>
        <v>0.4160740022648502</v>
      </c>
      <c r="L180" s="90"/>
      <c r="M180" s="90"/>
      <c r="N180" s="90"/>
      <c r="O180" s="112"/>
      <c r="P180" s="113"/>
      <c r="Q180" s="112"/>
      <c r="R180" s="58"/>
    </row>
    <row r="181" spans="1:18" s="25" customFormat="1" ht="15.5">
      <c r="A181" s="32">
        <v>114</v>
      </c>
      <c r="B181" s="25" t="s">
        <v>155</v>
      </c>
      <c r="C181" s="14">
        <f>SUM('ALPINE MEADOW:WOODLAND'!C178)</f>
        <v>143658.94999999998</v>
      </c>
      <c r="D181" s="14">
        <f>SUM('ALPINE MEADOW:WOODLAND'!D178)</f>
        <v>0</v>
      </c>
      <c r="E181" s="14">
        <f>SUM('ALPINE MEADOW:WOODLAND'!E178)</f>
        <v>143658.94999999998</v>
      </c>
      <c r="F181" s="14">
        <f>SUM('ALPINE MEADOW:WOODLAND'!F178)</f>
        <v>0</v>
      </c>
      <c r="G181" s="14">
        <f>SUM('ALPINE MEADOW:WOODLAND'!G178)</f>
        <v>143658.94999999998</v>
      </c>
      <c r="H181" s="92">
        <f t="shared" si="18"/>
        <v>2.7806498561162943E-4</v>
      </c>
      <c r="J181" s="111">
        <f t="shared" si="19"/>
        <v>7.7027936369719635E-2</v>
      </c>
      <c r="L181" s="90"/>
      <c r="M181" s="90"/>
      <c r="N181" s="90"/>
      <c r="O181" s="112"/>
      <c r="P181" s="113"/>
      <c r="Q181" s="112"/>
      <c r="R181" s="58"/>
    </row>
    <row r="182" spans="1:18" s="25" customFormat="1" ht="15.5">
      <c r="A182" s="32">
        <v>115</v>
      </c>
      <c r="B182" s="2" t="s">
        <v>115</v>
      </c>
      <c r="C182" s="14">
        <f>SUM('ALPINE MEADOW:WOODLAND'!C179)</f>
        <v>0</v>
      </c>
      <c r="D182" s="14">
        <f>SUM('ALPINE MEADOW:WOODLAND'!D179)</f>
        <v>0</v>
      </c>
      <c r="E182" s="14">
        <f>SUM('ALPINE MEADOW:WOODLAND'!E179)</f>
        <v>0</v>
      </c>
      <c r="F182" s="14">
        <f>SUM('ALPINE MEADOW:WOODLAND'!F179)</f>
        <v>0</v>
      </c>
      <c r="G182" s="14">
        <f>SUM('ALPINE MEADOW:WOODLAND'!G179)</f>
        <v>0</v>
      </c>
      <c r="H182" s="92">
        <f t="shared" si="18"/>
        <v>0</v>
      </c>
      <c r="J182" s="111">
        <f t="shared" si="19"/>
        <v>0</v>
      </c>
      <c r="L182" s="90"/>
      <c r="M182" s="90"/>
      <c r="N182" s="90"/>
      <c r="O182" s="112"/>
      <c r="P182" s="113"/>
      <c r="Q182" s="112"/>
      <c r="R182" s="58"/>
    </row>
    <row r="183" spans="1:18" s="25" customFormat="1" ht="15.5">
      <c r="A183" s="32">
        <v>116</v>
      </c>
      <c r="B183" s="2" t="s">
        <v>116</v>
      </c>
      <c r="C183" s="14">
        <f>SUM('ALPINE MEADOW:WOODLAND'!C180)</f>
        <v>398661.76000000007</v>
      </c>
      <c r="D183" s="14">
        <f>SUM('ALPINE MEADOW:WOODLAND'!D180)</f>
        <v>0</v>
      </c>
      <c r="E183" s="14">
        <f>SUM('ALPINE MEADOW:WOODLAND'!E180)</f>
        <v>398661.76000000007</v>
      </c>
      <c r="F183" s="14">
        <f>SUM('ALPINE MEADOW:WOODLAND'!F180)</f>
        <v>86</v>
      </c>
      <c r="G183" s="14">
        <f>SUM('ALPINE MEADOW:WOODLAND'!G180)</f>
        <v>398747.76000000007</v>
      </c>
      <c r="H183" s="92">
        <f t="shared" si="18"/>
        <v>7.7181261694499019E-4</v>
      </c>
      <c r="J183" s="111">
        <f t="shared" si="19"/>
        <v>0.21380301808448582</v>
      </c>
      <c r="L183" s="90"/>
      <c r="M183" s="90"/>
      <c r="N183" s="90"/>
      <c r="O183" s="112"/>
      <c r="P183" s="113"/>
      <c r="Q183" s="112"/>
      <c r="R183" s="58"/>
    </row>
    <row r="184" spans="1:18" s="25" customFormat="1" ht="15.5">
      <c r="A184" s="32">
        <v>117</v>
      </c>
      <c r="B184" s="2" t="s">
        <v>117</v>
      </c>
      <c r="C184" s="14">
        <f>SUM('ALPINE MEADOW:WOODLAND'!C181)</f>
        <v>527471</v>
      </c>
      <c r="D184" s="14">
        <f>SUM('ALPINE MEADOW:WOODLAND'!D181)</f>
        <v>0</v>
      </c>
      <c r="E184" s="14">
        <f>SUM('ALPINE MEADOW:WOODLAND'!E181)</f>
        <v>527471</v>
      </c>
      <c r="F184" s="14">
        <f>SUM('ALPINE MEADOW:WOODLAND'!F181)</f>
        <v>0</v>
      </c>
      <c r="G184" s="14">
        <f>SUM('ALPINE MEADOW:WOODLAND'!G181)</f>
        <v>527471</v>
      </c>
      <c r="H184" s="92">
        <f t="shared" si="18"/>
        <v>1.0209681751506036E-3</v>
      </c>
      <c r="J184" s="111">
        <f t="shared" si="19"/>
        <v>0.28282263391784773</v>
      </c>
      <c r="L184" s="90"/>
      <c r="M184" s="90"/>
      <c r="N184" s="90"/>
      <c r="O184" s="112"/>
      <c r="P184" s="113"/>
      <c r="Q184" s="112"/>
      <c r="R184" s="58"/>
    </row>
    <row r="185" spans="1:18" s="25" customFormat="1" ht="15.5">
      <c r="A185" s="32" t="s">
        <v>132</v>
      </c>
      <c r="B185" s="2" t="s">
        <v>118</v>
      </c>
      <c r="C185" s="14">
        <f>SUM('ALPINE MEADOW:WOODLAND'!C182)</f>
        <v>219499.96000000002</v>
      </c>
      <c r="D185" s="14">
        <f>SUM('ALPINE MEADOW:WOODLAND'!D182)</f>
        <v>-451</v>
      </c>
      <c r="E185" s="14">
        <f>SUM('ALPINE MEADOW:WOODLAND'!E182)</f>
        <v>219048.96000000002</v>
      </c>
      <c r="F185" s="14">
        <f>SUM('ALPINE MEADOW:WOODLAND'!F182)</f>
        <v>1392</v>
      </c>
      <c r="G185" s="14">
        <f>SUM('ALPINE MEADOW:WOODLAND'!G182)</f>
        <v>220440.96000000002</v>
      </c>
      <c r="H185" s="92">
        <f t="shared" si="18"/>
        <v>4.2668356110506022E-4</v>
      </c>
      <c r="J185" s="111">
        <f t="shared" si="19"/>
        <v>0.11819738512748362</v>
      </c>
      <c r="L185" s="90"/>
      <c r="M185" s="90"/>
      <c r="N185" s="90"/>
      <c r="O185" s="112"/>
      <c r="P185" s="113"/>
      <c r="Q185" s="112"/>
      <c r="R185" s="58"/>
    </row>
    <row r="186" spans="1:18" s="25" customFormat="1" ht="15.5">
      <c r="A186" s="32" t="s">
        <v>133</v>
      </c>
      <c r="B186" s="2" t="s">
        <v>119</v>
      </c>
      <c r="C186" s="14">
        <f>SUM('ALPINE MEADOW:WOODLAND'!C183)</f>
        <v>13285866.800000001</v>
      </c>
      <c r="D186" s="14">
        <f>SUM('ALPINE MEADOW:WOODLAND'!D183)</f>
        <v>-206520.26</v>
      </c>
      <c r="E186" s="14">
        <f>SUM('ALPINE MEADOW:WOODLAND'!E183)</f>
        <v>13079346.540000003</v>
      </c>
      <c r="F186" s="14">
        <f>SUM('ALPINE MEADOW:WOODLAND'!F183)</f>
        <v>238364.45</v>
      </c>
      <c r="G186" s="14">
        <f>SUM('ALPINE MEADOW:WOODLAND'!G183)</f>
        <v>13317710.990000002</v>
      </c>
      <c r="H186" s="92">
        <f t="shared" si="18"/>
        <v>2.5777642916185801E-2</v>
      </c>
      <c r="J186" s="111">
        <f t="shared" si="19"/>
        <v>7.1407719096376248</v>
      </c>
      <c r="L186" s="90"/>
      <c r="M186" s="90"/>
      <c r="N186" s="90"/>
      <c r="O186" s="112"/>
      <c r="P186" s="113"/>
      <c r="Q186" s="112"/>
      <c r="R186" s="58"/>
    </row>
    <row r="187" spans="1:18" s="25" customFormat="1" ht="15.5">
      <c r="A187" s="32" t="s">
        <v>134</v>
      </c>
      <c r="B187" s="2" t="s">
        <v>120</v>
      </c>
      <c r="C187" s="14">
        <f>SUM('ALPINE MEADOW:WOODLAND'!C184)</f>
        <v>2810063.1300000004</v>
      </c>
      <c r="D187" s="14">
        <f>SUM('ALPINE MEADOW:WOODLAND'!D184)</f>
        <v>-30120.016453387041</v>
      </c>
      <c r="E187" s="14">
        <f>SUM('ALPINE MEADOW:WOODLAND'!E184)</f>
        <v>2779943.1135466131</v>
      </c>
      <c r="F187" s="14">
        <f>SUM('ALPINE MEADOW:WOODLAND'!F184)</f>
        <v>29644.149999999998</v>
      </c>
      <c r="G187" s="14">
        <f>SUM('ALPINE MEADOW:WOODLAND'!G184)</f>
        <v>2809587.263546613</v>
      </c>
      <c r="H187" s="92">
        <f t="shared" si="18"/>
        <v>5.4382121128736241E-3</v>
      </c>
      <c r="J187" s="111">
        <f t="shared" si="19"/>
        <v>1.5064617203567423</v>
      </c>
      <c r="L187" s="90"/>
      <c r="M187" s="90"/>
      <c r="N187" s="90"/>
      <c r="O187" s="112"/>
      <c r="P187" s="113"/>
      <c r="Q187" s="112"/>
      <c r="R187" s="58"/>
    </row>
    <row r="188" spans="1:18" s="25" customFormat="1" ht="15.5">
      <c r="A188" s="32" t="s">
        <v>135</v>
      </c>
      <c r="B188" s="2" t="s">
        <v>131</v>
      </c>
      <c r="C188" s="14">
        <f>SUM('ALPINE MEADOW:WOODLAND'!C185)</f>
        <v>1448826.67</v>
      </c>
      <c r="D188" s="14">
        <f>SUM('ALPINE MEADOW:WOODLAND'!D185)</f>
        <v>-6140.42</v>
      </c>
      <c r="E188" s="14">
        <f>SUM('ALPINE MEADOW:WOODLAND'!E185)</f>
        <v>1442686.25</v>
      </c>
      <c r="F188" s="14">
        <f>SUM('ALPINE MEADOW:WOODLAND'!F185)</f>
        <v>-515041</v>
      </c>
      <c r="G188" s="14">
        <f>SUM('ALPINE MEADOW:WOODLAND'!G185)</f>
        <v>927645.25</v>
      </c>
      <c r="H188" s="92">
        <f t="shared" si="18"/>
        <v>1.7955418934493563E-3</v>
      </c>
      <c r="J188" s="111">
        <f t="shared" si="19"/>
        <v>0.4973905161542157</v>
      </c>
      <c r="L188" s="90"/>
      <c r="M188" s="90"/>
      <c r="N188" s="90"/>
      <c r="O188" s="112"/>
      <c r="P188" s="113"/>
      <c r="Q188" s="112"/>
      <c r="R188" s="58"/>
    </row>
    <row r="189" spans="1:18" s="25" customFormat="1" ht="15.5">
      <c r="A189" s="32" t="s">
        <v>136</v>
      </c>
      <c r="B189" s="2" t="s">
        <v>121</v>
      </c>
      <c r="C189" s="14">
        <f>SUM('ALPINE MEADOW:WOODLAND'!C186)</f>
        <v>8360076.6700000009</v>
      </c>
      <c r="D189" s="14">
        <f>SUM('ALPINE MEADOW:WOODLAND'!D186)</f>
        <v>-104965.04313672129</v>
      </c>
      <c r="E189" s="14">
        <f>SUM('ALPINE MEADOW:WOODLAND'!E186)</f>
        <v>8255111.6268632784</v>
      </c>
      <c r="F189" s="14">
        <f>SUM('ALPINE MEADOW:WOODLAND'!F186)</f>
        <v>657699.38</v>
      </c>
      <c r="G189" s="14">
        <f>SUM('ALPINE MEADOW:WOODLAND'!G186)</f>
        <v>8912811.0068632774</v>
      </c>
      <c r="H189" s="92">
        <f t="shared" si="18"/>
        <v>1.7251557695379297E-2</v>
      </c>
      <c r="J189" s="111">
        <f t="shared" si="19"/>
        <v>4.7789256368085757</v>
      </c>
      <c r="L189" s="90"/>
      <c r="M189" s="90"/>
      <c r="N189" s="90"/>
      <c r="O189" s="112"/>
      <c r="P189" s="113"/>
      <c r="Q189" s="112"/>
      <c r="R189" s="58"/>
    </row>
    <row r="190" spans="1:18" s="25" customFormat="1" ht="15.5">
      <c r="A190" s="32" t="s">
        <v>137</v>
      </c>
      <c r="B190" s="2" t="s">
        <v>122</v>
      </c>
      <c r="C190" s="14">
        <f>SUM('ALPINE MEADOW:WOODLAND'!C187)</f>
        <v>2703943.6399999992</v>
      </c>
      <c r="D190" s="14">
        <f>SUM('ALPINE MEADOW:WOODLAND'!D187)</f>
        <v>-63394.5</v>
      </c>
      <c r="E190" s="14">
        <f>SUM('ALPINE MEADOW:WOODLAND'!E187)</f>
        <v>2640549.1399999992</v>
      </c>
      <c r="F190" s="14">
        <f>SUM('ALPINE MEADOW:WOODLAND'!F187)</f>
        <v>52554.07</v>
      </c>
      <c r="G190" s="14">
        <f>SUM('ALPINE MEADOW:WOODLAND'!G187)</f>
        <v>2693103.2099999995</v>
      </c>
      <c r="H190" s="92">
        <f t="shared" si="18"/>
        <v>5.212746615085819E-3</v>
      </c>
      <c r="J190" s="111">
        <f t="shared" si="19"/>
        <v>1.4440045865361515</v>
      </c>
      <c r="L190" s="90"/>
      <c r="M190" s="90"/>
      <c r="N190" s="90"/>
      <c r="O190" s="112"/>
      <c r="P190" s="113"/>
      <c r="Q190" s="112"/>
      <c r="R190" s="58"/>
    </row>
    <row r="191" spans="1:18" s="25" customFormat="1" ht="15.5">
      <c r="A191" s="37" t="s">
        <v>275</v>
      </c>
      <c r="B191" s="38" t="s">
        <v>276</v>
      </c>
      <c r="C191" s="14">
        <f>SUM('ALPINE MEADOW:WOODLAND'!C188)</f>
        <v>582964.66</v>
      </c>
      <c r="D191" s="14">
        <f>SUM('ALPINE MEADOW:WOODLAND'!D188)</f>
        <v>0</v>
      </c>
      <c r="E191" s="14">
        <f>SUM('ALPINE MEADOW:WOODLAND'!E188)</f>
        <v>582964.66</v>
      </c>
      <c r="F191" s="14">
        <f>SUM('ALPINE MEADOW:WOODLAND'!F188)</f>
        <v>-544986.46</v>
      </c>
      <c r="G191" s="14">
        <f>SUM('ALPINE MEADOW:WOODLAND'!G188)</f>
        <v>37978.199999999983</v>
      </c>
      <c r="H191" s="92">
        <f t="shared" ref="H191:H200" si="20">IF($G$211=0,0,G191/$G$211)</f>
        <v>7.3510266061081335E-5</v>
      </c>
      <c r="J191" s="111">
        <f t="shared" si="19"/>
        <v>2.0363384063690322E-2</v>
      </c>
      <c r="L191" s="90"/>
      <c r="M191" s="90"/>
      <c r="N191" s="90"/>
      <c r="O191" s="112"/>
      <c r="P191" s="113"/>
      <c r="Q191" s="112"/>
      <c r="R191" s="58"/>
    </row>
    <row r="192" spans="1:18" s="25" customFormat="1" ht="15.5">
      <c r="A192" s="37" t="s">
        <v>277</v>
      </c>
      <c r="B192" s="38" t="s">
        <v>278</v>
      </c>
      <c r="C192" s="14">
        <f>SUM('ALPINE MEADOW:WOODLAND'!C189)</f>
        <v>2784</v>
      </c>
      <c r="D192" s="14">
        <f>SUM('ALPINE MEADOW:WOODLAND'!D189)</f>
        <v>0</v>
      </c>
      <c r="E192" s="14">
        <f>SUM('ALPINE MEADOW:WOODLAND'!E189)</f>
        <v>2784</v>
      </c>
      <c r="F192" s="14">
        <f>SUM('ALPINE MEADOW:WOODLAND'!F189)</f>
        <v>0</v>
      </c>
      <c r="G192" s="14">
        <f>SUM('ALPINE MEADOW:WOODLAND'!G189)</f>
        <v>2784</v>
      </c>
      <c r="H192" s="92">
        <f t="shared" si="20"/>
        <v>5.3886856331803651E-6</v>
      </c>
      <c r="J192" s="111">
        <f t="shared" si="19"/>
        <v>1.4927421845509763E-3</v>
      </c>
      <c r="L192" s="90"/>
      <c r="M192" s="90"/>
      <c r="N192" s="90"/>
      <c r="O192" s="112"/>
      <c r="P192" s="113"/>
      <c r="Q192" s="112"/>
      <c r="R192" s="58"/>
    </row>
    <row r="193" spans="1:18" s="25" customFormat="1" ht="15.5">
      <c r="A193" s="37" t="s">
        <v>279</v>
      </c>
      <c r="B193" s="38" t="s">
        <v>280</v>
      </c>
      <c r="C193" s="14">
        <f>SUM('ALPINE MEADOW:WOODLAND'!C190)</f>
        <v>17628.18</v>
      </c>
      <c r="D193" s="14">
        <f>SUM('ALPINE MEADOW:WOODLAND'!D190)</f>
        <v>0</v>
      </c>
      <c r="E193" s="14">
        <f>SUM('ALPINE MEADOW:WOODLAND'!E190)</f>
        <v>17628.18</v>
      </c>
      <c r="F193" s="14">
        <f>SUM('ALPINE MEADOW:WOODLAND'!F190)</f>
        <v>760</v>
      </c>
      <c r="G193" s="14">
        <f>SUM('ALPINE MEADOW:WOODLAND'!G190)</f>
        <v>18388.18</v>
      </c>
      <c r="H193" s="92">
        <f t="shared" si="20"/>
        <v>3.5591997624401768E-5</v>
      </c>
      <c r="J193" s="111">
        <f t="shared" si="19"/>
        <v>9.8594870629010681E-3</v>
      </c>
      <c r="L193" s="90"/>
      <c r="M193" s="90"/>
      <c r="N193" s="90"/>
      <c r="O193" s="112"/>
      <c r="P193" s="113"/>
      <c r="Q193" s="112"/>
      <c r="R193" s="58"/>
    </row>
    <row r="194" spans="1:18" s="25" customFormat="1" ht="15.5">
      <c r="A194" s="37" t="s">
        <v>281</v>
      </c>
      <c r="B194" s="38" t="s">
        <v>282</v>
      </c>
      <c r="C194" s="14">
        <f>SUM('ALPINE MEADOW:WOODLAND'!C191)</f>
        <v>9.99</v>
      </c>
      <c r="D194" s="14">
        <f>SUM('ALPINE MEADOW:WOODLAND'!D191)</f>
        <v>0</v>
      </c>
      <c r="E194" s="14">
        <f>SUM('ALPINE MEADOW:WOODLAND'!E191)</f>
        <v>9.99</v>
      </c>
      <c r="F194" s="14">
        <f>SUM('ALPINE MEADOW:WOODLAND'!F191)</f>
        <v>0</v>
      </c>
      <c r="G194" s="14">
        <f>SUM('ALPINE MEADOW:WOODLAND'!G191)</f>
        <v>9.99</v>
      </c>
      <c r="H194" s="92">
        <f t="shared" si="20"/>
        <v>1.9336555127683854E-8</v>
      </c>
      <c r="J194" s="111">
        <f t="shared" si="19"/>
        <v>5.356499433787447E-6</v>
      </c>
      <c r="L194" s="90"/>
      <c r="M194" s="90"/>
      <c r="N194" s="90"/>
      <c r="O194" s="112"/>
      <c r="P194" s="113"/>
      <c r="Q194" s="112"/>
      <c r="R194" s="58"/>
    </row>
    <row r="195" spans="1:18" s="25" customFormat="1" ht="15.5">
      <c r="A195" s="37" t="s">
        <v>283</v>
      </c>
      <c r="B195" s="38" t="s">
        <v>284</v>
      </c>
      <c r="C195" s="14">
        <f>SUM('ALPINE MEADOW:WOODLAND'!C192)</f>
        <v>121902.70999999999</v>
      </c>
      <c r="D195" s="14">
        <f>SUM('ALPINE MEADOW:WOODLAND'!D192)</f>
        <v>0</v>
      </c>
      <c r="E195" s="14">
        <f>SUM('ALPINE MEADOW:WOODLAND'!E192)</f>
        <v>121902.70999999999</v>
      </c>
      <c r="F195" s="14">
        <f>SUM('ALPINE MEADOW:WOODLAND'!F192)</f>
        <v>0</v>
      </c>
      <c r="G195" s="14">
        <f>SUM('ALPINE MEADOW:WOODLAND'!G192)</f>
        <v>121902.70999999999</v>
      </c>
      <c r="H195" s="92">
        <f t="shared" si="20"/>
        <v>2.3595380101391967E-4</v>
      </c>
      <c r="J195" s="111">
        <f t="shared" si="19"/>
        <v>6.5362542251466996E-2</v>
      </c>
      <c r="L195" s="90"/>
      <c r="M195" s="90"/>
      <c r="N195" s="90"/>
      <c r="O195" s="112"/>
      <c r="P195" s="113"/>
      <c r="Q195" s="112"/>
      <c r="R195" s="58"/>
    </row>
    <row r="196" spans="1:18" s="25" customFormat="1" ht="15.5">
      <c r="A196" s="37" t="s">
        <v>285</v>
      </c>
      <c r="B196" s="38" t="s">
        <v>286</v>
      </c>
      <c r="C196" s="14">
        <f>SUM('ALPINE MEADOW:WOODLAND'!C193)</f>
        <v>870</v>
      </c>
      <c r="D196" s="14">
        <f>SUM('ALPINE MEADOW:WOODLAND'!D193)</f>
        <v>0</v>
      </c>
      <c r="E196" s="14">
        <f>SUM('ALPINE MEADOW:WOODLAND'!E193)</f>
        <v>870</v>
      </c>
      <c r="F196" s="14">
        <f>SUM('ALPINE MEADOW:WOODLAND'!F193)</f>
        <v>0</v>
      </c>
      <c r="G196" s="14">
        <f>SUM('ALPINE MEADOW:WOODLAND'!G193)</f>
        <v>870</v>
      </c>
      <c r="H196" s="92">
        <f t="shared" si="20"/>
        <v>1.683964260368864E-6</v>
      </c>
      <c r="J196" s="111">
        <f t="shared" si="19"/>
        <v>4.6648193267218008E-4</v>
      </c>
      <c r="L196" s="90"/>
      <c r="M196" s="90"/>
      <c r="N196" s="90"/>
      <c r="O196" s="112"/>
      <c r="P196" s="113"/>
      <c r="Q196" s="112"/>
      <c r="R196" s="58"/>
    </row>
    <row r="197" spans="1:18" s="25" customFormat="1" ht="15.5">
      <c r="A197" s="37" t="s">
        <v>138</v>
      </c>
      <c r="B197" s="38" t="s">
        <v>287</v>
      </c>
      <c r="C197" s="14">
        <f>SUM('ALPINE MEADOW:WOODLAND'!C194)</f>
        <v>18173566.77</v>
      </c>
      <c r="D197" s="14">
        <f>SUM('ALPINE MEADOW:WOODLAND'!D194)</f>
        <v>-1440680.4600000002</v>
      </c>
      <c r="E197" s="14">
        <f>SUM('ALPINE MEADOW:WOODLAND'!E194)</f>
        <v>16732886.310000001</v>
      </c>
      <c r="F197" s="14">
        <f>SUM('ALPINE MEADOW:WOODLAND'!F194)</f>
        <v>309361.17</v>
      </c>
      <c r="G197" s="14">
        <f>SUM('ALPINE MEADOW:WOODLAND'!G194)</f>
        <v>17042247.480000004</v>
      </c>
      <c r="H197" s="92">
        <f t="shared" si="20"/>
        <v>3.2986822612277408E-2</v>
      </c>
      <c r="J197" s="111">
        <f t="shared" si="19"/>
        <v>9.1378167144229803</v>
      </c>
      <c r="L197" s="90"/>
      <c r="M197" s="90"/>
      <c r="N197" s="90"/>
      <c r="O197" s="112"/>
      <c r="P197" s="113"/>
      <c r="Q197" s="112"/>
      <c r="R197" s="58"/>
    </row>
    <row r="198" spans="1:18" s="25" customFormat="1" ht="15.5">
      <c r="A198" s="37" t="s">
        <v>139</v>
      </c>
      <c r="B198" s="38" t="s">
        <v>67</v>
      </c>
      <c r="C198" s="14">
        <f>SUM('ALPINE MEADOW:WOODLAND'!C195)</f>
        <v>1207111.6199999996</v>
      </c>
      <c r="D198" s="14">
        <f>SUM('ALPINE MEADOW:WOODLAND'!D195)</f>
        <v>0</v>
      </c>
      <c r="E198" s="14">
        <f>SUM('ALPINE MEADOW:WOODLAND'!E195)</f>
        <v>1207111.6199999996</v>
      </c>
      <c r="F198" s="14">
        <f>SUM('ALPINE MEADOW:WOODLAND'!F195)</f>
        <v>-8802.51</v>
      </c>
      <c r="G198" s="14">
        <f>SUM('ALPINE MEADOW:WOODLAND'!G195)</f>
        <v>1198309.1099999999</v>
      </c>
      <c r="H198" s="92">
        <f t="shared" si="20"/>
        <v>2.319436453005082E-3</v>
      </c>
      <c r="J198" s="111">
        <f t="shared" si="19"/>
        <v>0.64251672364537926</v>
      </c>
      <c r="L198" s="90"/>
      <c r="M198" s="90"/>
      <c r="N198" s="90"/>
      <c r="O198" s="112"/>
      <c r="P198" s="113"/>
      <c r="Q198" s="112"/>
      <c r="R198" s="58"/>
    </row>
    <row r="199" spans="1:18" s="25" customFormat="1" ht="15.5">
      <c r="A199" s="37" t="s">
        <v>143</v>
      </c>
      <c r="B199" s="39" t="s">
        <v>266</v>
      </c>
      <c r="C199" s="14">
        <f>SUM('ALPINE MEADOW:WOODLAND'!C196)</f>
        <v>886674.93999999983</v>
      </c>
      <c r="D199" s="14">
        <f>SUM('ALPINE MEADOW:WOODLAND'!D196)</f>
        <v>-186743.86</v>
      </c>
      <c r="E199" s="14">
        <f>SUM('ALPINE MEADOW:WOODLAND'!E196)</f>
        <v>699931.08</v>
      </c>
      <c r="F199" s="14">
        <f>SUM('ALPINE MEADOW:WOODLAND'!F196)</f>
        <v>19062</v>
      </c>
      <c r="G199" s="14">
        <f>SUM('ALPINE MEADOW:WOODLAND'!G196)</f>
        <v>718993.08</v>
      </c>
      <c r="H199" s="92">
        <f t="shared" si="20"/>
        <v>1.3916766093937142E-3</v>
      </c>
      <c r="J199" s="111">
        <f t="shared" si="19"/>
        <v>0.38551411670841768</v>
      </c>
      <c r="L199" s="90"/>
      <c r="M199" s="90"/>
      <c r="N199" s="90"/>
      <c r="O199" s="112"/>
      <c r="P199" s="113"/>
      <c r="Q199" s="112"/>
      <c r="R199" s="58"/>
    </row>
    <row r="200" spans="1:18" s="25" customFormat="1" ht="15.5">
      <c r="A200" s="35"/>
      <c r="B200" s="40" t="s">
        <v>130</v>
      </c>
      <c r="C200" s="14">
        <f>SUM('ALPINE MEADOW:WOODLAND'!C197)</f>
        <v>67977451.039999992</v>
      </c>
      <c r="D200" s="14">
        <f>SUM('ALPINE MEADOW:WOODLAND'!D197)</f>
        <v>481054.9898205655</v>
      </c>
      <c r="E200" s="14">
        <f>SUM('ALPINE MEADOW:WOODLAND'!E197)</f>
        <v>68458506.029820561</v>
      </c>
      <c r="F200" s="14">
        <f>SUM('ALPINE MEADOW:WOODLAND'!F197)</f>
        <v>655843.25</v>
      </c>
      <c r="G200" s="14">
        <f>SUM('ALPINE MEADOW:WOODLAND'!G197)</f>
        <v>69114349.279820561</v>
      </c>
      <c r="H200" s="92">
        <f t="shared" si="20"/>
        <v>0.13377711961594066</v>
      </c>
      <c r="J200" s="111">
        <f t="shared" si="19"/>
        <v>37.058155433828496</v>
      </c>
      <c r="L200" s="90"/>
      <c r="M200" s="90"/>
      <c r="N200" s="90"/>
      <c r="O200" s="112"/>
      <c r="P200" s="113"/>
      <c r="Q200" s="112"/>
      <c r="R200" s="58"/>
    </row>
    <row r="201" spans="1:18" s="25" customFormat="1" ht="15.5">
      <c r="A201" s="35"/>
      <c r="C201" s="17"/>
      <c r="D201" s="17"/>
      <c r="E201" s="17"/>
      <c r="F201" s="17"/>
      <c r="G201" s="17"/>
      <c r="H201" s="94"/>
      <c r="J201" s="123"/>
      <c r="L201" s="93"/>
      <c r="M201" s="93"/>
      <c r="N201" s="93"/>
      <c r="O201" s="93"/>
      <c r="P201" s="93"/>
      <c r="Q201" s="93"/>
    </row>
    <row r="202" spans="1:18" s="25" customFormat="1" ht="15.5">
      <c r="A202" s="32" t="s">
        <v>169</v>
      </c>
      <c r="B202" s="24" t="s">
        <v>68</v>
      </c>
      <c r="C202" s="64"/>
      <c r="D202" s="64"/>
      <c r="E202" s="64"/>
      <c r="F202" s="65"/>
      <c r="G202" s="65"/>
      <c r="H202" s="94"/>
      <c r="J202" s="123"/>
      <c r="L202" s="93"/>
      <c r="M202" s="93"/>
      <c r="N202" s="93"/>
      <c r="O202" s="93"/>
      <c r="P202" s="93"/>
      <c r="Q202" s="93"/>
    </row>
    <row r="203" spans="1:18" s="25" customFormat="1" ht="15.5">
      <c r="A203" s="32" t="s">
        <v>85</v>
      </c>
      <c r="B203" s="24" t="s">
        <v>69</v>
      </c>
      <c r="C203" s="14">
        <f>SUM('ALPINE MEADOW:WOODLAND'!C200)</f>
        <v>9820389.2599999998</v>
      </c>
      <c r="D203" s="14">
        <f>SUM('ALPINE MEADOW:WOODLAND'!D200)</f>
        <v>94785.929722262517</v>
      </c>
      <c r="E203" s="14">
        <f>SUM('ALPINE MEADOW:WOODLAND'!E200)</f>
        <v>9915175.1897222642</v>
      </c>
      <c r="F203" s="14">
        <f>SUM('ALPINE MEADOW:WOODLAND'!F200)</f>
        <v>273791.56</v>
      </c>
      <c r="G203" s="14">
        <f>SUM('ALPINE MEADOW:WOODLAND'!G200)</f>
        <v>10188966.749722263</v>
      </c>
      <c r="H203" s="92">
        <f t="shared" ref="H203:H209" si="21">IF($G$211=0,0,G203/$G$211)</f>
        <v>1.9721673398412642E-2</v>
      </c>
      <c r="J203" s="111">
        <f t="shared" ref="J203:J208" si="22">IF(G203=0,0,G203/$G$231)</f>
        <v>5.463182645221865</v>
      </c>
      <c r="K203" s="25">
        <v>3997.91</v>
      </c>
      <c r="L203" s="118">
        <f>SUM('ALPINE MEADOW:WOODLAND'!J200)</f>
        <v>551392.34625876497</v>
      </c>
      <c r="M203" s="118">
        <f>SUM('ALPINE MEADOW:WOODLAND'!K200)</f>
        <v>597934.47283514508</v>
      </c>
      <c r="N203" s="119"/>
      <c r="O203" s="120">
        <f>IF(L203=0,0,G203/M203)</f>
        <v>17.040273161389436</v>
      </c>
      <c r="P203" s="59"/>
      <c r="Q203" s="121">
        <f>M203/$G$231</f>
        <v>0.32060417068903407</v>
      </c>
      <c r="R203" s="58"/>
    </row>
    <row r="204" spans="1:18" s="25" customFormat="1" ht="15.5">
      <c r="A204" s="32" t="s">
        <v>86</v>
      </c>
      <c r="B204" s="24" t="s">
        <v>45</v>
      </c>
      <c r="C204" s="14">
        <f>SUM('ALPINE MEADOW:WOODLAND'!C201)</f>
        <v>1420172.3000000003</v>
      </c>
      <c r="D204" s="14">
        <f>SUM('ALPINE MEADOW:WOODLAND'!D201)</f>
        <v>658664.46973505022</v>
      </c>
      <c r="E204" s="14">
        <f>SUM('ALPINE MEADOW:WOODLAND'!E201)</f>
        <v>2078836.7697350502</v>
      </c>
      <c r="F204" s="14">
        <f>SUM('ALPINE MEADOW:WOODLAND'!F201)</f>
        <v>30222.480000000003</v>
      </c>
      <c r="G204" s="14">
        <f>SUM('ALPINE MEADOW:WOODLAND'!G201)</f>
        <v>2109059.2497350499</v>
      </c>
      <c r="H204" s="92">
        <f t="shared" si="21"/>
        <v>4.0822763213266607E-3</v>
      </c>
      <c r="J204" s="111">
        <f t="shared" si="22"/>
        <v>1.1308483160190164</v>
      </c>
      <c r="L204" s="90"/>
      <c r="M204" s="90"/>
      <c r="N204" s="90"/>
      <c r="O204" s="112"/>
      <c r="P204" s="113"/>
      <c r="Q204" s="125"/>
      <c r="R204" s="58"/>
    </row>
    <row r="205" spans="1:18" s="25" customFormat="1" ht="15.5">
      <c r="A205" s="32" t="s">
        <v>140</v>
      </c>
      <c r="B205" s="24" t="s">
        <v>54</v>
      </c>
      <c r="C205" s="14">
        <f>SUM('ALPINE MEADOW:WOODLAND'!C202)</f>
        <v>745884.00999999989</v>
      </c>
      <c r="D205" s="14">
        <f>SUM('ALPINE MEADOW:WOODLAND'!D202)</f>
        <v>8010</v>
      </c>
      <c r="E205" s="14">
        <f>SUM('ALPINE MEADOW:WOODLAND'!E202)</f>
        <v>753894.00999999989</v>
      </c>
      <c r="F205" s="14">
        <f>SUM('ALPINE MEADOW:WOODLAND'!F202)</f>
        <v>19130.77</v>
      </c>
      <c r="G205" s="14">
        <f>SUM('ALPINE MEADOW:WOODLAND'!G202)</f>
        <v>773024.77999999991</v>
      </c>
      <c r="H205" s="92">
        <f t="shared" si="21"/>
        <v>1.4962598872408088E-3</v>
      </c>
      <c r="J205" s="111">
        <f t="shared" si="22"/>
        <v>0.41448516480216874</v>
      </c>
      <c r="L205" s="90"/>
      <c r="M205" s="90"/>
      <c r="N205" s="90"/>
      <c r="O205" s="112"/>
      <c r="P205" s="113"/>
      <c r="Q205" s="125"/>
      <c r="R205" s="58"/>
    </row>
    <row r="206" spans="1:18" s="25" customFormat="1" ht="15.5">
      <c r="A206" s="32" t="s">
        <v>141</v>
      </c>
      <c r="B206" s="24" t="s">
        <v>70</v>
      </c>
      <c r="C206" s="14">
        <f>SUM('ALPINE MEADOW:WOODLAND'!C203)</f>
        <v>31727.399999999998</v>
      </c>
      <c r="D206" s="14">
        <f>SUM('ALPINE MEADOW:WOODLAND'!D203)</f>
        <v>0</v>
      </c>
      <c r="E206" s="14">
        <f>SUM('ALPINE MEADOW:WOODLAND'!E203)</f>
        <v>31727.399999999998</v>
      </c>
      <c r="F206" s="14">
        <f>SUM('ALPINE MEADOW:WOODLAND'!F203)</f>
        <v>-420</v>
      </c>
      <c r="G206" s="14">
        <f>SUM('ALPINE MEADOW:WOODLAND'!G203)</f>
        <v>31307.399999999998</v>
      </c>
      <c r="H206" s="92">
        <f t="shared" si="21"/>
        <v>6.0598324925370313E-5</v>
      </c>
      <c r="J206" s="111">
        <f t="shared" si="22"/>
        <v>1.6786593630966677E-2</v>
      </c>
      <c r="L206" s="90"/>
      <c r="M206" s="90"/>
      <c r="N206" s="90"/>
      <c r="O206" s="112"/>
      <c r="P206" s="113"/>
      <c r="Q206" s="125"/>
      <c r="R206" s="58"/>
    </row>
    <row r="207" spans="1:18" s="25" customFormat="1" ht="15.5">
      <c r="A207" s="32" t="s">
        <v>142</v>
      </c>
      <c r="B207" s="2" t="s">
        <v>71</v>
      </c>
      <c r="C207" s="14">
        <f>SUM('ALPINE MEADOW:WOODLAND'!C204)</f>
        <v>0</v>
      </c>
      <c r="D207" s="14">
        <f>SUM('ALPINE MEADOW:WOODLAND'!D204)</f>
        <v>0</v>
      </c>
      <c r="E207" s="14">
        <f>SUM('ALPINE MEADOW:WOODLAND'!E204)</f>
        <v>0</v>
      </c>
      <c r="F207" s="14">
        <f>SUM('ALPINE MEADOW:WOODLAND'!F204)</f>
        <v>0</v>
      </c>
      <c r="G207" s="14">
        <f>SUM('ALPINE MEADOW:WOODLAND'!G204)</f>
        <v>0</v>
      </c>
      <c r="H207" s="92">
        <f t="shared" si="21"/>
        <v>0</v>
      </c>
      <c r="J207" s="111">
        <f t="shared" si="22"/>
        <v>0</v>
      </c>
      <c r="L207" s="90"/>
      <c r="M207" s="90"/>
      <c r="N207" s="90"/>
      <c r="O207" s="112"/>
      <c r="P207" s="113"/>
      <c r="Q207" s="125"/>
      <c r="R207" s="58"/>
    </row>
    <row r="208" spans="1:18" s="25" customFormat="1" ht="15.5">
      <c r="A208" s="32" t="s">
        <v>143</v>
      </c>
      <c r="B208" s="24" t="s">
        <v>266</v>
      </c>
      <c r="C208" s="14">
        <f>SUM('ALPINE MEADOW:WOODLAND'!C205)</f>
        <v>1102434.42</v>
      </c>
      <c r="D208" s="14">
        <f>SUM('ALPINE MEADOW:WOODLAND'!D205)</f>
        <v>-393977.77</v>
      </c>
      <c r="E208" s="14">
        <f>SUM('ALPINE MEADOW:WOODLAND'!E205)</f>
        <v>708456.65000000014</v>
      </c>
      <c r="F208" s="14">
        <f>SUM('ALPINE MEADOW:WOODLAND'!F205)</f>
        <v>-71181.850000000006</v>
      </c>
      <c r="G208" s="14">
        <f>SUM('ALPINE MEADOW:WOODLAND'!G205)</f>
        <v>637274.80000000005</v>
      </c>
      <c r="H208" s="92">
        <f t="shared" si="21"/>
        <v>1.2335034336019722E-3</v>
      </c>
      <c r="J208" s="111">
        <f t="shared" si="22"/>
        <v>0.34169790844514603</v>
      </c>
      <c r="L208" s="90"/>
      <c r="M208" s="90"/>
      <c r="N208" s="90"/>
      <c r="O208" s="112"/>
      <c r="P208" s="113"/>
      <c r="Q208" s="125"/>
      <c r="R208" s="58"/>
    </row>
    <row r="209" spans="1:18" s="25" customFormat="1" ht="15.5">
      <c r="A209" s="35"/>
      <c r="B209" s="3" t="s">
        <v>144</v>
      </c>
      <c r="C209" s="14">
        <f>SUM('ALPINE MEADOW:WOODLAND'!C206)</f>
        <v>13120607.390000002</v>
      </c>
      <c r="D209" s="14">
        <f>SUM('ALPINE MEADOW:WOODLAND'!D206)</f>
        <v>367482.62945731281</v>
      </c>
      <c r="E209" s="14">
        <f>SUM('ALPINE MEADOW:WOODLAND'!E206)</f>
        <v>13488090.019457314</v>
      </c>
      <c r="F209" s="14">
        <f>SUM('ALPINE MEADOW:WOODLAND'!F206)</f>
        <v>251542.96000000002</v>
      </c>
      <c r="G209" s="14">
        <f>SUM('ALPINE MEADOW:WOODLAND'!G206)</f>
        <v>13739632.979457315</v>
      </c>
      <c r="H209" s="92">
        <f t="shared" si="21"/>
        <v>2.659431136550746E-2</v>
      </c>
      <c r="J209" s="111">
        <f>IF(G209=0,0,G209/$G$231)</f>
        <v>7.3670006281191638</v>
      </c>
      <c r="L209" s="97"/>
      <c r="M209" s="90"/>
      <c r="N209" s="90"/>
      <c r="O209" s="112"/>
      <c r="P209" s="113"/>
      <c r="Q209" s="125"/>
      <c r="R209" s="58"/>
    </row>
    <row r="210" spans="1:18" s="25" customFormat="1" ht="15.5">
      <c r="A210" s="35"/>
      <c r="C210" s="17"/>
      <c r="D210" s="17"/>
      <c r="E210" s="17"/>
      <c r="F210" s="17"/>
      <c r="G210" s="17"/>
      <c r="H210" s="94"/>
      <c r="J210" s="123"/>
      <c r="L210" s="137"/>
      <c r="M210" s="137"/>
      <c r="N210" s="93"/>
      <c r="O210" s="93"/>
      <c r="P210" s="93"/>
      <c r="Q210" s="126"/>
    </row>
    <row r="211" spans="1:18" s="25" customFormat="1" ht="16" thickBot="1">
      <c r="A211" s="41" t="s">
        <v>146</v>
      </c>
      <c r="B211" s="3" t="s">
        <v>145</v>
      </c>
      <c r="C211" s="18">
        <f>SUM('ALPINE MEADOW:WOODLAND'!C208)</f>
        <v>535714127.22698933</v>
      </c>
      <c r="D211" s="18">
        <f>SUM('ALPINE MEADOW:WOODLAND'!D208)</f>
        <v>-25780634.603971105</v>
      </c>
      <c r="E211" s="18">
        <f>SUM('ALPINE MEADOW:WOODLAND'!E208)</f>
        <v>509933492.62301809</v>
      </c>
      <c r="F211" s="18">
        <f>SUM('ALPINE MEADOW:WOODLAND'!F208)</f>
        <v>6720324.9363811268</v>
      </c>
      <c r="G211" s="18">
        <f>SUM('ALPINE MEADOW:WOODLAND'!G208)</f>
        <v>516638043.02439934</v>
      </c>
      <c r="H211" s="131">
        <f>IF($G$211=0,0,G211/$G$211)</f>
        <v>1</v>
      </c>
      <c r="J211" s="111">
        <f>IF(G211=0,0,G211/$G$231)</f>
        <v>277.01415264597097</v>
      </c>
      <c r="L211" s="132">
        <f>SUM('ALPINE MEADOW:WOODLAND'!J208)</f>
        <v>12328071.672639627</v>
      </c>
      <c r="M211" s="118">
        <f>SUM('ALPINE MEADOW:WOODLAND'!K208)</f>
        <v>13084338.2690417</v>
      </c>
      <c r="N211" s="119"/>
      <c r="O211" s="120">
        <f>IF(L211=0,0,G211/M211)</f>
        <v>39.485225190699538</v>
      </c>
      <c r="P211" s="59"/>
      <c r="Q211" s="121">
        <f>M211/$G$231</f>
        <v>7.0156406936541833</v>
      </c>
      <c r="R211" s="58"/>
    </row>
    <row r="212" spans="1:18" s="25" customFormat="1" ht="16" thickTop="1">
      <c r="A212" s="35"/>
      <c r="B212" s="24"/>
      <c r="C212" s="64"/>
      <c r="D212" s="64"/>
      <c r="E212" s="64"/>
      <c r="F212" s="64"/>
      <c r="G212" s="64"/>
      <c r="H212" s="70"/>
      <c r="J212" s="123"/>
      <c r="N212" s="68"/>
    </row>
    <row r="213" spans="1:18" s="25" customFormat="1" ht="15.5">
      <c r="A213" s="35"/>
      <c r="B213" s="24"/>
      <c r="C213" s="9"/>
      <c r="D213" s="9"/>
      <c r="E213" s="9"/>
      <c r="F213" s="9"/>
      <c r="G213" s="9"/>
      <c r="H213" s="70"/>
      <c r="J213" s="123"/>
      <c r="N213" s="68"/>
    </row>
    <row r="214" spans="1:18" s="25" customFormat="1" ht="15.5">
      <c r="A214" s="35"/>
      <c r="B214" s="3" t="s">
        <v>181</v>
      </c>
      <c r="C214" s="14">
        <f>SUM('ALPINE MEADOW:WOODLAND'!C211)</f>
        <v>535714126.55000001</v>
      </c>
      <c r="D214" s="67"/>
      <c r="E214" s="67"/>
      <c r="F214" s="64"/>
      <c r="G214" s="64"/>
      <c r="H214" s="70"/>
      <c r="J214" s="123"/>
      <c r="L214" s="86"/>
      <c r="M214" s="86"/>
      <c r="N214" s="106"/>
      <c r="O214" s="77"/>
      <c r="P214" s="58"/>
      <c r="Q214" s="87"/>
      <c r="R214" s="59"/>
    </row>
    <row r="215" spans="1:18" s="25" customFormat="1" ht="15.5">
      <c r="A215" s="35"/>
      <c r="B215" s="24" t="s">
        <v>147</v>
      </c>
      <c r="C215" s="14">
        <f>SUM('ALPINE MEADOW:WOODLAND'!C212)</f>
        <v>0.67698936630040407</v>
      </c>
      <c r="D215" s="78"/>
      <c r="E215" s="78"/>
      <c r="F215" s="64"/>
      <c r="G215" s="64"/>
      <c r="H215" s="98"/>
      <c r="J215" s="98"/>
      <c r="L215" s="27"/>
      <c r="M215" s="27"/>
      <c r="N215" s="27"/>
      <c r="O215" s="8"/>
      <c r="P215" s="113"/>
      <c r="Q215" s="133"/>
      <c r="R215" s="113"/>
    </row>
    <row r="216" spans="1:18" s="25" customFormat="1" ht="15.5">
      <c r="A216" s="35"/>
      <c r="B216" s="4"/>
      <c r="C216" s="79"/>
      <c r="D216" s="80"/>
      <c r="E216" s="80"/>
      <c r="F216" s="81"/>
      <c r="G216" s="81"/>
      <c r="H216" s="98"/>
      <c r="J216" s="98"/>
      <c r="L216" s="99"/>
      <c r="M216" s="99"/>
      <c r="N216" s="99"/>
      <c r="O216" s="133"/>
      <c r="P216" s="113"/>
      <c r="Q216" s="133"/>
      <c r="R216" s="113"/>
    </row>
    <row r="217" spans="1:18" s="25" customFormat="1" ht="15.5">
      <c r="A217" s="35"/>
      <c r="B217" s="4"/>
      <c r="C217" s="19"/>
      <c r="D217" s="19"/>
      <c r="E217" s="19"/>
      <c r="F217" s="19"/>
      <c r="G217" s="19"/>
      <c r="H217" s="98"/>
      <c r="J217" s="98"/>
      <c r="L217" s="99"/>
      <c r="M217" s="99"/>
      <c r="N217" s="99"/>
      <c r="O217" s="133"/>
      <c r="P217" s="113"/>
      <c r="Q217" s="133"/>
      <c r="R217" s="113"/>
    </row>
    <row r="218" spans="1:18" s="25" customFormat="1" ht="15.5">
      <c r="A218" s="35"/>
      <c r="B218" s="3" t="s">
        <v>78</v>
      </c>
      <c r="C218" s="14">
        <f>SUM('ALPINE MEADOW:WOODLAND'!C215)</f>
        <v>-1889180.1069893576</v>
      </c>
      <c r="D218" s="14">
        <f>SUM('ALPINE MEADOW:WOODLAND'!D215)</f>
        <v>21211848.143971104</v>
      </c>
      <c r="E218" s="14">
        <f>SUM('ALPINE MEADOW:WOODLAND'!E215)</f>
        <v>19322668.03698175</v>
      </c>
      <c r="F218" s="14">
        <f>SUM('ALPINE MEADOW:WOODLAND'!F215)</f>
        <v>34927669.713618875</v>
      </c>
      <c r="G218" s="14">
        <f>SUM('ALPINE MEADOW:WOODLAND'!G215)</f>
        <v>54270542.285600625</v>
      </c>
      <c r="H218" s="70"/>
      <c r="J218" s="335"/>
      <c r="N218" s="68"/>
    </row>
    <row r="219" spans="1:18" s="25" customFormat="1" ht="15.5">
      <c r="A219" s="35"/>
      <c r="B219" s="3"/>
      <c r="C219" s="67"/>
      <c r="D219" s="67" t="s">
        <v>82</v>
      </c>
      <c r="E219" s="67" t="s">
        <v>82</v>
      </c>
      <c r="F219" s="67"/>
      <c r="G219" s="67"/>
      <c r="H219" s="70" t="s">
        <v>81</v>
      </c>
      <c r="J219" s="134"/>
      <c r="N219" s="68"/>
    </row>
    <row r="220" spans="1:18" s="25" customFormat="1" ht="15.5">
      <c r="A220" s="35"/>
      <c r="D220" s="25" t="s">
        <v>234</v>
      </c>
      <c r="E220" s="25" t="s">
        <v>234</v>
      </c>
      <c r="H220" s="70" t="s">
        <v>199</v>
      </c>
      <c r="J220" s="134"/>
      <c r="N220" s="68"/>
    </row>
    <row r="221" spans="1:18" s="25" customFormat="1" ht="15.5">
      <c r="A221" s="35"/>
      <c r="B221" s="5" t="s">
        <v>159</v>
      </c>
      <c r="C221" s="64"/>
      <c r="D221" s="64"/>
      <c r="E221" s="64"/>
      <c r="F221" s="64"/>
      <c r="G221" s="64"/>
      <c r="H221" s="100"/>
      <c r="J221" s="134"/>
      <c r="N221" s="68"/>
    </row>
    <row r="222" spans="1:18" s="25" customFormat="1" ht="15.5">
      <c r="A222" s="35"/>
      <c r="B222" s="24" t="s">
        <v>218</v>
      </c>
      <c r="C222" s="15">
        <f>SUM('ALPINE MEADOW:WOODLAND'!C219)</f>
        <v>971367</v>
      </c>
      <c r="D222" s="15">
        <f>SUM('ALPINE MEADOW:WOODLAND'!D219)</f>
        <v>4586</v>
      </c>
      <c r="E222" s="15">
        <f>SUM('ALPINE MEADOW:WOODLAND'!E219)</f>
        <v>975953</v>
      </c>
      <c r="F222" s="15">
        <f>SUM('ALPINE MEADOW:WOODLAND'!F219)</f>
        <v>30175</v>
      </c>
      <c r="G222" s="15">
        <f>SUM('ALPINE MEADOW:WOODLAND'!G219)</f>
        <v>1006128</v>
      </c>
      <c r="H222" s="26">
        <f t="shared" ref="H222:H231" si="23">G222/$G$231</f>
        <v>0.53947187810987951</v>
      </c>
      <c r="M222" s="68"/>
    </row>
    <row r="223" spans="1:18" s="25" customFormat="1" ht="15.5">
      <c r="A223" s="35"/>
      <c r="B223" s="24" t="s">
        <v>217</v>
      </c>
      <c r="C223" s="15">
        <f>SUM('ALPINE MEADOW:WOODLAND'!C220)</f>
        <v>16557</v>
      </c>
      <c r="D223" s="15">
        <f>SUM('ALPINE MEADOW:WOODLAND'!D220)</f>
        <v>0</v>
      </c>
      <c r="E223" s="15">
        <f>SUM('ALPINE MEADOW:WOODLAND'!E220)</f>
        <v>16557</v>
      </c>
      <c r="F223" s="15">
        <f>SUM('ALPINE MEADOW:WOODLAND'!F220)</f>
        <v>0</v>
      </c>
      <c r="G223" s="15">
        <f>SUM('ALPINE MEADOW:WOODLAND'!G220)</f>
        <v>16557</v>
      </c>
      <c r="H223" s="26">
        <f t="shared" si="23"/>
        <v>8.8776337462681439E-3</v>
      </c>
      <c r="M223" s="68"/>
    </row>
    <row r="224" spans="1:18" s="25" customFormat="1" ht="15.5">
      <c r="A224" s="35"/>
      <c r="B224" s="24" t="s">
        <v>72</v>
      </c>
      <c r="C224" s="15">
        <f>SUM('ALPINE MEADOW:WOODLAND'!C221)</f>
        <v>252227</v>
      </c>
      <c r="D224" s="15">
        <f>SUM('ALPINE MEADOW:WOODLAND'!D221)</f>
        <v>496</v>
      </c>
      <c r="E224" s="15">
        <f>SUM('ALPINE MEADOW:WOODLAND'!E221)</f>
        <v>252723</v>
      </c>
      <c r="F224" s="15">
        <f>SUM('ALPINE MEADOW:WOODLAND'!F221)</f>
        <v>4531</v>
      </c>
      <c r="G224" s="15">
        <f>SUM('ALPINE MEADOW:WOODLAND'!G221)</f>
        <v>257254</v>
      </c>
      <c r="H224" s="26">
        <f t="shared" si="23"/>
        <v>0.13793602656051612</v>
      </c>
      <c r="M224" s="68"/>
    </row>
    <row r="225" spans="1:14" s="25" customFormat="1" ht="15.5">
      <c r="A225" s="35"/>
      <c r="B225" s="24" t="s">
        <v>289</v>
      </c>
      <c r="C225" s="15">
        <f>SUM('ALPINE MEADOW:WOODLAND'!C222)</f>
        <v>107126</v>
      </c>
      <c r="D225" s="15">
        <f>SUM('ALPINE MEADOW:WOODLAND'!D222)</f>
        <v>524</v>
      </c>
      <c r="E225" s="15">
        <f>SUM('ALPINE MEADOW:WOODLAND'!E222)</f>
        <v>107650</v>
      </c>
      <c r="F225" s="15">
        <f>SUM('ALPINE MEADOW:WOODLAND'!F222)</f>
        <v>3028</v>
      </c>
      <c r="G225" s="15">
        <f>SUM('ALPINE MEADOW:WOODLAND'!G222)</f>
        <v>110678</v>
      </c>
      <c r="H225" s="26">
        <f t="shared" si="23"/>
        <v>5.9344008441714426E-2</v>
      </c>
      <c r="M225" s="68"/>
    </row>
    <row r="226" spans="1:14" s="25" customFormat="1" ht="15.5">
      <c r="A226" s="35"/>
      <c r="B226" s="24" t="s">
        <v>73</v>
      </c>
      <c r="C226" s="15">
        <f>SUM('ALPINE MEADOW:WOODLAND'!C223)</f>
        <v>63886</v>
      </c>
      <c r="D226" s="15">
        <f>SUM('ALPINE MEADOW:WOODLAND'!D223)</f>
        <v>0</v>
      </c>
      <c r="E226" s="15">
        <f>SUM('ALPINE MEADOW:WOODLAND'!E223)</f>
        <v>63886</v>
      </c>
      <c r="F226" s="15">
        <f>SUM('ALPINE MEADOW:WOODLAND'!F223)</f>
        <v>319</v>
      </c>
      <c r="G226" s="15">
        <f>SUM('ALPINE MEADOW:WOODLAND'!G223)</f>
        <v>64205</v>
      </c>
      <c r="H226" s="26">
        <f t="shared" si="23"/>
        <v>3.4425830445077382E-2</v>
      </c>
      <c r="M226" s="68"/>
    </row>
    <row r="227" spans="1:14" s="25" customFormat="1" ht="15.5">
      <c r="A227" s="35"/>
      <c r="B227" s="24" t="s">
        <v>74</v>
      </c>
      <c r="C227" s="15">
        <f>SUM('ALPINE MEADOW:WOODLAND'!C224)</f>
        <v>276951</v>
      </c>
      <c r="D227" s="15">
        <f>SUM('ALPINE MEADOW:WOODLAND'!D224)</f>
        <v>764</v>
      </c>
      <c r="E227" s="15">
        <f>SUM('ALPINE MEADOW:WOODLAND'!E224)</f>
        <v>277715</v>
      </c>
      <c r="F227" s="15">
        <f>SUM('ALPINE MEADOW:WOODLAND'!F224)</f>
        <v>4363</v>
      </c>
      <c r="G227" s="15">
        <f>SUM('ALPINE MEADOW:WOODLAND'!G224)</f>
        <v>282078</v>
      </c>
      <c r="H227" s="26">
        <f t="shared" si="23"/>
        <v>0.15124631103942898</v>
      </c>
      <c r="M227" s="68"/>
    </row>
    <row r="228" spans="1:14" s="25" customFormat="1" ht="15.5">
      <c r="A228" s="35"/>
      <c r="B228" s="24" t="s">
        <v>236</v>
      </c>
      <c r="C228" s="15">
        <f>SUM('ALPINE MEADOW:WOODLAND'!C225)</f>
        <v>72912</v>
      </c>
      <c r="D228" s="15">
        <f>SUM('ALPINE MEADOW:WOODLAND'!D225)</f>
        <v>600</v>
      </c>
      <c r="E228" s="15">
        <f>SUM('ALPINE MEADOW:WOODLAND'!E225)</f>
        <v>73512</v>
      </c>
      <c r="F228" s="15">
        <f>SUM('ALPINE MEADOW:WOODLAND'!F225)</f>
        <v>1661</v>
      </c>
      <c r="G228" s="15">
        <f>SUM('ALPINE MEADOW:WOODLAND'!G225)</f>
        <v>75173</v>
      </c>
      <c r="H228" s="26">
        <f t="shared" si="23"/>
        <v>4.03067199135239E-2</v>
      </c>
      <c r="M228" s="68"/>
    </row>
    <row r="229" spans="1:14" s="25" customFormat="1" ht="15.5">
      <c r="A229" s="35"/>
      <c r="B229" s="24" t="s">
        <v>235</v>
      </c>
      <c r="C229" s="15">
        <f>SUM('ALPINE MEADOW:WOODLAND'!C226)</f>
        <v>37579</v>
      </c>
      <c r="D229" s="15">
        <f>SUM('ALPINE MEADOW:WOODLAND'!D226)</f>
        <v>0</v>
      </c>
      <c r="E229" s="15">
        <f>SUM('ALPINE MEADOW:WOODLAND'!E226)</f>
        <v>37579</v>
      </c>
      <c r="F229" s="15">
        <f>SUM('ALPINE MEADOW:WOODLAND'!F226)</f>
        <v>1924</v>
      </c>
      <c r="G229" s="15">
        <f>SUM('ALPINE MEADOW:WOODLAND'!G226)</f>
        <v>39503</v>
      </c>
      <c r="H229" s="26">
        <f t="shared" si="23"/>
        <v>2.1180960673964518E-2</v>
      </c>
      <c r="M229" s="68"/>
    </row>
    <row r="230" spans="1:14" s="25" customFormat="1" ht="15.5">
      <c r="A230" s="35"/>
      <c r="B230" s="24" t="s">
        <v>179</v>
      </c>
      <c r="C230" s="15">
        <f>SUM('ALPINE MEADOW:WOODLAND'!C227)</f>
        <v>13356</v>
      </c>
      <c r="D230" s="15">
        <f>SUM('ALPINE MEADOW:WOODLAND'!D227)</f>
        <v>0</v>
      </c>
      <c r="E230" s="15">
        <f>SUM('ALPINE MEADOW:WOODLAND'!E227)</f>
        <v>13356</v>
      </c>
      <c r="F230" s="15">
        <f>SUM('ALPINE MEADOW:WOODLAND'!F227)</f>
        <v>92</v>
      </c>
      <c r="G230" s="15">
        <f>SUM('ALPINE MEADOW:WOODLAND'!G227)</f>
        <v>13448</v>
      </c>
      <c r="H230" s="26">
        <f t="shared" si="23"/>
        <v>7.2106310696269859E-3</v>
      </c>
      <c r="M230" s="68"/>
    </row>
    <row r="231" spans="1:14" s="25" customFormat="1" ht="15.5">
      <c r="A231" s="35"/>
      <c r="B231" s="6" t="s">
        <v>75</v>
      </c>
      <c r="C231" s="15">
        <f>SUM('ALPINE MEADOW:WOODLAND'!C228)</f>
        <v>1811961</v>
      </c>
      <c r="D231" s="15">
        <f>SUM('ALPINE MEADOW:WOODLAND'!D228)</f>
        <v>6970</v>
      </c>
      <c r="E231" s="15">
        <f>SUM('ALPINE MEADOW:WOODLAND'!E228)</f>
        <v>1818931</v>
      </c>
      <c r="F231" s="15">
        <f>SUM('ALPINE MEADOW:WOODLAND'!F228)</f>
        <v>46093</v>
      </c>
      <c r="G231" s="15">
        <f>SUM('ALPINE MEADOW:WOODLAND'!G228)</f>
        <v>1865024</v>
      </c>
      <c r="H231" s="26">
        <f t="shared" si="23"/>
        <v>1</v>
      </c>
      <c r="M231" s="68"/>
    </row>
    <row r="232" spans="1:14" s="25" customFormat="1" ht="15.5">
      <c r="A232" s="35"/>
      <c r="C232" s="16"/>
      <c r="D232" s="16"/>
      <c r="E232" s="16"/>
      <c r="F232" s="16"/>
      <c r="G232" s="16"/>
      <c r="H232" s="70"/>
      <c r="J232" s="135"/>
      <c r="N232" s="68"/>
    </row>
    <row r="233" spans="1:14" s="25" customFormat="1" ht="15.5">
      <c r="A233" s="35"/>
      <c r="B233" s="5" t="s">
        <v>160</v>
      </c>
      <c r="C233" s="79"/>
      <c r="D233" s="80"/>
      <c r="E233" s="80"/>
      <c r="F233" s="81"/>
      <c r="G233" s="81"/>
      <c r="H233" s="70"/>
      <c r="J233" s="135"/>
      <c r="N233" s="68"/>
    </row>
    <row r="234" spans="1:14" s="25" customFormat="1" ht="15.5">
      <c r="A234" s="35"/>
      <c r="B234" s="2" t="s">
        <v>220</v>
      </c>
      <c r="C234" s="15">
        <f>SUM('ALPINE MEADOW:WOODLAND'!C231)</f>
        <v>8098</v>
      </c>
      <c r="D234" s="15">
        <f>SUM('ALPINE MEADOW:WOODLAND'!D231)</f>
        <v>0</v>
      </c>
      <c r="E234" s="15">
        <f>SUM('ALPINE MEADOW:WOODLAND'!E231)</f>
        <v>8098</v>
      </c>
      <c r="F234" s="15">
        <f>SUM('ALPINE MEADOW:WOODLAND'!F231)</f>
        <v>18</v>
      </c>
      <c r="G234" s="15">
        <f>SUM('ALPINE MEADOW:WOODLAND'!G231)</f>
        <v>8116</v>
      </c>
      <c r="H234" s="70"/>
      <c r="J234" s="135"/>
      <c r="N234" s="68"/>
    </row>
    <row r="235" spans="1:14" s="25" customFormat="1" ht="15">
      <c r="A235" s="35"/>
      <c r="B235" s="23" t="s">
        <v>290</v>
      </c>
      <c r="C235" s="15">
        <f>SUM('ALPINE MEADOW:WOODLAND'!C232)</f>
        <v>63819</v>
      </c>
      <c r="D235" s="15">
        <f>SUM('ALPINE MEADOW:WOODLAND'!D232)</f>
        <v>0</v>
      </c>
      <c r="E235" s="15">
        <f>SUM('ALPINE MEADOW:WOODLAND'!E232)</f>
        <v>63819</v>
      </c>
      <c r="F235" s="15">
        <f>SUM('ALPINE MEADOW:WOODLAND'!F232)</f>
        <v>-56639</v>
      </c>
      <c r="G235" s="15">
        <f>SUM('ALPINE MEADOW:WOODLAND'!G232)</f>
        <v>7180</v>
      </c>
      <c r="H235" s="675" t="s">
        <v>730</v>
      </c>
      <c r="J235" s="135"/>
      <c r="N235" s="68"/>
    </row>
    <row r="236" spans="1:14" s="25" customFormat="1" ht="15.5">
      <c r="A236" s="35"/>
      <c r="B236" s="2" t="s">
        <v>76</v>
      </c>
      <c r="C236" s="28">
        <v>365</v>
      </c>
      <c r="D236" s="82"/>
      <c r="E236" s="28">
        <f>C236</f>
        <v>365</v>
      </c>
      <c r="F236" s="674" t="s">
        <v>729</v>
      </c>
      <c r="G236" s="28">
        <f>C236</f>
        <v>365</v>
      </c>
      <c r="H236" s="70"/>
      <c r="J236" s="135"/>
      <c r="N236" s="68"/>
    </row>
    <row r="237" spans="1:14" s="68" customFormat="1" ht="15.5">
      <c r="A237" s="42"/>
      <c r="B237" s="11"/>
      <c r="C237" s="84"/>
      <c r="D237" s="82"/>
      <c r="E237" s="101"/>
      <c r="F237" s="83"/>
      <c r="G237" s="101"/>
      <c r="H237" s="70"/>
      <c r="J237" s="136"/>
    </row>
    <row r="238" spans="1:14" s="25" customFormat="1" ht="26.5">
      <c r="A238" s="35"/>
      <c r="B238" s="10" t="s">
        <v>241</v>
      </c>
      <c r="C238" s="15">
        <f>SUM('ALPINE MEADOW:WOODLAND'!C235)</f>
        <v>2852570</v>
      </c>
      <c r="D238" s="82"/>
      <c r="E238" s="15">
        <f>SUM('ALPINE MEADOW:WOODLAND'!E235)</f>
        <v>2863306</v>
      </c>
      <c r="F238" s="83"/>
      <c r="G238" s="15">
        <f>SUM('ALPINE MEADOW:WOODLAND'!G235)</f>
        <v>2960373</v>
      </c>
      <c r="H238" s="70"/>
      <c r="J238" s="135"/>
      <c r="N238" s="68"/>
    </row>
    <row r="239" spans="1:14" s="25" customFormat="1" ht="26.5">
      <c r="A239" s="35"/>
      <c r="B239" s="10" t="s">
        <v>242</v>
      </c>
      <c r="C239" s="20">
        <f>C231/C238</f>
        <v>0.6352029923893191</v>
      </c>
      <c r="D239" s="89"/>
      <c r="E239" s="20">
        <f>E231/E238</f>
        <v>0.63525554027407483</v>
      </c>
      <c r="F239" s="85"/>
      <c r="G239" s="20">
        <f>G231/G238</f>
        <v>0.62999628762997095</v>
      </c>
      <c r="H239" s="70"/>
      <c r="J239" s="135"/>
      <c r="N239" s="68"/>
    </row>
    <row r="240" spans="1:14" s="25" customFormat="1" ht="26.5">
      <c r="A240" s="35"/>
      <c r="B240" s="10" t="s">
        <v>243</v>
      </c>
      <c r="C240" s="20">
        <f>C222/C238</f>
        <v>0.34052345779419962</v>
      </c>
      <c r="D240" s="89"/>
      <c r="E240" s="20">
        <f>E222/E238</f>
        <v>0.34084830611887096</v>
      </c>
      <c r="F240" s="85"/>
      <c r="G240" s="20">
        <f>G222/G238</f>
        <v>0.33986528048999232</v>
      </c>
      <c r="H240" s="70"/>
      <c r="J240" s="135"/>
      <c r="N240" s="68"/>
    </row>
    <row r="241" spans="1:14" s="25" customFormat="1" ht="26.5">
      <c r="A241" s="35"/>
      <c r="B241" s="10" t="s">
        <v>244</v>
      </c>
      <c r="C241" s="20">
        <f>C240/C239</f>
        <v>0.5360860415869878</v>
      </c>
      <c r="D241" s="89"/>
      <c r="E241" s="20">
        <f>E240/E239</f>
        <v>0.53655306331026298</v>
      </c>
      <c r="F241" s="85"/>
      <c r="G241" s="20">
        <f>G240/G239</f>
        <v>0.53947187810987951</v>
      </c>
      <c r="H241" s="70"/>
      <c r="J241" s="135"/>
      <c r="N241" s="68"/>
    </row>
    <row r="242" spans="1:14" s="25" customFormat="1" ht="15.5">
      <c r="A242" s="35"/>
      <c r="C242" s="64"/>
      <c r="D242" s="64"/>
      <c r="E242" s="102"/>
      <c r="F242" s="65"/>
      <c r="G242" s="64"/>
      <c r="H242" s="68"/>
      <c r="J242" s="135"/>
      <c r="N242" s="68"/>
    </row>
    <row r="243" spans="1:14" ht="15.5">
      <c r="A243" s="54"/>
      <c r="E243" s="59"/>
    </row>
    <row r="244" spans="1:14" ht="15.5">
      <c r="A244" s="54"/>
      <c r="E244" s="59"/>
    </row>
    <row r="245" spans="1:14" ht="15.5">
      <c r="A245" s="54"/>
      <c r="E245" s="59"/>
    </row>
    <row r="246" spans="1:14" ht="15.5">
      <c r="A246" s="54"/>
      <c r="E246" s="59"/>
    </row>
    <row r="247" spans="1:14" ht="15.5">
      <c r="A247" s="54"/>
      <c r="E247" s="59"/>
    </row>
    <row r="248" spans="1:14" ht="15.5">
      <c r="A248" s="54"/>
      <c r="E248" s="59"/>
    </row>
    <row r="249" spans="1:14" ht="15.5">
      <c r="A249" s="54"/>
      <c r="E249" s="59"/>
    </row>
    <row r="250" spans="1:14" ht="15.5">
      <c r="A250" s="54"/>
      <c r="E250" s="59"/>
    </row>
    <row r="251" spans="1:14" ht="15.5">
      <c r="A251" s="54"/>
      <c r="E251" s="59"/>
    </row>
    <row r="252" spans="1:14" ht="15.5">
      <c r="A252" s="54"/>
      <c r="E252" s="59"/>
    </row>
    <row r="253" spans="1:14" ht="15.5">
      <c r="A253" s="54"/>
      <c r="E253" s="59"/>
    </row>
    <row r="254" spans="1:14" ht="15.5">
      <c r="A254" s="54"/>
      <c r="E254" s="59"/>
    </row>
    <row r="255" spans="1:14" ht="15.5">
      <c r="A255" s="54"/>
      <c r="E255" s="59"/>
    </row>
    <row r="256" spans="1:14" ht="15.5">
      <c r="A256" s="54"/>
      <c r="E256" s="59"/>
    </row>
    <row r="257" spans="1:5" ht="15.5">
      <c r="A257" s="54"/>
      <c r="E257" s="59"/>
    </row>
    <row r="258" spans="1:5" ht="15.5">
      <c r="A258" s="54"/>
      <c r="E258" s="59"/>
    </row>
    <row r="259" spans="1:5" ht="15.5">
      <c r="A259" s="54"/>
      <c r="E259" s="59"/>
    </row>
    <row r="260" spans="1:5" ht="15.5">
      <c r="A260" s="54"/>
      <c r="E260" s="59"/>
    </row>
    <row r="261" spans="1:5" ht="15.5">
      <c r="A261" s="54"/>
      <c r="E261" s="59"/>
    </row>
    <row r="262" spans="1:5" ht="15.5">
      <c r="A262" s="54"/>
      <c r="E262" s="59"/>
    </row>
    <row r="263" spans="1:5" ht="15.5">
      <c r="A263" s="54"/>
      <c r="E263" s="59"/>
    </row>
    <row r="264" spans="1:5" ht="15.5">
      <c r="A264" s="54"/>
      <c r="E264" s="59"/>
    </row>
    <row r="265" spans="1:5" ht="15.5">
      <c r="A265" s="54"/>
      <c r="E265" s="59"/>
    </row>
    <row r="266" spans="1:5" ht="15.5">
      <c r="A266" s="54"/>
      <c r="E266" s="59"/>
    </row>
    <row r="267" spans="1:5" ht="15.5">
      <c r="A267" s="54"/>
      <c r="E267" s="59"/>
    </row>
    <row r="268" spans="1:5" ht="15.5">
      <c r="A268" s="54"/>
      <c r="E268" s="59"/>
    </row>
    <row r="269" spans="1:5" ht="15.5">
      <c r="A269" s="54"/>
      <c r="E269" s="59"/>
    </row>
    <row r="270" spans="1:5" ht="15.5">
      <c r="A270" s="54"/>
      <c r="E270" s="59"/>
    </row>
    <row r="271" spans="1:5" ht="15.5">
      <c r="A271" s="54"/>
      <c r="E271" s="59"/>
    </row>
    <row r="272" spans="1:5" ht="15.5">
      <c r="A272" s="54"/>
      <c r="E272" s="59"/>
    </row>
    <row r="273" spans="1:5" ht="15.5">
      <c r="A273" s="54"/>
      <c r="E273" s="59"/>
    </row>
    <row r="274" spans="1:5" ht="15.5">
      <c r="A274" s="54"/>
      <c r="E274" s="59"/>
    </row>
    <row r="275" spans="1:5" ht="15.5">
      <c r="A275" s="54"/>
      <c r="E275" s="59"/>
    </row>
    <row r="276" spans="1:5" ht="15.5">
      <c r="A276" s="54"/>
      <c r="E276" s="59"/>
    </row>
    <row r="277" spans="1:5" ht="15.5">
      <c r="A277" s="54"/>
      <c r="E277" s="59"/>
    </row>
    <row r="278" spans="1:5" ht="15.5">
      <c r="A278" s="54"/>
      <c r="E278" s="59"/>
    </row>
    <row r="279" spans="1:5" ht="15.5">
      <c r="A279" s="54"/>
      <c r="E279" s="59"/>
    </row>
    <row r="280" spans="1:5" ht="15.5">
      <c r="A280" s="54"/>
      <c r="E280" s="59"/>
    </row>
    <row r="281" spans="1:5" ht="15.5">
      <c r="A281" s="54"/>
      <c r="E281" s="59"/>
    </row>
    <row r="282" spans="1:5" ht="15.5">
      <c r="A282" s="54"/>
      <c r="E282" s="59"/>
    </row>
    <row r="283" spans="1:5" ht="15.5">
      <c r="A283" s="54"/>
      <c r="E283" s="59"/>
    </row>
    <row r="284" spans="1:5" ht="15.5">
      <c r="A284" s="54"/>
      <c r="E284" s="59"/>
    </row>
    <row r="285" spans="1:5" ht="15.5">
      <c r="A285" s="54"/>
      <c r="E285" s="59"/>
    </row>
    <row r="286" spans="1:5" ht="15.5">
      <c r="A286" s="54"/>
      <c r="E286" s="59"/>
    </row>
    <row r="287" spans="1:5" ht="15.5">
      <c r="A287" s="54"/>
      <c r="E287" s="59"/>
    </row>
    <row r="288" spans="1:5" ht="15.5">
      <c r="A288" s="54"/>
      <c r="E288" s="59"/>
    </row>
    <row r="289" spans="1:5" ht="15.5">
      <c r="A289" s="54"/>
      <c r="E289" s="59"/>
    </row>
    <row r="290" spans="1:5" ht="15.5">
      <c r="A290" s="54"/>
      <c r="E290" s="59"/>
    </row>
    <row r="291" spans="1:5" ht="15.5">
      <c r="A291" s="54"/>
      <c r="E291" s="59"/>
    </row>
    <row r="292" spans="1:5" ht="15.5">
      <c r="A292" s="54"/>
      <c r="E292" s="59"/>
    </row>
    <row r="293" spans="1:5" ht="15.5">
      <c r="A293" s="54"/>
      <c r="E293" s="59"/>
    </row>
    <row r="294" spans="1:5" ht="15.5">
      <c r="A294" s="54"/>
      <c r="E294" s="59"/>
    </row>
    <row r="295" spans="1:5" ht="15.5">
      <c r="A295" s="54"/>
      <c r="E295" s="59"/>
    </row>
    <row r="296" spans="1:5" ht="15.5">
      <c r="A296" s="54"/>
      <c r="E296" s="59"/>
    </row>
    <row r="297" spans="1:5" ht="15.5">
      <c r="A297" s="54"/>
      <c r="E297" s="59"/>
    </row>
    <row r="298" spans="1:5" ht="15.5">
      <c r="A298" s="54"/>
      <c r="E298" s="59"/>
    </row>
    <row r="299" spans="1:5" ht="15.5">
      <c r="A299" s="54"/>
      <c r="E299" s="59"/>
    </row>
    <row r="300" spans="1:5" ht="15.5">
      <c r="A300" s="54"/>
      <c r="E300" s="59"/>
    </row>
    <row r="301" spans="1:5" ht="15.5">
      <c r="A301" s="54"/>
      <c r="E301" s="59"/>
    </row>
    <row r="302" spans="1:5" ht="15.5">
      <c r="A302" s="54"/>
      <c r="E302" s="59"/>
    </row>
    <row r="303" spans="1:5" ht="15.5">
      <c r="A303" s="54"/>
      <c r="E303" s="59"/>
    </row>
    <row r="304" spans="1:5" ht="15.5">
      <c r="A304" s="54"/>
      <c r="E304" s="59"/>
    </row>
    <row r="305" spans="1:5" ht="15.5">
      <c r="A305" s="54"/>
      <c r="E305" s="59"/>
    </row>
    <row r="306" spans="1:5" ht="15.5">
      <c r="A306" s="54"/>
      <c r="E306" s="59"/>
    </row>
    <row r="307" spans="1:5" ht="15.5">
      <c r="A307" s="54"/>
      <c r="E307" s="59"/>
    </row>
    <row r="308" spans="1:5" ht="15.5">
      <c r="A308" s="54"/>
      <c r="E308" s="59"/>
    </row>
    <row r="309" spans="1:5" ht="15.5">
      <c r="A309" s="54"/>
      <c r="E309" s="59"/>
    </row>
    <row r="310" spans="1:5" ht="15.5">
      <c r="A310" s="54"/>
      <c r="E310" s="59"/>
    </row>
    <row r="311" spans="1:5" ht="15.5">
      <c r="A311" s="54"/>
      <c r="E311" s="59"/>
    </row>
    <row r="312" spans="1:5" ht="15.5">
      <c r="A312" s="54"/>
      <c r="E312" s="59"/>
    </row>
    <row r="313" spans="1:5" ht="15.5">
      <c r="A313" s="54"/>
      <c r="E313" s="59"/>
    </row>
    <row r="314" spans="1:5" ht="15.5">
      <c r="A314" s="54"/>
      <c r="E314" s="59"/>
    </row>
    <row r="315" spans="1:5" ht="15.5">
      <c r="A315" s="54"/>
      <c r="E315" s="59"/>
    </row>
    <row r="316" spans="1:5" ht="15.5">
      <c r="A316" s="54"/>
      <c r="E316" s="59"/>
    </row>
    <row r="317" spans="1:5" ht="15.5">
      <c r="A317" s="54"/>
      <c r="E317" s="59"/>
    </row>
    <row r="318" spans="1:5" ht="15.5">
      <c r="E318" s="59"/>
    </row>
    <row r="319" spans="1:5" ht="15.5">
      <c r="E319" s="59"/>
    </row>
    <row r="320" spans="1:5" ht="15.5">
      <c r="E320" s="59"/>
    </row>
    <row r="321" spans="5:5" ht="15.5">
      <c r="E321" s="59"/>
    </row>
    <row r="322" spans="5:5" ht="15.5">
      <c r="E322" s="59"/>
    </row>
    <row r="323" spans="5:5" ht="15.5">
      <c r="E323" s="59"/>
    </row>
    <row r="324" spans="5:5" ht="15.5">
      <c r="E324" s="59"/>
    </row>
    <row r="325" spans="5:5" ht="15.5">
      <c r="E325" s="59"/>
    </row>
    <row r="326" spans="5:5" ht="15.5">
      <c r="E326" s="59"/>
    </row>
    <row r="327" spans="5:5" ht="15.5">
      <c r="E327" s="59"/>
    </row>
    <row r="328" spans="5:5" ht="15.5">
      <c r="E328" s="59"/>
    </row>
    <row r="329" spans="5:5" ht="15.5">
      <c r="E329" s="59"/>
    </row>
    <row r="330" spans="5:5" ht="15.5">
      <c r="E330" s="59"/>
    </row>
    <row r="331" spans="5:5" ht="15.5">
      <c r="E331" s="59"/>
    </row>
    <row r="332" spans="5:5" ht="15.5">
      <c r="E332" s="59"/>
    </row>
  </sheetData>
  <customSheetViews>
    <customSheetView guid="{8B6AA640-12E9-11D5-ABB1-E7A21A3D4A14}" showGridLines="0" showRuler="0" topLeftCell="A142">
      <selection activeCell="A161" sqref="A161"/>
      <pageMargins left="0" right="0" top="0" bottom="0" header="0.5" footer="0.5"/>
      <printOptions horizontalCentered="1"/>
      <pageSetup scale="5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16" sqref="A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mergeCells count="4">
    <mergeCell ref="C1:E1"/>
    <mergeCell ref="L10:L12"/>
    <mergeCell ref="M10:M12"/>
    <mergeCell ref="D2:I8"/>
  </mergeCells>
  <phoneticPr fontId="0" type="noConversion"/>
  <printOptions horizontalCentered="1" headings="1"/>
  <pageMargins left="0" right="0" top="0" bottom="1" header="0.5" footer="0.5"/>
  <pageSetup scale="45" fitToHeight="4" orientation="landscape" r:id="rId3"/>
  <headerFooter alignWithMargins="0">
    <oddFooter>&amp;RDJ
&amp;D
&amp;T
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tabColor rgb="FFE28CAB"/>
  </sheetPr>
  <dimension ref="A1:O246"/>
  <sheetViews>
    <sheetView showGridLines="0" topLeftCell="A34" zoomScaleNormal="100" workbookViewId="0">
      <selection activeCell="K1" sqref="K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29" customWidth="1"/>
    <col min="10" max="10" width="14.6640625" style="141" customWidth="1"/>
    <col min="11" max="11" width="13" style="141" customWidth="1"/>
    <col min="12" max="12" width="2.5" style="140" customWidth="1"/>
    <col min="13" max="16384" width="8.6640625" style="140"/>
  </cols>
  <sheetData>
    <row r="1" spans="1:11" ht="36.75" customHeight="1">
      <c r="A1" s="138" t="str">
        <f>'ALPINE MEADOW'!A1</f>
        <v>schedules revised 7/2017</v>
      </c>
      <c r="B1" s="139" t="s">
        <v>304</v>
      </c>
      <c r="C1" s="429"/>
      <c r="D1" s="429"/>
      <c r="E1" s="429"/>
      <c r="F1" s="429"/>
      <c r="G1" s="429"/>
      <c r="H1" s="429"/>
      <c r="I1" s="430"/>
    </row>
    <row r="2" spans="1:11" ht="23">
      <c r="B2" s="143" t="s">
        <v>189</v>
      </c>
      <c r="C2" s="244" t="s">
        <v>351</v>
      </c>
      <c r="D2" s="244"/>
      <c r="E2" s="144"/>
    </row>
    <row r="3" spans="1:11">
      <c r="A3" s="145"/>
      <c r="B3" s="140" t="s">
        <v>79</v>
      </c>
      <c r="C3" s="441">
        <v>42552</v>
      </c>
      <c r="D3" s="144"/>
      <c r="E3" s="147"/>
    </row>
    <row r="4" spans="1:11">
      <c r="A4" s="145"/>
      <c r="B4" s="148" t="s">
        <v>80</v>
      </c>
      <c r="C4" s="441">
        <v>42916</v>
      </c>
      <c r="D4" s="144"/>
      <c r="E4" s="149"/>
      <c r="G4" s="150"/>
    </row>
    <row r="5" spans="1:11">
      <c r="A5" s="145"/>
      <c r="B5" s="148"/>
      <c r="C5" s="151"/>
      <c r="D5" s="144"/>
    </row>
    <row r="6" spans="1:11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0"/>
      <c r="J6" s="155">
        <v>7</v>
      </c>
      <c r="K6" s="155">
        <v>8</v>
      </c>
    </row>
    <row r="7" spans="1:11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477"/>
      <c r="J7" s="158" t="s">
        <v>291</v>
      </c>
      <c r="K7" s="159" t="s">
        <v>292</v>
      </c>
    </row>
    <row r="8" spans="1:11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477"/>
      <c r="J8" s="162"/>
      <c r="K8" s="162"/>
    </row>
    <row r="9" spans="1:11">
      <c r="A9" s="145"/>
      <c r="C9" s="151"/>
      <c r="D9" s="144"/>
      <c r="F9" s="144"/>
      <c r="G9" s="144"/>
      <c r="I9" s="475"/>
    </row>
    <row r="10" spans="1:11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478"/>
      <c r="J10" s="168"/>
      <c r="K10" s="168"/>
    </row>
    <row r="11" spans="1:11" s="167" customFormat="1">
      <c r="A11" s="169" t="s">
        <v>13</v>
      </c>
      <c r="B11" s="170" t="s">
        <v>213</v>
      </c>
      <c r="C11" s="501">
        <v>3304673</v>
      </c>
      <c r="D11" s="501">
        <v>-19740</v>
      </c>
      <c r="E11" s="171">
        <f>C11+D11</f>
        <v>3284933</v>
      </c>
      <c r="F11" s="171"/>
      <c r="G11" s="171">
        <f t="shared" ref="G11:G20" si="0">E11+F11</f>
        <v>3284933</v>
      </c>
      <c r="H11" s="172">
        <f t="shared" ref="H11:H21" si="1">IF($G$21=0,0,G11/$G$21)</f>
        <v>0.69622175952497423</v>
      </c>
      <c r="I11" s="473"/>
      <c r="J11" s="336" t="s">
        <v>344</v>
      </c>
      <c r="K11" s="337">
        <f>G21</f>
        <v>4718228</v>
      </c>
    </row>
    <row r="12" spans="1:11" s="167" customFormat="1">
      <c r="A12" s="169" t="s">
        <v>15</v>
      </c>
      <c r="B12" s="170" t="s">
        <v>212</v>
      </c>
      <c r="C12" s="501">
        <v>0</v>
      </c>
      <c r="D12" s="501"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473"/>
      <c r="J12" s="338" t="s">
        <v>345</v>
      </c>
      <c r="K12" s="339">
        <f>G208</f>
        <v>5411840.0499999998</v>
      </c>
    </row>
    <row r="13" spans="1:11" s="167" customFormat="1">
      <c r="A13" s="169" t="s">
        <v>16</v>
      </c>
      <c r="B13" s="170" t="s">
        <v>170</v>
      </c>
      <c r="C13" s="501">
        <v>480735</v>
      </c>
      <c r="D13" s="501">
        <v>0</v>
      </c>
      <c r="E13" s="171">
        <f t="shared" si="2"/>
        <v>480735</v>
      </c>
      <c r="F13" s="171"/>
      <c r="G13" s="171">
        <f t="shared" si="0"/>
        <v>480735</v>
      </c>
      <c r="H13" s="172">
        <f t="shared" si="1"/>
        <v>0.10188888709913976</v>
      </c>
      <c r="I13" s="473"/>
      <c r="J13" s="338" t="s">
        <v>346</v>
      </c>
      <c r="K13" s="339">
        <f>G228</f>
        <v>24776</v>
      </c>
    </row>
    <row r="14" spans="1:11" s="167" customFormat="1">
      <c r="A14" s="173" t="s">
        <v>18</v>
      </c>
      <c r="B14" s="174" t="s">
        <v>306</v>
      </c>
      <c r="C14" s="501">
        <v>91910</v>
      </c>
      <c r="D14" s="501">
        <v>0</v>
      </c>
      <c r="E14" s="171">
        <f t="shared" si="2"/>
        <v>91910</v>
      </c>
      <c r="F14" s="175"/>
      <c r="G14" s="175">
        <f>E14+F14</f>
        <v>91910</v>
      </c>
      <c r="H14" s="176">
        <f t="shared" si="1"/>
        <v>1.9479770795307053E-2</v>
      </c>
      <c r="I14" s="479"/>
      <c r="J14" s="338" t="s">
        <v>347</v>
      </c>
      <c r="K14" s="339">
        <f>G231</f>
        <v>90</v>
      </c>
    </row>
    <row r="15" spans="1:11" s="167" customFormat="1">
      <c r="A15" s="169" t="s">
        <v>19</v>
      </c>
      <c r="B15" s="170" t="s">
        <v>171</v>
      </c>
      <c r="C15" s="501">
        <v>0</v>
      </c>
      <c r="D15" s="501"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473"/>
      <c r="J15" s="338" t="s">
        <v>348</v>
      </c>
      <c r="K15" s="339">
        <f>G235</f>
        <v>32850</v>
      </c>
    </row>
    <row r="16" spans="1:11" s="167" customFormat="1">
      <c r="A16" s="169" t="s">
        <v>21</v>
      </c>
      <c r="B16" s="170" t="s">
        <v>172</v>
      </c>
      <c r="C16" s="501">
        <v>102690</v>
      </c>
      <c r="D16" s="501">
        <v>19740</v>
      </c>
      <c r="E16" s="171">
        <f t="shared" si="2"/>
        <v>122430</v>
      </c>
      <c r="F16" s="171"/>
      <c r="G16" s="171">
        <f t="shared" si="0"/>
        <v>122430</v>
      </c>
      <c r="H16" s="172">
        <f t="shared" si="1"/>
        <v>2.5948300929925387E-2</v>
      </c>
      <c r="I16" s="473"/>
      <c r="J16" s="340"/>
      <c r="K16" s="339"/>
    </row>
    <row r="17" spans="1:11" s="167" customFormat="1">
      <c r="A17" s="169" t="s">
        <v>215</v>
      </c>
      <c r="B17" s="170" t="s">
        <v>228</v>
      </c>
      <c r="C17" s="501">
        <v>444902</v>
      </c>
      <c r="D17" s="501">
        <v>0</v>
      </c>
      <c r="E17" s="171">
        <f t="shared" si="2"/>
        <v>444902</v>
      </c>
      <c r="F17" s="171"/>
      <c r="G17" s="171">
        <f>E17+F17</f>
        <v>444902</v>
      </c>
      <c r="H17" s="172">
        <f t="shared" si="1"/>
        <v>9.4294298622279379E-2</v>
      </c>
      <c r="I17" s="473"/>
      <c r="J17" s="338" t="s">
        <v>156</v>
      </c>
      <c r="K17" s="339">
        <f>J208</f>
        <v>138323</v>
      </c>
    </row>
    <row r="18" spans="1:11" s="167" customFormat="1" ht="13.5" thickBot="1">
      <c r="A18" s="169" t="s">
        <v>216</v>
      </c>
      <c r="B18" s="170" t="s">
        <v>229</v>
      </c>
      <c r="C18" s="501">
        <v>0</v>
      </c>
      <c r="D18" s="501"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73"/>
      <c r="J18" s="341" t="s">
        <v>252</v>
      </c>
      <c r="K18" s="342">
        <f>K208</f>
        <v>144530</v>
      </c>
    </row>
    <row r="19" spans="1:11" s="167" customFormat="1">
      <c r="A19" s="169" t="s">
        <v>227</v>
      </c>
      <c r="B19" s="177" t="s">
        <v>173</v>
      </c>
      <c r="C19" s="501">
        <v>213037</v>
      </c>
      <c r="D19" s="501">
        <v>0</v>
      </c>
      <c r="E19" s="171">
        <f t="shared" si="2"/>
        <v>213037</v>
      </c>
      <c r="F19" s="171"/>
      <c r="G19" s="171">
        <f t="shared" si="0"/>
        <v>213037</v>
      </c>
      <c r="H19" s="172">
        <f t="shared" si="1"/>
        <v>4.5151908725055256E-2</v>
      </c>
      <c r="I19" s="473"/>
      <c r="J19" s="168"/>
      <c r="K19" s="168"/>
    </row>
    <row r="20" spans="1:11" s="167" customFormat="1">
      <c r="A20" s="169" t="s">
        <v>183</v>
      </c>
      <c r="B20" s="23" t="s">
        <v>180</v>
      </c>
      <c r="C20" s="501">
        <v>85897</v>
      </c>
      <c r="D20" s="501">
        <v>-5616</v>
      </c>
      <c r="E20" s="171">
        <f t="shared" si="2"/>
        <v>80281</v>
      </c>
      <c r="F20" s="171"/>
      <c r="G20" s="171">
        <f t="shared" si="0"/>
        <v>80281</v>
      </c>
      <c r="H20" s="172">
        <f t="shared" si="1"/>
        <v>1.7015074303318958E-2</v>
      </c>
      <c r="I20" s="473"/>
      <c r="J20" s="168"/>
      <c r="K20" s="168"/>
    </row>
    <row r="21" spans="1:11" s="167" customFormat="1">
      <c r="A21" s="169"/>
      <c r="B21" s="178" t="s">
        <v>77</v>
      </c>
      <c r="C21" s="501">
        <v>4723844</v>
      </c>
      <c r="D21" s="501">
        <v>-5616</v>
      </c>
      <c r="E21" s="171">
        <f>SUM(E11:E20)</f>
        <v>4718228</v>
      </c>
      <c r="F21" s="171">
        <f>SUM(F11:F20)</f>
        <v>0</v>
      </c>
      <c r="G21" s="171">
        <f>SUM(G11:G20)</f>
        <v>4718228</v>
      </c>
      <c r="H21" s="172">
        <f t="shared" si="1"/>
        <v>1</v>
      </c>
      <c r="I21" s="473"/>
      <c r="J21" s="168"/>
      <c r="K21" s="168"/>
    </row>
    <row r="22" spans="1:11" ht="12" customHeight="1">
      <c r="A22" s="145"/>
      <c r="B22" s="179"/>
      <c r="C22" s="151"/>
      <c r="D22" s="144"/>
      <c r="F22" s="144"/>
      <c r="G22" s="144"/>
      <c r="I22" s="475"/>
    </row>
    <row r="23" spans="1:11" ht="26">
      <c r="A23" s="180" t="s">
        <v>231</v>
      </c>
      <c r="B23" s="179" t="s">
        <v>222</v>
      </c>
      <c r="C23" s="151"/>
      <c r="D23" s="144"/>
      <c r="F23" s="144"/>
      <c r="G23" s="144"/>
      <c r="I23" s="475"/>
    </row>
    <row r="24" spans="1:11">
      <c r="A24" s="181" t="s">
        <v>161</v>
      </c>
      <c r="B24" s="148" t="s">
        <v>12</v>
      </c>
      <c r="I24" s="475"/>
    </row>
    <row r="25" spans="1:11" s="167" customFormat="1">
      <c r="A25" s="169" t="s">
        <v>83</v>
      </c>
      <c r="B25" s="170" t="s">
        <v>14</v>
      </c>
      <c r="C25" s="501">
        <v>0</v>
      </c>
      <c r="D25" s="501">
        <v>102777</v>
      </c>
      <c r="E25" s="171">
        <f t="shared" ref="E25:E60" si="3">C25+D25</f>
        <v>102777</v>
      </c>
      <c r="F25" s="171"/>
      <c r="G25" s="182">
        <f>E25+F25</f>
        <v>102777</v>
      </c>
      <c r="H25" s="172">
        <f>IF($G$208=0,0,G25/$G$208)</f>
        <v>1.8991137773925894E-2</v>
      </c>
      <c r="I25" s="473"/>
      <c r="J25" s="183">
        <v>1954</v>
      </c>
      <c r="K25" s="183">
        <v>2103</v>
      </c>
    </row>
    <row r="26" spans="1:11" s="167" customFormat="1">
      <c r="A26" s="169" t="s">
        <v>84</v>
      </c>
      <c r="B26" s="170" t="s">
        <v>176</v>
      </c>
      <c r="C26" s="501">
        <v>0</v>
      </c>
      <c r="D26" s="501">
        <v>0</v>
      </c>
      <c r="E26" s="171">
        <f t="shared" si="3"/>
        <v>0</v>
      </c>
      <c r="F26" s="171"/>
      <c r="G26" s="171">
        <f t="shared" ref="G26:G60" si="4">E26+F26</f>
        <v>0</v>
      </c>
      <c r="H26" s="184">
        <f t="shared" ref="H26:H61" si="5">IF($G$208=0,0,G26/$G$208)</f>
        <v>0</v>
      </c>
      <c r="I26" s="473"/>
      <c r="J26" s="183">
        <v>0</v>
      </c>
      <c r="K26" s="183">
        <v>0</v>
      </c>
    </row>
    <row r="27" spans="1:11" s="167" customFormat="1">
      <c r="A27" s="169" t="s">
        <v>85</v>
      </c>
      <c r="B27" s="170" t="s">
        <v>17</v>
      </c>
      <c r="C27" s="501">
        <v>229927</v>
      </c>
      <c r="D27" s="501">
        <v>-102777</v>
      </c>
      <c r="E27" s="171">
        <f t="shared" si="3"/>
        <v>127150</v>
      </c>
      <c r="F27" s="171"/>
      <c r="G27" s="171">
        <f t="shared" si="4"/>
        <v>127150</v>
      </c>
      <c r="H27" s="172">
        <f t="shared" si="5"/>
        <v>2.3494781594662985E-2</v>
      </c>
      <c r="I27" s="473"/>
      <c r="J27" s="183">
        <v>6813</v>
      </c>
      <c r="K27" s="183">
        <v>7045</v>
      </c>
    </row>
    <row r="28" spans="1:11" s="167" customFormat="1">
      <c r="A28" s="169" t="s">
        <v>86</v>
      </c>
      <c r="B28" s="170" t="s">
        <v>45</v>
      </c>
      <c r="C28" s="501">
        <v>40320</v>
      </c>
      <c r="D28" s="501">
        <v>360</v>
      </c>
      <c r="E28" s="171">
        <f t="shared" si="3"/>
        <v>40680</v>
      </c>
      <c r="F28" s="171"/>
      <c r="G28" s="171">
        <f t="shared" si="4"/>
        <v>40680</v>
      </c>
      <c r="H28" s="172">
        <f t="shared" si="5"/>
        <v>7.5168518700030685E-3</v>
      </c>
      <c r="I28" s="473"/>
      <c r="J28" s="168"/>
      <c r="K28" s="168"/>
    </row>
    <row r="29" spans="1:11" s="167" customFormat="1">
      <c r="A29" s="169" t="s">
        <v>175</v>
      </c>
      <c r="B29" s="170" t="s">
        <v>20</v>
      </c>
      <c r="C29" s="501">
        <v>0</v>
      </c>
      <c r="D29" s="501">
        <v>0</v>
      </c>
      <c r="E29" s="171">
        <f t="shared" si="3"/>
        <v>0</v>
      </c>
      <c r="F29" s="171"/>
      <c r="G29" s="171">
        <f t="shared" si="4"/>
        <v>0</v>
      </c>
      <c r="H29" s="172">
        <f t="shared" si="5"/>
        <v>0</v>
      </c>
      <c r="I29" s="473"/>
      <c r="J29" s="168"/>
      <c r="K29" s="168"/>
    </row>
    <row r="30" spans="1:11" s="167" customFormat="1">
      <c r="A30" s="169" t="s">
        <v>88</v>
      </c>
      <c r="B30" s="170" t="s">
        <v>22</v>
      </c>
      <c r="C30" s="501">
        <v>0</v>
      </c>
      <c r="D30" s="501">
        <v>0</v>
      </c>
      <c r="E30" s="171">
        <f t="shared" si="3"/>
        <v>0</v>
      </c>
      <c r="F30" s="171"/>
      <c r="G30" s="171">
        <f t="shared" si="4"/>
        <v>0</v>
      </c>
      <c r="H30" s="172">
        <f t="shared" si="5"/>
        <v>0</v>
      </c>
      <c r="I30" s="473"/>
      <c r="J30" s="168"/>
      <c r="K30" s="168"/>
    </row>
    <row r="31" spans="1:11" s="167" customFormat="1">
      <c r="A31" s="169" t="s">
        <v>89</v>
      </c>
      <c r="B31" s="170" t="s">
        <v>148</v>
      </c>
      <c r="C31" s="501">
        <v>237628</v>
      </c>
      <c r="D31" s="501">
        <v>-64117</v>
      </c>
      <c r="E31" s="171">
        <f t="shared" si="3"/>
        <v>173511</v>
      </c>
      <c r="F31" s="171"/>
      <c r="G31" s="171">
        <f t="shared" si="4"/>
        <v>173511</v>
      </c>
      <c r="H31" s="172">
        <f t="shared" si="5"/>
        <v>3.2061368849953358E-2</v>
      </c>
      <c r="I31" s="473"/>
      <c r="J31" s="168"/>
      <c r="K31" s="168"/>
    </row>
    <row r="32" spans="1:11" s="167" customFormat="1">
      <c r="A32" s="169" t="s">
        <v>90</v>
      </c>
      <c r="B32" s="170" t="s">
        <v>23</v>
      </c>
      <c r="C32" s="501">
        <v>1706</v>
      </c>
      <c r="D32" s="501">
        <v>-1706</v>
      </c>
      <c r="E32" s="171">
        <f t="shared" si="3"/>
        <v>0</v>
      </c>
      <c r="F32" s="171"/>
      <c r="G32" s="171">
        <f t="shared" si="4"/>
        <v>0</v>
      </c>
      <c r="H32" s="172">
        <f t="shared" si="5"/>
        <v>0</v>
      </c>
      <c r="I32" s="473"/>
      <c r="J32" s="168"/>
      <c r="K32" s="168"/>
    </row>
    <row r="33" spans="1:11" s="167" customFormat="1">
      <c r="A33" s="169" t="s">
        <v>91</v>
      </c>
      <c r="B33" s="170" t="s">
        <v>24</v>
      </c>
      <c r="C33" s="501">
        <v>3752</v>
      </c>
      <c r="D33" s="501">
        <v>0</v>
      </c>
      <c r="E33" s="171">
        <f t="shared" si="3"/>
        <v>3752</v>
      </c>
      <c r="F33" s="171"/>
      <c r="G33" s="171">
        <f t="shared" si="4"/>
        <v>3752</v>
      </c>
      <c r="H33" s="172">
        <f t="shared" si="5"/>
        <v>6.9329469558140401E-4</v>
      </c>
      <c r="I33" s="473"/>
      <c r="J33" s="168"/>
      <c r="K33" s="168"/>
    </row>
    <row r="34" spans="1:11" s="167" customFormat="1">
      <c r="A34" s="169" t="s">
        <v>92</v>
      </c>
      <c r="B34" s="170" t="s">
        <v>25</v>
      </c>
      <c r="C34" s="501">
        <v>9874</v>
      </c>
      <c r="D34" s="501">
        <v>0</v>
      </c>
      <c r="E34" s="171">
        <f t="shared" si="3"/>
        <v>9874</v>
      </c>
      <c r="F34" s="171"/>
      <c r="G34" s="171">
        <f t="shared" si="4"/>
        <v>9874</v>
      </c>
      <c r="H34" s="172">
        <f t="shared" si="5"/>
        <v>1.8245180768045796E-3</v>
      </c>
      <c r="I34" s="473"/>
      <c r="J34" s="168"/>
      <c r="K34" s="168"/>
    </row>
    <row r="35" spans="1:11" s="167" customFormat="1">
      <c r="A35" s="169" t="s">
        <v>93</v>
      </c>
      <c r="B35" s="170" t="s">
        <v>26</v>
      </c>
      <c r="C35" s="501">
        <v>27404</v>
      </c>
      <c r="D35" s="501">
        <v>0</v>
      </c>
      <c r="E35" s="171">
        <f t="shared" si="3"/>
        <v>27404</v>
      </c>
      <c r="F35" s="171"/>
      <c r="G35" s="171">
        <f t="shared" si="4"/>
        <v>27404</v>
      </c>
      <c r="H35" s="172">
        <f t="shared" si="5"/>
        <v>5.0637121102646045E-3</v>
      </c>
      <c r="I35" s="473"/>
      <c r="J35" s="168"/>
      <c r="K35" s="168"/>
    </row>
    <row r="36" spans="1:11" s="167" customFormat="1">
      <c r="A36" s="169" t="s">
        <v>94</v>
      </c>
      <c r="B36" s="170" t="s">
        <v>27</v>
      </c>
      <c r="C36" s="501">
        <v>44145</v>
      </c>
      <c r="D36" s="501">
        <v>0</v>
      </c>
      <c r="E36" s="171">
        <f t="shared" si="3"/>
        <v>44145</v>
      </c>
      <c r="F36" s="171"/>
      <c r="G36" s="171">
        <f t="shared" si="4"/>
        <v>44145</v>
      </c>
      <c r="H36" s="172">
        <f t="shared" si="5"/>
        <v>8.1571146952135066E-3</v>
      </c>
      <c r="I36" s="473"/>
      <c r="J36" s="168"/>
      <c r="K36" s="168"/>
    </row>
    <row r="37" spans="1:11" s="167" customFormat="1">
      <c r="A37" s="163">
        <v>130</v>
      </c>
      <c r="B37" s="170" t="s">
        <v>28</v>
      </c>
      <c r="C37" s="501">
        <v>0</v>
      </c>
      <c r="D37" s="501">
        <v>0</v>
      </c>
      <c r="E37" s="171">
        <f t="shared" si="3"/>
        <v>0</v>
      </c>
      <c r="F37" s="171"/>
      <c r="G37" s="171">
        <f t="shared" si="4"/>
        <v>0</v>
      </c>
      <c r="H37" s="172">
        <f t="shared" si="5"/>
        <v>0</v>
      </c>
      <c r="I37" s="473"/>
      <c r="J37" s="168"/>
      <c r="K37" s="168"/>
    </row>
    <row r="38" spans="1:11" s="167" customFormat="1">
      <c r="A38" s="163">
        <v>140</v>
      </c>
      <c r="B38" s="170" t="s">
        <v>149</v>
      </c>
      <c r="C38" s="501">
        <v>6361</v>
      </c>
      <c r="D38" s="501">
        <v>0</v>
      </c>
      <c r="E38" s="171">
        <f t="shared" si="3"/>
        <v>6361</v>
      </c>
      <c r="F38" s="171"/>
      <c r="G38" s="171">
        <f t="shared" si="4"/>
        <v>6361</v>
      </c>
      <c r="H38" s="172">
        <f t="shared" si="5"/>
        <v>1.1753858098596244E-3</v>
      </c>
      <c r="I38" s="473"/>
      <c r="J38" s="168"/>
      <c r="K38" s="168"/>
    </row>
    <row r="39" spans="1:11" s="167" customFormat="1">
      <c r="A39" s="163">
        <v>150</v>
      </c>
      <c r="B39" s="170" t="s">
        <v>29</v>
      </c>
      <c r="C39" s="501">
        <v>21912</v>
      </c>
      <c r="D39" s="501">
        <v>0</v>
      </c>
      <c r="E39" s="171">
        <f t="shared" si="3"/>
        <v>21912</v>
      </c>
      <c r="F39" s="171"/>
      <c r="G39" s="171">
        <f t="shared" si="4"/>
        <v>21912</v>
      </c>
      <c r="H39" s="172">
        <f t="shared" si="5"/>
        <v>4.0489001518069631E-3</v>
      </c>
      <c r="I39" s="473"/>
      <c r="J39" s="168"/>
      <c r="K39" s="168"/>
    </row>
    <row r="40" spans="1:11" s="167" customFormat="1">
      <c r="A40" s="163">
        <v>160</v>
      </c>
      <c r="B40" s="170" t="s">
        <v>30</v>
      </c>
      <c r="C40" s="501">
        <v>2659</v>
      </c>
      <c r="D40" s="501">
        <v>0</v>
      </c>
      <c r="E40" s="171">
        <f t="shared" si="3"/>
        <v>2659</v>
      </c>
      <c r="F40" s="171"/>
      <c r="G40" s="171">
        <f t="shared" si="4"/>
        <v>2659</v>
      </c>
      <c r="H40" s="172">
        <f t="shared" si="5"/>
        <v>4.913301160850089E-4</v>
      </c>
      <c r="I40" s="473"/>
      <c r="J40" s="168"/>
      <c r="K40" s="168"/>
    </row>
    <row r="41" spans="1:11" s="167" customFormat="1">
      <c r="A41" s="163">
        <v>170</v>
      </c>
      <c r="B41" s="170" t="s">
        <v>31</v>
      </c>
      <c r="C41" s="501">
        <v>441627</v>
      </c>
      <c r="D41" s="501">
        <v>0</v>
      </c>
      <c r="E41" s="171">
        <f t="shared" si="3"/>
        <v>441627</v>
      </c>
      <c r="F41" s="171"/>
      <c r="G41" s="171">
        <f t="shared" si="4"/>
        <v>441627</v>
      </c>
      <c r="H41" s="172">
        <f t="shared" si="5"/>
        <v>8.1603853018531097E-2</v>
      </c>
      <c r="I41" s="473"/>
      <c r="J41" s="168"/>
      <c r="K41" s="168"/>
    </row>
    <row r="42" spans="1:11" s="167" customFormat="1">
      <c r="A42" s="163">
        <v>180</v>
      </c>
      <c r="B42" s="170" t="s">
        <v>32</v>
      </c>
      <c r="C42" s="501">
        <v>145</v>
      </c>
      <c r="D42" s="501">
        <v>-183</v>
      </c>
      <c r="E42" s="171">
        <f t="shared" si="3"/>
        <v>-38</v>
      </c>
      <c r="F42" s="171"/>
      <c r="G42" s="171">
        <f t="shared" si="4"/>
        <v>-38</v>
      </c>
      <c r="H42" s="172">
        <f t="shared" si="5"/>
        <v>-7.021641373159209E-6</v>
      </c>
      <c r="I42" s="473"/>
      <c r="J42" s="168"/>
      <c r="K42" s="168"/>
    </row>
    <row r="43" spans="1:11" s="167" customFormat="1">
      <c r="A43" s="163">
        <v>190</v>
      </c>
      <c r="B43" s="170" t="s">
        <v>33</v>
      </c>
      <c r="C43" s="501">
        <v>95</v>
      </c>
      <c r="D43" s="501">
        <v>-95</v>
      </c>
      <c r="E43" s="171">
        <f t="shared" si="3"/>
        <v>0</v>
      </c>
      <c r="F43" s="171"/>
      <c r="G43" s="171">
        <f t="shared" si="4"/>
        <v>0</v>
      </c>
      <c r="H43" s="172">
        <f t="shared" si="5"/>
        <v>0</v>
      </c>
      <c r="I43" s="473"/>
      <c r="J43" s="168"/>
      <c r="K43" s="168"/>
    </row>
    <row r="44" spans="1:11" s="167" customFormat="1">
      <c r="A44" s="163">
        <v>200</v>
      </c>
      <c r="B44" s="170" t="s">
        <v>34</v>
      </c>
      <c r="C44" s="501">
        <v>105724</v>
      </c>
      <c r="D44" s="501">
        <v>-105724</v>
      </c>
      <c r="E44" s="171">
        <f t="shared" si="3"/>
        <v>0</v>
      </c>
      <c r="F44" s="171"/>
      <c r="G44" s="171">
        <f t="shared" si="4"/>
        <v>0</v>
      </c>
      <c r="H44" s="172">
        <f t="shared" si="5"/>
        <v>0</v>
      </c>
      <c r="I44" s="473"/>
      <c r="J44" s="168"/>
      <c r="K44" s="168"/>
    </row>
    <row r="45" spans="1:11" s="167" customFormat="1">
      <c r="A45" s="163">
        <v>210</v>
      </c>
      <c r="B45" s="170" t="s">
        <v>35</v>
      </c>
      <c r="C45" s="501">
        <v>0</v>
      </c>
      <c r="D45" s="501">
        <v>0</v>
      </c>
      <c r="E45" s="171">
        <f t="shared" si="3"/>
        <v>0</v>
      </c>
      <c r="F45" s="171"/>
      <c r="G45" s="171">
        <f t="shared" si="4"/>
        <v>0</v>
      </c>
      <c r="H45" s="172">
        <f t="shared" si="5"/>
        <v>0</v>
      </c>
      <c r="I45" s="473"/>
      <c r="J45" s="168"/>
      <c r="K45" s="168"/>
    </row>
    <row r="46" spans="1:11" s="167" customFormat="1">
      <c r="A46" s="163">
        <v>220</v>
      </c>
      <c r="B46" s="170" t="s">
        <v>190</v>
      </c>
      <c r="C46" s="501">
        <v>0</v>
      </c>
      <c r="D46" s="501">
        <v>0</v>
      </c>
      <c r="E46" s="171">
        <f t="shared" si="3"/>
        <v>0</v>
      </c>
      <c r="F46" s="171"/>
      <c r="G46" s="171">
        <f t="shared" si="4"/>
        <v>0</v>
      </c>
      <c r="H46" s="172">
        <f t="shared" si="5"/>
        <v>0</v>
      </c>
      <c r="I46" s="473"/>
      <c r="J46" s="168"/>
      <c r="K46" s="168"/>
    </row>
    <row r="47" spans="1:11" s="167" customFormat="1">
      <c r="A47" s="163">
        <v>230</v>
      </c>
      <c r="B47" s="170" t="s">
        <v>191</v>
      </c>
      <c r="C47" s="501">
        <v>61840</v>
      </c>
      <c r="D47" s="501">
        <v>0</v>
      </c>
      <c r="E47" s="171">
        <f t="shared" si="3"/>
        <v>61840</v>
      </c>
      <c r="F47" s="171"/>
      <c r="G47" s="171">
        <f t="shared" si="4"/>
        <v>61840</v>
      </c>
      <c r="H47" s="172">
        <f t="shared" si="5"/>
        <v>1.1426797434635934E-2</v>
      </c>
      <c r="I47" s="473"/>
      <c r="J47" s="168"/>
      <c r="K47" s="168"/>
    </row>
    <row r="48" spans="1:11" s="167" customFormat="1">
      <c r="A48" s="163">
        <v>240</v>
      </c>
      <c r="B48" s="170" t="s">
        <v>201</v>
      </c>
      <c r="C48" s="501">
        <v>0</v>
      </c>
      <c r="D48" s="501">
        <v>0</v>
      </c>
      <c r="E48" s="171">
        <f t="shared" si="3"/>
        <v>0</v>
      </c>
      <c r="F48" s="171"/>
      <c r="G48" s="171">
        <f t="shared" si="4"/>
        <v>0</v>
      </c>
      <c r="H48" s="172">
        <f t="shared" si="5"/>
        <v>0</v>
      </c>
      <c r="I48" s="473"/>
      <c r="J48" s="168"/>
      <c r="K48" s="168"/>
    </row>
    <row r="49" spans="1:11" s="167" customFormat="1">
      <c r="A49" s="163">
        <v>250</v>
      </c>
      <c r="B49" s="170" t="s">
        <v>202</v>
      </c>
      <c r="C49" s="501">
        <v>79</v>
      </c>
      <c r="D49" s="501">
        <v>0</v>
      </c>
      <c r="E49" s="171">
        <f t="shared" si="3"/>
        <v>79</v>
      </c>
      <c r="F49" s="171"/>
      <c r="G49" s="171">
        <f t="shared" si="4"/>
        <v>79</v>
      </c>
      <c r="H49" s="172">
        <f t="shared" si="5"/>
        <v>1.4597622854725723E-5</v>
      </c>
      <c r="I49" s="473"/>
      <c r="J49" s="168"/>
      <c r="K49" s="168"/>
    </row>
    <row r="50" spans="1:11" s="167" customFormat="1">
      <c r="A50" s="163">
        <v>270</v>
      </c>
      <c r="B50" s="170" t="s">
        <v>203</v>
      </c>
      <c r="C50" s="501">
        <v>127500</v>
      </c>
      <c r="D50" s="501">
        <v>-127500</v>
      </c>
      <c r="E50" s="171">
        <f t="shared" si="3"/>
        <v>0</v>
      </c>
      <c r="F50" s="171"/>
      <c r="G50" s="171">
        <f t="shared" si="4"/>
        <v>0</v>
      </c>
      <c r="H50" s="172">
        <f t="shared" si="5"/>
        <v>0</v>
      </c>
      <c r="I50" s="473"/>
      <c r="J50" s="168"/>
      <c r="K50" s="168"/>
    </row>
    <row r="51" spans="1:11" s="167" customFormat="1">
      <c r="A51" s="163">
        <v>280</v>
      </c>
      <c r="B51" s="170" t="s">
        <v>204</v>
      </c>
      <c r="C51" s="501">
        <v>0</v>
      </c>
      <c r="D51" s="501">
        <v>0</v>
      </c>
      <c r="E51" s="171">
        <f t="shared" si="3"/>
        <v>0</v>
      </c>
      <c r="F51" s="171"/>
      <c r="G51" s="171">
        <f t="shared" si="4"/>
        <v>0</v>
      </c>
      <c r="H51" s="172">
        <f t="shared" si="5"/>
        <v>0</v>
      </c>
      <c r="I51" s="473"/>
      <c r="J51" s="183">
        <v>0</v>
      </c>
      <c r="K51" s="183">
        <v>0</v>
      </c>
    </row>
    <row r="52" spans="1:11" s="167" customFormat="1">
      <c r="A52" s="163">
        <v>290</v>
      </c>
      <c r="B52" s="170" t="s">
        <v>205</v>
      </c>
      <c r="C52" s="501">
        <v>0</v>
      </c>
      <c r="D52" s="501">
        <v>0</v>
      </c>
      <c r="E52" s="171">
        <f t="shared" si="3"/>
        <v>0</v>
      </c>
      <c r="F52" s="171"/>
      <c r="G52" s="171">
        <f t="shared" si="4"/>
        <v>0</v>
      </c>
      <c r="H52" s="172">
        <f t="shared" si="5"/>
        <v>0</v>
      </c>
      <c r="I52" s="473"/>
      <c r="J52" s="168"/>
      <c r="K52" s="168"/>
    </row>
    <row r="53" spans="1:11" s="167" customFormat="1">
      <c r="A53" s="163">
        <v>300</v>
      </c>
      <c r="B53" s="170" t="s">
        <v>206</v>
      </c>
      <c r="C53" s="501">
        <v>1020</v>
      </c>
      <c r="D53" s="501">
        <v>-1020</v>
      </c>
      <c r="E53" s="171">
        <f t="shared" si="3"/>
        <v>0</v>
      </c>
      <c r="F53" s="171"/>
      <c r="G53" s="171">
        <f t="shared" si="4"/>
        <v>0</v>
      </c>
      <c r="H53" s="172">
        <f t="shared" si="5"/>
        <v>0</v>
      </c>
      <c r="I53" s="473"/>
      <c r="J53" s="168"/>
      <c r="K53" s="168"/>
    </row>
    <row r="54" spans="1:11" s="167" customFormat="1">
      <c r="A54" s="163">
        <v>310</v>
      </c>
      <c r="B54" s="170" t="s">
        <v>207</v>
      </c>
      <c r="C54" s="501">
        <v>12891</v>
      </c>
      <c r="D54" s="501">
        <v>0</v>
      </c>
      <c r="E54" s="171">
        <f t="shared" si="3"/>
        <v>12891</v>
      </c>
      <c r="F54" s="171"/>
      <c r="G54" s="171">
        <f t="shared" si="4"/>
        <v>12891</v>
      </c>
      <c r="H54" s="172">
        <f t="shared" si="5"/>
        <v>2.3819994458261938E-3</v>
      </c>
      <c r="I54" s="473"/>
      <c r="J54" s="168"/>
      <c r="K54" s="168"/>
    </row>
    <row r="55" spans="1:11" s="167" customFormat="1">
      <c r="A55" s="163">
        <v>320</v>
      </c>
      <c r="B55" s="170" t="s">
        <v>208</v>
      </c>
      <c r="C55" s="501">
        <v>10896</v>
      </c>
      <c r="D55" s="501">
        <v>-10896</v>
      </c>
      <c r="E55" s="171">
        <f t="shared" si="3"/>
        <v>0</v>
      </c>
      <c r="F55" s="171"/>
      <c r="G55" s="171">
        <f t="shared" si="4"/>
        <v>0</v>
      </c>
      <c r="H55" s="172">
        <f t="shared" si="5"/>
        <v>0</v>
      </c>
      <c r="I55" s="473"/>
      <c r="J55" s="168"/>
      <c r="K55" s="168"/>
    </row>
    <row r="56" spans="1:11" s="167" customFormat="1">
      <c r="A56" s="163">
        <v>330</v>
      </c>
      <c r="B56" s="170" t="s">
        <v>48</v>
      </c>
      <c r="C56" s="501">
        <v>124069</v>
      </c>
      <c r="D56" s="501">
        <v>39</v>
      </c>
      <c r="E56" s="171">
        <f t="shared" si="3"/>
        <v>124108</v>
      </c>
      <c r="F56" s="171"/>
      <c r="G56" s="171">
        <f t="shared" si="4"/>
        <v>124108</v>
      </c>
      <c r="H56" s="172">
        <f t="shared" si="5"/>
        <v>2.2932680724737975E-2</v>
      </c>
      <c r="I56" s="473"/>
      <c r="J56" s="168"/>
      <c r="K56" s="168"/>
    </row>
    <row r="57" spans="1:11" s="167" customFormat="1">
      <c r="A57" s="163">
        <v>340</v>
      </c>
      <c r="B57" s="170" t="s">
        <v>209</v>
      </c>
      <c r="C57" s="501">
        <v>7433</v>
      </c>
      <c r="D57" s="501">
        <v>0</v>
      </c>
      <c r="E57" s="171">
        <f t="shared" si="3"/>
        <v>7433</v>
      </c>
      <c r="F57" s="171"/>
      <c r="G57" s="171">
        <f t="shared" si="4"/>
        <v>7433</v>
      </c>
      <c r="H57" s="172">
        <f t="shared" si="5"/>
        <v>1.3734700085971684E-3</v>
      </c>
      <c r="I57" s="473"/>
      <c r="J57" s="168"/>
      <c r="K57" s="168"/>
    </row>
    <row r="58" spans="1:11" s="167" customFormat="1">
      <c r="A58" s="163">
        <v>350</v>
      </c>
      <c r="B58" s="170" t="s">
        <v>210</v>
      </c>
      <c r="C58" s="501">
        <v>12115</v>
      </c>
      <c r="D58" s="501">
        <v>-12115</v>
      </c>
      <c r="E58" s="171">
        <f t="shared" si="3"/>
        <v>0</v>
      </c>
      <c r="F58" s="171"/>
      <c r="G58" s="171">
        <f t="shared" si="4"/>
        <v>0</v>
      </c>
      <c r="H58" s="172">
        <f t="shared" si="5"/>
        <v>0</v>
      </c>
      <c r="I58" s="473"/>
      <c r="J58" s="168"/>
      <c r="K58" s="168"/>
    </row>
    <row r="59" spans="1:11" s="167" customFormat="1">
      <c r="A59" s="163">
        <v>360</v>
      </c>
      <c r="B59" s="170" t="s">
        <v>211</v>
      </c>
      <c r="C59" s="501">
        <v>0</v>
      </c>
      <c r="D59" s="501">
        <v>0</v>
      </c>
      <c r="E59" s="171">
        <f t="shared" si="3"/>
        <v>0</v>
      </c>
      <c r="F59" s="171"/>
      <c r="G59" s="171">
        <f t="shared" si="4"/>
        <v>0</v>
      </c>
      <c r="H59" s="172">
        <f t="shared" si="5"/>
        <v>0</v>
      </c>
      <c r="I59" s="473"/>
      <c r="J59" s="168"/>
      <c r="K59" s="168"/>
    </row>
    <row r="60" spans="1:11" s="167" customFormat="1">
      <c r="A60" s="163">
        <v>490</v>
      </c>
      <c r="B60" s="170" t="s">
        <v>36</v>
      </c>
      <c r="C60" s="501">
        <v>9607</v>
      </c>
      <c r="D60" s="501">
        <v>-4033</v>
      </c>
      <c r="E60" s="171">
        <f t="shared" si="3"/>
        <v>5574</v>
      </c>
      <c r="F60" s="171">
        <f>-4310.05-82.9</f>
        <v>-4392.95</v>
      </c>
      <c r="G60" s="171">
        <f t="shared" si="4"/>
        <v>1181.0500000000002</v>
      </c>
      <c r="H60" s="172">
        <f t="shared" si="5"/>
        <v>2.1823446167814961E-4</v>
      </c>
      <c r="I60" s="473" t="s">
        <v>665</v>
      </c>
      <c r="J60" s="168"/>
      <c r="K60" s="168"/>
    </row>
    <row r="61" spans="1:11" s="167" customFormat="1">
      <c r="A61" s="163"/>
      <c r="B61" s="170" t="s">
        <v>177</v>
      </c>
      <c r="C61" s="501">
        <v>1540729</v>
      </c>
      <c r="D61" s="501">
        <v>-326990</v>
      </c>
      <c r="E61" s="171">
        <f t="shared" ref="E61:F61" si="6">SUM(E25:E60)</f>
        <v>1213739</v>
      </c>
      <c r="F61" s="171">
        <f t="shared" si="6"/>
        <v>-4392.95</v>
      </c>
      <c r="G61" s="171">
        <f>SUM(G25:G60)</f>
        <v>1209346.05</v>
      </c>
      <c r="H61" s="186">
        <f t="shared" si="5"/>
        <v>0.22346300681964909</v>
      </c>
      <c r="I61" s="480"/>
      <c r="J61" s="168"/>
      <c r="K61" s="168"/>
    </row>
    <row r="62" spans="1:11" s="167" customFormat="1">
      <c r="A62" s="163"/>
      <c r="C62" s="165"/>
      <c r="D62" s="165"/>
      <c r="E62" s="165"/>
      <c r="F62" s="165"/>
      <c r="G62" s="165"/>
      <c r="H62" s="187"/>
      <c r="I62" s="481"/>
      <c r="J62" s="168"/>
      <c r="K62" s="168"/>
    </row>
    <row r="63" spans="1:11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481"/>
      <c r="J63" s="168"/>
      <c r="K63" s="168"/>
    </row>
    <row r="64" spans="1:11" s="167" customFormat="1">
      <c r="A64" s="188">
        <v>230</v>
      </c>
      <c r="B64" s="189" t="s">
        <v>253</v>
      </c>
      <c r="C64" s="501">
        <v>0</v>
      </c>
      <c r="D64" s="501">
        <v>0</v>
      </c>
      <c r="E64" s="171">
        <f t="shared" ref="E64:E78" si="7">C64+D64</f>
        <v>0</v>
      </c>
      <c r="F64" s="171"/>
      <c r="G64" s="171">
        <f t="shared" ref="G64:G78" si="8">E64+F64</f>
        <v>0</v>
      </c>
      <c r="H64" s="172">
        <f t="shared" ref="H64:H79" si="9">IF($G$208=0,0,G64/$G$208)</f>
        <v>0</v>
      </c>
      <c r="I64" s="473"/>
      <c r="J64" s="190"/>
      <c r="K64" s="168"/>
    </row>
    <row r="65" spans="1:11" s="167" customFormat="1">
      <c r="A65" s="191">
        <v>240</v>
      </c>
      <c r="B65" s="189" t="s">
        <v>254</v>
      </c>
      <c r="C65" s="501">
        <v>81991</v>
      </c>
      <c r="D65" s="501">
        <v>0</v>
      </c>
      <c r="E65" s="171">
        <f t="shared" si="7"/>
        <v>81991</v>
      </c>
      <c r="F65" s="171"/>
      <c r="G65" s="171">
        <f t="shared" si="8"/>
        <v>81991</v>
      </c>
      <c r="H65" s="172">
        <f t="shared" si="9"/>
        <v>1.5150299942807808E-2</v>
      </c>
      <c r="I65" s="473"/>
      <c r="J65" s="190"/>
      <c r="K65" s="168"/>
    </row>
    <row r="66" spans="1:11" s="167" customFormat="1">
      <c r="A66" s="142">
        <v>250</v>
      </c>
      <c r="B66" s="189" t="s">
        <v>307</v>
      </c>
      <c r="C66" s="501">
        <v>78996</v>
      </c>
      <c r="D66" s="501">
        <v>0</v>
      </c>
      <c r="E66" s="171">
        <f t="shared" si="7"/>
        <v>78996</v>
      </c>
      <c r="F66" s="171"/>
      <c r="G66" s="171">
        <f t="shared" si="8"/>
        <v>78996</v>
      </c>
      <c r="H66" s="172">
        <f t="shared" si="9"/>
        <v>1.459688373458118E-2</v>
      </c>
      <c r="I66" s="473"/>
      <c r="J66" s="190"/>
      <c r="K66" s="168"/>
    </row>
    <row r="67" spans="1:11" s="167" customFormat="1">
      <c r="A67" s="142">
        <v>260</v>
      </c>
      <c r="B67" s="192" t="s">
        <v>308</v>
      </c>
      <c r="C67" s="501">
        <v>40662</v>
      </c>
      <c r="D67" s="501">
        <v>0</v>
      </c>
      <c r="E67" s="171">
        <f t="shared" si="7"/>
        <v>40662</v>
      </c>
      <c r="F67" s="171"/>
      <c r="G67" s="171">
        <f t="shared" si="8"/>
        <v>40662</v>
      </c>
      <c r="H67" s="172">
        <f t="shared" si="9"/>
        <v>7.5135258293526248E-3</v>
      </c>
      <c r="I67" s="473"/>
      <c r="J67" s="193"/>
      <c r="K67" s="168"/>
    </row>
    <row r="68" spans="1:11" s="167" customFormat="1">
      <c r="A68" s="142">
        <v>270</v>
      </c>
      <c r="B68" s="192" t="s">
        <v>309</v>
      </c>
      <c r="C68" s="501">
        <v>19080</v>
      </c>
      <c r="D68" s="501">
        <v>0</v>
      </c>
      <c r="E68" s="171">
        <f t="shared" si="7"/>
        <v>19080</v>
      </c>
      <c r="F68" s="171"/>
      <c r="G68" s="171">
        <f t="shared" si="8"/>
        <v>19080</v>
      </c>
      <c r="H68" s="172">
        <f t="shared" si="9"/>
        <v>3.5256030894704657E-3</v>
      </c>
      <c r="I68" s="473"/>
      <c r="J68" s="193"/>
      <c r="K68" s="168"/>
    </row>
    <row r="69" spans="1:11" s="167" customFormat="1">
      <c r="A69" s="142">
        <v>280</v>
      </c>
      <c r="B69" s="194" t="s">
        <v>258</v>
      </c>
      <c r="C69" s="501">
        <v>387</v>
      </c>
      <c r="D69" s="501">
        <v>0</v>
      </c>
      <c r="E69" s="171">
        <f t="shared" si="7"/>
        <v>387</v>
      </c>
      <c r="F69" s="171"/>
      <c r="G69" s="171">
        <f t="shared" si="8"/>
        <v>387</v>
      </c>
      <c r="H69" s="172">
        <f t="shared" si="9"/>
        <v>7.1509873984542475E-5</v>
      </c>
      <c r="I69" s="473"/>
      <c r="J69" s="195"/>
      <c r="K69" s="168"/>
    </row>
    <row r="70" spans="1:11" s="167" customFormat="1">
      <c r="A70" s="142">
        <v>290</v>
      </c>
      <c r="B70" s="194" t="s">
        <v>259</v>
      </c>
      <c r="C70" s="501">
        <v>0</v>
      </c>
      <c r="D70" s="501">
        <v>0</v>
      </c>
      <c r="E70" s="171">
        <f t="shared" si="7"/>
        <v>0</v>
      </c>
      <c r="F70" s="171"/>
      <c r="G70" s="171">
        <f t="shared" si="8"/>
        <v>0</v>
      </c>
      <c r="H70" s="172">
        <f t="shared" si="9"/>
        <v>0</v>
      </c>
      <c r="I70" s="473"/>
      <c r="J70" s="195"/>
      <c r="K70" s="168"/>
    </row>
    <row r="71" spans="1:11" s="167" customFormat="1">
      <c r="A71" s="142">
        <v>300</v>
      </c>
      <c r="B71" s="194" t="s">
        <v>260</v>
      </c>
      <c r="C71" s="501">
        <v>0</v>
      </c>
      <c r="D71" s="501">
        <v>0</v>
      </c>
      <c r="E71" s="171">
        <f t="shared" si="7"/>
        <v>0</v>
      </c>
      <c r="F71" s="171"/>
      <c r="G71" s="171">
        <f t="shared" si="8"/>
        <v>0</v>
      </c>
      <c r="H71" s="172">
        <f t="shared" si="9"/>
        <v>0</v>
      </c>
      <c r="I71" s="473"/>
      <c r="J71" s="195"/>
      <c r="K71" s="168"/>
    </row>
    <row r="72" spans="1:11" s="167" customFormat="1">
      <c r="A72" s="142">
        <v>310</v>
      </c>
      <c r="B72" s="194" t="s">
        <v>310</v>
      </c>
      <c r="C72" s="501">
        <v>0</v>
      </c>
      <c r="D72" s="501">
        <v>0</v>
      </c>
      <c r="E72" s="171">
        <f t="shared" si="7"/>
        <v>0</v>
      </c>
      <c r="F72" s="171"/>
      <c r="G72" s="171">
        <f t="shared" si="8"/>
        <v>0</v>
      </c>
      <c r="H72" s="172">
        <f t="shared" si="9"/>
        <v>0</v>
      </c>
      <c r="I72" s="473"/>
      <c r="J72" s="195"/>
      <c r="K72" s="168"/>
    </row>
    <row r="73" spans="1:11" s="167" customFormat="1">
      <c r="A73" s="142">
        <v>320</v>
      </c>
      <c r="B73" s="194" t="s">
        <v>262</v>
      </c>
      <c r="C73" s="501">
        <v>40271</v>
      </c>
      <c r="D73" s="501">
        <v>-372</v>
      </c>
      <c r="E73" s="171">
        <f t="shared" si="7"/>
        <v>39899</v>
      </c>
      <c r="F73" s="171"/>
      <c r="G73" s="171">
        <f t="shared" si="8"/>
        <v>39899</v>
      </c>
      <c r="H73" s="172">
        <f t="shared" si="9"/>
        <v>7.3725386617810333E-3</v>
      </c>
      <c r="I73" s="473"/>
      <c r="J73" s="195"/>
      <c r="K73" s="168"/>
    </row>
    <row r="74" spans="1:11" s="167" customFormat="1">
      <c r="A74" s="142">
        <v>330</v>
      </c>
      <c r="B74" s="194" t="s">
        <v>263</v>
      </c>
      <c r="C74" s="501">
        <v>50577</v>
      </c>
      <c r="D74" s="501">
        <v>0</v>
      </c>
      <c r="E74" s="171">
        <f t="shared" si="7"/>
        <v>50577</v>
      </c>
      <c r="F74" s="171"/>
      <c r="G74" s="171">
        <f t="shared" si="8"/>
        <v>50577</v>
      </c>
      <c r="H74" s="172">
        <f t="shared" si="9"/>
        <v>9.345619887638771E-3</v>
      </c>
      <c r="I74" s="473"/>
      <c r="J74" s="195"/>
      <c r="K74" s="168"/>
    </row>
    <row r="75" spans="1:11" s="167" customFormat="1">
      <c r="A75" s="142">
        <v>340</v>
      </c>
      <c r="B75" s="194" t="s">
        <v>264</v>
      </c>
      <c r="C75" s="501">
        <v>0</v>
      </c>
      <c r="D75" s="501">
        <v>0</v>
      </c>
      <c r="E75" s="171">
        <f t="shared" si="7"/>
        <v>0</v>
      </c>
      <c r="F75" s="171"/>
      <c r="G75" s="171">
        <f t="shared" si="8"/>
        <v>0</v>
      </c>
      <c r="H75" s="172">
        <f t="shared" si="9"/>
        <v>0</v>
      </c>
      <c r="I75" s="473"/>
      <c r="J75" s="195"/>
      <c r="K75" s="168"/>
    </row>
    <row r="76" spans="1:11" s="167" customFormat="1">
      <c r="A76" s="167">
        <v>350</v>
      </c>
      <c r="B76" s="194" t="s">
        <v>311</v>
      </c>
      <c r="C76" s="501">
        <v>5405</v>
      </c>
      <c r="D76" s="501">
        <v>0</v>
      </c>
      <c r="E76" s="171">
        <f t="shared" si="7"/>
        <v>5405</v>
      </c>
      <c r="F76" s="171"/>
      <c r="G76" s="171">
        <f t="shared" si="8"/>
        <v>5405</v>
      </c>
      <c r="H76" s="172">
        <f t="shared" si="9"/>
        <v>9.987360953138296E-4</v>
      </c>
      <c r="I76" s="473"/>
      <c r="J76" s="195"/>
      <c r="K76" s="168"/>
    </row>
    <row r="77" spans="1:11" s="167" customFormat="1">
      <c r="A77" s="142">
        <v>360</v>
      </c>
      <c r="B77" s="194" t="s">
        <v>192</v>
      </c>
      <c r="C77" s="501">
        <v>0</v>
      </c>
      <c r="D77" s="501">
        <v>0</v>
      </c>
      <c r="E77" s="171">
        <f t="shared" si="7"/>
        <v>0</v>
      </c>
      <c r="F77" s="171"/>
      <c r="G77" s="171">
        <f t="shared" si="8"/>
        <v>0</v>
      </c>
      <c r="H77" s="172">
        <f t="shared" si="9"/>
        <v>0</v>
      </c>
      <c r="I77" s="473"/>
      <c r="J77" s="195"/>
      <c r="K77" s="168"/>
    </row>
    <row r="78" spans="1:11" s="167" customFormat="1">
      <c r="A78" s="142">
        <v>490</v>
      </c>
      <c r="B78" s="194" t="s">
        <v>312</v>
      </c>
      <c r="C78" s="501">
        <v>0</v>
      </c>
      <c r="D78" s="501">
        <v>0</v>
      </c>
      <c r="E78" s="171">
        <f t="shared" si="7"/>
        <v>0</v>
      </c>
      <c r="F78" s="171"/>
      <c r="G78" s="171">
        <f t="shared" si="8"/>
        <v>0</v>
      </c>
      <c r="H78" s="172">
        <f t="shared" si="9"/>
        <v>0</v>
      </c>
      <c r="I78" s="473"/>
      <c r="J78" s="195"/>
      <c r="K78" s="168"/>
    </row>
    <row r="79" spans="1:11" s="167" customFormat="1">
      <c r="A79" s="163"/>
      <c r="B79" s="170" t="s">
        <v>150</v>
      </c>
      <c r="C79" s="501">
        <v>317369</v>
      </c>
      <c r="D79" s="501">
        <v>-372</v>
      </c>
      <c r="E79" s="171">
        <f t="shared" ref="E79:F79" si="10">SUM(E64:E78)</f>
        <v>316997</v>
      </c>
      <c r="F79" s="171">
        <f t="shared" si="10"/>
        <v>0</v>
      </c>
      <c r="G79" s="171">
        <f>SUM(G64:G78)</f>
        <v>316997</v>
      </c>
      <c r="H79" s="172">
        <f t="shared" si="9"/>
        <v>5.8574717114930258E-2</v>
      </c>
      <c r="I79" s="473"/>
      <c r="J79" s="195"/>
      <c r="K79" s="168"/>
    </row>
    <row r="80" spans="1:11" s="167" customFormat="1">
      <c r="A80" s="163"/>
      <c r="B80" s="170"/>
      <c r="C80" s="196"/>
      <c r="D80" s="196"/>
      <c r="E80" s="196"/>
      <c r="F80" s="196"/>
      <c r="G80" s="196"/>
      <c r="H80" s="197"/>
      <c r="I80" s="473"/>
      <c r="J80" s="168"/>
      <c r="K80" s="168"/>
    </row>
    <row r="81" spans="1:11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75"/>
      <c r="J81" s="168"/>
      <c r="K81" s="168"/>
    </row>
    <row r="82" spans="1:11" s="167" customFormat="1">
      <c r="A82" s="169" t="s">
        <v>85</v>
      </c>
      <c r="B82" s="148" t="s">
        <v>44</v>
      </c>
      <c r="C82" s="501">
        <v>54069</v>
      </c>
      <c r="D82" s="501">
        <v>0</v>
      </c>
      <c r="E82" s="171">
        <f t="shared" ref="E82:E92" si="11">C82+D82</f>
        <v>54069</v>
      </c>
      <c r="F82" s="171"/>
      <c r="G82" s="171">
        <f t="shared" ref="G82:G92" si="12">E82+F82</f>
        <v>54069</v>
      </c>
      <c r="H82" s="172">
        <f t="shared" ref="H82:H93" si="13">IF($G$208=0,0,G82/$G$208)</f>
        <v>9.9908717738248758E-3</v>
      </c>
      <c r="I82" s="473"/>
      <c r="J82" s="183">
        <v>2580</v>
      </c>
      <c r="K82" s="183">
        <v>2858</v>
      </c>
    </row>
    <row r="83" spans="1:11" s="167" customFormat="1">
      <c r="A83" s="169" t="s">
        <v>86</v>
      </c>
      <c r="B83" s="199" t="s">
        <v>45</v>
      </c>
      <c r="C83" s="501">
        <v>9936</v>
      </c>
      <c r="D83" s="501">
        <v>0</v>
      </c>
      <c r="E83" s="171">
        <f t="shared" si="11"/>
        <v>9936</v>
      </c>
      <c r="F83" s="171"/>
      <c r="G83" s="171">
        <f t="shared" si="12"/>
        <v>9936</v>
      </c>
      <c r="H83" s="172">
        <f t="shared" si="13"/>
        <v>1.8359744390449974E-3</v>
      </c>
      <c r="I83" s="473"/>
      <c r="J83" s="168"/>
      <c r="K83" s="168"/>
    </row>
    <row r="84" spans="1:11" s="167" customFormat="1">
      <c r="A84" s="169" t="s">
        <v>93</v>
      </c>
      <c r="B84" s="199" t="s">
        <v>47</v>
      </c>
      <c r="C84" s="501">
        <v>9540</v>
      </c>
      <c r="D84" s="501">
        <v>0</v>
      </c>
      <c r="E84" s="171">
        <f t="shared" si="11"/>
        <v>9540</v>
      </c>
      <c r="F84" s="171"/>
      <c r="G84" s="171">
        <f t="shared" si="12"/>
        <v>9540</v>
      </c>
      <c r="H84" s="172">
        <f t="shared" si="13"/>
        <v>1.7628015447352329E-3</v>
      </c>
      <c r="I84" s="473"/>
      <c r="J84" s="168"/>
      <c r="K84" s="168"/>
    </row>
    <row r="85" spans="1:11" s="167" customFormat="1">
      <c r="A85" s="169">
        <v>230</v>
      </c>
      <c r="B85" s="199" t="s">
        <v>46</v>
      </c>
      <c r="C85" s="501">
        <v>0</v>
      </c>
      <c r="D85" s="501">
        <v>0</v>
      </c>
      <c r="E85" s="171">
        <f t="shared" si="11"/>
        <v>0</v>
      </c>
      <c r="F85" s="171"/>
      <c r="G85" s="171">
        <f t="shared" si="12"/>
        <v>0</v>
      </c>
      <c r="H85" s="172">
        <f t="shared" si="13"/>
        <v>0</v>
      </c>
      <c r="I85" s="473"/>
      <c r="J85" s="168"/>
      <c r="K85" s="168"/>
    </row>
    <row r="86" spans="1:11" s="167" customFormat="1">
      <c r="A86" s="169">
        <v>240</v>
      </c>
      <c r="B86" s="200" t="s">
        <v>267</v>
      </c>
      <c r="C86" s="501">
        <v>12100</v>
      </c>
      <c r="D86" s="501">
        <v>0</v>
      </c>
      <c r="E86" s="171">
        <f t="shared" si="11"/>
        <v>12100</v>
      </c>
      <c r="F86" s="171"/>
      <c r="G86" s="171">
        <f>E86+F86</f>
        <v>12100</v>
      </c>
      <c r="H86" s="172">
        <f t="shared" si="13"/>
        <v>2.2358384372428005E-3</v>
      </c>
      <c r="I86" s="473"/>
      <c r="J86" s="168"/>
      <c r="K86" s="168"/>
    </row>
    <row r="87" spans="1:11" s="167" customFormat="1">
      <c r="A87" s="169">
        <v>310</v>
      </c>
      <c r="B87" s="199" t="s">
        <v>54</v>
      </c>
      <c r="C87" s="501">
        <v>21017</v>
      </c>
      <c r="D87" s="501">
        <v>0</v>
      </c>
      <c r="E87" s="171">
        <f t="shared" si="11"/>
        <v>21017</v>
      </c>
      <c r="F87" s="171"/>
      <c r="G87" s="171">
        <f t="shared" si="12"/>
        <v>21017</v>
      </c>
      <c r="H87" s="172">
        <f t="shared" si="13"/>
        <v>3.8835220194654496E-3</v>
      </c>
      <c r="I87" s="473"/>
      <c r="J87" s="168"/>
      <c r="K87" s="168"/>
    </row>
    <row r="88" spans="1:11" s="167" customFormat="1">
      <c r="A88" s="169">
        <v>320</v>
      </c>
      <c r="B88" s="201" t="s">
        <v>313</v>
      </c>
      <c r="C88" s="501">
        <v>36633</v>
      </c>
      <c r="D88" s="501">
        <v>0</v>
      </c>
      <c r="E88" s="171">
        <f t="shared" si="11"/>
        <v>36633</v>
      </c>
      <c r="F88" s="171"/>
      <c r="G88" s="171">
        <f t="shared" si="12"/>
        <v>36633</v>
      </c>
      <c r="H88" s="172">
        <f t="shared" si="13"/>
        <v>6.7690470637616134E-3</v>
      </c>
      <c r="I88" s="473"/>
      <c r="J88" s="168"/>
      <c r="K88" s="168"/>
    </row>
    <row r="89" spans="1:11" s="167" customFormat="1">
      <c r="A89" s="169">
        <v>330</v>
      </c>
      <c r="B89" s="201" t="s">
        <v>314</v>
      </c>
      <c r="C89" s="501">
        <v>15629</v>
      </c>
      <c r="D89" s="501">
        <v>0</v>
      </c>
      <c r="E89" s="171">
        <f t="shared" si="11"/>
        <v>15629</v>
      </c>
      <c r="F89" s="171"/>
      <c r="G89" s="171">
        <f t="shared" si="12"/>
        <v>15629</v>
      </c>
      <c r="H89" s="172">
        <f t="shared" si="13"/>
        <v>2.8879271847659285E-3</v>
      </c>
      <c r="I89" s="473"/>
      <c r="J89" s="168"/>
      <c r="K89" s="168"/>
    </row>
    <row r="90" spans="1:11" s="167" customFormat="1">
      <c r="A90" s="163">
        <v>340</v>
      </c>
      <c r="B90" s="201" t="s">
        <v>300</v>
      </c>
      <c r="C90" s="501">
        <v>0</v>
      </c>
      <c r="D90" s="501">
        <v>0</v>
      </c>
      <c r="E90" s="171">
        <f t="shared" si="11"/>
        <v>0</v>
      </c>
      <c r="F90" s="171"/>
      <c r="G90" s="171">
        <f t="shared" si="12"/>
        <v>0</v>
      </c>
      <c r="H90" s="172">
        <f t="shared" si="13"/>
        <v>0</v>
      </c>
      <c r="I90" s="473"/>
      <c r="J90" s="168"/>
      <c r="K90" s="168"/>
    </row>
    <row r="91" spans="1:11" s="167" customFormat="1">
      <c r="A91" s="163">
        <v>350</v>
      </c>
      <c r="B91" s="199" t="s">
        <v>49</v>
      </c>
      <c r="C91" s="501">
        <v>77338</v>
      </c>
      <c r="D91" s="501">
        <v>0</v>
      </c>
      <c r="E91" s="171">
        <f t="shared" si="11"/>
        <v>77338</v>
      </c>
      <c r="F91" s="171"/>
      <c r="G91" s="171">
        <f t="shared" si="12"/>
        <v>77338</v>
      </c>
      <c r="H91" s="172">
        <f t="shared" si="13"/>
        <v>1.4290518434668076E-2</v>
      </c>
      <c r="I91" s="473"/>
      <c r="J91" s="168"/>
      <c r="K91" s="168"/>
    </row>
    <row r="92" spans="1:11" s="167" customFormat="1">
      <c r="A92" s="163">
        <v>490</v>
      </c>
      <c r="B92" s="148" t="s">
        <v>312</v>
      </c>
      <c r="C92" s="501">
        <v>0</v>
      </c>
      <c r="D92" s="501">
        <v>0</v>
      </c>
      <c r="E92" s="171">
        <f t="shared" si="11"/>
        <v>0</v>
      </c>
      <c r="F92" s="171"/>
      <c r="G92" s="171">
        <f t="shared" si="12"/>
        <v>0</v>
      </c>
      <c r="H92" s="172">
        <f t="shared" si="13"/>
        <v>0</v>
      </c>
      <c r="I92" s="473"/>
      <c r="J92" s="168"/>
      <c r="K92" s="168"/>
    </row>
    <row r="93" spans="1:11" s="167" customFormat="1">
      <c r="A93" s="163"/>
      <c r="B93" s="170" t="s">
        <v>50</v>
      </c>
      <c r="C93" s="501">
        <v>236262</v>
      </c>
      <c r="D93" s="501">
        <v>0</v>
      </c>
      <c r="E93" s="171">
        <f t="shared" ref="E93:F93" si="14">SUM(E82:E92)</f>
        <v>236262</v>
      </c>
      <c r="F93" s="171">
        <f t="shared" si="14"/>
        <v>0</v>
      </c>
      <c r="G93" s="171">
        <f>SUM(G82:G92)</f>
        <v>236262</v>
      </c>
      <c r="H93" s="172">
        <f t="shared" si="13"/>
        <v>4.3656500897508971E-2</v>
      </c>
      <c r="I93" s="473"/>
      <c r="J93" s="168"/>
      <c r="K93" s="168"/>
    </row>
    <row r="94" spans="1:11" s="167" customFormat="1">
      <c r="A94" s="163"/>
      <c r="C94" s="165"/>
      <c r="D94" s="165"/>
      <c r="E94" s="165"/>
      <c r="F94" s="165"/>
      <c r="G94" s="165"/>
      <c r="H94" s="198"/>
      <c r="I94" s="475"/>
      <c r="J94" s="168"/>
      <c r="K94" s="168"/>
    </row>
    <row r="95" spans="1:11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75"/>
      <c r="J95" s="168"/>
      <c r="K95" s="168"/>
    </row>
    <row r="96" spans="1:11" s="167" customFormat="1">
      <c r="A96" s="169" t="s">
        <v>85</v>
      </c>
      <c r="B96" s="170" t="s">
        <v>44</v>
      </c>
      <c r="C96" s="501">
        <v>0</v>
      </c>
      <c r="D96" s="501">
        <v>0</v>
      </c>
      <c r="E96" s="171">
        <f t="shared" ref="E96:E101" si="15">C96+D96</f>
        <v>0</v>
      </c>
      <c r="F96" s="171"/>
      <c r="G96" s="171">
        <f t="shared" ref="G96:G101" si="16">E96+F96</f>
        <v>0</v>
      </c>
      <c r="H96" s="172">
        <f t="shared" ref="H96:H102" si="17">IF($G$208=0,0,G96/$G$208)</f>
        <v>0</v>
      </c>
      <c r="I96" s="473"/>
      <c r="J96" s="183">
        <v>0</v>
      </c>
      <c r="K96" s="183">
        <v>0</v>
      </c>
    </row>
    <row r="97" spans="1:11" s="167" customFormat="1">
      <c r="A97" s="169" t="s">
        <v>86</v>
      </c>
      <c r="B97" s="170" t="s">
        <v>45</v>
      </c>
      <c r="C97" s="501">
        <v>0</v>
      </c>
      <c r="D97" s="501">
        <v>0</v>
      </c>
      <c r="E97" s="171">
        <f t="shared" si="15"/>
        <v>0</v>
      </c>
      <c r="F97" s="171"/>
      <c r="G97" s="171">
        <f t="shared" si="16"/>
        <v>0</v>
      </c>
      <c r="H97" s="172">
        <f t="shared" si="17"/>
        <v>0</v>
      </c>
      <c r="I97" s="473"/>
      <c r="J97" s="168"/>
      <c r="K97" s="168"/>
    </row>
    <row r="98" spans="1:11" s="167" customFormat="1">
      <c r="A98" s="169">
        <v>310</v>
      </c>
      <c r="B98" s="170" t="s">
        <v>54</v>
      </c>
      <c r="C98" s="501">
        <v>432704</v>
      </c>
      <c r="D98" s="501">
        <v>0</v>
      </c>
      <c r="E98" s="171">
        <f t="shared" si="15"/>
        <v>432704</v>
      </c>
      <c r="F98" s="171"/>
      <c r="G98" s="171">
        <f t="shared" si="16"/>
        <v>432704</v>
      </c>
      <c r="H98" s="172">
        <f t="shared" si="17"/>
        <v>7.9955060756091642E-2</v>
      </c>
      <c r="I98" s="473"/>
      <c r="J98" s="168"/>
      <c r="K98" s="168"/>
    </row>
    <row r="99" spans="1:11" s="167" customFormat="1">
      <c r="A99" s="169">
        <v>380</v>
      </c>
      <c r="B99" s="170" t="s">
        <v>52</v>
      </c>
      <c r="C99" s="501">
        <v>3192</v>
      </c>
      <c r="D99" s="501">
        <v>-4400</v>
      </c>
      <c r="E99" s="171">
        <f t="shared" si="15"/>
        <v>-1208</v>
      </c>
      <c r="F99" s="171"/>
      <c r="G99" s="171">
        <f t="shared" si="16"/>
        <v>-1208</v>
      </c>
      <c r="H99" s="172">
        <f t="shared" si="17"/>
        <v>-2.2321428365200855E-4</v>
      </c>
      <c r="I99" s="473"/>
      <c r="J99" s="168"/>
      <c r="K99" s="168"/>
    </row>
    <row r="100" spans="1:11" s="167" customFormat="1">
      <c r="A100" s="169">
        <v>390</v>
      </c>
      <c r="B100" s="170" t="s">
        <v>53</v>
      </c>
      <c r="C100" s="501">
        <v>9921</v>
      </c>
      <c r="D100" s="501">
        <v>0</v>
      </c>
      <c r="E100" s="171">
        <f t="shared" si="15"/>
        <v>9921</v>
      </c>
      <c r="F100" s="171"/>
      <c r="G100" s="171">
        <f t="shared" si="16"/>
        <v>9921</v>
      </c>
      <c r="H100" s="172">
        <f t="shared" si="17"/>
        <v>1.8332027385029607E-3</v>
      </c>
      <c r="I100" s="473"/>
      <c r="J100" s="168"/>
      <c r="K100" s="168"/>
    </row>
    <row r="101" spans="1:11" s="167" customFormat="1">
      <c r="A101" s="169">
        <v>490</v>
      </c>
      <c r="B101" s="202" t="s">
        <v>312</v>
      </c>
      <c r="C101" s="501">
        <v>0</v>
      </c>
      <c r="D101" s="501">
        <v>0</v>
      </c>
      <c r="E101" s="171">
        <f t="shared" si="15"/>
        <v>0</v>
      </c>
      <c r="F101" s="171"/>
      <c r="G101" s="171">
        <f t="shared" si="16"/>
        <v>0</v>
      </c>
      <c r="H101" s="172">
        <f t="shared" si="17"/>
        <v>0</v>
      </c>
      <c r="I101" s="473"/>
      <c r="J101" s="168"/>
      <c r="K101" s="168"/>
    </row>
    <row r="102" spans="1:11" s="167" customFormat="1">
      <c r="A102" s="169"/>
      <c r="B102" s="170" t="s">
        <v>55</v>
      </c>
      <c r="C102" s="501">
        <v>445817</v>
      </c>
      <c r="D102" s="501">
        <v>-4400</v>
      </c>
      <c r="E102" s="171">
        <f t="shared" ref="E102:F102" si="18">SUM(E96:E101)</f>
        <v>441417</v>
      </c>
      <c r="F102" s="171">
        <f t="shared" si="18"/>
        <v>0</v>
      </c>
      <c r="G102" s="171">
        <f>SUM(G96:G101)</f>
        <v>441417</v>
      </c>
      <c r="H102" s="172">
        <f t="shared" si="17"/>
        <v>8.1565049210942597E-2</v>
      </c>
      <c r="I102" s="473"/>
      <c r="J102" s="168"/>
      <c r="K102" s="168"/>
    </row>
    <row r="103" spans="1:11" s="167" customFormat="1">
      <c r="A103" s="163"/>
      <c r="C103" s="165"/>
      <c r="D103" s="165"/>
      <c r="E103" s="165"/>
      <c r="F103" s="165"/>
      <c r="G103" s="165"/>
      <c r="H103" s="198"/>
      <c r="I103" s="475"/>
      <c r="J103" s="168"/>
      <c r="K103" s="168"/>
    </row>
    <row r="104" spans="1:11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75"/>
      <c r="J104" s="168"/>
      <c r="K104" s="168"/>
    </row>
    <row r="105" spans="1:11" s="167" customFormat="1">
      <c r="A105" s="169" t="s">
        <v>85</v>
      </c>
      <c r="B105" s="170" t="s">
        <v>44</v>
      </c>
      <c r="C105" s="501">
        <v>0</v>
      </c>
      <c r="D105" s="501">
        <v>0</v>
      </c>
      <c r="E105" s="171">
        <f t="shared" ref="E105:E110" si="19">C105+D105</f>
        <v>0</v>
      </c>
      <c r="F105" s="171"/>
      <c r="G105" s="171">
        <f t="shared" ref="G105:G110" si="20">E105+F105</f>
        <v>0</v>
      </c>
      <c r="H105" s="172">
        <f t="shared" ref="H105:H111" si="21">IF($G$208=0,0,G105/$G$208)</f>
        <v>0</v>
      </c>
      <c r="I105" s="473"/>
      <c r="J105" s="183">
        <v>0</v>
      </c>
      <c r="K105" s="183">
        <v>0</v>
      </c>
    </row>
    <row r="106" spans="1:11" s="167" customFormat="1">
      <c r="A106" s="169" t="s">
        <v>86</v>
      </c>
      <c r="B106" s="170" t="s">
        <v>45</v>
      </c>
      <c r="C106" s="501">
        <v>0</v>
      </c>
      <c r="D106" s="501">
        <v>0</v>
      </c>
      <c r="E106" s="171">
        <f t="shared" si="19"/>
        <v>0</v>
      </c>
      <c r="F106" s="171"/>
      <c r="G106" s="171">
        <f t="shared" si="20"/>
        <v>0</v>
      </c>
      <c r="H106" s="172">
        <f t="shared" si="21"/>
        <v>0</v>
      </c>
      <c r="I106" s="473"/>
      <c r="J106" s="168"/>
      <c r="K106" s="168"/>
    </row>
    <row r="107" spans="1:11" s="167" customFormat="1">
      <c r="A107" s="169">
        <v>110</v>
      </c>
      <c r="B107" s="170" t="s">
        <v>47</v>
      </c>
      <c r="C107" s="501">
        <v>0</v>
      </c>
      <c r="D107" s="501">
        <v>0</v>
      </c>
      <c r="E107" s="171">
        <f t="shared" si="19"/>
        <v>0</v>
      </c>
      <c r="F107" s="171"/>
      <c r="G107" s="171">
        <f t="shared" si="20"/>
        <v>0</v>
      </c>
      <c r="H107" s="172">
        <f t="shared" si="21"/>
        <v>0</v>
      </c>
      <c r="I107" s="473"/>
      <c r="J107" s="168"/>
      <c r="K107" s="168"/>
    </row>
    <row r="108" spans="1:11" s="167" customFormat="1">
      <c r="A108" s="169">
        <v>310</v>
      </c>
      <c r="B108" s="170" t="s">
        <v>54</v>
      </c>
      <c r="C108" s="501">
        <v>52593</v>
      </c>
      <c r="D108" s="501">
        <v>0</v>
      </c>
      <c r="E108" s="171">
        <f t="shared" si="19"/>
        <v>52593</v>
      </c>
      <c r="F108" s="171"/>
      <c r="G108" s="171">
        <f t="shared" si="20"/>
        <v>52593</v>
      </c>
      <c r="H108" s="172">
        <f t="shared" si="21"/>
        <v>9.7181364404884812E-3</v>
      </c>
      <c r="I108" s="473"/>
      <c r="J108" s="168"/>
      <c r="K108" s="168"/>
    </row>
    <row r="109" spans="1:11" s="167" customFormat="1">
      <c r="A109" s="169">
        <v>410</v>
      </c>
      <c r="B109" s="170" t="s">
        <v>57</v>
      </c>
      <c r="C109" s="501">
        <v>4566</v>
      </c>
      <c r="D109" s="501">
        <v>0</v>
      </c>
      <c r="E109" s="171">
        <f t="shared" si="19"/>
        <v>4566</v>
      </c>
      <c r="F109" s="171"/>
      <c r="G109" s="171">
        <f t="shared" si="20"/>
        <v>4566</v>
      </c>
      <c r="H109" s="172">
        <f t="shared" si="21"/>
        <v>8.4370564499591967E-4</v>
      </c>
      <c r="I109" s="473"/>
      <c r="J109" s="168"/>
      <c r="K109" s="168"/>
    </row>
    <row r="110" spans="1:11" s="167" customFormat="1">
      <c r="A110" s="169">
        <v>490</v>
      </c>
      <c r="B110" s="202" t="s">
        <v>312</v>
      </c>
      <c r="C110" s="501">
        <v>0</v>
      </c>
      <c r="D110" s="501">
        <v>0</v>
      </c>
      <c r="E110" s="171">
        <f t="shared" si="19"/>
        <v>0</v>
      </c>
      <c r="F110" s="171"/>
      <c r="G110" s="171">
        <f t="shared" si="20"/>
        <v>0</v>
      </c>
      <c r="H110" s="172">
        <f t="shared" si="21"/>
        <v>0</v>
      </c>
      <c r="I110" s="473"/>
      <c r="J110" s="168"/>
      <c r="K110" s="168"/>
    </row>
    <row r="111" spans="1:11" s="167" customFormat="1">
      <c r="A111" s="163"/>
      <c r="B111" s="170" t="s">
        <v>58</v>
      </c>
      <c r="C111" s="501">
        <v>57159</v>
      </c>
      <c r="D111" s="501">
        <v>0</v>
      </c>
      <c r="E111" s="171">
        <f t="shared" ref="E111:F111" si="22">SUM(E105:E110)</f>
        <v>57159</v>
      </c>
      <c r="F111" s="171">
        <f t="shared" si="22"/>
        <v>0</v>
      </c>
      <c r="G111" s="171">
        <f>SUM(G105:G110)</f>
        <v>57159</v>
      </c>
      <c r="H111" s="172">
        <f t="shared" si="21"/>
        <v>1.0561842085484401E-2</v>
      </c>
      <c r="I111" s="473"/>
      <c r="J111" s="168"/>
      <c r="K111" s="168"/>
    </row>
    <row r="112" spans="1:11" s="167" customFormat="1">
      <c r="A112" s="163"/>
      <c r="C112" s="165"/>
      <c r="D112" s="165"/>
      <c r="E112" s="165"/>
      <c r="F112" s="165"/>
      <c r="G112" s="165"/>
      <c r="H112" s="198"/>
      <c r="I112" s="475"/>
      <c r="J112" s="168"/>
      <c r="K112" s="168"/>
    </row>
    <row r="113" spans="1:11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75"/>
      <c r="J113" s="168"/>
      <c r="K113" s="168"/>
    </row>
    <row r="114" spans="1:11" s="167" customFormat="1">
      <c r="A114" s="169" t="s">
        <v>85</v>
      </c>
      <c r="B114" s="170" t="s">
        <v>44</v>
      </c>
      <c r="C114" s="501">
        <v>0</v>
      </c>
      <c r="D114" s="501">
        <v>0</v>
      </c>
      <c r="E114" s="171">
        <f t="shared" ref="E114:E118" si="23">C114+D114</f>
        <v>0</v>
      </c>
      <c r="F114" s="171"/>
      <c r="G114" s="171">
        <f>E114+F114</f>
        <v>0</v>
      </c>
      <c r="H114" s="172">
        <f t="shared" ref="H114:H119" si="24">IF($G$208=0,0,G114/$G$208)</f>
        <v>0</v>
      </c>
      <c r="I114" s="473"/>
      <c r="J114" s="183">
        <v>0</v>
      </c>
      <c r="K114" s="183">
        <v>0</v>
      </c>
    </row>
    <row r="115" spans="1:11" s="167" customFormat="1">
      <c r="A115" s="169" t="s">
        <v>86</v>
      </c>
      <c r="B115" s="170" t="s">
        <v>151</v>
      </c>
      <c r="C115" s="501">
        <v>0</v>
      </c>
      <c r="D115" s="501">
        <v>0</v>
      </c>
      <c r="E115" s="171">
        <f t="shared" si="23"/>
        <v>0</v>
      </c>
      <c r="F115" s="171"/>
      <c r="G115" s="171">
        <f>E115+F115</f>
        <v>0</v>
      </c>
      <c r="H115" s="172">
        <f t="shared" si="24"/>
        <v>0</v>
      </c>
      <c r="I115" s="473"/>
      <c r="J115" s="168"/>
      <c r="K115" s="168"/>
    </row>
    <row r="116" spans="1:11" s="167" customFormat="1">
      <c r="A116" s="169" t="s">
        <v>93</v>
      </c>
      <c r="B116" s="170" t="s">
        <v>47</v>
      </c>
      <c r="C116" s="501">
        <v>13189</v>
      </c>
      <c r="D116" s="501">
        <v>0</v>
      </c>
      <c r="E116" s="171">
        <f t="shared" si="23"/>
        <v>13189</v>
      </c>
      <c r="F116" s="171"/>
      <c r="G116" s="171">
        <f>E116+F116</f>
        <v>13189</v>
      </c>
      <c r="H116" s="172">
        <f t="shared" si="24"/>
        <v>2.4370638965946529E-3</v>
      </c>
      <c r="I116" s="473"/>
      <c r="J116" s="168"/>
      <c r="K116" s="168"/>
    </row>
    <row r="117" spans="1:11" s="167" customFormat="1">
      <c r="A117" s="169">
        <v>310</v>
      </c>
      <c r="B117" s="170" t="s">
        <v>60</v>
      </c>
      <c r="C117" s="501">
        <v>102816</v>
      </c>
      <c r="D117" s="501">
        <v>0</v>
      </c>
      <c r="E117" s="171">
        <f t="shared" si="23"/>
        <v>102816</v>
      </c>
      <c r="F117" s="171"/>
      <c r="G117" s="171">
        <f>E117+F117</f>
        <v>102816</v>
      </c>
      <c r="H117" s="172">
        <f t="shared" si="24"/>
        <v>1.8998344195335189E-2</v>
      </c>
      <c r="I117" s="473"/>
      <c r="J117" s="168"/>
      <c r="K117" s="168"/>
    </row>
    <row r="118" spans="1:11" s="167" customFormat="1">
      <c r="A118" s="169">
        <v>490</v>
      </c>
      <c r="B118" s="202" t="s">
        <v>312</v>
      </c>
      <c r="C118" s="501">
        <v>50</v>
      </c>
      <c r="D118" s="501">
        <v>0</v>
      </c>
      <c r="E118" s="171">
        <f t="shared" si="23"/>
        <v>50</v>
      </c>
      <c r="F118" s="171"/>
      <c r="G118" s="171">
        <f>E118+F118</f>
        <v>50</v>
      </c>
      <c r="H118" s="172">
        <f t="shared" si="24"/>
        <v>9.2390018067884335E-6</v>
      </c>
      <c r="I118" s="473"/>
      <c r="J118" s="168"/>
      <c r="K118" s="168"/>
    </row>
    <row r="119" spans="1:11" s="167" customFormat="1">
      <c r="A119" s="163"/>
      <c r="B119" s="170" t="s">
        <v>61</v>
      </c>
      <c r="C119" s="501">
        <v>116055</v>
      </c>
      <c r="D119" s="501">
        <v>0</v>
      </c>
      <c r="E119" s="171">
        <f t="shared" ref="E119:F119" si="25">SUM(E114:E118)</f>
        <v>116055</v>
      </c>
      <c r="F119" s="171">
        <f t="shared" si="25"/>
        <v>0</v>
      </c>
      <c r="G119" s="171">
        <f>SUM(G114:G118)</f>
        <v>116055</v>
      </c>
      <c r="H119" s="172">
        <f t="shared" si="24"/>
        <v>2.144464709373663E-2</v>
      </c>
      <c r="I119" s="473"/>
      <c r="J119" s="168"/>
      <c r="K119" s="168"/>
    </row>
    <row r="120" spans="1:11" s="167" customFormat="1">
      <c r="A120" s="163"/>
      <c r="B120" s="170"/>
      <c r="C120" s="196"/>
      <c r="D120" s="196"/>
      <c r="E120" s="196"/>
      <c r="F120" s="196"/>
      <c r="G120" s="196"/>
      <c r="H120" s="197"/>
      <c r="I120" s="473"/>
      <c r="J120" s="203"/>
      <c r="K120" s="203"/>
    </row>
    <row r="121" spans="1:11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75"/>
      <c r="J121" s="204"/>
      <c r="K121" s="204"/>
    </row>
    <row r="122" spans="1:11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75"/>
      <c r="J122" s="204"/>
      <c r="K122" s="204"/>
    </row>
    <row r="123" spans="1:11" s="167" customFormat="1">
      <c r="B123" s="163" t="s">
        <v>232</v>
      </c>
      <c r="C123" s="501">
        <v>0</v>
      </c>
      <c r="D123" s="501">
        <v>0</v>
      </c>
      <c r="E123" s="171">
        <f t="shared" ref="E123:E127" si="26">C123+D123</f>
        <v>0</v>
      </c>
      <c r="F123" s="171"/>
      <c r="G123" s="171">
        <f>E123+F123</f>
        <v>0</v>
      </c>
      <c r="H123" s="172">
        <f>IF($G$208=0,0,G123/$G$208)</f>
        <v>0</v>
      </c>
      <c r="I123" s="473"/>
      <c r="J123" s="183">
        <v>0</v>
      </c>
      <c r="K123" s="183">
        <v>0</v>
      </c>
    </row>
    <row r="124" spans="1:11" s="167" customFormat="1">
      <c r="B124" s="163" t="s">
        <v>194</v>
      </c>
      <c r="C124" s="501">
        <v>206620</v>
      </c>
      <c r="D124" s="501">
        <v>0</v>
      </c>
      <c r="E124" s="171">
        <f t="shared" si="26"/>
        <v>206620</v>
      </c>
      <c r="F124" s="171"/>
      <c r="G124" s="171">
        <f>E124+F124</f>
        <v>206620</v>
      </c>
      <c r="H124" s="172">
        <f>IF($G$208=0,0,G124/$G$208)</f>
        <v>3.8179251066372516E-2</v>
      </c>
      <c r="I124" s="473"/>
      <c r="J124" s="183">
        <v>4159</v>
      </c>
      <c r="K124" s="183">
        <v>4549</v>
      </c>
    </row>
    <row r="125" spans="1:11" s="167" customFormat="1">
      <c r="A125" s="163" t="s">
        <v>198</v>
      </c>
      <c r="B125" s="163" t="s">
        <v>195</v>
      </c>
      <c r="C125" s="501">
        <v>0</v>
      </c>
      <c r="D125" s="501">
        <v>0</v>
      </c>
      <c r="E125" s="171">
        <f t="shared" si="26"/>
        <v>0</v>
      </c>
      <c r="F125" s="171"/>
      <c r="G125" s="171">
        <f>E125+F125</f>
        <v>0</v>
      </c>
      <c r="H125" s="172">
        <f>IF($G$208=0,0,G125/$G$208)</f>
        <v>0</v>
      </c>
      <c r="I125" s="473"/>
      <c r="J125" s="183">
        <v>0</v>
      </c>
      <c r="K125" s="183">
        <v>0</v>
      </c>
    </row>
    <row r="126" spans="1:11" s="167" customFormat="1">
      <c r="A126" s="169"/>
      <c r="B126" s="163" t="s">
        <v>196</v>
      </c>
      <c r="C126" s="501">
        <v>0</v>
      </c>
      <c r="D126" s="501">
        <v>0</v>
      </c>
      <c r="E126" s="171">
        <f t="shared" si="26"/>
        <v>0</v>
      </c>
      <c r="F126" s="171"/>
      <c r="G126" s="171">
        <f>E126+F126</f>
        <v>0</v>
      </c>
      <c r="H126" s="172">
        <f>IF($G$208=0,0,G126/$G$208)</f>
        <v>0</v>
      </c>
      <c r="I126" s="473"/>
      <c r="J126" s="183">
        <v>0</v>
      </c>
      <c r="K126" s="183">
        <v>0</v>
      </c>
    </row>
    <row r="127" spans="1:11" s="167" customFormat="1">
      <c r="A127" s="169"/>
      <c r="B127" s="163" t="s">
        <v>197</v>
      </c>
      <c r="C127" s="501">
        <v>43264</v>
      </c>
      <c r="D127" s="501">
        <v>0</v>
      </c>
      <c r="E127" s="171">
        <f t="shared" si="26"/>
        <v>43264</v>
      </c>
      <c r="F127" s="171"/>
      <c r="G127" s="171">
        <f>E127+F127</f>
        <v>43264</v>
      </c>
      <c r="H127" s="172">
        <f>IF($G$208=0,0,G127/$G$208)</f>
        <v>7.9943234833778944E-3</v>
      </c>
      <c r="I127" s="473"/>
      <c r="J127" s="183">
        <v>2545</v>
      </c>
      <c r="K127" s="183">
        <v>2683</v>
      </c>
    </row>
    <row r="128" spans="1:11" s="167" customFormat="1">
      <c r="A128" s="169" t="s">
        <v>95</v>
      </c>
      <c r="B128" s="170" t="s">
        <v>152</v>
      </c>
      <c r="C128" s="505"/>
      <c r="D128" s="505"/>
      <c r="E128" s="205"/>
      <c r="F128" s="205"/>
      <c r="G128" s="205"/>
      <c r="H128" s="206"/>
      <c r="I128" s="482"/>
      <c r="J128" s="207"/>
      <c r="K128" s="207"/>
    </row>
    <row r="129" spans="1:11" s="167" customFormat="1">
      <c r="A129" s="169"/>
      <c r="B129" s="163" t="s">
        <v>232</v>
      </c>
      <c r="C129" s="501">
        <v>0</v>
      </c>
      <c r="D129" s="501">
        <v>0</v>
      </c>
      <c r="E129" s="171">
        <f t="shared" ref="E129:E133" si="27">C129+D129</f>
        <v>0</v>
      </c>
      <c r="F129" s="171"/>
      <c r="G129" s="171">
        <f>E129+F129</f>
        <v>0</v>
      </c>
      <c r="H129" s="172">
        <f>IF($G$208=0,0,G129/$G$208)</f>
        <v>0</v>
      </c>
      <c r="I129" s="473"/>
      <c r="J129" s="204"/>
      <c r="K129" s="204"/>
    </row>
    <row r="130" spans="1:11" s="167" customFormat="1">
      <c r="A130" s="169"/>
      <c r="B130" s="163" t="s">
        <v>194</v>
      </c>
      <c r="C130" s="501">
        <v>24479</v>
      </c>
      <c r="D130" s="501">
        <v>0</v>
      </c>
      <c r="E130" s="171">
        <f t="shared" si="27"/>
        <v>24479</v>
      </c>
      <c r="F130" s="171"/>
      <c r="G130" s="171">
        <f>E130+F130</f>
        <v>24479</v>
      </c>
      <c r="H130" s="172">
        <f>IF($G$208=0,0,G130/$G$208)</f>
        <v>4.5232305045674812E-3</v>
      </c>
      <c r="I130" s="473"/>
      <c r="J130" s="204"/>
      <c r="K130" s="204"/>
    </row>
    <row r="131" spans="1:11" s="167" customFormat="1">
      <c r="B131" s="163" t="s">
        <v>195</v>
      </c>
      <c r="C131" s="501">
        <v>0</v>
      </c>
      <c r="D131" s="501">
        <v>0</v>
      </c>
      <c r="E131" s="171">
        <f t="shared" si="27"/>
        <v>0</v>
      </c>
      <c r="F131" s="171"/>
      <c r="G131" s="171">
        <f>E131+F131</f>
        <v>0</v>
      </c>
      <c r="H131" s="172">
        <f>IF($G$208=0,0,G131/$G$208)</f>
        <v>0</v>
      </c>
      <c r="I131" s="473"/>
      <c r="J131" s="168"/>
      <c r="K131" s="168"/>
    </row>
    <row r="132" spans="1:11" s="167" customFormat="1">
      <c r="B132" s="163" t="s">
        <v>196</v>
      </c>
      <c r="C132" s="501">
        <v>0</v>
      </c>
      <c r="D132" s="501">
        <v>0</v>
      </c>
      <c r="E132" s="171">
        <f t="shared" si="27"/>
        <v>0</v>
      </c>
      <c r="F132" s="171"/>
      <c r="G132" s="171">
        <f>E132+F132</f>
        <v>0</v>
      </c>
      <c r="H132" s="172">
        <f>IF($G$208=0,0,G132/$G$208)</f>
        <v>0</v>
      </c>
      <c r="I132" s="473"/>
      <c r="J132" s="168"/>
      <c r="K132" s="168"/>
    </row>
    <row r="133" spans="1:11" s="167" customFormat="1">
      <c r="B133" s="163" t="s">
        <v>197</v>
      </c>
      <c r="C133" s="501">
        <v>6676</v>
      </c>
      <c r="D133" s="501">
        <v>0</v>
      </c>
      <c r="E133" s="171">
        <f t="shared" si="27"/>
        <v>6676</v>
      </c>
      <c r="F133" s="171"/>
      <c r="G133" s="171">
        <f>E133+F133</f>
        <v>6676</v>
      </c>
      <c r="H133" s="172">
        <f>IF($G$208=0,0,G133/$G$208)</f>
        <v>1.2335915212423915E-3</v>
      </c>
      <c r="I133" s="473"/>
      <c r="J133" s="168"/>
      <c r="K133" s="168"/>
    </row>
    <row r="134" spans="1:11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73"/>
      <c r="J134" s="204"/>
      <c r="K134" s="204"/>
    </row>
    <row r="135" spans="1:11" s="167" customFormat="1">
      <c r="A135" s="169"/>
      <c r="B135" s="163" t="s">
        <v>194</v>
      </c>
      <c r="C135" s="501">
        <v>442394</v>
      </c>
      <c r="D135" s="501">
        <v>0</v>
      </c>
      <c r="E135" s="171">
        <f t="shared" ref="E135:E138" si="28">C135+D135</f>
        <v>442394</v>
      </c>
      <c r="F135" s="171"/>
      <c r="G135" s="171">
        <f>E135+F135</f>
        <v>442394</v>
      </c>
      <c r="H135" s="172">
        <f>IF($G$208=0,0,G135/$G$208)</f>
        <v>8.1745579306247235E-2</v>
      </c>
      <c r="I135" s="473"/>
      <c r="J135" s="183">
        <v>17485</v>
      </c>
      <c r="K135" s="183">
        <v>18162</v>
      </c>
    </row>
    <row r="136" spans="1:11" s="167" customFormat="1">
      <c r="A136" s="169"/>
      <c r="B136" s="163" t="s">
        <v>195</v>
      </c>
      <c r="C136" s="501">
        <v>396474</v>
      </c>
      <c r="D136" s="501">
        <v>0</v>
      </c>
      <c r="E136" s="171">
        <f t="shared" si="28"/>
        <v>396474</v>
      </c>
      <c r="F136" s="171"/>
      <c r="G136" s="171">
        <f>E136+F136</f>
        <v>396474</v>
      </c>
      <c r="H136" s="172">
        <f>IF($G$208=0,0,G136/$G$208)</f>
        <v>7.3260480046892743E-2</v>
      </c>
      <c r="I136" s="473"/>
      <c r="J136" s="183">
        <v>20191</v>
      </c>
      <c r="K136" s="183">
        <v>21082</v>
      </c>
    </row>
    <row r="137" spans="1:11" s="167" customFormat="1">
      <c r="A137" s="169"/>
      <c r="B137" s="163" t="s">
        <v>196</v>
      </c>
      <c r="C137" s="501">
        <v>620556</v>
      </c>
      <c r="D137" s="501">
        <v>11226</v>
      </c>
      <c r="E137" s="171">
        <f t="shared" si="28"/>
        <v>631782</v>
      </c>
      <c r="F137" s="171"/>
      <c r="G137" s="171">
        <f>E137+F137</f>
        <v>631782</v>
      </c>
      <c r="H137" s="172">
        <f>IF($G$208=0,0,G137/$G$208)</f>
        <v>0.1167407007899282</v>
      </c>
      <c r="I137" s="473"/>
      <c r="J137" s="183">
        <v>64037</v>
      </c>
      <c r="K137" s="183">
        <v>67093</v>
      </c>
    </row>
    <row r="138" spans="1:11" s="167" customFormat="1">
      <c r="A138" s="169"/>
      <c r="B138" s="163" t="s">
        <v>197</v>
      </c>
      <c r="C138" s="501">
        <v>11226</v>
      </c>
      <c r="D138" s="501">
        <v>-11226</v>
      </c>
      <c r="E138" s="171">
        <f t="shared" si="28"/>
        <v>0</v>
      </c>
      <c r="F138" s="171"/>
      <c r="G138" s="171">
        <f>E138+F138</f>
        <v>0</v>
      </c>
      <c r="H138" s="172">
        <f>IF($G$208=0,0,G138/$G$208)</f>
        <v>0</v>
      </c>
      <c r="I138" s="473"/>
      <c r="J138" s="183">
        <v>0</v>
      </c>
      <c r="K138" s="183">
        <v>0</v>
      </c>
    </row>
    <row r="139" spans="1:11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73"/>
      <c r="J139" s="372"/>
      <c r="K139" s="372"/>
    </row>
    <row r="140" spans="1:11" s="167" customFormat="1">
      <c r="A140" s="169"/>
      <c r="B140" s="163" t="s">
        <v>194</v>
      </c>
      <c r="C140" s="501">
        <v>324231</v>
      </c>
      <c r="D140" s="501">
        <v>-226697</v>
      </c>
      <c r="E140" s="171">
        <f t="shared" ref="E140:E143" si="29">C140+D140</f>
        <v>97534</v>
      </c>
      <c r="F140" s="171"/>
      <c r="G140" s="171">
        <f>E140+F140</f>
        <v>97534</v>
      </c>
      <c r="H140" s="172">
        <f>IF($G$208=0,0,G140/$G$208)</f>
        <v>1.8022336044466059E-2</v>
      </c>
      <c r="I140" s="473"/>
      <c r="J140" s="168"/>
      <c r="K140" s="168"/>
    </row>
    <row r="141" spans="1:11" s="167" customFormat="1">
      <c r="A141" s="169"/>
      <c r="B141" s="163" t="s">
        <v>195</v>
      </c>
      <c r="C141" s="501">
        <v>0</v>
      </c>
      <c r="D141" s="501">
        <v>87410</v>
      </c>
      <c r="E141" s="171">
        <f t="shared" si="29"/>
        <v>87410</v>
      </c>
      <c r="F141" s="171"/>
      <c r="G141" s="171">
        <f>E141+F141</f>
        <v>87410</v>
      </c>
      <c r="H141" s="172">
        <f>IF($G$208=0,0,G141/$G$208)</f>
        <v>1.6151622958627539E-2</v>
      </c>
      <c r="I141" s="473"/>
      <c r="J141" s="168"/>
      <c r="K141" s="168"/>
    </row>
    <row r="142" spans="1:11" s="167" customFormat="1">
      <c r="A142" s="169"/>
      <c r="B142" s="163" t="s">
        <v>196</v>
      </c>
      <c r="C142" s="501">
        <v>0</v>
      </c>
      <c r="D142" s="501">
        <v>139287</v>
      </c>
      <c r="E142" s="171">
        <f t="shared" si="29"/>
        <v>139287</v>
      </c>
      <c r="F142" s="171"/>
      <c r="G142" s="171">
        <f>E142+F142</f>
        <v>139287</v>
      </c>
      <c r="H142" s="172">
        <f>IF($G$208=0,0,G142/$G$208)</f>
        <v>2.5737456893242808E-2</v>
      </c>
      <c r="I142" s="473"/>
      <c r="J142" s="168"/>
      <c r="K142" s="168"/>
    </row>
    <row r="143" spans="1:11" s="167" customFormat="1">
      <c r="A143" s="169"/>
      <c r="B143" s="163" t="s">
        <v>197</v>
      </c>
      <c r="C143" s="501">
        <v>0</v>
      </c>
      <c r="D143" s="501">
        <v>0</v>
      </c>
      <c r="E143" s="171">
        <f t="shared" si="29"/>
        <v>0</v>
      </c>
      <c r="F143" s="171"/>
      <c r="G143" s="171">
        <f>E143+F143</f>
        <v>0</v>
      </c>
      <c r="H143" s="172">
        <f>IF($G$208=0,0,G143/$G$208)</f>
        <v>0</v>
      </c>
      <c r="I143" s="473"/>
      <c r="J143" s="168"/>
      <c r="K143" s="168"/>
    </row>
    <row r="144" spans="1:11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73"/>
      <c r="J144" s="204"/>
      <c r="K144" s="204"/>
    </row>
    <row r="145" spans="1:11" s="167" customFormat="1">
      <c r="A145" s="169"/>
      <c r="B145" s="163" t="s">
        <v>232</v>
      </c>
      <c r="C145" s="501">
        <v>42768</v>
      </c>
      <c r="D145" s="501">
        <v>0</v>
      </c>
      <c r="E145" s="171">
        <f t="shared" ref="E145:E153" si="30">C145+D145</f>
        <v>42768</v>
      </c>
      <c r="F145" s="171"/>
      <c r="G145" s="171">
        <f t="shared" ref="G145:G153" si="31">E145+F145</f>
        <v>42768</v>
      </c>
      <c r="H145" s="172">
        <f t="shared" ref="H145:H153" si="32">IF($G$208=0,0,G145/$G$208)</f>
        <v>7.9026725854545541E-3</v>
      </c>
      <c r="I145" s="473"/>
      <c r="J145" s="183">
        <v>156</v>
      </c>
      <c r="K145" s="183">
        <v>156</v>
      </c>
    </row>
    <row r="146" spans="1:11" s="167" customFormat="1">
      <c r="A146" s="169"/>
      <c r="B146" s="163" t="s">
        <v>194</v>
      </c>
      <c r="C146" s="501">
        <v>64514</v>
      </c>
      <c r="D146" s="501">
        <v>0</v>
      </c>
      <c r="E146" s="171">
        <f t="shared" si="30"/>
        <v>64514</v>
      </c>
      <c r="F146" s="171"/>
      <c r="G146" s="171">
        <f t="shared" si="31"/>
        <v>64514</v>
      </c>
      <c r="H146" s="172">
        <f t="shared" si="32"/>
        <v>1.192089925126298E-2</v>
      </c>
      <c r="I146" s="473"/>
      <c r="J146" s="183">
        <v>1468</v>
      </c>
      <c r="K146" s="183">
        <v>1468</v>
      </c>
    </row>
    <row r="147" spans="1:11" s="167" customFormat="1">
      <c r="A147" s="169"/>
      <c r="B147" s="163" t="s">
        <v>195</v>
      </c>
      <c r="C147" s="501">
        <v>1330</v>
      </c>
      <c r="D147" s="501">
        <v>0</v>
      </c>
      <c r="E147" s="171">
        <f t="shared" si="30"/>
        <v>1330</v>
      </c>
      <c r="F147" s="171"/>
      <c r="G147" s="171">
        <f t="shared" si="31"/>
        <v>1330</v>
      </c>
      <c r="H147" s="172">
        <f t="shared" si="32"/>
        <v>2.457574480605723E-4</v>
      </c>
      <c r="I147" s="473"/>
      <c r="J147" s="183">
        <v>36</v>
      </c>
      <c r="K147" s="183">
        <v>36</v>
      </c>
    </row>
    <row r="148" spans="1:11" s="167" customFormat="1">
      <c r="A148" s="169"/>
      <c r="B148" s="163" t="s">
        <v>196</v>
      </c>
      <c r="C148" s="501">
        <v>227191</v>
      </c>
      <c r="D148" s="501">
        <v>0</v>
      </c>
      <c r="E148" s="171">
        <f t="shared" si="30"/>
        <v>227191</v>
      </c>
      <c r="F148" s="171"/>
      <c r="G148" s="171">
        <f t="shared" si="31"/>
        <v>227191</v>
      </c>
      <c r="H148" s="172">
        <f t="shared" si="32"/>
        <v>4.1980361189721413E-2</v>
      </c>
      <c r="I148" s="473"/>
      <c r="J148" s="183">
        <v>9008</v>
      </c>
      <c r="K148" s="183">
        <v>9008</v>
      </c>
    </row>
    <row r="149" spans="1:11" s="167" customFormat="1">
      <c r="A149" s="169"/>
      <c r="B149" s="163" t="s">
        <v>197</v>
      </c>
      <c r="C149" s="501">
        <v>11370</v>
      </c>
      <c r="D149" s="501">
        <v>0</v>
      </c>
      <c r="E149" s="171">
        <f t="shared" si="30"/>
        <v>11370</v>
      </c>
      <c r="F149" s="171"/>
      <c r="G149" s="171">
        <f t="shared" si="31"/>
        <v>11370</v>
      </c>
      <c r="H149" s="172">
        <f t="shared" si="32"/>
        <v>2.1009490108636897E-3</v>
      </c>
      <c r="I149" s="473"/>
      <c r="J149" s="183">
        <v>0</v>
      </c>
      <c r="K149" s="183">
        <v>0</v>
      </c>
    </row>
    <row r="150" spans="1:11" s="167" customFormat="1">
      <c r="A150" s="169">
        <v>110</v>
      </c>
      <c r="B150" s="167" t="s">
        <v>65</v>
      </c>
      <c r="C150" s="501">
        <v>65915</v>
      </c>
      <c r="D150" s="501">
        <v>1050</v>
      </c>
      <c r="E150" s="171">
        <f t="shared" si="30"/>
        <v>66965</v>
      </c>
      <c r="F150" s="171"/>
      <c r="G150" s="171">
        <f t="shared" si="31"/>
        <v>66965</v>
      </c>
      <c r="H150" s="172">
        <f t="shared" si="32"/>
        <v>1.2373795119831749E-2</v>
      </c>
      <c r="I150" s="473"/>
      <c r="J150" s="168"/>
      <c r="K150" s="168"/>
    </row>
    <row r="151" spans="1:11" s="167" customFormat="1">
      <c r="A151" s="169">
        <v>111</v>
      </c>
      <c r="B151" s="170" t="s">
        <v>97</v>
      </c>
      <c r="C151" s="501">
        <v>5762</v>
      </c>
      <c r="D151" s="501">
        <v>0</v>
      </c>
      <c r="E151" s="171">
        <f t="shared" si="30"/>
        <v>5762</v>
      </c>
      <c r="F151" s="171"/>
      <c r="G151" s="171">
        <f t="shared" si="31"/>
        <v>5762</v>
      </c>
      <c r="H151" s="172">
        <f t="shared" si="32"/>
        <v>1.064702568214299E-3</v>
      </c>
      <c r="I151" s="473"/>
      <c r="J151" s="168"/>
      <c r="K151" s="168"/>
    </row>
    <row r="152" spans="1:11" s="167" customFormat="1">
      <c r="A152" s="169">
        <v>230</v>
      </c>
      <c r="B152" s="170" t="s">
        <v>66</v>
      </c>
      <c r="C152" s="501">
        <v>0</v>
      </c>
      <c r="D152" s="501">
        <v>0</v>
      </c>
      <c r="E152" s="171">
        <f t="shared" si="30"/>
        <v>0</v>
      </c>
      <c r="F152" s="171"/>
      <c r="G152" s="171">
        <f t="shared" si="31"/>
        <v>0</v>
      </c>
      <c r="H152" s="172">
        <f t="shared" si="32"/>
        <v>0</v>
      </c>
      <c r="I152" s="473"/>
      <c r="J152" s="168"/>
      <c r="K152" s="168"/>
    </row>
    <row r="153" spans="1:11" s="167" customFormat="1">
      <c r="A153" s="169">
        <v>430</v>
      </c>
      <c r="B153" s="170" t="s">
        <v>99</v>
      </c>
      <c r="C153" s="501">
        <v>0</v>
      </c>
      <c r="D153" s="501">
        <v>0</v>
      </c>
      <c r="E153" s="171">
        <f t="shared" si="30"/>
        <v>0</v>
      </c>
      <c r="F153" s="171"/>
      <c r="G153" s="171">
        <f t="shared" si="31"/>
        <v>0</v>
      </c>
      <c r="H153" s="172">
        <f t="shared" si="32"/>
        <v>0</v>
      </c>
      <c r="I153" s="473"/>
      <c r="J153" s="168"/>
      <c r="K153" s="168"/>
    </row>
    <row r="154" spans="1:11" s="167" customFormat="1">
      <c r="A154" s="169"/>
      <c r="B154" s="209" t="s">
        <v>101</v>
      </c>
      <c r="C154" s="500"/>
      <c r="D154" s="500"/>
      <c r="E154" s="210"/>
      <c r="F154" s="210"/>
      <c r="G154" s="210"/>
      <c r="H154" s="211"/>
      <c r="I154" s="473"/>
      <c r="J154" s="168"/>
      <c r="K154" s="168"/>
    </row>
    <row r="155" spans="1:11" s="167" customFormat="1">
      <c r="A155" s="169">
        <v>440.1</v>
      </c>
      <c r="B155" s="163" t="s">
        <v>223</v>
      </c>
      <c r="C155" s="501">
        <v>0</v>
      </c>
      <c r="D155" s="501">
        <v>0</v>
      </c>
      <c r="E155" s="171">
        <f t="shared" ref="E155:E160" si="33">C155+D155</f>
        <v>0</v>
      </c>
      <c r="F155" s="171"/>
      <c r="G155" s="171">
        <f t="shared" ref="G155:G160" si="34">E155+F155</f>
        <v>0</v>
      </c>
      <c r="H155" s="172">
        <f t="shared" ref="H155:H161" si="35">IF($G$208=0,0,G155/$G$208)</f>
        <v>0</v>
      </c>
      <c r="I155" s="473"/>
      <c r="J155" s="168"/>
      <c r="K155" s="168"/>
    </row>
    <row r="156" spans="1:11" s="167" customFormat="1">
      <c r="A156" s="169">
        <v>440.2</v>
      </c>
      <c r="B156" s="163" t="s">
        <v>224</v>
      </c>
      <c r="C156" s="501">
        <v>0</v>
      </c>
      <c r="D156" s="501">
        <v>0</v>
      </c>
      <c r="E156" s="171">
        <f t="shared" si="33"/>
        <v>0</v>
      </c>
      <c r="F156" s="171"/>
      <c r="G156" s="171">
        <f t="shared" si="34"/>
        <v>0</v>
      </c>
      <c r="H156" s="172">
        <f t="shared" si="35"/>
        <v>0</v>
      </c>
      <c r="I156" s="473"/>
      <c r="J156" s="168"/>
      <c r="K156" s="168"/>
    </row>
    <row r="157" spans="1:11" s="167" customFormat="1">
      <c r="A157" s="169">
        <v>440.3</v>
      </c>
      <c r="B157" s="163" t="s">
        <v>225</v>
      </c>
      <c r="C157" s="501">
        <v>115</v>
      </c>
      <c r="D157" s="501">
        <v>0</v>
      </c>
      <c r="E157" s="171">
        <f t="shared" si="33"/>
        <v>115</v>
      </c>
      <c r="F157" s="171"/>
      <c r="G157" s="171">
        <f t="shared" si="34"/>
        <v>115</v>
      </c>
      <c r="H157" s="172">
        <f t="shared" si="35"/>
        <v>2.1249704155613395E-5</v>
      </c>
      <c r="I157" s="473"/>
      <c r="J157" s="168"/>
      <c r="K157" s="168"/>
    </row>
    <row r="158" spans="1:11" s="167" customFormat="1">
      <c r="A158" s="169">
        <v>440.4</v>
      </c>
      <c r="B158" s="163" t="s">
        <v>226</v>
      </c>
      <c r="C158" s="501">
        <v>0</v>
      </c>
      <c r="D158" s="501">
        <v>0</v>
      </c>
      <c r="E158" s="171">
        <f t="shared" si="33"/>
        <v>0</v>
      </c>
      <c r="F158" s="171"/>
      <c r="G158" s="171">
        <f t="shared" si="34"/>
        <v>0</v>
      </c>
      <c r="H158" s="172">
        <f t="shared" si="35"/>
        <v>0</v>
      </c>
      <c r="I158" s="473"/>
      <c r="J158" s="168"/>
      <c r="K158" s="168"/>
    </row>
    <row r="159" spans="1:11" s="167" customFormat="1">
      <c r="A159" s="169">
        <v>440.5</v>
      </c>
      <c r="B159" s="163" t="s">
        <v>301</v>
      </c>
      <c r="C159" s="501">
        <v>0</v>
      </c>
      <c r="D159" s="501">
        <v>0</v>
      </c>
      <c r="E159" s="171">
        <f t="shared" si="33"/>
        <v>0</v>
      </c>
      <c r="F159" s="171"/>
      <c r="G159" s="171">
        <f t="shared" si="34"/>
        <v>0</v>
      </c>
      <c r="H159" s="172">
        <f>IF($G$208=0,0,G159/$G$208)</f>
        <v>0</v>
      </c>
      <c r="I159" s="473"/>
      <c r="J159" s="168"/>
      <c r="K159" s="168"/>
    </row>
    <row r="160" spans="1:11" s="167" customFormat="1">
      <c r="A160" s="169">
        <v>490</v>
      </c>
      <c r="B160" s="202" t="s">
        <v>315</v>
      </c>
      <c r="C160" s="501">
        <v>13236</v>
      </c>
      <c r="D160" s="501">
        <v>669</v>
      </c>
      <c r="E160" s="171">
        <f t="shared" si="33"/>
        <v>13905</v>
      </c>
      <c r="F160" s="171"/>
      <c r="G160" s="171">
        <f t="shared" si="34"/>
        <v>13905</v>
      </c>
      <c r="H160" s="172">
        <f t="shared" si="35"/>
        <v>2.5693664024678633E-3</v>
      </c>
      <c r="I160" s="473"/>
      <c r="J160" s="168"/>
      <c r="K160" s="168"/>
    </row>
    <row r="161" spans="1:15" s="167" customFormat="1">
      <c r="A161" s="169"/>
      <c r="B161" s="170" t="s">
        <v>233</v>
      </c>
      <c r="C161" s="501">
        <v>2508121</v>
      </c>
      <c r="D161" s="501">
        <v>1719</v>
      </c>
      <c r="E161" s="171">
        <f t="shared" ref="E161:F161" si="36">SUM(E123:E160)</f>
        <v>2509840</v>
      </c>
      <c r="F161" s="171">
        <f t="shared" si="36"/>
        <v>0</v>
      </c>
      <c r="G161" s="171">
        <f>SUM(G123:G160)</f>
        <v>2509840</v>
      </c>
      <c r="H161" s="172">
        <f t="shared" si="35"/>
        <v>0.46376832589499761</v>
      </c>
      <c r="I161" s="473"/>
      <c r="J161" s="168"/>
      <c r="K161" s="168"/>
    </row>
    <row r="162" spans="1:15" s="167" customFormat="1">
      <c r="A162" s="169"/>
      <c r="B162" s="170"/>
      <c r="C162" s="196"/>
      <c r="D162" s="196"/>
      <c r="E162" s="196"/>
      <c r="F162" s="196"/>
      <c r="G162" s="196"/>
      <c r="H162" s="197"/>
      <c r="I162" s="473"/>
      <c r="J162" s="168"/>
      <c r="K162" s="168"/>
    </row>
    <row r="163" spans="1:15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473"/>
      <c r="J163" s="168"/>
      <c r="K163" s="168"/>
    </row>
    <row r="164" spans="1:15" s="221" customFormat="1">
      <c r="A164" s="215" t="s">
        <v>95</v>
      </c>
      <c r="B164" s="148" t="s">
        <v>102</v>
      </c>
      <c r="C164" s="501">
        <v>0</v>
      </c>
      <c r="D164" s="501">
        <v>0</v>
      </c>
      <c r="E164" s="171">
        <f t="shared" ref="E164:E196" si="37">C164+D164</f>
        <v>0</v>
      </c>
      <c r="F164" s="216"/>
      <c r="G164" s="171">
        <f t="shared" ref="G164:G196" si="38">E164+F164</f>
        <v>0</v>
      </c>
      <c r="H164" s="172">
        <f t="shared" ref="H164:H196" si="39">IF($G$208=0,0,G164/$G$208)</f>
        <v>0</v>
      </c>
      <c r="I164" s="483"/>
      <c r="J164" s="183">
        <v>0</v>
      </c>
      <c r="K164" s="183">
        <v>0</v>
      </c>
      <c r="L164" s="218"/>
      <c r="M164" s="220"/>
      <c r="N164" s="220"/>
      <c r="O164" s="220"/>
    </row>
    <row r="165" spans="1:15" s="221" customFormat="1">
      <c r="A165" s="215" t="s">
        <v>123</v>
      </c>
      <c r="B165" s="148" t="s">
        <v>103</v>
      </c>
      <c r="C165" s="501">
        <v>0</v>
      </c>
      <c r="D165" s="501">
        <v>0</v>
      </c>
      <c r="E165" s="171">
        <f t="shared" si="37"/>
        <v>0</v>
      </c>
      <c r="F165" s="216"/>
      <c r="G165" s="171">
        <f t="shared" si="38"/>
        <v>0</v>
      </c>
      <c r="H165" s="172">
        <f t="shared" si="39"/>
        <v>0</v>
      </c>
      <c r="I165" s="484"/>
      <c r="J165" s="222"/>
      <c r="K165" s="222"/>
      <c r="L165" s="218"/>
      <c r="M165" s="220"/>
      <c r="N165" s="220"/>
      <c r="O165" s="220"/>
    </row>
    <row r="166" spans="1:15" s="221" customFormat="1">
      <c r="A166" s="215" t="s">
        <v>124</v>
      </c>
      <c r="B166" s="148" t="s">
        <v>104</v>
      </c>
      <c r="C166" s="501">
        <v>0</v>
      </c>
      <c r="D166" s="501">
        <v>0</v>
      </c>
      <c r="E166" s="171">
        <f t="shared" si="37"/>
        <v>0</v>
      </c>
      <c r="F166" s="216"/>
      <c r="G166" s="171">
        <f t="shared" si="38"/>
        <v>0</v>
      </c>
      <c r="H166" s="172">
        <f t="shared" si="39"/>
        <v>0</v>
      </c>
      <c r="I166" s="483"/>
      <c r="J166" s="183">
        <v>0</v>
      </c>
      <c r="K166" s="183">
        <v>0</v>
      </c>
      <c r="L166" s="218"/>
      <c r="M166" s="220"/>
      <c r="N166" s="220"/>
      <c r="O166" s="220"/>
    </row>
    <row r="167" spans="1:15" s="221" customFormat="1">
      <c r="A167" s="215" t="s">
        <v>157</v>
      </c>
      <c r="B167" s="148" t="s">
        <v>105</v>
      </c>
      <c r="C167" s="501">
        <v>0</v>
      </c>
      <c r="D167" s="501">
        <v>0</v>
      </c>
      <c r="E167" s="171">
        <f t="shared" si="37"/>
        <v>0</v>
      </c>
      <c r="F167" s="216"/>
      <c r="G167" s="171">
        <f t="shared" si="38"/>
        <v>0</v>
      </c>
      <c r="H167" s="172">
        <f t="shared" si="39"/>
        <v>0</v>
      </c>
      <c r="I167" s="484"/>
      <c r="J167" s="222"/>
      <c r="K167" s="222"/>
      <c r="L167" s="218"/>
      <c r="M167" s="220"/>
      <c r="N167" s="220"/>
      <c r="O167" s="220"/>
    </row>
    <row r="168" spans="1:15" s="221" customFormat="1">
      <c r="A168" s="215" t="s">
        <v>158</v>
      </c>
      <c r="B168" s="148" t="s">
        <v>316</v>
      </c>
      <c r="C168" s="501">
        <v>0</v>
      </c>
      <c r="D168" s="501">
        <v>0</v>
      </c>
      <c r="E168" s="171">
        <f t="shared" si="37"/>
        <v>0</v>
      </c>
      <c r="F168" s="216"/>
      <c r="G168" s="171">
        <f t="shared" si="38"/>
        <v>0</v>
      </c>
      <c r="H168" s="172">
        <f t="shared" si="39"/>
        <v>0</v>
      </c>
      <c r="I168" s="483"/>
      <c r="J168" s="183">
        <v>0</v>
      </c>
      <c r="K168" s="183">
        <v>0</v>
      </c>
      <c r="L168" s="218"/>
      <c r="M168" s="220"/>
      <c r="N168" s="220"/>
      <c r="O168" s="220"/>
    </row>
    <row r="169" spans="1:15" s="221" customFormat="1">
      <c r="A169" s="215" t="s">
        <v>86</v>
      </c>
      <c r="B169" s="148" t="s">
        <v>317</v>
      </c>
      <c r="C169" s="501">
        <v>0</v>
      </c>
      <c r="D169" s="501">
        <v>0</v>
      </c>
      <c r="E169" s="171">
        <f t="shared" si="37"/>
        <v>0</v>
      </c>
      <c r="F169" s="216"/>
      <c r="G169" s="171">
        <f t="shared" si="38"/>
        <v>0</v>
      </c>
      <c r="H169" s="172">
        <f t="shared" si="39"/>
        <v>0</v>
      </c>
      <c r="I169" s="484"/>
      <c r="J169" s="222"/>
      <c r="K169" s="222"/>
      <c r="L169" s="218"/>
      <c r="M169" s="220"/>
      <c r="N169" s="220"/>
      <c r="O169" s="220"/>
    </row>
    <row r="170" spans="1:15" s="221" customFormat="1">
      <c r="A170" s="215" t="s">
        <v>96</v>
      </c>
      <c r="B170" s="148" t="s">
        <v>318</v>
      </c>
      <c r="C170" s="501">
        <v>0</v>
      </c>
      <c r="D170" s="501">
        <v>0</v>
      </c>
      <c r="E170" s="171">
        <f t="shared" si="37"/>
        <v>0</v>
      </c>
      <c r="F170" s="216"/>
      <c r="G170" s="171">
        <f t="shared" si="38"/>
        <v>0</v>
      </c>
      <c r="H170" s="172">
        <f t="shared" si="39"/>
        <v>0</v>
      </c>
      <c r="I170" s="483"/>
      <c r="J170" s="183">
        <v>0</v>
      </c>
      <c r="K170" s="183">
        <v>0</v>
      </c>
      <c r="L170" s="218"/>
      <c r="M170" s="220"/>
      <c r="N170" s="220"/>
      <c r="O170" s="220"/>
    </row>
    <row r="171" spans="1:15" s="221" customFormat="1">
      <c r="A171" s="215" t="s">
        <v>125</v>
      </c>
      <c r="B171" s="148" t="s">
        <v>109</v>
      </c>
      <c r="C171" s="501">
        <v>0</v>
      </c>
      <c r="D171" s="501">
        <v>0</v>
      </c>
      <c r="E171" s="171">
        <f t="shared" si="37"/>
        <v>0</v>
      </c>
      <c r="F171" s="216"/>
      <c r="G171" s="171">
        <f t="shared" si="38"/>
        <v>0</v>
      </c>
      <c r="H171" s="172">
        <f t="shared" si="39"/>
        <v>0</v>
      </c>
      <c r="I171" s="484"/>
      <c r="J171" s="222"/>
      <c r="K171" s="222"/>
      <c r="L171" s="218"/>
      <c r="M171" s="220"/>
      <c r="N171" s="220"/>
      <c r="O171" s="220"/>
    </row>
    <row r="172" spans="1:15" s="221" customFormat="1">
      <c r="A172" s="215" t="s">
        <v>126</v>
      </c>
      <c r="B172" s="148" t="s">
        <v>319</v>
      </c>
      <c r="C172" s="501">
        <v>0</v>
      </c>
      <c r="D172" s="501">
        <v>0</v>
      </c>
      <c r="E172" s="171">
        <f t="shared" si="37"/>
        <v>0</v>
      </c>
      <c r="F172" s="216"/>
      <c r="G172" s="171">
        <f t="shared" si="38"/>
        <v>0</v>
      </c>
      <c r="H172" s="172">
        <f t="shared" si="39"/>
        <v>0</v>
      </c>
      <c r="I172" s="483"/>
      <c r="J172" s="183">
        <v>0</v>
      </c>
      <c r="K172" s="183">
        <v>0</v>
      </c>
      <c r="L172" s="218"/>
      <c r="M172" s="220"/>
      <c r="N172" s="220"/>
      <c r="O172" s="220"/>
    </row>
    <row r="173" spans="1:15" s="221" customFormat="1">
      <c r="A173" s="215" t="s">
        <v>127</v>
      </c>
      <c r="B173" s="148" t="s">
        <v>111</v>
      </c>
      <c r="C173" s="501">
        <v>0</v>
      </c>
      <c r="D173" s="501">
        <v>0</v>
      </c>
      <c r="E173" s="171">
        <f t="shared" si="37"/>
        <v>0</v>
      </c>
      <c r="F173" s="216"/>
      <c r="G173" s="171">
        <f t="shared" si="38"/>
        <v>0</v>
      </c>
      <c r="H173" s="172">
        <f t="shared" si="39"/>
        <v>0</v>
      </c>
      <c r="I173" s="484"/>
      <c r="J173" s="222"/>
      <c r="K173" s="222"/>
      <c r="L173" s="218"/>
      <c r="M173" s="220"/>
      <c r="N173" s="220"/>
      <c r="O173" s="220"/>
    </row>
    <row r="174" spans="1:15" s="221" customFormat="1">
      <c r="A174" s="215" t="s">
        <v>128</v>
      </c>
      <c r="B174" s="148" t="s">
        <v>320</v>
      </c>
      <c r="C174" s="501">
        <v>0</v>
      </c>
      <c r="D174" s="501">
        <v>0</v>
      </c>
      <c r="E174" s="171">
        <f t="shared" si="37"/>
        <v>0</v>
      </c>
      <c r="F174" s="216"/>
      <c r="G174" s="171">
        <f t="shared" si="38"/>
        <v>0</v>
      </c>
      <c r="H174" s="172">
        <f t="shared" si="39"/>
        <v>0</v>
      </c>
      <c r="I174" s="483"/>
      <c r="J174" s="183">
        <v>0</v>
      </c>
      <c r="K174" s="183">
        <v>0</v>
      </c>
      <c r="L174" s="218"/>
      <c r="M174" s="220"/>
      <c r="N174" s="220"/>
      <c r="O174" s="220"/>
    </row>
    <row r="175" spans="1:15" s="221" customFormat="1">
      <c r="A175" s="215" t="s">
        <v>129</v>
      </c>
      <c r="B175" s="148" t="s">
        <v>321</v>
      </c>
      <c r="C175" s="501">
        <v>0</v>
      </c>
      <c r="D175" s="501">
        <v>0</v>
      </c>
      <c r="E175" s="171">
        <f t="shared" si="37"/>
        <v>0</v>
      </c>
      <c r="F175" s="216"/>
      <c r="G175" s="171">
        <f t="shared" si="38"/>
        <v>0</v>
      </c>
      <c r="H175" s="172">
        <f t="shared" si="39"/>
        <v>0</v>
      </c>
      <c r="I175" s="473"/>
      <c r="J175" s="223"/>
      <c r="K175" s="218"/>
      <c r="L175" s="220"/>
      <c r="M175" s="220"/>
      <c r="N175" s="220"/>
    </row>
    <row r="176" spans="1:15" s="221" customFormat="1">
      <c r="A176" s="224" t="s">
        <v>293</v>
      </c>
      <c r="B176" s="148" t="s">
        <v>154</v>
      </c>
      <c r="C176" s="501">
        <v>0</v>
      </c>
      <c r="D176" s="501">
        <v>0</v>
      </c>
      <c r="E176" s="171">
        <f t="shared" si="37"/>
        <v>0</v>
      </c>
      <c r="F176" s="216"/>
      <c r="G176" s="171">
        <f t="shared" si="38"/>
        <v>0</v>
      </c>
      <c r="H176" s="172">
        <f t="shared" si="39"/>
        <v>0</v>
      </c>
      <c r="I176" s="473"/>
      <c r="J176" s="223"/>
      <c r="K176" s="218"/>
      <c r="L176" s="220"/>
      <c r="M176" s="220"/>
      <c r="N176" s="220"/>
    </row>
    <row r="177" spans="1:14" s="221" customFormat="1">
      <c r="A177" s="224" t="s">
        <v>294</v>
      </c>
      <c r="B177" s="148" t="s">
        <v>322</v>
      </c>
      <c r="C177" s="501">
        <v>394</v>
      </c>
      <c r="D177" s="501">
        <v>0</v>
      </c>
      <c r="E177" s="171">
        <f t="shared" si="37"/>
        <v>394</v>
      </c>
      <c r="F177" s="216"/>
      <c r="G177" s="171">
        <f t="shared" si="38"/>
        <v>394</v>
      </c>
      <c r="H177" s="172">
        <f t="shared" si="39"/>
        <v>7.2803334237492854E-5</v>
      </c>
      <c r="I177" s="473"/>
      <c r="J177" s="223"/>
      <c r="K177" s="218"/>
      <c r="L177" s="220"/>
      <c r="M177" s="220"/>
      <c r="N177" s="220"/>
    </row>
    <row r="178" spans="1:14" s="221" customFormat="1">
      <c r="A178" s="224" t="s">
        <v>295</v>
      </c>
      <c r="B178" s="148" t="s">
        <v>323</v>
      </c>
      <c r="C178" s="501">
        <v>0</v>
      </c>
      <c r="D178" s="501">
        <v>0</v>
      </c>
      <c r="E178" s="171">
        <f t="shared" si="37"/>
        <v>0</v>
      </c>
      <c r="F178" s="216"/>
      <c r="G178" s="171">
        <f t="shared" si="38"/>
        <v>0</v>
      </c>
      <c r="H178" s="172">
        <f t="shared" si="39"/>
        <v>0</v>
      </c>
      <c r="I178" s="473"/>
      <c r="J178" s="223"/>
      <c r="K178" s="218"/>
      <c r="L178" s="220"/>
      <c r="M178" s="220"/>
      <c r="N178" s="220"/>
    </row>
    <row r="179" spans="1:14" s="221" customFormat="1">
      <c r="A179" s="224" t="s">
        <v>296</v>
      </c>
      <c r="B179" s="148" t="s">
        <v>324</v>
      </c>
      <c r="C179" s="501">
        <v>0</v>
      </c>
      <c r="D179" s="501">
        <v>0</v>
      </c>
      <c r="E179" s="171">
        <f t="shared" si="37"/>
        <v>0</v>
      </c>
      <c r="F179" s="216"/>
      <c r="G179" s="171">
        <f t="shared" si="38"/>
        <v>0</v>
      </c>
      <c r="H179" s="172">
        <f t="shared" si="39"/>
        <v>0</v>
      </c>
      <c r="I179" s="473"/>
      <c r="J179" s="223"/>
      <c r="K179" s="218"/>
      <c r="L179" s="220"/>
      <c r="M179" s="220"/>
      <c r="N179" s="220"/>
    </row>
    <row r="180" spans="1:14" s="221" customFormat="1">
      <c r="A180" s="224" t="s">
        <v>297</v>
      </c>
      <c r="B180" s="148" t="s">
        <v>325</v>
      </c>
      <c r="C180" s="501">
        <v>0</v>
      </c>
      <c r="D180" s="501">
        <v>0</v>
      </c>
      <c r="E180" s="171">
        <f t="shared" si="37"/>
        <v>0</v>
      </c>
      <c r="F180" s="216"/>
      <c r="G180" s="171">
        <f t="shared" si="38"/>
        <v>0</v>
      </c>
      <c r="H180" s="172">
        <f t="shared" si="39"/>
        <v>0</v>
      </c>
      <c r="I180" s="473"/>
      <c r="J180" s="223"/>
      <c r="K180" s="218"/>
      <c r="L180" s="220"/>
      <c r="M180" s="220"/>
      <c r="N180" s="220"/>
    </row>
    <row r="181" spans="1:14" s="221" customFormat="1">
      <c r="A181" s="224" t="s">
        <v>298</v>
      </c>
      <c r="B181" s="148" t="s">
        <v>117</v>
      </c>
      <c r="C181" s="501">
        <v>0</v>
      </c>
      <c r="D181" s="501">
        <v>0</v>
      </c>
      <c r="E181" s="171">
        <f t="shared" si="37"/>
        <v>0</v>
      </c>
      <c r="F181" s="216"/>
      <c r="G181" s="171">
        <f t="shared" si="38"/>
        <v>0</v>
      </c>
      <c r="H181" s="172">
        <f t="shared" si="39"/>
        <v>0</v>
      </c>
      <c r="I181" s="473"/>
      <c r="J181" s="223"/>
      <c r="K181" s="218"/>
      <c r="L181" s="220"/>
      <c r="M181" s="220"/>
      <c r="N181" s="220"/>
    </row>
    <row r="182" spans="1:14" s="221" customFormat="1">
      <c r="A182" s="224" t="s">
        <v>132</v>
      </c>
      <c r="B182" s="148" t="s">
        <v>118</v>
      </c>
      <c r="C182" s="501">
        <v>179</v>
      </c>
      <c r="D182" s="501">
        <v>0</v>
      </c>
      <c r="E182" s="171">
        <f t="shared" si="37"/>
        <v>179</v>
      </c>
      <c r="F182" s="216"/>
      <c r="G182" s="171">
        <f t="shared" si="38"/>
        <v>179</v>
      </c>
      <c r="H182" s="172">
        <f t="shared" si="39"/>
        <v>3.3075626468302592E-5</v>
      </c>
      <c r="I182" s="473"/>
      <c r="J182" s="223"/>
      <c r="K182" s="218"/>
      <c r="L182" s="220"/>
      <c r="M182" s="220"/>
      <c r="N182" s="220"/>
    </row>
    <row r="183" spans="1:14" s="221" customFormat="1">
      <c r="A183" s="224" t="s">
        <v>133</v>
      </c>
      <c r="B183" s="148" t="s">
        <v>119</v>
      </c>
      <c r="C183" s="501">
        <v>110074</v>
      </c>
      <c r="D183" s="501">
        <v>-4260</v>
      </c>
      <c r="E183" s="171">
        <f t="shared" si="37"/>
        <v>105814</v>
      </c>
      <c r="F183" s="216"/>
      <c r="G183" s="171">
        <f t="shared" si="38"/>
        <v>105814</v>
      </c>
      <c r="H183" s="172">
        <f t="shared" si="39"/>
        <v>1.9552314743670224E-2</v>
      </c>
      <c r="I183" s="473"/>
      <c r="J183" s="223"/>
      <c r="K183" s="218"/>
      <c r="M183" s="220"/>
      <c r="N183" s="220"/>
    </row>
    <row r="184" spans="1:14" s="221" customFormat="1">
      <c r="A184" s="224" t="s">
        <v>134</v>
      </c>
      <c r="B184" s="148" t="s">
        <v>326</v>
      </c>
      <c r="C184" s="501">
        <v>51442</v>
      </c>
      <c r="D184" s="501">
        <v>-1991</v>
      </c>
      <c r="E184" s="171">
        <f t="shared" si="37"/>
        <v>49451</v>
      </c>
      <c r="F184" s="216"/>
      <c r="G184" s="171">
        <f t="shared" si="38"/>
        <v>49451</v>
      </c>
      <c r="H184" s="172">
        <f t="shared" si="39"/>
        <v>9.137557566949896E-3</v>
      </c>
      <c r="I184" s="473"/>
      <c r="J184" s="223"/>
      <c r="K184" s="218"/>
      <c r="M184" s="220"/>
      <c r="N184" s="220"/>
    </row>
    <row r="185" spans="1:14" s="221" customFormat="1">
      <c r="A185" s="224" t="s">
        <v>135</v>
      </c>
      <c r="B185" s="148" t="s">
        <v>327</v>
      </c>
      <c r="C185" s="501">
        <v>0</v>
      </c>
      <c r="D185" s="501">
        <v>0</v>
      </c>
      <c r="E185" s="171">
        <f t="shared" si="37"/>
        <v>0</v>
      </c>
      <c r="F185" s="216"/>
      <c r="G185" s="171">
        <f t="shared" si="38"/>
        <v>0</v>
      </c>
      <c r="H185" s="172">
        <f t="shared" si="39"/>
        <v>0</v>
      </c>
      <c r="I185" s="473"/>
      <c r="J185" s="223"/>
      <c r="K185" s="218"/>
      <c r="M185" s="220"/>
      <c r="N185" s="220"/>
    </row>
    <row r="186" spans="1:14" s="221" customFormat="1">
      <c r="A186" s="224" t="s">
        <v>136</v>
      </c>
      <c r="B186" s="148" t="s">
        <v>328</v>
      </c>
      <c r="C186" s="501">
        <v>54189</v>
      </c>
      <c r="D186" s="501">
        <v>-2097</v>
      </c>
      <c r="E186" s="171">
        <f t="shared" si="37"/>
        <v>52092</v>
      </c>
      <c r="F186" s="216"/>
      <c r="G186" s="171">
        <f t="shared" si="38"/>
        <v>52092</v>
      </c>
      <c r="H186" s="172">
        <f t="shared" si="39"/>
        <v>9.6255616423844611E-3</v>
      </c>
      <c r="I186" s="473"/>
      <c r="J186" s="223"/>
      <c r="K186" s="218"/>
      <c r="M186" s="220"/>
      <c r="N186" s="220"/>
    </row>
    <row r="187" spans="1:14" s="221" customFormat="1">
      <c r="A187" s="224" t="s">
        <v>137</v>
      </c>
      <c r="B187" s="148" t="s">
        <v>122</v>
      </c>
      <c r="C187" s="501">
        <v>18286</v>
      </c>
      <c r="D187" s="501">
        <v>0</v>
      </c>
      <c r="E187" s="171">
        <f t="shared" si="37"/>
        <v>18286</v>
      </c>
      <c r="F187" s="216"/>
      <c r="G187" s="171">
        <f t="shared" si="38"/>
        <v>18286</v>
      </c>
      <c r="H187" s="172">
        <f t="shared" si="39"/>
        <v>3.3788877407786655E-3</v>
      </c>
      <c r="I187" s="473"/>
      <c r="J187" s="223"/>
      <c r="K187" s="218"/>
      <c r="M187" s="220"/>
      <c r="N187" s="220"/>
    </row>
    <row r="188" spans="1:14" s="221" customFormat="1">
      <c r="A188" s="224" t="s">
        <v>275</v>
      </c>
      <c r="B188" s="148" t="s">
        <v>329</v>
      </c>
      <c r="C188" s="501">
        <v>0</v>
      </c>
      <c r="D188" s="501">
        <v>0</v>
      </c>
      <c r="E188" s="171">
        <f t="shared" si="37"/>
        <v>0</v>
      </c>
      <c r="F188" s="216"/>
      <c r="G188" s="171">
        <f t="shared" si="38"/>
        <v>0</v>
      </c>
      <c r="H188" s="172">
        <f t="shared" si="39"/>
        <v>0</v>
      </c>
      <c r="I188" s="473"/>
      <c r="J188" s="223"/>
      <c r="K188" s="218"/>
      <c r="M188" s="220"/>
      <c r="N188" s="220"/>
    </row>
    <row r="189" spans="1:14" s="221" customFormat="1">
      <c r="A189" s="224" t="s">
        <v>277</v>
      </c>
      <c r="B189" s="148" t="s">
        <v>278</v>
      </c>
      <c r="C189" s="501">
        <v>0</v>
      </c>
      <c r="D189" s="501">
        <v>0</v>
      </c>
      <c r="E189" s="171">
        <f t="shared" si="37"/>
        <v>0</v>
      </c>
      <c r="F189" s="216"/>
      <c r="G189" s="171">
        <f t="shared" si="38"/>
        <v>0</v>
      </c>
      <c r="H189" s="172">
        <f t="shared" si="39"/>
        <v>0</v>
      </c>
      <c r="I189" s="473"/>
      <c r="J189" s="223"/>
      <c r="K189" s="218"/>
      <c r="M189" s="220"/>
      <c r="N189" s="220"/>
    </row>
    <row r="190" spans="1:14" s="221" customFormat="1">
      <c r="A190" s="225" t="s">
        <v>279</v>
      </c>
      <c r="B190" s="226" t="s">
        <v>280</v>
      </c>
      <c r="C190" s="501">
        <v>0</v>
      </c>
      <c r="D190" s="501">
        <v>0</v>
      </c>
      <c r="E190" s="171">
        <f t="shared" si="37"/>
        <v>0</v>
      </c>
      <c r="F190" s="216"/>
      <c r="G190" s="171">
        <f t="shared" si="38"/>
        <v>0</v>
      </c>
      <c r="H190" s="172">
        <f t="shared" si="39"/>
        <v>0</v>
      </c>
      <c r="I190" s="473"/>
      <c r="J190" s="223"/>
      <c r="K190" s="218"/>
      <c r="M190" s="220"/>
      <c r="N190" s="220"/>
    </row>
    <row r="191" spans="1:14" s="221" customFormat="1">
      <c r="A191" s="225" t="s">
        <v>281</v>
      </c>
      <c r="B191" s="226" t="s">
        <v>282</v>
      </c>
      <c r="C191" s="501">
        <v>0</v>
      </c>
      <c r="D191" s="501">
        <v>0</v>
      </c>
      <c r="E191" s="171">
        <f t="shared" si="37"/>
        <v>0</v>
      </c>
      <c r="F191" s="216"/>
      <c r="G191" s="171">
        <f t="shared" si="38"/>
        <v>0</v>
      </c>
      <c r="H191" s="172">
        <f t="shared" si="39"/>
        <v>0</v>
      </c>
      <c r="I191" s="473"/>
      <c r="J191" s="223"/>
      <c r="K191" s="218"/>
      <c r="M191" s="220"/>
      <c r="N191" s="220"/>
    </row>
    <row r="192" spans="1:14" s="221" customFormat="1">
      <c r="A192" s="225" t="s">
        <v>283</v>
      </c>
      <c r="B192" s="226" t="s">
        <v>330</v>
      </c>
      <c r="C192" s="501">
        <v>0</v>
      </c>
      <c r="D192" s="501">
        <v>0</v>
      </c>
      <c r="E192" s="171">
        <f t="shared" si="37"/>
        <v>0</v>
      </c>
      <c r="F192" s="216"/>
      <c r="G192" s="171">
        <f t="shared" si="38"/>
        <v>0</v>
      </c>
      <c r="H192" s="172">
        <f t="shared" si="39"/>
        <v>0</v>
      </c>
      <c r="I192" s="473"/>
      <c r="J192" s="223"/>
      <c r="K192" s="218"/>
      <c r="M192" s="220"/>
      <c r="N192" s="220"/>
    </row>
    <row r="193" spans="1:14" s="221" customFormat="1">
      <c r="A193" s="225" t="s">
        <v>285</v>
      </c>
      <c r="B193" s="226" t="s">
        <v>331</v>
      </c>
      <c r="C193" s="501">
        <v>0</v>
      </c>
      <c r="D193" s="501">
        <v>0</v>
      </c>
      <c r="E193" s="171">
        <f t="shared" si="37"/>
        <v>0</v>
      </c>
      <c r="F193" s="216"/>
      <c r="G193" s="171">
        <f t="shared" si="38"/>
        <v>0</v>
      </c>
      <c r="H193" s="172">
        <f t="shared" si="39"/>
        <v>0</v>
      </c>
      <c r="I193" s="473"/>
      <c r="J193" s="223"/>
      <c r="K193" s="218"/>
      <c r="M193" s="220"/>
      <c r="N193" s="220"/>
    </row>
    <row r="194" spans="1:14" s="221" customFormat="1">
      <c r="A194" s="224" t="s">
        <v>138</v>
      </c>
      <c r="B194" s="148" t="s">
        <v>332</v>
      </c>
      <c r="C194" s="501">
        <v>94474</v>
      </c>
      <c r="D194" s="501">
        <v>8309</v>
      </c>
      <c r="E194" s="171">
        <f t="shared" si="37"/>
        <v>102783</v>
      </c>
      <c r="F194" s="216"/>
      <c r="G194" s="171">
        <f t="shared" si="38"/>
        <v>102783</v>
      </c>
      <c r="H194" s="172">
        <f t="shared" si="39"/>
        <v>1.899224645414271E-2</v>
      </c>
      <c r="I194" s="473"/>
      <c r="J194" s="223"/>
      <c r="K194" s="218"/>
      <c r="M194" s="220"/>
      <c r="N194" s="220"/>
    </row>
    <row r="195" spans="1:14" s="221" customFormat="1">
      <c r="A195" s="224" t="s">
        <v>139</v>
      </c>
      <c r="B195" s="148" t="s">
        <v>67</v>
      </c>
      <c r="C195" s="501">
        <v>1190</v>
      </c>
      <c r="D195" s="501">
        <v>0</v>
      </c>
      <c r="E195" s="171">
        <f t="shared" si="37"/>
        <v>1190</v>
      </c>
      <c r="F195" s="216"/>
      <c r="G195" s="171">
        <f t="shared" si="38"/>
        <v>1190</v>
      </c>
      <c r="H195" s="172">
        <f t="shared" si="39"/>
        <v>2.198882430015647E-4</v>
      </c>
      <c r="I195" s="473"/>
      <c r="J195" s="223"/>
      <c r="K195" s="218"/>
      <c r="M195" s="220"/>
      <c r="N195" s="220"/>
    </row>
    <row r="196" spans="1:14" s="221" customFormat="1">
      <c r="A196" s="225" t="s">
        <v>143</v>
      </c>
      <c r="B196" s="194" t="s">
        <v>333</v>
      </c>
      <c r="C196" s="501">
        <v>323</v>
      </c>
      <c r="D196" s="501">
        <v>57</v>
      </c>
      <c r="E196" s="171">
        <f t="shared" si="37"/>
        <v>380</v>
      </c>
      <c r="F196" s="568"/>
      <c r="G196" s="171">
        <f t="shared" si="38"/>
        <v>380</v>
      </c>
      <c r="H196" s="172">
        <f t="shared" si="39"/>
        <v>7.0216413731592084E-5</v>
      </c>
      <c r="I196" s="473" t="s">
        <v>474</v>
      </c>
      <c r="J196" s="223"/>
      <c r="K196" s="218"/>
      <c r="M196" s="220"/>
      <c r="N196" s="220"/>
    </row>
    <row r="197" spans="1:14" s="167" customFormat="1">
      <c r="A197" s="163"/>
      <c r="B197" s="212" t="s">
        <v>130</v>
      </c>
      <c r="C197" s="501">
        <v>330551</v>
      </c>
      <c r="D197" s="501">
        <v>18</v>
      </c>
      <c r="E197" s="171">
        <f t="shared" ref="E197:F197" si="40">SUM(E164:E196)</f>
        <v>330569</v>
      </c>
      <c r="F197" s="171">
        <f t="shared" si="40"/>
        <v>0</v>
      </c>
      <c r="G197" s="171">
        <f>SUM(G164:G196)</f>
        <v>330569</v>
      </c>
      <c r="H197" s="172">
        <f>IF($G$208=0,0,G197/$G$208)</f>
        <v>6.1082551765364909E-2</v>
      </c>
      <c r="I197" s="473"/>
      <c r="J197" s="168"/>
      <c r="K197" s="168"/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475"/>
      <c r="J198" s="168"/>
      <c r="K198" s="168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75"/>
      <c r="J199" s="168"/>
      <c r="K199" s="168"/>
    </row>
    <row r="200" spans="1:14" s="167" customFormat="1">
      <c r="A200" s="169" t="s">
        <v>85</v>
      </c>
      <c r="B200" s="170" t="s">
        <v>69</v>
      </c>
      <c r="C200" s="501">
        <v>154933</v>
      </c>
      <c r="D200" s="501">
        <v>0</v>
      </c>
      <c r="E200" s="171">
        <f t="shared" ref="E200:E205" si="41">C200+D200</f>
        <v>154933</v>
      </c>
      <c r="F200" s="171"/>
      <c r="G200" s="171">
        <f t="shared" ref="G200:G205" si="42">E200+F200</f>
        <v>154933</v>
      </c>
      <c r="H200" s="172">
        <f t="shared" ref="H200:H206" si="43">IF($G$208=0,0,G200/$G$208)</f>
        <v>2.8628525338623045E-2</v>
      </c>
      <c r="I200" s="473"/>
      <c r="J200" s="183">
        <v>7891</v>
      </c>
      <c r="K200" s="183">
        <v>8287</v>
      </c>
    </row>
    <row r="201" spans="1:14" s="167" customFormat="1">
      <c r="A201" s="169" t="s">
        <v>86</v>
      </c>
      <c r="B201" s="170" t="s">
        <v>45</v>
      </c>
      <c r="C201" s="501">
        <v>35038</v>
      </c>
      <c r="D201" s="501">
        <v>0</v>
      </c>
      <c r="E201" s="171">
        <f t="shared" si="41"/>
        <v>35038</v>
      </c>
      <c r="F201" s="171"/>
      <c r="G201" s="171">
        <f t="shared" si="42"/>
        <v>35038</v>
      </c>
      <c r="H201" s="172">
        <f t="shared" si="43"/>
        <v>6.4743229061250624E-3</v>
      </c>
      <c r="I201" s="473"/>
      <c r="J201" s="168"/>
      <c r="K201" s="168"/>
    </row>
    <row r="202" spans="1:14" s="167" customFormat="1">
      <c r="A202" s="169" t="s">
        <v>140</v>
      </c>
      <c r="B202" s="170" t="s">
        <v>54</v>
      </c>
      <c r="C202" s="501">
        <v>2504</v>
      </c>
      <c r="D202" s="501">
        <v>0</v>
      </c>
      <c r="E202" s="171">
        <f t="shared" si="41"/>
        <v>2504</v>
      </c>
      <c r="F202" s="171"/>
      <c r="G202" s="171">
        <f t="shared" si="42"/>
        <v>2504</v>
      </c>
      <c r="H202" s="172">
        <f t="shared" si="43"/>
        <v>4.6268921048396469E-4</v>
      </c>
      <c r="I202" s="473"/>
      <c r="J202" s="168"/>
      <c r="K202" s="168"/>
    </row>
    <row r="203" spans="1:14" s="167" customFormat="1">
      <c r="A203" s="169" t="s">
        <v>141</v>
      </c>
      <c r="B203" s="170" t="s">
        <v>70</v>
      </c>
      <c r="C203" s="501">
        <v>0</v>
      </c>
      <c r="D203" s="501">
        <v>0</v>
      </c>
      <c r="E203" s="171">
        <f t="shared" si="41"/>
        <v>0</v>
      </c>
      <c r="F203" s="171"/>
      <c r="G203" s="171">
        <f t="shared" si="42"/>
        <v>0</v>
      </c>
      <c r="H203" s="172">
        <f t="shared" si="43"/>
        <v>0</v>
      </c>
      <c r="I203" s="473"/>
      <c r="J203" s="168"/>
      <c r="K203" s="168"/>
    </row>
    <row r="204" spans="1:14" s="167" customFormat="1">
      <c r="A204" s="169" t="s">
        <v>142</v>
      </c>
      <c r="B204" s="202" t="s">
        <v>71</v>
      </c>
      <c r="C204" s="501">
        <v>0</v>
      </c>
      <c r="D204" s="501">
        <v>0</v>
      </c>
      <c r="E204" s="171">
        <f t="shared" si="41"/>
        <v>0</v>
      </c>
      <c r="F204" s="171"/>
      <c r="G204" s="171">
        <f t="shared" si="42"/>
        <v>0</v>
      </c>
      <c r="H204" s="172">
        <f t="shared" si="43"/>
        <v>0</v>
      </c>
      <c r="I204" s="473"/>
      <c r="J204" s="168"/>
      <c r="K204" s="168"/>
    </row>
    <row r="205" spans="1:14" s="167" customFormat="1">
      <c r="A205" s="169" t="s">
        <v>143</v>
      </c>
      <c r="B205" s="170" t="s">
        <v>312</v>
      </c>
      <c r="C205" s="501">
        <v>1720</v>
      </c>
      <c r="D205" s="501">
        <v>0</v>
      </c>
      <c r="E205" s="171">
        <f t="shared" si="41"/>
        <v>1720</v>
      </c>
      <c r="F205" s="171"/>
      <c r="G205" s="171">
        <f t="shared" si="42"/>
        <v>1720</v>
      </c>
      <c r="H205" s="172">
        <f t="shared" si="43"/>
        <v>3.178216621535221E-4</v>
      </c>
      <c r="I205" s="473"/>
      <c r="J205" s="168"/>
      <c r="K205" s="168"/>
    </row>
    <row r="206" spans="1:14" s="167" customFormat="1">
      <c r="A206" s="163"/>
      <c r="B206" s="170" t="s">
        <v>144</v>
      </c>
      <c r="C206" s="501">
        <v>194195</v>
      </c>
      <c r="D206" s="501">
        <v>0</v>
      </c>
      <c r="E206" s="171">
        <f t="shared" ref="E206:F206" si="44">SUM(E200:E205)</f>
        <v>194195</v>
      </c>
      <c r="F206" s="171">
        <f t="shared" si="44"/>
        <v>0</v>
      </c>
      <c r="G206" s="171">
        <f>SUM(G200:G205)</f>
        <v>194195</v>
      </c>
      <c r="H206" s="172">
        <f t="shared" si="43"/>
        <v>3.5883359117385591E-2</v>
      </c>
      <c r="I206" s="473"/>
      <c r="J206" s="168"/>
      <c r="K206" s="168"/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475"/>
      <c r="J207" s="168"/>
      <c r="K207" s="168"/>
    </row>
    <row r="208" spans="1:14" s="167" customFormat="1">
      <c r="A208" s="227"/>
      <c r="B208" s="228" t="s">
        <v>145</v>
      </c>
      <c r="C208" s="501">
        <v>5746258</v>
      </c>
      <c r="D208" s="501">
        <v>-330025</v>
      </c>
      <c r="E208" s="171">
        <f t="shared" ref="E208:F208" si="45">SUM(E25:E206)/2</f>
        <v>5416233</v>
      </c>
      <c r="F208" s="171">
        <f t="shared" si="45"/>
        <v>-4392.95</v>
      </c>
      <c r="G208" s="171">
        <f>SUM(G25:G206)/2</f>
        <v>5411840.0499999998</v>
      </c>
      <c r="H208" s="172">
        <f>IF($G$208=0,0,G208/$G$208)</f>
        <v>1</v>
      </c>
      <c r="I208" s="473"/>
      <c r="J208" s="183">
        <f>SUM(J25:J200)</f>
        <v>138323</v>
      </c>
      <c r="K208" s="183">
        <f>SUM(K25:K200)</f>
        <v>144530</v>
      </c>
    </row>
    <row r="209" spans="1:11" s="167" customFormat="1" ht="15.5">
      <c r="A209" s="163"/>
      <c r="B209" s="170"/>
      <c r="C209" s="165"/>
      <c r="D209" s="165"/>
      <c r="E209" s="165"/>
      <c r="F209"/>
      <c r="G209"/>
      <c r="I209" s="475"/>
      <c r="J209" s="168"/>
      <c r="K209" s="168"/>
    </row>
    <row r="210" spans="1:11" s="167" customFormat="1" ht="15.5">
      <c r="A210" s="163"/>
      <c r="B210" s="170"/>
      <c r="C210" s="165"/>
      <c r="D210" s="165"/>
      <c r="E210" s="165"/>
      <c r="F210"/>
      <c r="G210"/>
      <c r="I210" s="475"/>
      <c r="J210" s="168"/>
      <c r="K210" s="168"/>
    </row>
    <row r="211" spans="1:11" s="167" customFormat="1" ht="15.5">
      <c r="A211" s="163"/>
      <c r="B211" s="228" t="s">
        <v>181</v>
      </c>
      <c r="C211" s="501">
        <v>5746258</v>
      </c>
      <c r="D211" s="196"/>
      <c r="E211" s="165"/>
      <c r="F211"/>
      <c r="G211"/>
      <c r="I211" s="475"/>
      <c r="J211" s="168"/>
      <c r="K211" s="168"/>
    </row>
    <row r="212" spans="1:11" s="167" customFormat="1" ht="15.5">
      <c r="A212" s="163"/>
      <c r="B212" s="170" t="s">
        <v>147</v>
      </c>
      <c r="C212" s="501">
        <v>0</v>
      </c>
      <c r="D212" s="229"/>
      <c r="E212" s="165"/>
      <c r="F212"/>
      <c r="G212"/>
      <c r="I212" s="475"/>
      <c r="J212" s="168"/>
      <c r="K212" s="168"/>
    </row>
    <row r="213" spans="1:11" s="167" customFormat="1">
      <c r="A213" s="163"/>
      <c r="B213" s="230"/>
      <c r="C213" s="515"/>
      <c r="D213" s="231"/>
      <c r="E213" s="231"/>
      <c r="F213" s="231"/>
      <c r="G213" s="231"/>
      <c r="H213" s="166"/>
      <c r="I213" s="478"/>
      <c r="J213" s="168"/>
      <c r="K213" s="168"/>
    </row>
    <row r="214" spans="1:11" s="167" customFormat="1">
      <c r="A214" s="169"/>
      <c r="B214" s="228"/>
      <c r="C214" s="165"/>
      <c r="D214" s="165"/>
      <c r="E214" s="165"/>
      <c r="F214" s="165"/>
      <c r="G214" s="165"/>
      <c r="I214" s="475"/>
      <c r="J214" s="168"/>
      <c r="K214" s="168"/>
    </row>
    <row r="215" spans="1:11" s="167" customFormat="1">
      <c r="A215" s="163"/>
      <c r="B215" s="228" t="s">
        <v>78</v>
      </c>
      <c r="C215" s="501">
        <v>-1022414</v>
      </c>
      <c r="D215" s="501">
        <v>324409</v>
      </c>
      <c r="E215" s="171">
        <f t="shared" ref="E215:F215" si="46">E21-E208</f>
        <v>-698005</v>
      </c>
      <c r="F215" s="171">
        <f t="shared" si="46"/>
        <v>4392.95</v>
      </c>
      <c r="G215" s="171">
        <f>G21-G208</f>
        <v>-693612.04999999981</v>
      </c>
      <c r="I215" s="475"/>
      <c r="J215" s="168"/>
      <c r="K215" s="168"/>
    </row>
    <row r="216" spans="1:11" s="167" customFormat="1">
      <c r="A216" s="163"/>
      <c r="B216" s="228"/>
      <c r="C216" s="196"/>
      <c r="D216" s="196"/>
      <c r="E216" s="196"/>
      <c r="F216" s="196"/>
      <c r="G216" s="196"/>
      <c r="I216" s="475"/>
      <c r="J216" s="168"/>
      <c r="K216" s="168"/>
    </row>
    <row r="217" spans="1:11" s="167" customFormat="1">
      <c r="A217" s="163"/>
      <c r="B217" s="228"/>
      <c r="C217" s="196"/>
      <c r="D217" s="196"/>
      <c r="E217" s="196"/>
      <c r="F217" s="196"/>
      <c r="G217" s="196"/>
      <c r="I217" s="475"/>
      <c r="J217" s="168"/>
      <c r="K217" s="168"/>
    </row>
    <row r="218" spans="1:11">
      <c r="A218" s="163"/>
      <c r="B218" s="232" t="s">
        <v>159</v>
      </c>
      <c r="C218" s="165"/>
      <c r="D218" s="165"/>
      <c r="E218" s="165"/>
      <c r="F218" s="165"/>
      <c r="G218" s="165"/>
      <c r="H218" s="166"/>
      <c r="I218" s="478"/>
      <c r="J218" s="168"/>
      <c r="K218" s="168"/>
    </row>
    <row r="219" spans="1:11">
      <c r="A219" s="163"/>
      <c r="B219" s="170" t="s">
        <v>218</v>
      </c>
      <c r="C219" s="530">
        <v>19401</v>
      </c>
      <c r="D219" s="530"/>
      <c r="E219" s="234">
        <f t="shared" ref="E219:G227" si="47">C219+D219</f>
        <v>19401</v>
      </c>
      <c r="F219" s="233"/>
      <c r="G219" s="234">
        <f t="shared" si="47"/>
        <v>19401</v>
      </c>
      <c r="H219" s="172">
        <f t="shared" ref="H219:H228" si="48">IF($G$228=0,0,G219/$G$228)</f>
        <v>0.78305618340329353</v>
      </c>
      <c r="I219" s="473"/>
      <c r="J219" s="168"/>
      <c r="K219" s="168"/>
    </row>
    <row r="220" spans="1:11">
      <c r="A220" s="163"/>
      <c r="B220" s="170" t="s">
        <v>217</v>
      </c>
      <c r="C220" s="530">
        <v>0</v>
      </c>
      <c r="D220" s="530"/>
      <c r="E220" s="234">
        <f t="shared" ref="E220:E227" si="49">C220+D220</f>
        <v>0</v>
      </c>
      <c r="F220" s="233"/>
      <c r="G220" s="234">
        <f t="shared" si="47"/>
        <v>0</v>
      </c>
      <c r="H220" s="172">
        <f t="shared" si="48"/>
        <v>0</v>
      </c>
      <c r="I220" s="473"/>
      <c r="J220" s="168"/>
      <c r="K220" s="168"/>
    </row>
    <row r="221" spans="1:11">
      <c r="A221" s="163"/>
      <c r="B221" s="170" t="s">
        <v>72</v>
      </c>
      <c r="C221" s="530">
        <v>919</v>
      </c>
      <c r="D221" s="530"/>
      <c r="E221" s="234">
        <f t="shared" si="49"/>
        <v>919</v>
      </c>
      <c r="F221" s="233"/>
      <c r="G221" s="234">
        <f t="shared" si="47"/>
        <v>919</v>
      </c>
      <c r="H221" s="172">
        <f t="shared" si="48"/>
        <v>3.7092347432999676E-2</v>
      </c>
      <c r="I221" s="473"/>
      <c r="J221" s="168"/>
      <c r="K221" s="168"/>
    </row>
    <row r="222" spans="1:11">
      <c r="A222" s="163"/>
      <c r="B222" s="202" t="s">
        <v>334</v>
      </c>
      <c r="C222" s="530">
        <v>204</v>
      </c>
      <c r="D222" s="530"/>
      <c r="E222" s="234">
        <f>C222+D222</f>
        <v>204</v>
      </c>
      <c r="F222" s="233"/>
      <c r="G222" s="234">
        <f>E222+F222</f>
        <v>204</v>
      </c>
      <c r="H222" s="172">
        <f t="shared" si="48"/>
        <v>8.2337746206005806E-3</v>
      </c>
      <c r="I222" s="473"/>
      <c r="J222" s="168"/>
      <c r="K222" s="168"/>
    </row>
    <row r="223" spans="1:11">
      <c r="A223" s="163"/>
      <c r="B223" s="170" t="s">
        <v>73</v>
      </c>
      <c r="C223" s="530">
        <v>0</v>
      </c>
      <c r="D223" s="530"/>
      <c r="E223" s="234">
        <f t="shared" si="49"/>
        <v>0</v>
      </c>
      <c r="F223" s="233"/>
      <c r="G223" s="234">
        <f t="shared" si="47"/>
        <v>0</v>
      </c>
      <c r="H223" s="172">
        <f t="shared" si="48"/>
        <v>0</v>
      </c>
      <c r="I223" s="473"/>
      <c r="J223" s="168"/>
      <c r="K223" s="168"/>
    </row>
    <row r="224" spans="1:11">
      <c r="A224" s="163"/>
      <c r="B224" s="170" t="s">
        <v>74</v>
      </c>
      <c r="C224" s="530">
        <v>745</v>
      </c>
      <c r="D224" s="530"/>
      <c r="E224" s="234">
        <f t="shared" si="49"/>
        <v>745</v>
      </c>
      <c r="F224" s="233"/>
      <c r="G224" s="234">
        <f t="shared" si="47"/>
        <v>745</v>
      </c>
      <c r="H224" s="172">
        <f t="shared" si="48"/>
        <v>3.0069422021310944E-2</v>
      </c>
      <c r="I224" s="473"/>
      <c r="J224" s="168"/>
      <c r="K224" s="168"/>
    </row>
    <row r="225" spans="1:11">
      <c r="A225" s="163"/>
      <c r="B225" s="170" t="s">
        <v>236</v>
      </c>
      <c r="C225" s="530">
        <v>2599</v>
      </c>
      <c r="D225" s="530"/>
      <c r="E225" s="234">
        <f t="shared" si="49"/>
        <v>2599</v>
      </c>
      <c r="F225" s="233"/>
      <c r="G225" s="234">
        <f t="shared" si="47"/>
        <v>2599</v>
      </c>
      <c r="H225" s="172">
        <f t="shared" si="48"/>
        <v>0.10489990313206329</v>
      </c>
      <c r="I225" s="473"/>
      <c r="J225" s="168"/>
      <c r="K225" s="168"/>
    </row>
    <row r="226" spans="1:11">
      <c r="A226" s="163"/>
      <c r="B226" s="170" t="s">
        <v>235</v>
      </c>
      <c r="C226" s="530">
        <v>0</v>
      </c>
      <c r="D226" s="530"/>
      <c r="E226" s="234">
        <f>C226+D226</f>
        <v>0</v>
      </c>
      <c r="F226" s="233"/>
      <c r="G226" s="234">
        <f>E226+F226</f>
        <v>0</v>
      </c>
      <c r="H226" s="172">
        <f t="shared" si="48"/>
        <v>0</v>
      </c>
      <c r="I226" s="473"/>
      <c r="J226" s="168"/>
      <c r="K226" s="168"/>
    </row>
    <row r="227" spans="1:11">
      <c r="A227" s="163"/>
      <c r="B227" s="170" t="s">
        <v>179</v>
      </c>
      <c r="C227" s="530">
        <v>908</v>
      </c>
      <c r="D227" s="530"/>
      <c r="E227" s="234">
        <f t="shared" si="49"/>
        <v>908</v>
      </c>
      <c r="F227" s="233"/>
      <c r="G227" s="234">
        <f t="shared" si="47"/>
        <v>908</v>
      </c>
      <c r="H227" s="172">
        <f t="shared" si="48"/>
        <v>3.6648369389731997E-2</v>
      </c>
      <c r="I227" s="473"/>
      <c r="J227" s="168"/>
      <c r="K227" s="168"/>
    </row>
    <row r="228" spans="1:11" ht="13.5" thickBot="1">
      <c r="A228" s="163"/>
      <c r="B228" s="235" t="s">
        <v>75</v>
      </c>
      <c r="C228" s="530">
        <v>24776</v>
      </c>
      <c r="D228" s="530">
        <v>0</v>
      </c>
      <c r="E228" s="236">
        <f>SUM(E219:E227)</f>
        <v>24776</v>
      </c>
      <c r="F228" s="236">
        <f>SUM(F219:F227)</f>
        <v>0</v>
      </c>
      <c r="G228" s="236">
        <f>SUM(G219:G227)</f>
        <v>24776</v>
      </c>
      <c r="H228" s="172">
        <f t="shared" si="48"/>
        <v>1</v>
      </c>
      <c r="I228" s="473"/>
      <c r="J228" s="168"/>
      <c r="K228" s="168"/>
    </row>
    <row r="229" spans="1:11" ht="13.5" thickTop="1">
      <c r="A229" s="163"/>
      <c r="B229" s="167"/>
      <c r="C229" s="516"/>
      <c r="D229" s="237"/>
      <c r="E229" s="231"/>
      <c r="F229" s="237"/>
      <c r="G229" s="231"/>
      <c r="H229" s="167"/>
      <c r="I229" s="475"/>
      <c r="J229" s="168"/>
      <c r="K229" s="168"/>
    </row>
    <row r="230" spans="1:11">
      <c r="A230" s="163"/>
      <c r="B230" s="232" t="s">
        <v>160</v>
      </c>
      <c r="C230" s="515"/>
      <c r="D230" s="231"/>
      <c r="E230" s="231"/>
      <c r="F230" s="231"/>
      <c r="G230" s="231"/>
      <c r="H230" s="167"/>
      <c r="I230" s="475"/>
      <c r="J230" s="168"/>
      <c r="K230" s="168"/>
    </row>
    <row r="231" spans="1:11">
      <c r="A231" s="163"/>
      <c r="B231" s="202" t="s">
        <v>219</v>
      </c>
      <c r="C231" s="531">
        <v>90</v>
      </c>
      <c r="D231" s="502"/>
      <c r="E231" s="234">
        <f>C231+D231</f>
        <v>90</v>
      </c>
      <c r="F231" s="234"/>
      <c r="G231" s="234">
        <f>E231+F231</f>
        <v>90</v>
      </c>
      <c r="H231" s="167"/>
      <c r="I231" s="475"/>
      <c r="J231" s="168"/>
      <c r="K231" s="168"/>
    </row>
    <row r="232" spans="1:11">
      <c r="A232" s="163"/>
      <c r="B232" s="202" t="s">
        <v>290</v>
      </c>
      <c r="C232" s="531">
        <v>90</v>
      </c>
      <c r="D232" s="502"/>
      <c r="E232" s="234">
        <f>C232+D232</f>
        <v>90</v>
      </c>
      <c r="F232" s="234"/>
      <c r="G232" s="234">
        <f>E232+F232</f>
        <v>90</v>
      </c>
      <c r="H232" s="167"/>
      <c r="I232" s="475"/>
      <c r="J232" s="168"/>
      <c r="K232" s="168"/>
    </row>
    <row r="233" spans="1:11">
      <c r="A233" s="163"/>
      <c r="B233" s="202" t="s">
        <v>76</v>
      </c>
      <c r="C233" s="531">
        <v>365</v>
      </c>
      <c r="D233" s="438"/>
      <c r="E233" s="234">
        <f>C233+D233</f>
        <v>365</v>
      </c>
      <c r="F233" s="238"/>
      <c r="G233" s="234">
        <f>E233+F233</f>
        <v>365</v>
      </c>
      <c r="H233" s="167"/>
      <c r="I233" s="475"/>
      <c r="J233" s="168"/>
      <c r="K233" s="168"/>
    </row>
    <row r="234" spans="1:11">
      <c r="A234" s="163"/>
      <c r="B234" s="239"/>
      <c r="C234" s="517"/>
      <c r="D234" s="238"/>
      <c r="E234" s="240"/>
      <c r="F234" s="238"/>
      <c r="G234" s="240"/>
      <c r="H234" s="167"/>
      <c r="I234" s="475"/>
      <c r="J234" s="168"/>
      <c r="K234" s="168"/>
    </row>
    <row r="235" spans="1:11" ht="26">
      <c r="A235" s="163"/>
      <c r="B235" s="241" t="s">
        <v>335</v>
      </c>
      <c r="C235" s="531">
        <v>32850</v>
      </c>
      <c r="D235" s="438"/>
      <c r="E235" s="233">
        <f>E231*E233</f>
        <v>32850</v>
      </c>
      <c r="F235" s="238"/>
      <c r="G235" s="233">
        <f>G231*G233</f>
        <v>32850</v>
      </c>
      <c r="H235" s="167"/>
      <c r="I235" s="475"/>
      <c r="J235" s="168"/>
      <c r="K235" s="168"/>
    </row>
    <row r="236" spans="1:11" ht="26">
      <c r="A236" s="163"/>
      <c r="B236" s="241" t="s">
        <v>336</v>
      </c>
      <c r="C236" s="532">
        <v>0.75421613394216136</v>
      </c>
      <c r="D236" s="238"/>
      <c r="E236" s="242">
        <f>E228/E235</f>
        <v>0.75421613394216136</v>
      </c>
      <c r="F236" s="243"/>
      <c r="G236" s="242">
        <f>G228/G235</f>
        <v>0.75421613394216136</v>
      </c>
      <c r="H236" s="167"/>
      <c r="I236" s="475"/>
      <c r="J236" s="168"/>
      <c r="K236" s="168"/>
    </row>
    <row r="237" spans="1:11" ht="26">
      <c r="A237" s="163"/>
      <c r="B237" s="241" t="s">
        <v>337</v>
      </c>
      <c r="C237" s="532">
        <v>0.59059360730593602</v>
      </c>
      <c r="D237" s="238"/>
      <c r="E237" s="242">
        <f>(E219+E220)/E235</f>
        <v>0.59059360730593602</v>
      </c>
      <c r="F237" s="243"/>
      <c r="G237" s="242">
        <f>(G219+G220)/G235</f>
        <v>0.59059360730593602</v>
      </c>
      <c r="H237" s="167"/>
      <c r="I237" s="475"/>
      <c r="J237" s="168"/>
      <c r="K237" s="168"/>
    </row>
    <row r="238" spans="1:11" ht="26">
      <c r="A238" s="163"/>
      <c r="B238" s="241" t="s">
        <v>338</v>
      </c>
      <c r="C238" s="532">
        <v>0.78305618340329342</v>
      </c>
      <c r="D238" s="238"/>
      <c r="E238" s="242">
        <f>(E237/E236)</f>
        <v>0.78305618340329342</v>
      </c>
      <c r="F238" s="243"/>
      <c r="G238" s="242">
        <f>(G237/G236)</f>
        <v>0.78305618340329342</v>
      </c>
      <c r="H238" s="167"/>
      <c r="I238" s="475"/>
      <c r="J238" s="168"/>
      <c r="K238" s="168"/>
    </row>
    <row r="239" spans="1:11">
      <c r="I239" s="475"/>
    </row>
    <row r="240" spans="1:11">
      <c r="I240" s="475"/>
    </row>
    <row r="241" spans="2:9">
      <c r="B241" s="148" t="s">
        <v>339</v>
      </c>
      <c r="F241" s="142" t="s">
        <v>340</v>
      </c>
      <c r="G241" s="501">
        <f>'[9]Sch B'!C85</f>
        <v>164.33434650455928</v>
      </c>
      <c r="I241" s="475"/>
    </row>
    <row r="242" spans="2:9">
      <c r="F242" s="142" t="s">
        <v>341</v>
      </c>
      <c r="G242" s="501">
        <f>'[9]Sch B'!E85</f>
        <v>164.33641975308643</v>
      </c>
      <c r="I242" s="475"/>
    </row>
    <row r="243" spans="2:9">
      <c r="F243" s="142" t="s">
        <v>342</v>
      </c>
      <c r="G243" s="501">
        <f>'[9]Sch B'!G85</f>
        <v>164.33333333333334</v>
      </c>
      <c r="I243" s="475"/>
    </row>
    <row r="244" spans="2:9">
      <c r="F244" s="142" t="s">
        <v>343</v>
      </c>
      <c r="G244" s="501">
        <f>'[9]Sch B'!I85</f>
        <v>164.33783783783784</v>
      </c>
      <c r="I244" s="475"/>
    </row>
    <row r="245" spans="2:9">
      <c r="F245" s="142"/>
      <c r="I245" s="475"/>
    </row>
    <row r="246" spans="2:9">
      <c r="I246" s="475"/>
    </row>
  </sheetData>
  <customSheetViews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0" sqref="F10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88</vt:i4>
      </vt:variant>
      <vt:variant>
        <vt:lpstr>Named Ranges</vt:lpstr>
      </vt:variant>
      <vt:variant>
        <vt:i4>30</vt:i4>
      </vt:variant>
    </vt:vector>
  </HeadingPairs>
  <TitlesOfParts>
    <vt:vector size="118" baseType="lpstr">
      <vt:lpstr>ALPINE MEADOW</vt:lpstr>
      <vt:lpstr>ALPINE VALLEY &amp; GVH</vt:lpstr>
      <vt:lpstr>AVALON BOUNTIFUL</vt:lpstr>
      <vt:lpstr>AVALON VALLEY</vt:lpstr>
      <vt:lpstr>BELLA TERRA C C</vt:lpstr>
      <vt:lpstr>BELLA TERRA St. G.</vt:lpstr>
      <vt:lpstr>BENNION dba Ava. West</vt:lpstr>
      <vt:lpstr>BROOKDALE</vt:lpstr>
      <vt:lpstr>CANYON RIM</vt:lpstr>
      <vt:lpstr>CANYONLANDS</vt:lpstr>
      <vt:lpstr>Cascades at Orch Pk</vt:lpstr>
      <vt:lpstr>CASCADES at RIVERWALK</vt:lpstr>
      <vt:lpstr>CENTRAL UT VH -PAYSON</vt:lpstr>
      <vt:lpstr>CITY CREEK -BV</vt:lpstr>
      <vt:lpstr>COPPER RIDGE -BV</vt:lpstr>
      <vt:lpstr>CORAL DESERT</vt:lpstr>
      <vt:lpstr>COUNTRY LIFE</vt:lpstr>
      <vt:lpstr>CRESTWOOD</vt:lpstr>
      <vt:lpstr>DRAPER -BV</vt:lpstr>
      <vt:lpstr>EMERY COUNTY</vt:lpstr>
      <vt:lpstr>FAIRVIEW</vt:lpstr>
      <vt:lpstr>FOUR CORNERS -BV</vt:lpstr>
      <vt:lpstr>GARFIELD CO. NH</vt:lpstr>
      <vt:lpstr>HARRISON POINTE En &amp; H. P. BV</vt:lpstr>
      <vt:lpstr>HERITAGE CARE</vt:lpstr>
      <vt:lpstr>HERITAGE HILLS</vt:lpstr>
      <vt:lpstr>HERITAGE PARK </vt:lpstr>
      <vt:lpstr>HIGHLAND</vt:lpstr>
      <vt:lpstr>HILLSIDE, &amp;GVH</vt:lpstr>
      <vt:lpstr>HOLLADAY -BV En</vt:lpstr>
      <vt:lpstr>HURRICANE -BV En</vt:lpstr>
      <vt:lpstr>IRON COUNTY-StoneH CedCity</vt:lpstr>
      <vt:lpstr>LIFE CARE BOUNTIFUL</vt:lpstr>
      <vt:lpstr>LIFE CARE OF SLC</vt:lpstr>
      <vt:lpstr>Little Cottonwood -BV</vt:lpstr>
      <vt:lpstr>LOMOND PEAK -BV</vt:lpstr>
      <vt:lpstr>MEADOW BROOK -BV</vt:lpstr>
      <vt:lpstr>MIDTOWN</vt:lpstr>
      <vt:lpstr>MILLARD COUNTY</vt:lpstr>
      <vt:lpstr>MILLCREEK -BV</vt:lpstr>
      <vt:lpstr>Mission at Bear River -GVH</vt:lpstr>
      <vt:lpstr>MISSION at Comm Rehab -GVH</vt:lpstr>
      <vt:lpstr>MTN VIEW</vt:lpstr>
      <vt:lpstr>MT OGDEN -BV</vt:lpstr>
      <vt:lpstr>MT. OLYMPUS -BV</vt:lpstr>
      <vt:lpstr>NORTH CANYON</vt:lpstr>
      <vt:lpstr>OGDEN VA, George E. Wahlen</vt:lpstr>
      <vt:lpstr>OREM -BV</vt:lpstr>
      <vt:lpstr>PARAMOUNT -BV</vt:lpstr>
      <vt:lpstr>PARKDALE -BV</vt:lpstr>
      <vt:lpstr>PARKWAY</vt:lpstr>
      <vt:lpstr>PINE CREEK -BV</vt:lpstr>
      <vt:lpstr>PINNACLE -BV</vt:lpstr>
      <vt:lpstr>PIONEER</vt:lpstr>
      <vt:lpstr>PROVO -BV</vt:lpstr>
      <vt:lpstr>RED CLIFFS -BV</vt:lpstr>
      <vt:lpstr>RICHFIELD</vt:lpstr>
      <vt:lpstr>RMC CLEARFIELD -BVH</vt:lpstr>
      <vt:lpstr>RMC Cottage on Vine -BVH</vt:lpstr>
      <vt:lpstr>RMC HUNTER HOLLOW -BVH</vt:lpstr>
      <vt:lpstr>RMC Logan -BVH</vt:lpstr>
      <vt:lpstr>RMC Mountain View -BVH</vt:lpstr>
      <vt:lpstr>RMC RIVERTON &amp; BVH</vt:lpstr>
      <vt:lpstr>RMC Willow Springs -BVH</vt:lpstr>
      <vt:lpstr>SANDY HLTH &amp; REHAB -BV</vt:lpstr>
      <vt:lpstr>SEASONS</vt:lpstr>
      <vt:lpstr>SOUTH DAVIS -BV</vt:lpstr>
      <vt:lpstr>So Odgen -BV</vt:lpstr>
      <vt:lpstr>Southern UT VH-IVINS</vt:lpstr>
      <vt:lpstr>SPANISH FORK -BV</vt:lpstr>
      <vt:lpstr>SPRING CREEK -BV</vt:lpstr>
      <vt:lpstr>ST GEORGE, St. Geo. BV</vt:lpstr>
      <vt:lpstr>ST. JOSEPH VILLA -BV</vt:lpstr>
      <vt:lpstr>STONEHENGE of AM FORK</vt:lpstr>
      <vt:lpstr>STONEHENGE, OGDEN</vt:lpstr>
      <vt:lpstr>STONEHENGE, OREM</vt:lpstr>
      <vt:lpstr>STONEHENGE, RICHFIELD</vt:lpstr>
      <vt:lpstr>STONEHENGE SPRINGVILLE</vt:lpstr>
      <vt:lpstr>SUNSHINE TERRACE</vt:lpstr>
      <vt:lpstr>UINTAH BASIN REHAB</vt:lpstr>
      <vt:lpstr>UINTAH CARE</vt:lpstr>
      <vt:lpstr>Utah Valley R&amp;H</vt:lpstr>
      <vt:lpstr>VA Salt Lake (W.E.C. SLVH)</vt:lpstr>
      <vt:lpstr>WASHINGTON TERRACE</vt:lpstr>
      <vt:lpstr>WILLOW GLEN</vt:lpstr>
      <vt:lpstr>WILLOW WOOD</vt:lpstr>
      <vt:lpstr>WOODLAND</vt:lpstr>
      <vt:lpstr>SUMMARY</vt:lpstr>
      <vt:lpstr>'LIFE CARE OF SLC'!Print_Area</vt:lpstr>
      <vt:lpstr>'Little Cottonwood -BV'!Print_Area</vt:lpstr>
      <vt:lpstr>'LOMOND PEAK -BV'!Print_Area</vt:lpstr>
      <vt:lpstr>'PARAMOUNT -BV'!Print_Area</vt:lpstr>
      <vt:lpstr>SUMMARY!Print_Area</vt:lpstr>
      <vt:lpstr>'BELLA TERRA C C'!Print_Titles</vt:lpstr>
      <vt:lpstr>'BELLA TERRA St. G.'!Print_Titles</vt:lpstr>
      <vt:lpstr>CRESTWOOD!Print_Titles</vt:lpstr>
      <vt:lpstr>FAIRVIEW!Print_Titles</vt:lpstr>
      <vt:lpstr>'FOUR CORNERS -BV'!Print_Titles</vt:lpstr>
      <vt:lpstr>'HERITAGE CARE'!Print_Titles</vt:lpstr>
      <vt:lpstr>'HERITAGE HILLS'!Print_Titles</vt:lpstr>
      <vt:lpstr>'HERITAGE PARK '!Print_Titles</vt:lpstr>
      <vt:lpstr>HIGHLAND!Print_Titles</vt:lpstr>
      <vt:lpstr>'HILLSIDE, &amp;GVH'!Print_Titles</vt:lpstr>
      <vt:lpstr>'HOLLADAY -BV En'!Print_Titles</vt:lpstr>
      <vt:lpstr>'LIFE CARE OF SLC'!Print_Titles</vt:lpstr>
      <vt:lpstr>'Little Cottonwood -BV'!Print_Titles</vt:lpstr>
      <vt:lpstr>'LOMOND PEAK -BV'!Print_Titles</vt:lpstr>
      <vt:lpstr>MIDTOWN!Print_Titles</vt:lpstr>
      <vt:lpstr>'MILLCREEK -BV'!Print_Titles</vt:lpstr>
      <vt:lpstr>'PARAMOUNT -BV'!Print_Titles</vt:lpstr>
      <vt:lpstr>'PINE CREEK -BV'!Print_Titles</vt:lpstr>
      <vt:lpstr>'PROVO -BV'!Print_Titles</vt:lpstr>
      <vt:lpstr>'RMC Logan -BVH'!Print_Titles</vt:lpstr>
      <vt:lpstr>'SPANISH FORK -BV'!Print_Titles</vt:lpstr>
      <vt:lpstr>SUMMARY!Print_Titles</vt:lpstr>
      <vt:lpstr>'WASHINGTON TERRACE'!Print_Titles</vt:lpstr>
      <vt:lpstr>'WILLOW WOOD'!Print_Titles</vt:lpstr>
      <vt:lpstr>WOODLAND!Print_Titles</vt:lpstr>
    </vt:vector>
  </TitlesOfParts>
  <Company>UTAH DEPT of HEALTH - HCF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Price</dc:creator>
  <cp:lastModifiedBy>Cody Simonsen</cp:lastModifiedBy>
  <cp:lastPrinted>2017-08-15T19:32:20Z</cp:lastPrinted>
  <dcterms:created xsi:type="dcterms:W3CDTF">1999-03-26T16:15:21Z</dcterms:created>
  <dcterms:modified xsi:type="dcterms:W3CDTF">2020-07-01T16:16:47Z</dcterms:modified>
</cp:coreProperties>
</file>